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trlProps/ctrlProp1.xml" ContentType="application/vnd.ms-excel.controlpropertie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1.xml" ContentType="application/vnd.openxmlformats-officedocument.spreadsheetml.comments+xml"/>
  <Override PartName="/xl/drawings/drawing6.xml" ContentType="application/vnd.openxmlformats-officedocument.drawing+xml"/>
  <Override PartName="/xl/comments2.xml" ContentType="application/vnd.openxmlformats-officedocument.spreadsheetml.comments+xml"/>
  <Override PartName="/xl/drawings/drawing7.xml" ContentType="application/vnd.openxmlformats-officedocument.drawing+xml"/>
  <Override PartName="/xl/comments3.xml" ContentType="application/vnd.openxmlformats-officedocument.spreadsheetml.comments+xml"/>
  <Override PartName="/xl/drawings/drawing8.xml" ContentType="application/vnd.openxmlformats-officedocument.drawing+xml"/>
  <Override PartName="/xl/comments4.xml" ContentType="application/vnd.openxmlformats-officedocument.spreadsheetml.comments+xml"/>
  <Override PartName="/xl/drawings/drawing9.xml" ContentType="application/vnd.openxmlformats-officedocument.drawing+xml"/>
  <Override PartName="/xl/comments5.xml" ContentType="application/vnd.openxmlformats-officedocument.spreadsheetml.comments+xml"/>
  <Override PartName="/xl/drawings/drawing10.xml" ContentType="application/vnd.openxmlformats-officedocument.drawing+xml"/>
  <Override PartName="/xl/comments6.xml" ContentType="application/vnd.openxmlformats-officedocument.spreadsheetml.comments+xml"/>
  <Override PartName="/xl/drawings/drawing11.xml" ContentType="application/vnd.openxmlformats-officedocument.drawing+xml"/>
  <Override PartName="/xl/comments7.xml" ContentType="application/vnd.openxmlformats-officedocument.spreadsheetml.comments+xml"/>
  <Override PartName="/xl/drawings/drawing12.xml" ContentType="application/vnd.openxmlformats-officedocument.drawing+xml"/>
  <Override PartName="/xl/comments8.xml" ContentType="application/vnd.openxmlformats-officedocument.spreadsheetml.comments+xml"/>
  <Override PartName="/xl/drawings/drawing13.xml" ContentType="application/vnd.openxmlformats-officedocument.drawing+xml"/>
  <Override PartName="/xl/comments9.xml" ContentType="application/vnd.openxmlformats-officedocument.spreadsheetml.comments+xml"/>
  <Override PartName="/xl/drawings/drawing14.xml" ContentType="application/vnd.openxmlformats-officedocument.drawing+xml"/>
  <Override PartName="/xl/comments10.xml" ContentType="application/vnd.openxmlformats-officedocument.spreadsheetml.comments+xml"/>
  <Override PartName="/xl/drawings/drawing15.xml" ContentType="application/vnd.openxmlformats-officedocument.drawing+xml"/>
  <Override PartName="/xl/comments11.xml" ContentType="application/vnd.openxmlformats-officedocument.spreadsheetml.comments+xml"/>
  <Override PartName="/xl/drawings/drawing16.xml" ContentType="application/vnd.openxmlformats-officedocument.drawing+xml"/>
  <Override PartName="/xl/comments12.xml" ContentType="application/vnd.openxmlformats-officedocument.spreadsheetml.comments+xml"/>
  <Override PartName="/xl/drawings/drawing17.xml" ContentType="application/vnd.openxmlformats-officedocument.drawing+xml"/>
  <Override PartName="/xl/comments13.xml" ContentType="application/vnd.openxmlformats-officedocument.spreadsheetml.comments+xml"/>
  <Override PartName="/xl/drawings/drawing18.xml" ContentType="application/vnd.openxmlformats-officedocument.drawing+xml"/>
  <Override PartName="/xl/comments14.xml" ContentType="application/vnd.openxmlformats-officedocument.spreadsheetml.comments+xml"/>
  <Override PartName="/xl/drawings/drawing19.xml" ContentType="application/vnd.openxmlformats-officedocument.drawing+xml"/>
  <Override PartName="/xl/comments15.xml" ContentType="application/vnd.openxmlformats-officedocument.spreadsheetml.comments+xml"/>
  <Override PartName="/xl/drawings/drawing20.xml" ContentType="application/vnd.openxmlformats-officedocument.drawing+xml"/>
  <Override PartName="/xl/comments16.xml" ContentType="application/vnd.openxmlformats-officedocument.spreadsheetml.comments+xml"/>
  <Override PartName="/xl/drawings/drawing21.xml" ContentType="application/vnd.openxmlformats-officedocument.drawing+xml"/>
  <Override PartName="/xl/comments17.xml" ContentType="application/vnd.openxmlformats-officedocument.spreadsheetml.comments+xml"/>
  <Override PartName="/xl/drawings/drawing22.xml" ContentType="application/vnd.openxmlformats-officedocument.drawing+xml"/>
  <Override PartName="/xl/comments18.xml" ContentType="application/vnd.openxmlformats-officedocument.spreadsheetml.comments+xml"/>
  <Override PartName="/xl/drawings/drawing23.xml" ContentType="application/vnd.openxmlformats-officedocument.drawing+xml"/>
  <Override PartName="/xl/comments19.xml" ContentType="application/vnd.openxmlformats-officedocument.spreadsheetml.comments+xml"/>
  <Override PartName="/xl/drawings/drawing24.xml" ContentType="application/vnd.openxmlformats-officedocument.drawing+xml"/>
  <Override PartName="/xl/comments20.xml" ContentType="application/vnd.openxmlformats-officedocument.spreadsheetml.comments+xml"/>
  <Override PartName="/xl/drawings/drawing25.xml" ContentType="application/vnd.openxmlformats-officedocument.drawing+xml"/>
  <Override PartName="/xl/comments21.xml" ContentType="application/vnd.openxmlformats-officedocument.spreadsheetml.comments+xml"/>
  <Override PartName="/xl/drawings/drawing26.xml" ContentType="application/vnd.openxmlformats-officedocument.drawing+xml"/>
  <Override PartName="/xl/ctrlProps/ctrlProp2.xml" ContentType="application/vnd.ms-excel.controlproperties+xml"/>
  <Override PartName="/xl/comments22.xml" ContentType="application/vnd.openxmlformats-officedocument.spreadsheetml.comment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 codeName="{26A90621-87C4-6C01-FD6A-EE6E7C140903}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11507\Downloads\"/>
    </mc:Choice>
  </mc:AlternateContent>
  <xr:revisionPtr revIDLastSave="0" documentId="13_ncr:1_{686CEEFD-7731-442D-AC25-FFB8F34FD4E3}" xr6:coauthVersionLast="47" xr6:coauthVersionMax="47" xr10:uidLastSave="{00000000-0000-0000-0000-000000000000}"/>
  <workbookProtection workbookAlgorithmName="SHA-512" workbookHashValue="pCIsDh3iAbHjpAzT51tFJ2WOPsaKFvjKBKK4X5ufffwkl0Ydt2/FuZ21+aNuXIjs0F/a2TEQPozO8VzvuKruiw==" workbookSaltValue="LImZsf6I+ViYibeS2jOldA==" workbookSpinCount="100000" lockStructure="1"/>
  <bookViews>
    <workbookView showHorizontalScroll="0" showVerticalScroll="0" showSheetTabs="0" xWindow="-108" yWindow="-108" windowWidth="23256" windowHeight="12456" tabRatio="796" activeTab="1" xr2:uid="{00000000-000D-0000-FFFF-FFFF00000000}"/>
  </bookViews>
  <sheets>
    <sheet name="Napoveda" sheetId="20" r:id="rId1"/>
    <sheet name="FORM" sheetId="10" r:id="rId2"/>
    <sheet name="MENU" sheetId="4" r:id="rId3"/>
    <sheet name="MENU-2" sheetId="65" r:id="rId4"/>
    <sheet name="AVT77" sheetId="77" r:id="rId5"/>
    <sheet name="AVT101" sheetId="1" r:id="rId6"/>
    <sheet name="AVT139" sheetId="66" r:id="rId7"/>
    <sheet name="AVT187" sheetId="67" r:id="rId8"/>
    <sheet name="AVT251" sheetId="68" r:id="rId9"/>
    <sheet name="AVT187In" sheetId="69" r:id="rId10"/>
    <sheet name="AVT101(vn-A)" sheetId="70" r:id="rId11"/>
    <sheet name="AVT139(vn-A)" sheetId="71" r:id="rId12"/>
    <sheet name="AVT187(vn-A)" sheetId="73" r:id="rId13"/>
    <sheet name="AVT187In(vn-A)" sheetId="76" r:id="rId14"/>
    <sheet name="AVT187(vn-S)" sheetId="74" r:id="rId15"/>
    <sheet name="AVT187In(vn-S)" sheetId="75" r:id="rId16"/>
    <sheet name="AVT-celny-101+187" sheetId="78" r:id="rId17"/>
    <sheet name="AVT-celny-139+187" sheetId="80" r:id="rId18"/>
    <sheet name="AVT-celny-2x187" sheetId="81" r:id="rId19"/>
    <sheet name="AVT-celny-2x187In" sheetId="82" r:id="rId20"/>
    <sheet name="potr-v101+187" sheetId="83" r:id="rId21"/>
    <sheet name="potr-v101+187-IL" sheetId="84" r:id="rId22"/>
    <sheet name="potr-o101+187" sheetId="85" r:id="rId23"/>
    <sheet name="potr-o101+187-IL" sheetId="86" r:id="rId24"/>
    <sheet name="potr-o187-IL" sheetId="87" r:id="rId25"/>
    <sheet name="---" sheetId="39" r:id="rId26"/>
    <sheet name="OBJ" sheetId="2" r:id="rId27"/>
    <sheet name="verze" sheetId="3" state="hidden" r:id="rId28"/>
    <sheet name="CENY" sheetId="7" state="hidden" r:id="rId29"/>
  </sheets>
  <definedNames>
    <definedName name="_xlnm._FilterDatabase" localSheetId="26" hidden="1">OBJ!$F$22:$F$381</definedName>
    <definedName name="_xlnm.Print_Area" localSheetId="2">MENU!$A$1:$AS$111</definedName>
    <definedName name="_xlnm.Print_Area" localSheetId="3">'MENU-2'!$A$1:$AS$52</definedName>
    <definedName name="_xlnm.Print_Area" localSheetId="26">OBJ!$A$4:$M$393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Y107" i="85" l="1"/>
  <c r="AY85" i="83" l="1"/>
  <c r="AY84" i="83"/>
  <c r="AY41" i="82"/>
  <c r="AY49" i="81"/>
  <c r="AY50" i="80"/>
  <c r="AY59" i="78"/>
  <c r="BD107" i="71" l="1"/>
  <c r="BD106" i="71"/>
  <c r="BE106" i="71" s="1"/>
  <c r="BD86" i="71"/>
  <c r="BF86" i="71" s="1"/>
  <c r="BD85" i="71"/>
  <c r="BD79" i="71"/>
  <c r="BF79" i="71" s="1"/>
  <c r="BD78" i="71"/>
  <c r="BD70" i="71"/>
  <c r="BD69" i="71"/>
  <c r="BE69" i="71" s="1"/>
  <c r="BD45" i="71"/>
  <c r="BD44" i="71"/>
  <c r="BE44" i="71" s="1"/>
  <c r="BD38" i="71"/>
  <c r="BD37" i="71"/>
  <c r="BE37" i="71" s="1"/>
  <c r="BH35" i="71"/>
  <c r="BH27" i="71"/>
  <c r="BH25" i="71"/>
  <c r="BH24" i="71"/>
  <c r="BH21" i="71"/>
  <c r="AY94" i="71"/>
  <c r="AY76" i="71"/>
  <c r="AY67" i="71"/>
  <c r="BH107" i="71" s="1"/>
  <c r="AU67" i="71"/>
  <c r="AW67" i="71" s="1"/>
  <c r="AY54" i="71"/>
  <c r="BH86" i="71" s="1"/>
  <c r="AU54" i="71"/>
  <c r="AW54" i="71" s="1"/>
  <c r="AY50" i="71"/>
  <c r="BH78" i="71" s="1"/>
  <c r="AU50" i="71"/>
  <c r="AY42" i="71"/>
  <c r="BH70" i="71" s="1"/>
  <c r="AU42" i="71"/>
  <c r="AY29" i="71"/>
  <c r="BH44" i="71" s="1"/>
  <c r="AU29" i="71"/>
  <c r="AY25" i="71"/>
  <c r="BH37" i="71" s="1"/>
  <c r="AU25" i="71"/>
  <c r="AW25" i="71" s="1"/>
  <c r="AY13" i="71"/>
  <c r="BH22" i="71" s="1"/>
  <c r="AY5" i="71"/>
  <c r="BH5" i="71" s="1"/>
  <c r="AY64" i="69"/>
  <c r="AY48" i="66"/>
  <c r="AY64" i="68"/>
  <c r="BD107" i="66"/>
  <c r="BD106" i="66"/>
  <c r="BE106" i="66" s="1"/>
  <c r="BD86" i="66"/>
  <c r="BF86" i="66" s="1"/>
  <c r="BD85" i="66"/>
  <c r="BE85" i="66" s="1"/>
  <c r="BD79" i="66"/>
  <c r="BF79" i="66" s="1"/>
  <c r="BD78" i="66"/>
  <c r="BE78" i="66" s="1"/>
  <c r="BD70" i="66"/>
  <c r="BD69" i="66"/>
  <c r="BE69" i="66" s="1"/>
  <c r="BD45" i="66"/>
  <c r="BD44" i="66"/>
  <c r="BE44" i="66" s="1"/>
  <c r="BD38" i="66"/>
  <c r="BD37" i="66"/>
  <c r="BE37" i="66" s="1"/>
  <c r="BH35" i="66"/>
  <c r="BH27" i="66"/>
  <c r="BI26" i="66"/>
  <c r="BK26" i="66"/>
  <c r="AY78" i="66"/>
  <c r="AY76" i="66"/>
  <c r="AY67" i="66"/>
  <c r="BH106" i="66" s="1"/>
  <c r="AU67" i="66"/>
  <c r="AY54" i="66"/>
  <c r="BH85" i="66" s="1"/>
  <c r="AU54" i="66"/>
  <c r="AW54" i="66" s="1"/>
  <c r="AY50" i="66"/>
  <c r="BH79" i="66" s="1"/>
  <c r="AU50" i="66"/>
  <c r="AV50" i="66" s="1"/>
  <c r="AY42" i="66"/>
  <c r="BH70" i="66" s="1"/>
  <c r="AU42" i="66"/>
  <c r="AW42" i="66" s="1"/>
  <c r="AY29" i="66"/>
  <c r="BH44" i="66" s="1"/>
  <c r="AU29" i="66"/>
  <c r="AY25" i="66"/>
  <c r="BH38" i="66" s="1"/>
  <c r="AU25" i="66"/>
  <c r="AW25" i="66" s="1"/>
  <c r="AY13" i="66"/>
  <c r="AY5" i="66"/>
  <c r="BH6" i="66" s="1"/>
  <c r="L243" i="7"/>
  <c r="L242" i="7"/>
  <c r="L227" i="7"/>
  <c r="L226" i="7"/>
  <c r="L225" i="7"/>
  <c r="L224" i="7"/>
  <c r="L209" i="7"/>
  <c r="L208" i="7"/>
  <c r="L207" i="7"/>
  <c r="L206" i="7"/>
  <c r="L191" i="7"/>
  <c r="L190" i="7"/>
  <c r="L395" i="7"/>
  <c r="L394" i="7"/>
  <c r="AY78" i="67"/>
  <c r="AY78" i="1"/>
  <c r="AY46" i="77"/>
  <c r="L189" i="7"/>
  <c r="L181" i="7"/>
  <c r="L180" i="7"/>
  <c r="L172" i="7"/>
  <c r="L171" i="7"/>
  <c r="L163" i="7"/>
  <c r="BH79" i="71" l="1"/>
  <c r="BH38" i="71"/>
  <c r="BH78" i="66"/>
  <c r="BH69" i="71"/>
  <c r="BH106" i="71"/>
  <c r="BH85" i="71"/>
  <c r="BH45" i="71"/>
  <c r="BF44" i="71"/>
  <c r="BF106" i="71"/>
  <c r="BE107" i="71"/>
  <c r="BF107" i="71"/>
  <c r="BE85" i="71"/>
  <c r="BF85" i="71"/>
  <c r="BE86" i="71"/>
  <c r="BE78" i="71"/>
  <c r="BF78" i="71"/>
  <c r="BE79" i="71"/>
  <c r="BF69" i="71"/>
  <c r="BE70" i="71"/>
  <c r="BF70" i="71"/>
  <c r="BF45" i="71"/>
  <c r="BE45" i="71"/>
  <c r="BF37" i="71"/>
  <c r="BE38" i="71"/>
  <c r="BF38" i="71"/>
  <c r="AV67" i="71"/>
  <c r="AV54" i="71"/>
  <c r="AV50" i="71"/>
  <c r="AW50" i="71"/>
  <c r="AV42" i="71"/>
  <c r="AW42" i="71"/>
  <c r="AV29" i="71"/>
  <c r="AW29" i="71"/>
  <c r="AV25" i="71"/>
  <c r="BH6" i="71"/>
  <c r="BH107" i="66"/>
  <c r="BH69" i="66"/>
  <c r="BH86" i="66"/>
  <c r="BH37" i="66"/>
  <c r="BE86" i="66"/>
  <c r="BF44" i="66"/>
  <c r="BE79" i="66"/>
  <c r="BH45" i="66"/>
  <c r="BF106" i="66"/>
  <c r="BE107" i="66"/>
  <c r="BF107" i="66"/>
  <c r="BF85" i="66"/>
  <c r="BF78" i="66"/>
  <c r="BF69" i="66"/>
  <c r="BE70" i="66"/>
  <c r="BF70" i="66"/>
  <c r="BE45" i="66"/>
  <c r="BF45" i="66"/>
  <c r="BF37" i="66"/>
  <c r="BE38" i="66"/>
  <c r="BF38" i="66"/>
  <c r="AW50" i="66"/>
  <c r="AW29" i="66"/>
  <c r="BH5" i="66"/>
  <c r="AV29" i="66"/>
  <c r="AV54" i="66"/>
  <c r="AV67" i="66"/>
  <c r="AW67" i="66"/>
  <c r="AV42" i="66"/>
  <c r="AV25" i="66"/>
  <c r="BH22" i="66"/>
  <c r="BH21" i="66"/>
  <c r="AY98" i="87" l="1"/>
  <c r="AY97" i="87"/>
  <c r="BH150" i="87" s="1"/>
  <c r="AY96" i="87"/>
  <c r="BH149" i="87" s="1"/>
  <c r="AY95" i="87"/>
  <c r="BH148" i="87" s="1"/>
  <c r="AY94" i="87"/>
  <c r="BH147" i="87" s="1"/>
  <c r="AY93" i="87"/>
  <c r="BH146" i="87" s="1"/>
  <c r="AY92" i="87"/>
  <c r="BH145" i="87" s="1"/>
  <c r="AY91" i="87"/>
  <c r="BH144" i="87" s="1"/>
  <c r="AW103" i="87"/>
  <c r="AI87" i="87"/>
  <c r="AI82" i="87" s="1"/>
  <c r="AG87" i="87"/>
  <c r="AG82" i="87" s="1"/>
  <c r="AE87" i="87"/>
  <c r="AE82" i="87" s="1"/>
  <c r="AC87" i="87"/>
  <c r="AC82" i="87" s="1"/>
  <c r="U87" i="87"/>
  <c r="U81" i="87" s="1"/>
  <c r="S87" i="87"/>
  <c r="S82" i="87" s="1"/>
  <c r="Q87" i="87"/>
  <c r="Q82" i="87" s="1"/>
  <c r="O87" i="87"/>
  <c r="O82" i="87" s="1"/>
  <c r="BD99" i="4"/>
  <c r="BF101" i="4" s="1"/>
  <c r="BI162" i="87"/>
  <c r="BI160" i="87"/>
  <c r="BI159" i="87"/>
  <c r="BB155" i="87"/>
  <c r="AZ155" i="87"/>
  <c r="BK151" i="87"/>
  <c r="BI151" i="87"/>
  <c r="BK141" i="87"/>
  <c r="BI141" i="87"/>
  <c r="BB146" i="87"/>
  <c r="AZ146" i="87"/>
  <c r="BK140" i="87"/>
  <c r="BI140" i="87"/>
  <c r="BB145" i="87"/>
  <c r="AZ145" i="87"/>
  <c r="BB144" i="87"/>
  <c r="AZ144" i="87"/>
  <c r="BK138" i="87"/>
  <c r="BI138" i="87"/>
  <c r="BB143" i="87"/>
  <c r="AZ143" i="87"/>
  <c r="BI137" i="87"/>
  <c r="BB142" i="87"/>
  <c r="AZ142" i="87"/>
  <c r="BK136" i="87"/>
  <c r="BI136" i="87"/>
  <c r="BB141" i="87"/>
  <c r="AZ141" i="87"/>
  <c r="BI135" i="87"/>
  <c r="BB140" i="87"/>
  <c r="AZ140" i="87"/>
  <c r="BI134" i="87"/>
  <c r="BB139" i="87"/>
  <c r="AZ139" i="87"/>
  <c r="BI133" i="87"/>
  <c r="BB138" i="87"/>
  <c r="AZ138" i="87"/>
  <c r="BI132" i="87"/>
  <c r="BB137" i="87"/>
  <c r="AZ137" i="87"/>
  <c r="BI131" i="87"/>
  <c r="BB136" i="87"/>
  <c r="AZ136" i="87"/>
  <c r="BI130" i="87"/>
  <c r="BB135" i="87"/>
  <c r="AZ135" i="87"/>
  <c r="BI129" i="87"/>
  <c r="BB134" i="87"/>
  <c r="AZ134" i="87"/>
  <c r="BI128" i="87"/>
  <c r="BB133" i="87"/>
  <c r="AZ133" i="87"/>
  <c r="BI127" i="87"/>
  <c r="BB132" i="87"/>
  <c r="AZ132" i="87"/>
  <c r="BI126" i="87"/>
  <c r="BB131" i="87"/>
  <c r="AZ131" i="87"/>
  <c r="BI125" i="87"/>
  <c r="BB130" i="87"/>
  <c r="AZ130" i="87"/>
  <c r="BI124" i="87"/>
  <c r="BB129" i="87"/>
  <c r="AZ129" i="87"/>
  <c r="BI123" i="87"/>
  <c r="BB128" i="87"/>
  <c r="AZ128" i="87"/>
  <c r="BI122" i="87"/>
  <c r="BB127" i="87"/>
  <c r="AZ127" i="87"/>
  <c r="BI121" i="87"/>
  <c r="BB126" i="87"/>
  <c r="AZ126" i="87"/>
  <c r="BI120" i="87"/>
  <c r="BB125" i="87"/>
  <c r="AZ125" i="87"/>
  <c r="BK119" i="87"/>
  <c r="BI119" i="87"/>
  <c r="BB124" i="87"/>
  <c r="AZ124" i="87"/>
  <c r="BI118" i="87"/>
  <c r="BB123" i="87"/>
  <c r="AZ123" i="87"/>
  <c r="BI117" i="87"/>
  <c r="BB122" i="87"/>
  <c r="AZ122" i="87"/>
  <c r="BI116" i="87"/>
  <c r="BB121" i="87"/>
  <c r="AZ121" i="87"/>
  <c r="BK115" i="87"/>
  <c r="BI115" i="87"/>
  <c r="BB120" i="87"/>
  <c r="AZ120" i="87"/>
  <c r="BB119" i="87"/>
  <c r="AZ119" i="87"/>
  <c r="BB118" i="87"/>
  <c r="AZ118" i="87"/>
  <c r="BB117" i="87"/>
  <c r="AZ117" i="87"/>
  <c r="AZ116" i="87"/>
  <c r="AZ114" i="87"/>
  <c r="AZ113" i="87"/>
  <c r="BI106" i="87"/>
  <c r="BB111" i="87"/>
  <c r="AZ111" i="87"/>
  <c r="BI105" i="87"/>
  <c r="BB110" i="87"/>
  <c r="AZ110" i="87"/>
  <c r="BI104" i="87"/>
  <c r="BB109" i="87"/>
  <c r="AZ109" i="87"/>
  <c r="BI103" i="87"/>
  <c r="BB108" i="87"/>
  <c r="AZ108" i="87"/>
  <c r="BI102" i="87"/>
  <c r="BB107" i="87"/>
  <c r="AZ107" i="87"/>
  <c r="BI101" i="87"/>
  <c r="BB106" i="87"/>
  <c r="AZ106" i="87"/>
  <c r="BI100" i="87"/>
  <c r="BB105" i="87"/>
  <c r="AZ105" i="87"/>
  <c r="BI99" i="87"/>
  <c r="BB104" i="87"/>
  <c r="AZ104" i="87"/>
  <c r="BK98" i="87"/>
  <c r="BI98" i="87"/>
  <c r="BB103" i="87"/>
  <c r="AZ103" i="87"/>
  <c r="BI97" i="87"/>
  <c r="BB102" i="87"/>
  <c r="AZ102" i="87"/>
  <c r="BI96" i="87"/>
  <c r="BB101" i="87"/>
  <c r="AZ101" i="87"/>
  <c r="BI95" i="87"/>
  <c r="BB100" i="87"/>
  <c r="AZ100" i="87"/>
  <c r="BI94" i="87"/>
  <c r="BB99" i="87"/>
  <c r="AZ99" i="87"/>
  <c r="BI93" i="87"/>
  <c r="BI92" i="87"/>
  <c r="BK91" i="87"/>
  <c r="BI91" i="87"/>
  <c r="BI90" i="87"/>
  <c r="BI89" i="87"/>
  <c r="BI88" i="87"/>
  <c r="BB88" i="87"/>
  <c r="AZ88" i="87"/>
  <c r="BI87" i="87"/>
  <c r="BI86" i="87"/>
  <c r="BB86" i="87"/>
  <c r="AZ86" i="87"/>
  <c r="BK85" i="87"/>
  <c r="BI85" i="87"/>
  <c r="AW85" i="87"/>
  <c r="AV85" i="87"/>
  <c r="AW84" i="87"/>
  <c r="AV84" i="87"/>
  <c r="BB83" i="87"/>
  <c r="AZ83" i="87"/>
  <c r="AZ82" i="87"/>
  <c r="BB81" i="87"/>
  <c r="AZ81" i="87"/>
  <c r="AZ80" i="87"/>
  <c r="AZ79" i="87"/>
  <c r="AZ78" i="87"/>
  <c r="AZ77" i="87"/>
  <c r="AZ76" i="87"/>
  <c r="AZ75" i="87"/>
  <c r="BK74" i="87"/>
  <c r="BI74" i="87"/>
  <c r="AZ74" i="87"/>
  <c r="AZ73" i="87"/>
  <c r="BB72" i="87"/>
  <c r="AZ72" i="87"/>
  <c r="AZ71" i="87"/>
  <c r="AZ70" i="87"/>
  <c r="AZ69" i="87"/>
  <c r="BB68" i="87"/>
  <c r="AZ68" i="87"/>
  <c r="BI65" i="87"/>
  <c r="BI64" i="87"/>
  <c r="BI63" i="87"/>
  <c r="AZ63" i="87"/>
  <c r="BI62" i="87"/>
  <c r="AZ62" i="87"/>
  <c r="BI61" i="87"/>
  <c r="AZ61" i="87"/>
  <c r="BI60" i="87"/>
  <c r="AZ60" i="87"/>
  <c r="BI59" i="87"/>
  <c r="BB59" i="87"/>
  <c r="AZ59" i="87"/>
  <c r="BI58" i="87"/>
  <c r="AZ58" i="87"/>
  <c r="BK57" i="87"/>
  <c r="BI57" i="87"/>
  <c r="AZ57" i="87"/>
  <c r="BI56" i="87"/>
  <c r="AZ56" i="87"/>
  <c r="BI55" i="87"/>
  <c r="BB55" i="87"/>
  <c r="AZ55" i="87"/>
  <c r="BI54" i="87"/>
  <c r="AZ54" i="87"/>
  <c r="BI53" i="87"/>
  <c r="AZ53" i="87"/>
  <c r="BI52" i="87"/>
  <c r="AZ52" i="87"/>
  <c r="BI51" i="87"/>
  <c r="AZ51" i="87"/>
  <c r="BK50" i="87"/>
  <c r="BI50" i="87"/>
  <c r="AZ50" i="87"/>
  <c r="BB49" i="87"/>
  <c r="AZ49" i="87"/>
  <c r="BI44" i="87"/>
  <c r="BI43" i="87"/>
  <c r="BB43" i="87"/>
  <c r="AZ43" i="87"/>
  <c r="BI42" i="87"/>
  <c r="BI41" i="87"/>
  <c r="BK40" i="87"/>
  <c r="BI40" i="87"/>
  <c r="BF38" i="87"/>
  <c r="BE38" i="87"/>
  <c r="AZ38" i="87"/>
  <c r="BF37" i="87"/>
  <c r="BE37" i="87"/>
  <c r="AZ37" i="87"/>
  <c r="AZ36" i="87"/>
  <c r="AZ35" i="87"/>
  <c r="BK34" i="87"/>
  <c r="BI34" i="87"/>
  <c r="BB34" i="87"/>
  <c r="AZ34" i="87"/>
  <c r="AZ33" i="87"/>
  <c r="AZ32" i="87"/>
  <c r="AZ31" i="87"/>
  <c r="BB30" i="87"/>
  <c r="AZ30" i="87"/>
  <c r="AZ24" i="87"/>
  <c r="BI23" i="87"/>
  <c r="AZ23" i="87"/>
  <c r="AZ22" i="87"/>
  <c r="AZ21" i="87"/>
  <c r="BB20" i="87"/>
  <c r="AZ20" i="87"/>
  <c r="O17" i="87"/>
  <c r="J13" i="87"/>
  <c r="BI12" i="87"/>
  <c r="BI11" i="87"/>
  <c r="F11" i="87"/>
  <c r="BI10" i="87"/>
  <c r="F10" i="87"/>
  <c r="BI9" i="87"/>
  <c r="BI8" i="87"/>
  <c r="AZ8" i="87"/>
  <c r="F8" i="87"/>
  <c r="BI7" i="87"/>
  <c r="AZ7" i="87"/>
  <c r="F7" i="87"/>
  <c r="BI6" i="87"/>
  <c r="AZ6" i="87"/>
  <c r="BI5" i="87"/>
  <c r="AZ5" i="87"/>
  <c r="AY4" i="87"/>
  <c r="AY3" i="87"/>
  <c r="AY90" i="87" s="1"/>
  <c r="AY2" i="87"/>
  <c r="AY1" i="87"/>
  <c r="BI159" i="86"/>
  <c r="BI157" i="86"/>
  <c r="BI156" i="86"/>
  <c r="AZ111" i="86"/>
  <c r="AZ109" i="86"/>
  <c r="AZ108" i="86"/>
  <c r="AZ113" i="85"/>
  <c r="AZ112" i="85"/>
  <c r="AZ111" i="85"/>
  <c r="AZ109" i="85"/>
  <c r="AZ108" i="85"/>
  <c r="AZ106" i="85"/>
  <c r="AZ105" i="85"/>
  <c r="BB141" i="85"/>
  <c r="AZ141" i="85"/>
  <c r="BB140" i="85"/>
  <c r="AZ140" i="85"/>
  <c r="BB139" i="85"/>
  <c r="AZ139" i="85"/>
  <c r="BB138" i="85"/>
  <c r="AZ138" i="85"/>
  <c r="BB137" i="85"/>
  <c r="AZ137" i="85"/>
  <c r="BB136" i="85"/>
  <c r="AZ136" i="85"/>
  <c r="BB135" i="85"/>
  <c r="AZ135" i="85"/>
  <c r="BB134" i="85"/>
  <c r="AZ134" i="85"/>
  <c r="BB133" i="85"/>
  <c r="AZ133" i="85"/>
  <c r="BB132" i="85"/>
  <c r="AZ132" i="85"/>
  <c r="BB131" i="85"/>
  <c r="AZ131" i="85"/>
  <c r="BB130" i="85"/>
  <c r="AZ130" i="85"/>
  <c r="BB129" i="85"/>
  <c r="AZ129" i="85"/>
  <c r="BB128" i="85"/>
  <c r="AZ128" i="85"/>
  <c r="BB127" i="85"/>
  <c r="AZ127" i="85"/>
  <c r="BB126" i="85"/>
  <c r="AZ126" i="85"/>
  <c r="BB125" i="85"/>
  <c r="AZ125" i="85"/>
  <c r="BB124" i="85"/>
  <c r="AZ124" i="85"/>
  <c r="BB123" i="85"/>
  <c r="AZ123" i="85"/>
  <c r="BB122" i="85"/>
  <c r="AZ122" i="85"/>
  <c r="BB121" i="85"/>
  <c r="AZ121" i="85"/>
  <c r="BB120" i="85"/>
  <c r="AZ120" i="85"/>
  <c r="BB119" i="85"/>
  <c r="AZ119" i="85"/>
  <c r="BB118" i="85"/>
  <c r="AZ118" i="85"/>
  <c r="BB117" i="85"/>
  <c r="AZ117" i="85"/>
  <c r="BB116" i="85"/>
  <c r="AZ116" i="85"/>
  <c r="BB115" i="85"/>
  <c r="AZ115" i="85"/>
  <c r="BB114" i="85"/>
  <c r="AZ114" i="85"/>
  <c r="BI159" i="85"/>
  <c r="BI157" i="85"/>
  <c r="BI156" i="85"/>
  <c r="BB113" i="85"/>
  <c r="BB112" i="85"/>
  <c r="AB99" i="4"/>
  <c r="AD101" i="4" s="1"/>
  <c r="AB90" i="4"/>
  <c r="AD92" i="4" s="1"/>
  <c r="M99" i="4"/>
  <c r="O101" i="4" s="1"/>
  <c r="BB150" i="86"/>
  <c r="AZ150" i="86"/>
  <c r="BK148" i="86"/>
  <c r="BI148" i="86"/>
  <c r="BK144" i="86"/>
  <c r="BI144" i="86"/>
  <c r="BK141" i="86"/>
  <c r="BI141" i="86"/>
  <c r="BB141" i="86"/>
  <c r="AZ141" i="86"/>
  <c r="BK140" i="86"/>
  <c r="BI140" i="86"/>
  <c r="BB140" i="86"/>
  <c r="AZ140" i="86"/>
  <c r="BB139" i="86"/>
  <c r="AZ139" i="86"/>
  <c r="BK138" i="86"/>
  <c r="BI138" i="86"/>
  <c r="BB138" i="86"/>
  <c r="AZ138" i="86"/>
  <c r="BI137" i="86"/>
  <c r="BB137" i="86"/>
  <c r="AZ137" i="86"/>
  <c r="BK136" i="86"/>
  <c r="BI136" i="86"/>
  <c r="BB136" i="86"/>
  <c r="AZ136" i="86"/>
  <c r="BI135" i="86"/>
  <c r="BB135" i="86"/>
  <c r="AZ135" i="86"/>
  <c r="BI134" i="86"/>
  <c r="BB134" i="86"/>
  <c r="AZ134" i="86"/>
  <c r="BI133" i="86"/>
  <c r="BB133" i="86"/>
  <c r="AZ133" i="86"/>
  <c r="BI132" i="86"/>
  <c r="BB132" i="86"/>
  <c r="AZ132" i="86"/>
  <c r="BI131" i="86"/>
  <c r="BB131" i="86"/>
  <c r="AZ131" i="86"/>
  <c r="BI130" i="86"/>
  <c r="BB130" i="86"/>
  <c r="AZ130" i="86"/>
  <c r="BI129" i="86"/>
  <c r="BB129" i="86"/>
  <c r="AZ129" i="86"/>
  <c r="BI128" i="86"/>
  <c r="BB128" i="86"/>
  <c r="AZ128" i="86"/>
  <c r="BI127" i="86"/>
  <c r="BB127" i="86"/>
  <c r="AZ127" i="86"/>
  <c r="BI126" i="86"/>
  <c r="BB126" i="86"/>
  <c r="AZ126" i="86"/>
  <c r="BI125" i="86"/>
  <c r="BB125" i="86"/>
  <c r="AZ125" i="86"/>
  <c r="BI124" i="86"/>
  <c r="BB124" i="86"/>
  <c r="AZ124" i="86"/>
  <c r="BI123" i="86"/>
  <c r="BB123" i="86"/>
  <c r="AZ123" i="86"/>
  <c r="BI122" i="86"/>
  <c r="BB122" i="86"/>
  <c r="AZ122" i="86"/>
  <c r="BI121" i="86"/>
  <c r="BB121" i="86"/>
  <c r="AZ121" i="86"/>
  <c r="BI120" i="86"/>
  <c r="BB120" i="86"/>
  <c r="AZ120" i="86"/>
  <c r="BK119" i="86"/>
  <c r="BI119" i="86"/>
  <c r="BB119" i="86"/>
  <c r="AZ119" i="86"/>
  <c r="BI118" i="86"/>
  <c r="BB118" i="86"/>
  <c r="AZ118" i="86"/>
  <c r="BI117" i="86"/>
  <c r="BB117" i="86"/>
  <c r="AZ117" i="86"/>
  <c r="BI116" i="86"/>
  <c r="BB116" i="86"/>
  <c r="AZ116" i="86"/>
  <c r="BK115" i="86"/>
  <c r="BI115" i="86"/>
  <c r="BB115" i="86"/>
  <c r="AZ115" i="86"/>
  <c r="BB114" i="86"/>
  <c r="AZ114" i="86"/>
  <c r="BB113" i="86"/>
  <c r="AZ113" i="86"/>
  <c r="BB112" i="86"/>
  <c r="AZ112" i="86"/>
  <c r="BI106" i="86"/>
  <c r="BB106" i="86"/>
  <c r="AZ106" i="86"/>
  <c r="BI105" i="86"/>
  <c r="BB105" i="86"/>
  <c r="AZ105" i="86"/>
  <c r="BI104" i="86"/>
  <c r="BB104" i="86"/>
  <c r="AZ104" i="86"/>
  <c r="BI103" i="86"/>
  <c r="BB103" i="86"/>
  <c r="AZ103" i="86"/>
  <c r="BI102" i="86"/>
  <c r="BB102" i="86"/>
  <c r="AZ102" i="86"/>
  <c r="BI101" i="86"/>
  <c r="BB101" i="86"/>
  <c r="AZ101" i="86"/>
  <c r="BI100" i="86"/>
  <c r="BB100" i="86"/>
  <c r="AZ100" i="86"/>
  <c r="BI99" i="86"/>
  <c r="BB99" i="86"/>
  <c r="AZ99" i="86"/>
  <c r="BK98" i="86"/>
  <c r="BI98" i="86"/>
  <c r="BB98" i="86"/>
  <c r="AZ98" i="86"/>
  <c r="BI97" i="86"/>
  <c r="BB97" i="86"/>
  <c r="AZ97" i="86"/>
  <c r="BI96" i="86"/>
  <c r="BB96" i="86"/>
  <c r="AZ96" i="86"/>
  <c r="BI95" i="86"/>
  <c r="BB95" i="86"/>
  <c r="AZ95" i="86"/>
  <c r="BI94" i="86"/>
  <c r="BB94" i="86"/>
  <c r="AZ94" i="86"/>
  <c r="BI93" i="86"/>
  <c r="BI92" i="86"/>
  <c r="BK91" i="86"/>
  <c r="BI91" i="86"/>
  <c r="BI90" i="86"/>
  <c r="BI89" i="86"/>
  <c r="BB89" i="86"/>
  <c r="AZ89" i="86"/>
  <c r="BI88" i="86"/>
  <c r="BB88" i="86"/>
  <c r="AZ88" i="86"/>
  <c r="BI87" i="86"/>
  <c r="BI86" i="86"/>
  <c r="BB86" i="86"/>
  <c r="AZ86" i="86"/>
  <c r="AI86" i="86"/>
  <c r="AG86" i="86"/>
  <c r="AE86" i="86"/>
  <c r="AC86" i="86"/>
  <c r="AA86" i="86"/>
  <c r="AA80" i="86" s="1"/>
  <c r="Y86" i="86"/>
  <c r="W86" i="86"/>
  <c r="U86" i="86"/>
  <c r="S86" i="86"/>
  <c r="Q86" i="86"/>
  <c r="O86" i="86"/>
  <c r="BK85" i="86"/>
  <c r="BI85" i="86"/>
  <c r="AW85" i="86"/>
  <c r="AV85" i="86"/>
  <c r="AW84" i="86"/>
  <c r="AV84" i="86"/>
  <c r="BB83" i="86"/>
  <c r="AZ83" i="86"/>
  <c r="AZ82" i="86"/>
  <c r="BB81" i="86"/>
  <c r="AZ81" i="86"/>
  <c r="AZ80" i="86"/>
  <c r="AZ79" i="86"/>
  <c r="AZ78" i="86"/>
  <c r="AZ77" i="86"/>
  <c r="AZ76" i="86"/>
  <c r="AZ75" i="86"/>
  <c r="BK74" i="86"/>
  <c r="BI74" i="86"/>
  <c r="AZ74" i="86"/>
  <c r="AZ73" i="86"/>
  <c r="BB72" i="86"/>
  <c r="AZ72" i="86"/>
  <c r="AZ71" i="86"/>
  <c r="AZ70" i="86"/>
  <c r="AZ69" i="86"/>
  <c r="BB68" i="86"/>
  <c r="AZ68" i="86"/>
  <c r="BI65" i="86"/>
  <c r="BI64" i="86"/>
  <c r="BI63" i="86"/>
  <c r="AZ63" i="86"/>
  <c r="BI62" i="86"/>
  <c r="AZ62" i="86"/>
  <c r="BI61" i="86"/>
  <c r="AZ61" i="86"/>
  <c r="BI60" i="86"/>
  <c r="AZ60" i="86"/>
  <c r="BI59" i="86"/>
  <c r="BB59" i="86"/>
  <c r="AZ59" i="86"/>
  <c r="BI58" i="86"/>
  <c r="AZ58" i="86"/>
  <c r="BK57" i="86"/>
  <c r="BI57" i="86"/>
  <c r="AZ57" i="86"/>
  <c r="BI56" i="86"/>
  <c r="AZ56" i="86"/>
  <c r="BI55" i="86"/>
  <c r="BB55" i="86"/>
  <c r="AZ55" i="86"/>
  <c r="BI54" i="86"/>
  <c r="AZ54" i="86"/>
  <c r="BI53" i="86"/>
  <c r="AZ53" i="86"/>
  <c r="BI52" i="86"/>
  <c r="AZ52" i="86"/>
  <c r="BI51" i="86"/>
  <c r="AZ51" i="86"/>
  <c r="BK50" i="86"/>
  <c r="BI50" i="86"/>
  <c r="AZ50" i="86"/>
  <c r="BB49" i="86"/>
  <c r="AZ49" i="86"/>
  <c r="BI44" i="86"/>
  <c r="BI43" i="86"/>
  <c r="BB43" i="86"/>
  <c r="AZ43" i="86"/>
  <c r="BI42" i="86"/>
  <c r="BI41" i="86"/>
  <c r="BK40" i="86"/>
  <c r="BI40" i="86"/>
  <c r="BF38" i="86"/>
  <c r="BE38" i="86"/>
  <c r="AZ38" i="86"/>
  <c r="BF37" i="86"/>
  <c r="BE37" i="86"/>
  <c r="AZ37" i="86"/>
  <c r="AZ36" i="86"/>
  <c r="AZ35" i="86"/>
  <c r="BK34" i="86"/>
  <c r="BI34" i="86"/>
  <c r="BB34" i="86"/>
  <c r="AZ34" i="86"/>
  <c r="AZ33" i="86"/>
  <c r="AZ32" i="86"/>
  <c r="AZ31" i="86"/>
  <c r="BB30" i="86"/>
  <c r="AZ30" i="86"/>
  <c r="AZ24" i="86"/>
  <c r="BI23" i="86"/>
  <c r="AZ23" i="86"/>
  <c r="AZ22" i="86"/>
  <c r="AZ21" i="86"/>
  <c r="BB20" i="86"/>
  <c r="AZ20" i="86"/>
  <c r="O17" i="86"/>
  <c r="AY13" i="86"/>
  <c r="J13" i="86"/>
  <c r="BI12" i="86"/>
  <c r="BI11" i="86"/>
  <c r="F11" i="86"/>
  <c r="BI10" i="86"/>
  <c r="F10" i="86"/>
  <c r="BI9" i="86"/>
  <c r="BI8" i="86"/>
  <c r="AZ8" i="86"/>
  <c r="F8" i="86"/>
  <c r="BI7" i="86"/>
  <c r="AZ7" i="86"/>
  <c r="F7" i="86"/>
  <c r="BI6" i="86"/>
  <c r="AZ6" i="86"/>
  <c r="BI5" i="86"/>
  <c r="AZ5" i="86"/>
  <c r="AY4" i="86"/>
  <c r="AY3" i="86"/>
  <c r="AY2" i="86"/>
  <c r="AY1" i="86"/>
  <c r="BB150" i="85"/>
  <c r="AZ150" i="85"/>
  <c r="BK148" i="85"/>
  <c r="BI148" i="85"/>
  <c r="BK144" i="85"/>
  <c r="BI144" i="85"/>
  <c r="BK141" i="85"/>
  <c r="BI141" i="85"/>
  <c r="BK140" i="85"/>
  <c r="BI140" i="85"/>
  <c r="BK138" i="85"/>
  <c r="BI138" i="85"/>
  <c r="BI137" i="85"/>
  <c r="BK136" i="85"/>
  <c r="BI136" i="85"/>
  <c r="BI135" i="85"/>
  <c r="BI134" i="85"/>
  <c r="BI133" i="85"/>
  <c r="BI132" i="85"/>
  <c r="BI131" i="85"/>
  <c r="BI130" i="85"/>
  <c r="BI129" i="85"/>
  <c r="BI128" i="85"/>
  <c r="BI127" i="85"/>
  <c r="BI126" i="85"/>
  <c r="BI125" i="85"/>
  <c r="BI124" i="85"/>
  <c r="BI123" i="85"/>
  <c r="BI122" i="85"/>
  <c r="BI121" i="85"/>
  <c r="BI120" i="85"/>
  <c r="BK119" i="85"/>
  <c r="BI119" i="85"/>
  <c r="BI118" i="85"/>
  <c r="BI117" i="85"/>
  <c r="BI116" i="85"/>
  <c r="BK115" i="85"/>
  <c r="BI115" i="85"/>
  <c r="BI106" i="85"/>
  <c r="BB106" i="85"/>
  <c r="BI105" i="85"/>
  <c r="BB105" i="85"/>
  <c r="BI104" i="85"/>
  <c r="BB104" i="85"/>
  <c r="AZ104" i="85"/>
  <c r="BI103" i="85"/>
  <c r="BB103" i="85"/>
  <c r="AZ103" i="85"/>
  <c r="BI102" i="85"/>
  <c r="BB102" i="85"/>
  <c r="AZ102" i="85"/>
  <c r="BI101" i="85"/>
  <c r="BB101" i="85"/>
  <c r="AZ101" i="85"/>
  <c r="BI100" i="85"/>
  <c r="BB100" i="85"/>
  <c r="AZ100" i="85"/>
  <c r="BI99" i="85"/>
  <c r="BB99" i="85"/>
  <c r="AZ99" i="85"/>
  <c r="BK98" i="85"/>
  <c r="BI98" i="85"/>
  <c r="BB98" i="85"/>
  <c r="AZ98" i="85"/>
  <c r="BI97" i="85"/>
  <c r="BB97" i="85"/>
  <c r="AZ97" i="85"/>
  <c r="BI96" i="85"/>
  <c r="BB96" i="85"/>
  <c r="AZ96" i="85"/>
  <c r="BI95" i="85"/>
  <c r="BB95" i="85"/>
  <c r="AZ95" i="85"/>
  <c r="BI94" i="85"/>
  <c r="BB94" i="85"/>
  <c r="AZ94" i="85"/>
  <c r="BI93" i="85"/>
  <c r="BI92" i="85"/>
  <c r="BK91" i="85"/>
  <c r="BI91" i="85"/>
  <c r="BI90" i="85"/>
  <c r="BI89" i="85"/>
  <c r="BB89" i="85"/>
  <c r="AZ89" i="85"/>
  <c r="BI88" i="85"/>
  <c r="BB88" i="85"/>
  <c r="AZ88" i="85"/>
  <c r="BI87" i="85"/>
  <c r="BI86" i="85"/>
  <c r="BB86" i="85"/>
  <c r="AZ86" i="85"/>
  <c r="AI86" i="85"/>
  <c r="AG86" i="85"/>
  <c r="AE86" i="85"/>
  <c r="AE80" i="85" s="1"/>
  <c r="AC86" i="85"/>
  <c r="AA86" i="85"/>
  <c r="Y86" i="85"/>
  <c r="W86" i="85"/>
  <c r="U86" i="85"/>
  <c r="S86" i="85"/>
  <c r="S82" i="85" s="1"/>
  <c r="Q86" i="85"/>
  <c r="O86" i="85"/>
  <c r="BK85" i="85"/>
  <c r="BI85" i="85"/>
  <c r="AW85" i="85"/>
  <c r="AV85" i="85"/>
  <c r="AW84" i="85"/>
  <c r="AV84" i="85"/>
  <c r="BB83" i="85"/>
  <c r="AZ83" i="85"/>
  <c r="AZ82" i="85"/>
  <c r="BB81" i="85"/>
  <c r="AZ81" i="85"/>
  <c r="AZ80" i="85"/>
  <c r="AZ79" i="85"/>
  <c r="AZ78" i="85"/>
  <c r="AZ77" i="85"/>
  <c r="AZ76" i="85"/>
  <c r="AZ75" i="85"/>
  <c r="BK74" i="85"/>
  <c r="BI74" i="85"/>
  <c r="AZ74" i="85"/>
  <c r="AZ73" i="85"/>
  <c r="BB72" i="85"/>
  <c r="AZ72" i="85"/>
  <c r="AZ71" i="85"/>
  <c r="AZ70" i="85"/>
  <c r="AZ69" i="85"/>
  <c r="BB68" i="85"/>
  <c r="AZ68" i="85"/>
  <c r="BI65" i="85"/>
  <c r="BI64" i="85"/>
  <c r="BI63" i="85"/>
  <c r="AZ63" i="85"/>
  <c r="BI62" i="85"/>
  <c r="AZ62" i="85"/>
  <c r="BI61" i="85"/>
  <c r="AZ61" i="85"/>
  <c r="BI60" i="85"/>
  <c r="AZ60" i="85"/>
  <c r="BI59" i="85"/>
  <c r="BB59" i="85"/>
  <c r="AZ59" i="85"/>
  <c r="BI58" i="85"/>
  <c r="AZ58" i="85"/>
  <c r="BK57" i="85"/>
  <c r="BI57" i="85"/>
  <c r="AZ57" i="85"/>
  <c r="BI56" i="85"/>
  <c r="AZ56" i="85"/>
  <c r="BI55" i="85"/>
  <c r="BB55" i="85"/>
  <c r="AZ55" i="85"/>
  <c r="BI54" i="85"/>
  <c r="AZ54" i="85"/>
  <c r="BI53" i="85"/>
  <c r="AZ53" i="85"/>
  <c r="BI52" i="85"/>
  <c r="AZ52" i="85"/>
  <c r="BI51" i="85"/>
  <c r="AZ51" i="85"/>
  <c r="BK50" i="85"/>
  <c r="BI50" i="85"/>
  <c r="AZ50" i="85"/>
  <c r="BB49" i="85"/>
  <c r="AZ49" i="85"/>
  <c r="BI44" i="85"/>
  <c r="BI43" i="85"/>
  <c r="BB43" i="85"/>
  <c r="AZ43" i="85"/>
  <c r="BI42" i="85"/>
  <c r="BI41" i="85"/>
  <c r="BK40" i="85"/>
  <c r="BI40" i="85"/>
  <c r="BF38" i="85"/>
  <c r="BE38" i="85"/>
  <c r="AZ38" i="85"/>
  <c r="BF37" i="85"/>
  <c r="BE37" i="85"/>
  <c r="AZ37" i="85"/>
  <c r="AZ36" i="85"/>
  <c r="AZ35" i="85"/>
  <c r="BK34" i="85"/>
  <c r="BI34" i="85"/>
  <c r="BB34" i="85"/>
  <c r="AZ34" i="85"/>
  <c r="AZ33" i="85"/>
  <c r="AZ32" i="85"/>
  <c r="AZ31" i="85"/>
  <c r="BB30" i="85"/>
  <c r="AZ30" i="85"/>
  <c r="AZ24" i="85"/>
  <c r="BI23" i="85"/>
  <c r="AZ23" i="85"/>
  <c r="AZ22" i="85"/>
  <c r="AZ21" i="85"/>
  <c r="BB20" i="85"/>
  <c r="AZ20" i="85"/>
  <c r="O17" i="85"/>
  <c r="J13" i="85"/>
  <c r="BI12" i="85"/>
  <c r="BI11" i="85"/>
  <c r="F11" i="85"/>
  <c r="BI10" i="85"/>
  <c r="F10" i="85"/>
  <c r="BI9" i="85"/>
  <c r="BI8" i="85"/>
  <c r="AZ8" i="85"/>
  <c r="F8" i="85"/>
  <c r="BI7" i="85"/>
  <c r="AZ7" i="85"/>
  <c r="F7" i="85"/>
  <c r="BI6" i="85"/>
  <c r="AZ6" i="85"/>
  <c r="BI5" i="85"/>
  <c r="AZ5" i="85"/>
  <c r="AY4" i="85"/>
  <c r="AY19" i="85" s="1"/>
  <c r="AY3" i="85"/>
  <c r="AY2" i="85"/>
  <c r="AY1" i="85"/>
  <c r="S82" i="86" l="1"/>
  <c r="AY46" i="86"/>
  <c r="AY45" i="86"/>
  <c r="AY44" i="86"/>
  <c r="AY40" i="86"/>
  <c r="AY64" i="86"/>
  <c r="AY42" i="86"/>
  <c r="AY39" i="86"/>
  <c r="AY67" i="86"/>
  <c r="AY65" i="86"/>
  <c r="AY47" i="86"/>
  <c r="AY41" i="86"/>
  <c r="AY66" i="86"/>
  <c r="AY65" i="87"/>
  <c r="AY64" i="87"/>
  <c r="AY47" i="87"/>
  <c r="AY46" i="87"/>
  <c r="AY67" i="87"/>
  <c r="AY45" i="87"/>
  <c r="AY44" i="87"/>
  <c r="AY66" i="87"/>
  <c r="AY42" i="87"/>
  <c r="AY40" i="87"/>
  <c r="AY41" i="87"/>
  <c r="AY39" i="87"/>
  <c r="AY11" i="86"/>
  <c r="BH18" i="86" s="1"/>
  <c r="AY64" i="85"/>
  <c r="AY46" i="85"/>
  <c r="AY45" i="85"/>
  <c r="AY66" i="85"/>
  <c r="AY44" i="85"/>
  <c r="BH75" i="85" s="1"/>
  <c r="AY39" i="85"/>
  <c r="AY42" i="85"/>
  <c r="AY67" i="85"/>
  <c r="AY47" i="85"/>
  <c r="AY41" i="85"/>
  <c r="BH70" i="85" s="1"/>
  <c r="AY40" i="85"/>
  <c r="AY65" i="85"/>
  <c r="AE82" i="86"/>
  <c r="AY107" i="86"/>
  <c r="AY110" i="86" s="1"/>
  <c r="BH158" i="86" s="1"/>
  <c r="AY10" i="86"/>
  <c r="BH15" i="86" s="1"/>
  <c r="AE82" i="85"/>
  <c r="BH143" i="87"/>
  <c r="AE81" i="87"/>
  <c r="AY112" i="87"/>
  <c r="AI81" i="87"/>
  <c r="U82" i="87"/>
  <c r="Q81" i="87"/>
  <c r="O81" i="87"/>
  <c r="AC81" i="87"/>
  <c r="S81" i="87"/>
  <c r="AG81" i="87"/>
  <c r="AZ11" i="87"/>
  <c r="BI22" i="87"/>
  <c r="AW101" i="87"/>
  <c r="BH38" i="87"/>
  <c r="AY19" i="87"/>
  <c r="AY18" i="87"/>
  <c r="AY16" i="87"/>
  <c r="AY17" i="87"/>
  <c r="AY15" i="87"/>
  <c r="BI19" i="87"/>
  <c r="AZ12" i="87"/>
  <c r="AZ26" i="87"/>
  <c r="BI18" i="87"/>
  <c r="BI20" i="87"/>
  <c r="AZ25" i="87"/>
  <c r="AU103" i="87"/>
  <c r="AU101" i="87"/>
  <c r="BI47" i="87"/>
  <c r="BI45" i="87"/>
  <c r="BH37" i="87"/>
  <c r="AZ28" i="87"/>
  <c r="BI49" i="87"/>
  <c r="BI48" i="87"/>
  <c r="AY48" i="87"/>
  <c r="AZ29" i="87"/>
  <c r="AZ27" i="87"/>
  <c r="BI46" i="87"/>
  <c r="BH35" i="87"/>
  <c r="BH36" i="87"/>
  <c r="AZ13" i="87"/>
  <c r="BI17" i="87"/>
  <c r="BH39" i="87"/>
  <c r="BI21" i="87"/>
  <c r="AY13" i="85"/>
  <c r="BH21" i="85" s="1"/>
  <c r="AY9" i="86"/>
  <c r="AU96" i="86"/>
  <c r="Q81" i="86"/>
  <c r="AC79" i="86"/>
  <c r="U79" i="86"/>
  <c r="Y81" i="86"/>
  <c r="AA79" i="86"/>
  <c r="Q79" i="86"/>
  <c r="BH47" i="86"/>
  <c r="BH45" i="86"/>
  <c r="BH37" i="86"/>
  <c r="AU98" i="86"/>
  <c r="AI81" i="86"/>
  <c r="S81" i="86"/>
  <c r="AE79" i="86"/>
  <c r="O79" i="86"/>
  <c r="BH49" i="86"/>
  <c r="BH48" i="86"/>
  <c r="BH39" i="86"/>
  <c r="AY91" i="86"/>
  <c r="AG81" i="86"/>
  <c r="O81" i="86"/>
  <c r="Y79" i="86"/>
  <c r="AY48" i="86"/>
  <c r="AE81" i="86"/>
  <c r="AI79" i="86"/>
  <c r="W79" i="86"/>
  <c r="BH46" i="86"/>
  <c r="BH35" i="86"/>
  <c r="BH36" i="86"/>
  <c r="AY18" i="86"/>
  <c r="S79" i="86"/>
  <c r="W81" i="86"/>
  <c r="AY12" i="86"/>
  <c r="AG79" i="86"/>
  <c r="BH17" i="86"/>
  <c r="BH22" i="86"/>
  <c r="BH21" i="86"/>
  <c r="AY17" i="86"/>
  <c r="AE80" i="86"/>
  <c r="O82" i="86"/>
  <c r="AG82" i="86"/>
  <c r="Q80" i="86"/>
  <c r="AG80" i="86"/>
  <c r="AW98" i="86"/>
  <c r="AC80" i="86"/>
  <c r="U80" i="86"/>
  <c r="Q82" i="86"/>
  <c r="AI80" i="86"/>
  <c r="Y80" i="86"/>
  <c r="O80" i="86"/>
  <c r="AW96" i="86"/>
  <c r="W82" i="86"/>
  <c r="W80" i="86"/>
  <c r="BH38" i="86"/>
  <c r="AY19" i="86"/>
  <c r="AY15" i="86"/>
  <c r="AY16" i="86"/>
  <c r="S80" i="86"/>
  <c r="Y82" i="86"/>
  <c r="AA82" i="86"/>
  <c r="AA81" i="86"/>
  <c r="AI82" i="86"/>
  <c r="AY93" i="86"/>
  <c r="U82" i="86"/>
  <c r="U81" i="86"/>
  <c r="AC82" i="86"/>
  <c r="AC81" i="86"/>
  <c r="BH32" i="85"/>
  <c r="BH33" i="85"/>
  <c r="AY15" i="85"/>
  <c r="BH35" i="85"/>
  <c r="Y81" i="85"/>
  <c r="O81" i="85"/>
  <c r="AI79" i="85"/>
  <c r="AA79" i="85"/>
  <c r="S79" i="85"/>
  <c r="AU98" i="85"/>
  <c r="AC79" i="85"/>
  <c r="Q79" i="85"/>
  <c r="AU96" i="85"/>
  <c r="W81" i="85"/>
  <c r="Y79" i="85"/>
  <c r="O79" i="85"/>
  <c r="AY91" i="85"/>
  <c r="Q81" i="85"/>
  <c r="AG79" i="85"/>
  <c r="BH48" i="85"/>
  <c r="AY48" i="85"/>
  <c r="BH46" i="85"/>
  <c r="BH45" i="85"/>
  <c r="BH39" i="85"/>
  <c r="AY11" i="85"/>
  <c r="AG81" i="85"/>
  <c r="AE79" i="85"/>
  <c r="BH47" i="85"/>
  <c r="AE81" i="85"/>
  <c r="W79" i="85"/>
  <c r="BH49" i="85"/>
  <c r="BH36" i="85"/>
  <c r="AY18" i="85"/>
  <c r="AY12" i="85"/>
  <c r="U79" i="85"/>
  <c r="S81" i="85"/>
  <c r="AY9" i="85"/>
  <c r="AY10" i="85"/>
  <c r="BH37" i="85"/>
  <c r="BH38" i="85"/>
  <c r="O80" i="85"/>
  <c r="AA82" i="85"/>
  <c r="AA81" i="85"/>
  <c r="AI82" i="85"/>
  <c r="AI81" i="85"/>
  <c r="AW98" i="85"/>
  <c r="AC80" i="85"/>
  <c r="U80" i="85"/>
  <c r="AW96" i="85"/>
  <c r="AY93" i="85"/>
  <c r="Y82" i="85"/>
  <c r="O82" i="85"/>
  <c r="AG80" i="85"/>
  <c r="W80" i="85"/>
  <c r="Y80" i="85"/>
  <c r="W82" i="85"/>
  <c r="AI80" i="85"/>
  <c r="S80" i="85"/>
  <c r="AY17" i="85"/>
  <c r="Q80" i="85"/>
  <c r="AG82" i="85"/>
  <c r="AY16" i="85"/>
  <c r="AA80" i="85"/>
  <c r="Q82" i="85"/>
  <c r="U82" i="85"/>
  <c r="U81" i="85"/>
  <c r="AC82" i="85"/>
  <c r="AC81" i="85"/>
  <c r="BK159" i="84"/>
  <c r="BI159" i="84"/>
  <c r="BK158" i="84"/>
  <c r="BI158" i="84"/>
  <c r="BK157" i="84"/>
  <c r="BI157" i="84"/>
  <c r="BB150" i="84"/>
  <c r="AZ150" i="84"/>
  <c r="BK148" i="84"/>
  <c r="BI148" i="84"/>
  <c r="BK144" i="84"/>
  <c r="BI144" i="84"/>
  <c r="BK141" i="84"/>
  <c r="BI141" i="84"/>
  <c r="BB141" i="84"/>
  <c r="AZ141" i="84"/>
  <c r="BK140" i="84"/>
  <c r="BI140" i="84"/>
  <c r="BB140" i="84"/>
  <c r="AZ140" i="84"/>
  <c r="BB139" i="84"/>
  <c r="AZ139" i="84"/>
  <c r="BK138" i="84"/>
  <c r="BI138" i="84"/>
  <c r="BB138" i="84"/>
  <c r="AZ138" i="84"/>
  <c r="BI137" i="84"/>
  <c r="BB137" i="84"/>
  <c r="AZ137" i="84"/>
  <c r="BK136" i="84"/>
  <c r="BI136" i="84"/>
  <c r="BB136" i="84"/>
  <c r="AZ136" i="84"/>
  <c r="BI135" i="84"/>
  <c r="BB135" i="84"/>
  <c r="AZ135" i="84"/>
  <c r="BI134" i="84"/>
  <c r="BB134" i="84"/>
  <c r="AZ134" i="84"/>
  <c r="BI133" i="84"/>
  <c r="BB133" i="84"/>
  <c r="AZ133" i="84"/>
  <c r="BI132" i="84"/>
  <c r="BB132" i="84"/>
  <c r="AZ132" i="84"/>
  <c r="BI131" i="84"/>
  <c r="BB131" i="84"/>
  <c r="AZ131" i="84"/>
  <c r="BI130" i="84"/>
  <c r="BB130" i="84"/>
  <c r="AZ130" i="84"/>
  <c r="BI129" i="84"/>
  <c r="BB129" i="84"/>
  <c r="AZ129" i="84"/>
  <c r="BI128" i="84"/>
  <c r="BB128" i="84"/>
  <c r="AZ128" i="84"/>
  <c r="BI127" i="84"/>
  <c r="BB127" i="84"/>
  <c r="AZ127" i="84"/>
  <c r="BI126" i="84"/>
  <c r="BB126" i="84"/>
  <c r="AZ126" i="84"/>
  <c r="BI125" i="84"/>
  <c r="BB125" i="84"/>
  <c r="AZ125" i="84"/>
  <c r="BI124" i="84"/>
  <c r="BB124" i="84"/>
  <c r="AZ124" i="84"/>
  <c r="BI123" i="84"/>
  <c r="BB123" i="84"/>
  <c r="AZ123" i="84"/>
  <c r="BI122" i="84"/>
  <c r="BB122" i="84"/>
  <c r="AZ122" i="84"/>
  <c r="BI121" i="84"/>
  <c r="BB121" i="84"/>
  <c r="AZ121" i="84"/>
  <c r="BI120" i="84"/>
  <c r="BB120" i="84"/>
  <c r="AZ120" i="84"/>
  <c r="BK119" i="84"/>
  <c r="BI119" i="84"/>
  <c r="BB119" i="84"/>
  <c r="AZ119" i="84"/>
  <c r="BI118" i="84"/>
  <c r="BB118" i="84"/>
  <c r="AZ118" i="84"/>
  <c r="BI117" i="84"/>
  <c r="BB117" i="84"/>
  <c r="AZ117" i="84"/>
  <c r="BI116" i="84"/>
  <c r="BB116" i="84"/>
  <c r="AZ116" i="84"/>
  <c r="BK115" i="84"/>
  <c r="BI115" i="84"/>
  <c r="BB115" i="84"/>
  <c r="AZ115" i="84"/>
  <c r="BB114" i="84"/>
  <c r="AZ114" i="84"/>
  <c r="BB113" i="84"/>
  <c r="AZ113" i="84"/>
  <c r="BB112" i="84"/>
  <c r="AZ112" i="84"/>
  <c r="BB111" i="84"/>
  <c r="AZ111" i="84"/>
  <c r="BB110" i="84"/>
  <c r="AZ110" i="84"/>
  <c r="BB109" i="84"/>
  <c r="AZ109" i="84"/>
  <c r="BB108" i="84"/>
  <c r="AZ108" i="84"/>
  <c r="BB107" i="84"/>
  <c r="AZ107" i="84"/>
  <c r="BI106" i="84"/>
  <c r="BB106" i="84"/>
  <c r="AZ106" i="84"/>
  <c r="BI105" i="84"/>
  <c r="BB105" i="84"/>
  <c r="AZ105" i="84"/>
  <c r="BI104" i="84"/>
  <c r="BB104" i="84"/>
  <c r="AZ104" i="84"/>
  <c r="BI103" i="84"/>
  <c r="BB103" i="84"/>
  <c r="AZ103" i="84"/>
  <c r="BI102" i="84"/>
  <c r="BB102" i="84"/>
  <c r="AZ102" i="84"/>
  <c r="BI101" i="84"/>
  <c r="BB101" i="84"/>
  <c r="AZ101" i="84"/>
  <c r="BI100" i="84"/>
  <c r="BB100" i="84"/>
  <c r="AZ100" i="84"/>
  <c r="BI99" i="84"/>
  <c r="BB99" i="84"/>
  <c r="AZ99" i="84"/>
  <c r="BK98" i="84"/>
  <c r="BI98" i="84"/>
  <c r="BB98" i="84"/>
  <c r="AZ98" i="84"/>
  <c r="BI97" i="84"/>
  <c r="BB97" i="84"/>
  <c r="AZ97" i="84"/>
  <c r="BI96" i="84"/>
  <c r="BB96" i="84"/>
  <c r="AZ96" i="84"/>
  <c r="BI95" i="84"/>
  <c r="BB95" i="84"/>
  <c r="AZ95" i="84"/>
  <c r="BI94" i="84"/>
  <c r="BB94" i="84"/>
  <c r="AZ94" i="84"/>
  <c r="BI93" i="84"/>
  <c r="BI92" i="84"/>
  <c r="BK91" i="84"/>
  <c r="BI91" i="84"/>
  <c r="BI90" i="84"/>
  <c r="BI89" i="84"/>
  <c r="BB89" i="84"/>
  <c r="AZ89" i="84"/>
  <c r="BI88" i="84"/>
  <c r="BB88" i="84"/>
  <c r="AZ88" i="84"/>
  <c r="BI87" i="84"/>
  <c r="BI86" i="84"/>
  <c r="BB86" i="84"/>
  <c r="AZ86" i="84"/>
  <c r="AI86" i="84"/>
  <c r="AG86" i="84"/>
  <c r="AE86" i="84"/>
  <c r="AC86" i="84"/>
  <c r="AA86" i="84"/>
  <c r="Y86" i="84"/>
  <c r="W86" i="84"/>
  <c r="U86" i="84"/>
  <c r="S86" i="84"/>
  <c r="S81" i="84" s="1"/>
  <c r="Q86" i="84"/>
  <c r="O86" i="84"/>
  <c r="O80" i="84" s="1"/>
  <c r="BK85" i="84"/>
  <c r="BI85" i="84"/>
  <c r="BB83" i="84"/>
  <c r="AZ83" i="84"/>
  <c r="AZ82" i="84"/>
  <c r="BB81" i="84"/>
  <c r="AZ81" i="84"/>
  <c r="AZ80" i="84"/>
  <c r="AZ79" i="84"/>
  <c r="AZ78" i="84"/>
  <c r="AZ77" i="84"/>
  <c r="AZ76" i="84"/>
  <c r="AZ75" i="84"/>
  <c r="BK74" i="84"/>
  <c r="BI74" i="84"/>
  <c r="AZ74" i="84"/>
  <c r="AZ73" i="84"/>
  <c r="BB72" i="84"/>
  <c r="AZ72" i="84"/>
  <c r="AZ71" i="84"/>
  <c r="AZ70" i="84"/>
  <c r="AZ69" i="84"/>
  <c r="BB68" i="84"/>
  <c r="AZ68" i="84"/>
  <c r="BI65" i="84"/>
  <c r="BI64" i="84"/>
  <c r="BI63" i="84"/>
  <c r="AZ63" i="84"/>
  <c r="BI62" i="84"/>
  <c r="AZ62" i="84"/>
  <c r="BI61" i="84"/>
  <c r="AZ61" i="84"/>
  <c r="BI60" i="84"/>
  <c r="AZ60" i="84"/>
  <c r="BI59" i="84"/>
  <c r="BB59" i="84"/>
  <c r="AZ59" i="84"/>
  <c r="BI58" i="84"/>
  <c r="AZ58" i="84"/>
  <c r="BK57" i="84"/>
  <c r="BI57" i="84"/>
  <c r="AZ57" i="84"/>
  <c r="BI56" i="84"/>
  <c r="AZ56" i="84"/>
  <c r="BI55" i="84"/>
  <c r="BB55" i="84"/>
  <c r="AZ55" i="84"/>
  <c r="BI54" i="84"/>
  <c r="AZ54" i="84"/>
  <c r="BI53" i="84"/>
  <c r="AZ53" i="84"/>
  <c r="BI52" i="84"/>
  <c r="AZ52" i="84"/>
  <c r="BI51" i="84"/>
  <c r="AZ51" i="84"/>
  <c r="BK50" i="84"/>
  <c r="BI50" i="84"/>
  <c r="AZ50" i="84"/>
  <c r="BB49" i="84"/>
  <c r="AZ49" i="84"/>
  <c r="BI44" i="84"/>
  <c r="BI43" i="84"/>
  <c r="BB43" i="84"/>
  <c r="AZ43" i="84"/>
  <c r="BI42" i="84"/>
  <c r="BI41" i="84"/>
  <c r="BK40" i="84"/>
  <c r="BI40" i="84"/>
  <c r="BF38" i="84"/>
  <c r="BE38" i="84"/>
  <c r="AZ38" i="84"/>
  <c r="BF37" i="84"/>
  <c r="BE37" i="84"/>
  <c r="AZ37" i="84"/>
  <c r="AZ36" i="84"/>
  <c r="AZ35" i="84"/>
  <c r="BK34" i="84"/>
  <c r="BI34" i="84"/>
  <c r="BB34" i="84"/>
  <c r="AZ34" i="84"/>
  <c r="AZ33" i="84"/>
  <c r="AZ32" i="84"/>
  <c r="AZ31" i="84"/>
  <c r="BB30" i="84"/>
  <c r="AZ30" i="84"/>
  <c r="AZ24" i="84"/>
  <c r="BI23" i="84"/>
  <c r="AZ23" i="84"/>
  <c r="AZ22" i="84"/>
  <c r="AZ21" i="84"/>
  <c r="BB20" i="84"/>
  <c r="AZ20" i="84"/>
  <c r="AY19" i="84"/>
  <c r="O17" i="84"/>
  <c r="AY13" i="84"/>
  <c r="J13" i="84"/>
  <c r="BI12" i="84"/>
  <c r="BI11" i="84"/>
  <c r="F11" i="84"/>
  <c r="BI10" i="84"/>
  <c r="F10" i="84"/>
  <c r="BI9" i="84"/>
  <c r="BI8" i="84"/>
  <c r="AZ8" i="84"/>
  <c r="F8" i="84"/>
  <c r="BI7" i="84"/>
  <c r="AZ7" i="84"/>
  <c r="F7" i="84"/>
  <c r="BI6" i="84"/>
  <c r="AZ6" i="84"/>
  <c r="BI5" i="84"/>
  <c r="AZ5" i="84"/>
  <c r="AY4" i="84"/>
  <c r="BH36" i="84" s="1"/>
  <c r="AY3" i="84"/>
  <c r="AY2" i="84"/>
  <c r="AY1" i="84"/>
  <c r="AY12" i="84" s="1"/>
  <c r="BI23" i="83"/>
  <c r="M90" i="4"/>
  <c r="O92" i="4" s="1"/>
  <c r="BK148" i="83"/>
  <c r="BK144" i="83"/>
  <c r="BK141" i="83"/>
  <c r="BK140" i="83"/>
  <c r="BK138" i="83"/>
  <c r="BK136" i="83"/>
  <c r="AE80" i="84" l="1"/>
  <c r="BH71" i="85"/>
  <c r="BH16" i="86"/>
  <c r="AY39" i="84"/>
  <c r="BH67" i="84" s="1"/>
  <c r="AY41" i="84"/>
  <c r="BH35" i="84"/>
  <c r="AY10" i="84"/>
  <c r="BH15" i="84" s="1"/>
  <c r="AY46" i="84"/>
  <c r="BH79" i="84" s="1"/>
  <c r="BH155" i="86"/>
  <c r="BH38" i="84"/>
  <c r="BH152" i="84" s="1"/>
  <c r="AY91" i="84"/>
  <c r="BH146" i="84" s="1"/>
  <c r="BH49" i="84"/>
  <c r="BH46" i="84"/>
  <c r="BH48" i="84"/>
  <c r="BH45" i="84"/>
  <c r="BH47" i="84"/>
  <c r="BH37" i="84"/>
  <c r="BH22" i="85"/>
  <c r="AA82" i="84"/>
  <c r="S82" i="84"/>
  <c r="BI16" i="87"/>
  <c r="AZ10" i="87"/>
  <c r="BH72" i="87"/>
  <c r="BH73" i="87"/>
  <c r="BH76" i="87"/>
  <c r="BH75" i="87"/>
  <c r="BH24" i="87"/>
  <c r="BH25" i="87"/>
  <c r="BH32" i="87"/>
  <c r="BH33" i="87"/>
  <c r="BH108" i="87"/>
  <c r="BH107" i="87"/>
  <c r="BH81" i="87"/>
  <c r="BH82" i="87"/>
  <c r="BH112" i="87"/>
  <c r="BH111" i="87"/>
  <c r="BH84" i="87"/>
  <c r="BH83" i="87"/>
  <c r="BH29" i="87"/>
  <c r="BH28" i="87"/>
  <c r="AW107" i="87"/>
  <c r="BH80" i="87"/>
  <c r="BH79" i="87"/>
  <c r="BH70" i="87"/>
  <c r="BH71" i="87"/>
  <c r="BH109" i="87"/>
  <c r="BH110" i="87"/>
  <c r="AU104" i="87"/>
  <c r="AU105" i="87" s="1"/>
  <c r="BH27" i="87"/>
  <c r="BH26" i="87"/>
  <c r="AW104" i="87"/>
  <c r="BH69" i="87"/>
  <c r="BH68" i="87"/>
  <c r="AY147" i="87"/>
  <c r="AZ9" i="87"/>
  <c r="AY151" i="87"/>
  <c r="BH67" i="87"/>
  <c r="BH66" i="87"/>
  <c r="BH114" i="87"/>
  <c r="BH113" i="87"/>
  <c r="BH155" i="87"/>
  <c r="BH158" i="87"/>
  <c r="AY115" i="87"/>
  <c r="AU107" i="87"/>
  <c r="AR88" i="87"/>
  <c r="BH77" i="87"/>
  <c r="BH78" i="87"/>
  <c r="BH31" i="87"/>
  <c r="BH30" i="87"/>
  <c r="BH76" i="85"/>
  <c r="BH24" i="86"/>
  <c r="BH25" i="86"/>
  <c r="AW102" i="86"/>
  <c r="AY92" i="86" s="1"/>
  <c r="BH71" i="86"/>
  <c r="BH70" i="86"/>
  <c r="BH108" i="86"/>
  <c r="BH107" i="86"/>
  <c r="BH152" i="86"/>
  <c r="BH33" i="86"/>
  <c r="BH32" i="86"/>
  <c r="AW99" i="86"/>
  <c r="AW100" i="86" s="1"/>
  <c r="BH29" i="86"/>
  <c r="BH28" i="86"/>
  <c r="BH80" i="86"/>
  <c r="BH79" i="86"/>
  <c r="AY146" i="86"/>
  <c r="BH67" i="86"/>
  <c r="BH66" i="86"/>
  <c r="BH109" i="86"/>
  <c r="BH110" i="86"/>
  <c r="BH83" i="86"/>
  <c r="BH84" i="86"/>
  <c r="BH145" i="86"/>
  <c r="BH146" i="86"/>
  <c r="AY142" i="86"/>
  <c r="BH14" i="86"/>
  <c r="BH13" i="86"/>
  <c r="BH147" i="86"/>
  <c r="BH69" i="86"/>
  <c r="BH68" i="86"/>
  <c r="BH19" i="86"/>
  <c r="BH20" i="86"/>
  <c r="BH77" i="86"/>
  <c r="BH78" i="86"/>
  <c r="BH72" i="86"/>
  <c r="BH73" i="86"/>
  <c r="BH76" i="86"/>
  <c r="BH75" i="86"/>
  <c r="AU102" i="86"/>
  <c r="AY90" i="86" s="1"/>
  <c r="AU99" i="86"/>
  <c r="AU100" i="86" s="1"/>
  <c r="BH27" i="86"/>
  <c r="BH26" i="86"/>
  <c r="BH31" i="86"/>
  <c r="BH30" i="86"/>
  <c r="BH113" i="86"/>
  <c r="BH114" i="86"/>
  <c r="BH81" i="86"/>
  <c r="BH82" i="86"/>
  <c r="BH112" i="86"/>
  <c r="BH111" i="86"/>
  <c r="BH26" i="85"/>
  <c r="BH27" i="85"/>
  <c r="AY142" i="85"/>
  <c r="BH13" i="85"/>
  <c r="BH14" i="85"/>
  <c r="AY146" i="85"/>
  <c r="BH66" i="85"/>
  <c r="BH67" i="85"/>
  <c r="BH107" i="85"/>
  <c r="BH108" i="85"/>
  <c r="BH82" i="85"/>
  <c r="BH81" i="85"/>
  <c r="BH17" i="85"/>
  <c r="BH18" i="85"/>
  <c r="BH147" i="85"/>
  <c r="AW102" i="85"/>
  <c r="BH152" i="85"/>
  <c r="BH19" i="85"/>
  <c r="BH20" i="85"/>
  <c r="BH30" i="85"/>
  <c r="BH31" i="85"/>
  <c r="BH109" i="85"/>
  <c r="BH110" i="85"/>
  <c r="BH79" i="85"/>
  <c r="BH80" i="85"/>
  <c r="BH114" i="85"/>
  <c r="BH113" i="85"/>
  <c r="BH83" i="85"/>
  <c r="BH84" i="85"/>
  <c r="BH145" i="85"/>
  <c r="BH146" i="85"/>
  <c r="AU99" i="85"/>
  <c r="AU100" i="85" s="1"/>
  <c r="AU102" i="85"/>
  <c r="AY90" i="85" s="1"/>
  <c r="AW99" i="85"/>
  <c r="AW100" i="85" s="1"/>
  <c r="AY92" i="85"/>
  <c r="BH16" i="85"/>
  <c r="BH15" i="85"/>
  <c r="BH111" i="85"/>
  <c r="BH112" i="85"/>
  <c r="BH68" i="85"/>
  <c r="BH69" i="85"/>
  <c r="BH25" i="85"/>
  <c r="BH24" i="85"/>
  <c r="BH28" i="85"/>
  <c r="BH29" i="85"/>
  <c r="BH72" i="85"/>
  <c r="BH73" i="85"/>
  <c r="BH78" i="85"/>
  <c r="BH77" i="85"/>
  <c r="BH66" i="84"/>
  <c r="AZ143" i="84"/>
  <c r="AZ145" i="84"/>
  <c r="AZ144" i="84"/>
  <c r="BH19" i="84"/>
  <c r="BH20" i="84"/>
  <c r="BH21" i="84"/>
  <c r="BH32" i="84"/>
  <c r="BH33" i="84"/>
  <c r="BH22" i="84"/>
  <c r="W79" i="84"/>
  <c r="AE81" i="84"/>
  <c r="AY18" i="84"/>
  <c r="AC79" i="84"/>
  <c r="Q80" i="84"/>
  <c r="Q81" i="84"/>
  <c r="AG81" i="84"/>
  <c r="AY66" i="84"/>
  <c r="AW98" i="84"/>
  <c r="AC80" i="84"/>
  <c r="U80" i="84"/>
  <c r="AW96" i="84"/>
  <c r="AY93" i="84"/>
  <c r="Y82" i="84"/>
  <c r="O82" i="84"/>
  <c r="AG80" i="84"/>
  <c r="W80" i="84"/>
  <c r="W82" i="84"/>
  <c r="AI80" i="84"/>
  <c r="S80" i="84"/>
  <c r="AY17" i="84"/>
  <c r="Q79" i="84"/>
  <c r="AE79" i="84"/>
  <c r="Y80" i="84"/>
  <c r="AE82" i="84"/>
  <c r="BH71" i="84"/>
  <c r="BH70" i="84"/>
  <c r="AU98" i="84"/>
  <c r="Y81" i="84"/>
  <c r="O81" i="84"/>
  <c r="AI79" i="84"/>
  <c r="AA79" i="84"/>
  <c r="S79" i="84"/>
  <c r="W81" i="84"/>
  <c r="Y79" i="84"/>
  <c r="O79" i="84"/>
  <c r="AU96" i="84"/>
  <c r="AY67" i="84"/>
  <c r="AY47" i="84"/>
  <c r="AY45" i="84"/>
  <c r="AY40" i="84"/>
  <c r="AY64" i="84"/>
  <c r="AY44" i="84"/>
  <c r="AY9" i="84"/>
  <c r="AY15" i="84"/>
  <c r="AY11" i="84"/>
  <c r="AY16" i="84"/>
  <c r="BH39" i="84"/>
  <c r="AY42" i="84"/>
  <c r="AY48" i="84"/>
  <c r="AY65" i="84"/>
  <c r="U79" i="84"/>
  <c r="AG79" i="84"/>
  <c r="AA80" i="84"/>
  <c r="AA81" i="84"/>
  <c r="Q82" i="84"/>
  <c r="AG82" i="84"/>
  <c r="AI82" i="84"/>
  <c r="AI81" i="84"/>
  <c r="U82" i="84"/>
  <c r="U81" i="84"/>
  <c r="AC82" i="84"/>
  <c r="AC81" i="84"/>
  <c r="BH80" i="84" l="1"/>
  <c r="BH16" i="84"/>
  <c r="AY89" i="87"/>
  <c r="BH142" i="87" s="1"/>
  <c r="AW105" i="87"/>
  <c r="AU110" i="87" s="1"/>
  <c r="BI15" i="87"/>
  <c r="BH154" i="87"/>
  <c r="BI13" i="87"/>
  <c r="BH152" i="87"/>
  <c r="BH161" i="87"/>
  <c r="BH156" i="87"/>
  <c r="BI14" i="87"/>
  <c r="AY146" i="84"/>
  <c r="AR88" i="86"/>
  <c r="AR88" i="85"/>
  <c r="BH142" i="86"/>
  <c r="BH143" i="86"/>
  <c r="BH149" i="86"/>
  <c r="BH153" i="86"/>
  <c r="BH151" i="86"/>
  <c r="BH142" i="85"/>
  <c r="BH151" i="85"/>
  <c r="BH149" i="85"/>
  <c r="BH143" i="85"/>
  <c r="BH153" i="85"/>
  <c r="BH83" i="84"/>
  <c r="BH84" i="84"/>
  <c r="BH68" i="84"/>
  <c r="BH69" i="84"/>
  <c r="AU102" i="84"/>
  <c r="BH29" i="84"/>
  <c r="BH28" i="84"/>
  <c r="BH147" i="84"/>
  <c r="AW102" i="84"/>
  <c r="AY92" i="84" s="1"/>
  <c r="BH27" i="84"/>
  <c r="BH26" i="84"/>
  <c r="AY142" i="84"/>
  <c r="BH13" i="84"/>
  <c r="BH14" i="84"/>
  <c r="BH78" i="84"/>
  <c r="BH77" i="84"/>
  <c r="AY90" i="84"/>
  <c r="AU99" i="84"/>
  <c r="AU100" i="84" s="1"/>
  <c r="AW99" i="84"/>
  <c r="AW100" i="84" s="1"/>
  <c r="BH109" i="84"/>
  <c r="BH110" i="84"/>
  <c r="BH17" i="84"/>
  <c r="BH18" i="84"/>
  <c r="BH76" i="84"/>
  <c r="BH75" i="84"/>
  <c r="BH82" i="84"/>
  <c r="BH81" i="84"/>
  <c r="BH111" i="84"/>
  <c r="BH112" i="84"/>
  <c r="BH145" i="84"/>
  <c r="BH73" i="84"/>
  <c r="BH72" i="84"/>
  <c r="BH25" i="84"/>
  <c r="BH24" i="84"/>
  <c r="BH107" i="84"/>
  <c r="BH108" i="84"/>
  <c r="BH114" i="84"/>
  <c r="BH113" i="84"/>
  <c r="BH30" i="84"/>
  <c r="BH31" i="84"/>
  <c r="BF38" i="83"/>
  <c r="BE38" i="83"/>
  <c r="BF37" i="83"/>
  <c r="BE37" i="83"/>
  <c r="AY4" i="83"/>
  <c r="AY3" i="83"/>
  <c r="AY2" i="83"/>
  <c r="AY1" i="83"/>
  <c r="BH151" i="84" l="1"/>
  <c r="AR88" i="84"/>
  <c r="BH143" i="84"/>
  <c r="BH149" i="84"/>
  <c r="BH153" i="84"/>
  <c r="BH142" i="84"/>
  <c r="BH49" i="83"/>
  <c r="BH45" i="83"/>
  <c r="BH46" i="83"/>
  <c r="BH48" i="83"/>
  <c r="BH47" i="83"/>
  <c r="BH35" i="83"/>
  <c r="BH38" i="83"/>
  <c r="AW98" i="83"/>
  <c r="AW96" i="83"/>
  <c r="BH36" i="83"/>
  <c r="BH39" i="83"/>
  <c r="BH37" i="83"/>
  <c r="AU96" i="83"/>
  <c r="AU98" i="83"/>
  <c r="AY91" i="83"/>
  <c r="BH146" i="83" s="1"/>
  <c r="AY93" i="83"/>
  <c r="BH147" i="83" s="1"/>
  <c r="AY40" i="83"/>
  <c r="AY66" i="83"/>
  <c r="AY48" i="83"/>
  <c r="AY47" i="83"/>
  <c r="AY41" i="83"/>
  <c r="AY67" i="83"/>
  <c r="AY45" i="83"/>
  <c r="AY42" i="83"/>
  <c r="AY65" i="83"/>
  <c r="AY46" i="83"/>
  <c r="AY39" i="83"/>
  <c r="AY64" i="83"/>
  <c r="AY44" i="83"/>
  <c r="AY11" i="83"/>
  <c r="AY19" i="83"/>
  <c r="BH33" i="83" s="1"/>
  <c r="AY13" i="83"/>
  <c r="AY16" i="83"/>
  <c r="BH27" i="83" s="1"/>
  <c r="AY12" i="83"/>
  <c r="AY9" i="83"/>
  <c r="AY17" i="83"/>
  <c r="BH29" i="83" s="1"/>
  <c r="AY18" i="83"/>
  <c r="AY15" i="83"/>
  <c r="BH25" i="83" s="1"/>
  <c r="AY10" i="83"/>
  <c r="BH152" i="83" l="1"/>
  <c r="BH145" i="83"/>
  <c r="AY142" i="83"/>
  <c r="AW99" i="83"/>
  <c r="AW100" i="83" s="1"/>
  <c r="BH26" i="83"/>
  <c r="BH32" i="83"/>
  <c r="BH24" i="83"/>
  <c r="BH28" i="83"/>
  <c r="BH30" i="83"/>
  <c r="BH31" i="83"/>
  <c r="BK159" i="83"/>
  <c r="BI159" i="83"/>
  <c r="BK158" i="83"/>
  <c r="BI158" i="83"/>
  <c r="BK157" i="83"/>
  <c r="BI157" i="83"/>
  <c r="BB150" i="83"/>
  <c r="AZ150" i="83"/>
  <c r="BI148" i="83"/>
  <c r="BB141" i="83"/>
  <c r="AZ141" i="83"/>
  <c r="BB140" i="83"/>
  <c r="AZ140" i="83"/>
  <c r="BB139" i="83"/>
  <c r="AZ139" i="83"/>
  <c r="BI144" i="83"/>
  <c r="BB138" i="83"/>
  <c r="AZ138" i="83"/>
  <c r="BB137" i="83"/>
  <c r="AZ137" i="83"/>
  <c r="BI141" i="83"/>
  <c r="BB136" i="83"/>
  <c r="AZ136" i="83"/>
  <c r="BI140" i="83"/>
  <c r="BB135" i="83"/>
  <c r="AZ135" i="83"/>
  <c r="BB134" i="83"/>
  <c r="AZ134" i="83"/>
  <c r="BI138" i="83"/>
  <c r="BB133" i="83"/>
  <c r="AZ133" i="83"/>
  <c r="BB132" i="83"/>
  <c r="AZ132" i="83"/>
  <c r="BI136" i="83"/>
  <c r="BB131" i="83"/>
  <c r="AZ131" i="83"/>
  <c r="BB130" i="83"/>
  <c r="AZ130" i="83"/>
  <c r="BB129" i="83"/>
  <c r="AZ129" i="83"/>
  <c r="BB128" i="83"/>
  <c r="AZ128" i="83"/>
  <c r="BB127" i="83"/>
  <c r="AZ127" i="83"/>
  <c r="BB126" i="83"/>
  <c r="AZ126" i="83"/>
  <c r="BB125" i="83"/>
  <c r="AZ125" i="83"/>
  <c r="BB124" i="83"/>
  <c r="AZ124" i="83"/>
  <c r="BB123" i="83"/>
  <c r="AZ123" i="83"/>
  <c r="BB122" i="83"/>
  <c r="AZ122" i="83"/>
  <c r="BB121" i="83"/>
  <c r="AZ121" i="83"/>
  <c r="BB120" i="83"/>
  <c r="AZ120" i="83"/>
  <c r="BB119" i="83"/>
  <c r="AZ119" i="83"/>
  <c r="BB118" i="83"/>
  <c r="AZ118" i="83"/>
  <c r="BB117" i="83"/>
  <c r="AZ117" i="83"/>
  <c r="BB116" i="83"/>
  <c r="AZ116" i="83"/>
  <c r="BB115" i="83"/>
  <c r="AZ115" i="83"/>
  <c r="BK119" i="83"/>
  <c r="BI119" i="83"/>
  <c r="BB114" i="83"/>
  <c r="AZ114" i="83"/>
  <c r="BB113" i="83"/>
  <c r="AZ113" i="83"/>
  <c r="BB112" i="83"/>
  <c r="AZ112" i="83"/>
  <c r="BB111" i="83"/>
  <c r="AZ111" i="83"/>
  <c r="BK115" i="83"/>
  <c r="BI115" i="83"/>
  <c r="BB110" i="83"/>
  <c r="AZ110" i="83"/>
  <c r="BB109" i="83"/>
  <c r="AZ109" i="83"/>
  <c r="BB108" i="83"/>
  <c r="AZ108" i="83"/>
  <c r="BB107" i="83"/>
  <c r="AZ107" i="83"/>
  <c r="BB106" i="83"/>
  <c r="AZ106" i="83"/>
  <c r="BB105" i="83"/>
  <c r="AZ105" i="83"/>
  <c r="BB104" i="83"/>
  <c r="AZ104" i="83"/>
  <c r="BB103" i="83"/>
  <c r="AZ103" i="83"/>
  <c r="BB102" i="83"/>
  <c r="AZ102" i="83"/>
  <c r="BB101" i="83"/>
  <c r="AZ101" i="83"/>
  <c r="BB100" i="83"/>
  <c r="AZ100" i="83"/>
  <c r="BB99" i="83"/>
  <c r="AZ99" i="83"/>
  <c r="BB98" i="83"/>
  <c r="AZ98" i="83"/>
  <c r="BB97" i="83"/>
  <c r="AZ97" i="83"/>
  <c r="BB96" i="83"/>
  <c r="AZ96" i="83"/>
  <c r="BB95" i="83"/>
  <c r="AZ95" i="83"/>
  <c r="BB94" i="83"/>
  <c r="AZ94" i="83"/>
  <c r="AI86" i="83"/>
  <c r="AG86" i="83"/>
  <c r="AE86" i="83"/>
  <c r="AC86" i="83"/>
  <c r="AA86" i="83"/>
  <c r="Y86" i="83"/>
  <c r="W86" i="83"/>
  <c r="U86" i="83"/>
  <c r="S86" i="83"/>
  <c r="Q86" i="83"/>
  <c r="O86" i="83"/>
  <c r="BK98" i="83"/>
  <c r="BI98" i="83"/>
  <c r="BB89" i="83"/>
  <c r="AZ89" i="83"/>
  <c r="BB88" i="83"/>
  <c r="AZ88" i="83"/>
  <c r="BB86" i="83"/>
  <c r="AZ86" i="83"/>
  <c r="BK91" i="83"/>
  <c r="BI91" i="83"/>
  <c r="BB83" i="83"/>
  <c r="AZ83" i="83"/>
  <c r="BB81" i="83"/>
  <c r="AZ81" i="83"/>
  <c r="BK85" i="83"/>
  <c r="BI85" i="83"/>
  <c r="BB72" i="83"/>
  <c r="AZ72" i="83"/>
  <c r="BB68" i="83"/>
  <c r="AZ68" i="83"/>
  <c r="BK74" i="83"/>
  <c r="BI74" i="83"/>
  <c r="BH111" i="83"/>
  <c r="BH107" i="83"/>
  <c r="BB59" i="83"/>
  <c r="AZ59" i="83"/>
  <c r="BB55" i="83"/>
  <c r="AZ55" i="83"/>
  <c r="BK57" i="83"/>
  <c r="BI57" i="83"/>
  <c r="BB49" i="83"/>
  <c r="AZ49" i="83"/>
  <c r="BH81" i="83"/>
  <c r="BB43" i="83"/>
  <c r="AZ43" i="83"/>
  <c r="BK50" i="83"/>
  <c r="BI50" i="83"/>
  <c r="BH72" i="83"/>
  <c r="BH69" i="83"/>
  <c r="BH67" i="83"/>
  <c r="BI62" i="83"/>
  <c r="BI60" i="83"/>
  <c r="BI43" i="83"/>
  <c r="BB34" i="83"/>
  <c r="AZ34" i="83"/>
  <c r="BK40" i="83"/>
  <c r="BI40" i="83"/>
  <c r="AZ31" i="83"/>
  <c r="BB30" i="83"/>
  <c r="AZ30" i="83"/>
  <c r="BK34" i="83"/>
  <c r="BI34" i="83"/>
  <c r="O17" i="83"/>
  <c r="BB20" i="83"/>
  <c r="AZ20" i="83"/>
  <c r="BH21" i="83"/>
  <c r="J13" i="83"/>
  <c r="BH20" i="83"/>
  <c r="BH17" i="83"/>
  <c r="F11" i="83"/>
  <c r="F10" i="83"/>
  <c r="BH13" i="83"/>
  <c r="F8" i="83"/>
  <c r="BI10" i="83"/>
  <c r="F7" i="83"/>
  <c r="O82" i="83" l="1"/>
  <c r="O81" i="83"/>
  <c r="W82" i="83"/>
  <c r="W81" i="83"/>
  <c r="AE82" i="83"/>
  <c r="AE81" i="83"/>
  <c r="Q82" i="83"/>
  <c r="Q81" i="83"/>
  <c r="Y82" i="83"/>
  <c r="Y81" i="83"/>
  <c r="AG82" i="83"/>
  <c r="AG81" i="83"/>
  <c r="S81" i="83"/>
  <c r="S82" i="83"/>
  <c r="AA81" i="83"/>
  <c r="AA82" i="83"/>
  <c r="AI81" i="83"/>
  <c r="AI82" i="83"/>
  <c r="U81" i="83"/>
  <c r="U82" i="83"/>
  <c r="AC81" i="83"/>
  <c r="AC82" i="83"/>
  <c r="S79" i="83"/>
  <c r="S80" i="83"/>
  <c r="AA79" i="83"/>
  <c r="AA80" i="83"/>
  <c r="AI80" i="83"/>
  <c r="AI79" i="83"/>
  <c r="U79" i="83"/>
  <c r="U80" i="83"/>
  <c r="AC79" i="83"/>
  <c r="AC80" i="83"/>
  <c r="O80" i="83"/>
  <c r="O79" i="83"/>
  <c r="W80" i="83"/>
  <c r="W79" i="83"/>
  <c r="AE79" i="83"/>
  <c r="AE80" i="83"/>
  <c r="Q80" i="83"/>
  <c r="Q79" i="83"/>
  <c r="Y80" i="83"/>
  <c r="Y79" i="83"/>
  <c r="AG80" i="83"/>
  <c r="AG79" i="83"/>
  <c r="BH68" i="83"/>
  <c r="BH14" i="83"/>
  <c r="BH73" i="83"/>
  <c r="BI65" i="83"/>
  <c r="BH18" i="83"/>
  <c r="BH16" i="83"/>
  <c r="BH15" i="83"/>
  <c r="AU99" i="83"/>
  <c r="AZ62" i="83"/>
  <c r="BI9" i="83"/>
  <c r="BI6" i="83"/>
  <c r="BI7" i="83"/>
  <c r="BI5" i="83"/>
  <c r="BI11" i="83"/>
  <c r="BI86" i="83"/>
  <c r="AZ57" i="83"/>
  <c r="BI102" i="83"/>
  <c r="AZ61" i="83"/>
  <c r="BI12" i="83"/>
  <c r="AZ37" i="83"/>
  <c r="BH77" i="83"/>
  <c r="BH78" i="83"/>
  <c r="BI90" i="83"/>
  <c r="BI135" i="83"/>
  <c r="AZ8" i="83"/>
  <c r="BH22" i="83"/>
  <c r="BI58" i="83"/>
  <c r="AZ35" i="83"/>
  <c r="AZ36" i="83"/>
  <c r="AZ38" i="83"/>
  <c r="BI54" i="83"/>
  <c r="AZ50" i="83"/>
  <c r="BI59" i="83"/>
  <c r="AZ54" i="83"/>
  <c r="BH66" i="83"/>
  <c r="BH82" i="83"/>
  <c r="AZ73" i="83"/>
  <c r="AZ79" i="83"/>
  <c r="AZ78" i="83"/>
  <c r="AZ76" i="83"/>
  <c r="AZ74" i="83"/>
  <c r="BI116" i="83"/>
  <c r="AZ80" i="83"/>
  <c r="AZ69" i="83"/>
  <c r="AZ21" i="83"/>
  <c r="AY146" i="83"/>
  <c r="BI51" i="83"/>
  <c r="AZ56" i="83"/>
  <c r="AZ71" i="83"/>
  <c r="BI8" i="83"/>
  <c r="BI44" i="83"/>
  <c r="BH75" i="83"/>
  <c r="BH76" i="83"/>
  <c r="BI53" i="83"/>
  <c r="BH84" i="83"/>
  <c r="BI88" i="83"/>
  <c r="BI89" i="83"/>
  <c r="AZ53" i="83"/>
  <c r="BI63" i="83"/>
  <c r="BH70" i="83"/>
  <c r="BH83" i="83"/>
  <c r="AZ32" i="83"/>
  <c r="BI55" i="83"/>
  <c r="AZ33" i="83"/>
  <c r="BH80" i="83"/>
  <c r="BH79" i="83"/>
  <c r="BI87" i="83"/>
  <c r="AZ51" i="83"/>
  <c r="AZ63" i="83"/>
  <c r="AZ6" i="83"/>
  <c r="AZ7" i="83"/>
  <c r="AZ23" i="83"/>
  <c r="BI41" i="83"/>
  <c r="AZ5" i="83"/>
  <c r="AZ22" i="83"/>
  <c r="AZ24" i="83"/>
  <c r="BH19" i="83"/>
  <c r="BI42" i="83"/>
  <c r="BI52" i="83"/>
  <c r="BI56" i="83"/>
  <c r="AZ52" i="83"/>
  <c r="BI61" i="83"/>
  <c r="BI93" i="83"/>
  <c r="BI95" i="83"/>
  <c r="BI94" i="83"/>
  <c r="AZ58" i="83"/>
  <c r="BI99" i="83"/>
  <c r="AZ60" i="83"/>
  <c r="BI105" i="83"/>
  <c r="BH71" i="83"/>
  <c r="BI117" i="83"/>
  <c r="AZ70" i="83"/>
  <c r="BI96" i="83"/>
  <c r="BI97" i="83"/>
  <c r="BH114" i="83"/>
  <c r="BH113" i="83"/>
  <c r="BI123" i="83"/>
  <c r="BI126" i="83"/>
  <c r="BI129" i="83"/>
  <c r="BI128" i="83"/>
  <c r="AZ77" i="83"/>
  <c r="BI131" i="83"/>
  <c r="BI133" i="83"/>
  <c r="BI132" i="83"/>
  <c r="BI137" i="83"/>
  <c r="AZ82" i="83"/>
  <c r="BH110" i="83"/>
  <c r="BH109" i="83"/>
  <c r="BI121" i="83"/>
  <c r="BI120" i="83"/>
  <c r="BI118" i="83"/>
  <c r="BI125" i="83"/>
  <c r="BI124" i="83"/>
  <c r="AZ75" i="83"/>
  <c r="BI92" i="83"/>
  <c r="BI103" i="83"/>
  <c r="BI104" i="83"/>
  <c r="BH108" i="83"/>
  <c r="BH112" i="83"/>
  <c r="BI122" i="83"/>
  <c r="BI130" i="83"/>
  <c r="BI134" i="83"/>
  <c r="N192" i="2"/>
  <c r="F192" i="2" s="1"/>
  <c r="BH151" i="83" l="1"/>
  <c r="AU102" i="83"/>
  <c r="AY90" i="83" s="1"/>
  <c r="AW102" i="83"/>
  <c r="AY92" i="83" s="1"/>
  <c r="BH143" i="83" s="1"/>
  <c r="AU100" i="83"/>
  <c r="AR88" i="83" s="1"/>
  <c r="BI106" i="83"/>
  <c r="BI100" i="83"/>
  <c r="BI127" i="83"/>
  <c r="BH149" i="83"/>
  <c r="BH153" i="83"/>
  <c r="BI64" i="83"/>
  <c r="BI101" i="83"/>
  <c r="E212" i="3"/>
  <c r="E211" i="3"/>
  <c r="E210" i="3"/>
  <c r="E209" i="3"/>
  <c r="E208" i="3"/>
  <c r="C387" i="2" s="1"/>
  <c r="E207" i="3"/>
  <c r="F383" i="2" s="1"/>
  <c r="BH142" i="83" l="1"/>
  <c r="E13" i="3"/>
  <c r="B2" i="87" l="1"/>
  <c r="B67" i="85"/>
  <c r="B67" i="87"/>
  <c r="B2" i="86"/>
  <c r="B2" i="85"/>
  <c r="B67" i="86"/>
  <c r="B67" i="84"/>
  <c r="B2" i="84"/>
  <c r="B2" i="83"/>
  <c r="B67" i="83"/>
  <c r="Q7" i="2"/>
  <c r="T7" i="2"/>
  <c r="Y7" i="2"/>
  <c r="Y8" i="2"/>
  <c r="Y9" i="2"/>
  <c r="Y10" i="2"/>
  <c r="N208" i="2"/>
  <c r="F208" i="2" s="1"/>
  <c r="I208" i="2" s="1"/>
  <c r="N289" i="2"/>
  <c r="F289" i="2" s="1"/>
  <c r="I289" i="2" s="1"/>
  <c r="N290" i="2"/>
  <c r="F290" i="2" s="1"/>
  <c r="I290" i="2" s="1"/>
  <c r="N291" i="2"/>
  <c r="F291" i="2" s="1"/>
  <c r="I291" i="2" s="1"/>
  <c r="N292" i="2"/>
  <c r="F292" i="2" s="1"/>
  <c r="I292" i="2" s="1"/>
  <c r="N359" i="2"/>
  <c r="N366" i="2"/>
  <c r="N368" i="2"/>
  <c r="N369" i="2"/>
  <c r="N371" i="2"/>
  <c r="N372" i="2"/>
  <c r="N373" i="2"/>
  <c r="N374" i="2"/>
  <c r="N375" i="2"/>
  <c r="N376" i="2"/>
  <c r="N377" i="2"/>
  <c r="N378" i="2"/>
  <c r="N379" i="2"/>
  <c r="N380" i="2"/>
  <c r="N381" i="2"/>
  <c r="B365" i="2"/>
  <c r="B364" i="2"/>
  <c r="AU130" i="67" s="1"/>
  <c r="AV130" i="67" s="1"/>
  <c r="B363" i="2"/>
  <c r="AU109" i="76" s="1"/>
  <c r="B362" i="2"/>
  <c r="AU128" i="1" s="1"/>
  <c r="AV128" i="1" s="1"/>
  <c r="B361" i="2"/>
  <c r="AU104" i="78" s="1"/>
  <c r="B360" i="2"/>
  <c r="D360" i="2" s="1"/>
  <c r="E364" i="2"/>
  <c r="BD105" i="68"/>
  <c r="BF105" i="68" s="1"/>
  <c r="BD130" i="1"/>
  <c r="AU127" i="71"/>
  <c r="AW127" i="71" s="1"/>
  <c r="AU103" i="69"/>
  <c r="AV103" i="69" s="1"/>
  <c r="AU73" i="77"/>
  <c r="AW73" i="77" s="1"/>
  <c r="BD137" i="70"/>
  <c r="BE137" i="70" s="1"/>
  <c r="AU128" i="71"/>
  <c r="AU110" i="76"/>
  <c r="AW110" i="76" s="1"/>
  <c r="BD109" i="76"/>
  <c r="BE109" i="76" s="1"/>
  <c r="AU116" i="75"/>
  <c r="AW116" i="75" s="1"/>
  <c r="AU105" i="78"/>
  <c r="AW105" i="78" s="1"/>
  <c r="AU91" i="80"/>
  <c r="AU85" i="81"/>
  <c r="AW85" i="81" s="1"/>
  <c r="AU73" i="82"/>
  <c r="AV73" i="82" s="1"/>
  <c r="BD72" i="77"/>
  <c r="BF72" i="77" s="1"/>
  <c r="BD102" i="69"/>
  <c r="BF102" i="69" s="1"/>
  <c r="BD134" i="71"/>
  <c r="BE134" i="71" s="1"/>
  <c r="BD108" i="76"/>
  <c r="BE108" i="76" s="1"/>
  <c r="BD114" i="75"/>
  <c r="BD89" i="80"/>
  <c r="BE89" i="80" s="1"/>
  <c r="BD71" i="82"/>
  <c r="BE71" i="82" s="1"/>
  <c r="C360" i="2"/>
  <c r="L360" i="2"/>
  <c r="AU70" i="77"/>
  <c r="AU74" i="77"/>
  <c r="AW74" i="77" s="1"/>
  <c r="AU129" i="1"/>
  <c r="AV129" i="1" s="1"/>
  <c r="BD70" i="77"/>
  <c r="BD74" i="77"/>
  <c r="BE74" i="77" s="1"/>
  <c r="BD128" i="66"/>
  <c r="BE128" i="66" s="1"/>
  <c r="BD130" i="67"/>
  <c r="BD103" i="68"/>
  <c r="BF103" i="68" s="1"/>
  <c r="BD104" i="69"/>
  <c r="BF104" i="69" s="1"/>
  <c r="AU135" i="70"/>
  <c r="AW135" i="70" s="1"/>
  <c r="BD134" i="70"/>
  <c r="BD136" i="71"/>
  <c r="BE136" i="71" s="1"/>
  <c r="AU135" i="73"/>
  <c r="AV135" i="73" s="1"/>
  <c r="BD134" i="73"/>
  <c r="BE134" i="73" s="1"/>
  <c r="BD110" i="76"/>
  <c r="BD140" i="74"/>
  <c r="BF140" i="74" s="1"/>
  <c r="BD116" i="75"/>
  <c r="BE116" i="75" s="1"/>
  <c r="BD105" i="78"/>
  <c r="BF105" i="78" s="1"/>
  <c r="BD91" i="80"/>
  <c r="AU86" i="81"/>
  <c r="AV86" i="81" s="1"/>
  <c r="BD85" i="81"/>
  <c r="BF85" i="81" s="1"/>
  <c r="BD73" i="82"/>
  <c r="BE73" i="82" s="1"/>
  <c r="AU72" i="77"/>
  <c r="E360" i="2"/>
  <c r="C362" i="2"/>
  <c r="L363" i="2"/>
  <c r="AU130" i="1"/>
  <c r="BD129" i="1"/>
  <c r="BE129" i="1" s="1"/>
  <c r="AU122" i="66"/>
  <c r="AV122" i="66" s="1"/>
  <c r="BD129" i="66"/>
  <c r="BE129" i="66" s="1"/>
  <c r="AU128" i="67"/>
  <c r="BD131" i="67"/>
  <c r="AU105" i="68"/>
  <c r="AV105" i="68" s="1"/>
  <c r="BD104" i="68"/>
  <c r="BF104" i="68" s="1"/>
  <c r="AU102" i="69"/>
  <c r="BD101" i="69"/>
  <c r="AU136" i="70"/>
  <c r="AV136" i="70" s="1"/>
  <c r="BD135" i="70"/>
  <c r="BE135" i="70" s="1"/>
  <c r="AU126" i="71"/>
  <c r="AU136" i="73"/>
  <c r="BD135" i="73"/>
  <c r="BF135" i="73" s="1"/>
  <c r="AU108" i="76"/>
  <c r="AV108" i="76" s="1"/>
  <c r="AU142" i="74"/>
  <c r="BD141" i="74"/>
  <c r="BF141" i="74" s="1"/>
  <c r="AU114" i="75"/>
  <c r="AV114" i="75" s="1"/>
  <c r="AU107" i="78"/>
  <c r="AV107" i="78" s="1"/>
  <c r="BD106" i="78"/>
  <c r="AU89" i="80"/>
  <c r="AV89" i="80" s="1"/>
  <c r="AU87" i="81"/>
  <c r="AW87" i="81" s="1"/>
  <c r="BD86" i="81"/>
  <c r="BF86" i="81" s="1"/>
  <c r="AU71" i="82"/>
  <c r="E362" i="2"/>
  <c r="K362" i="2"/>
  <c r="D363" i="2"/>
  <c r="C364" i="2"/>
  <c r="D362" i="2"/>
  <c r="E363" i="2"/>
  <c r="D364" i="2"/>
  <c r="K364" i="2"/>
  <c r="L364" i="2"/>
  <c r="BH74" i="77"/>
  <c r="BH73" i="82"/>
  <c r="AZ75" i="82"/>
  <c r="BB75" i="82"/>
  <c r="AZ76" i="82"/>
  <c r="BB76" i="82"/>
  <c r="AZ77" i="82"/>
  <c r="BB77" i="82"/>
  <c r="AZ78" i="82"/>
  <c r="BB78" i="82"/>
  <c r="BH87" i="81"/>
  <c r="BH91" i="80"/>
  <c r="BH107" i="78"/>
  <c r="B190" i="2"/>
  <c r="D190" i="2" s="1"/>
  <c r="B140" i="2"/>
  <c r="E140" i="2" s="1"/>
  <c r="B109" i="2"/>
  <c r="E109" i="2" s="1"/>
  <c r="B68" i="2"/>
  <c r="D68" i="2" s="1"/>
  <c r="BH104" i="69"/>
  <c r="BB107" i="68"/>
  <c r="AZ107" i="68"/>
  <c r="BH105" i="68"/>
  <c r="BH130" i="67"/>
  <c r="BH130" i="66"/>
  <c r="BH130" i="1"/>
  <c r="L607" i="7"/>
  <c r="L606" i="7"/>
  <c r="L605" i="7"/>
  <c r="L604" i="7"/>
  <c r="L603" i="7"/>
  <c r="AY48" i="74"/>
  <c r="BH76" i="74" s="1"/>
  <c r="BH21" i="75"/>
  <c r="BH25" i="74"/>
  <c r="BH21" i="76"/>
  <c r="BH25" i="73"/>
  <c r="BH25" i="70"/>
  <c r="BH21" i="69"/>
  <c r="BH22" i="68"/>
  <c r="BH25" i="67"/>
  <c r="BH25" i="66"/>
  <c r="BH25" i="1"/>
  <c r="BH15" i="77"/>
  <c r="BH71" i="77" s="1"/>
  <c r="BD79" i="4"/>
  <c r="AY35" i="80"/>
  <c r="BH59" i="80" s="1"/>
  <c r="BH35" i="80"/>
  <c r="BH43" i="78"/>
  <c r="BH44" i="78" s="1"/>
  <c r="AY19" i="82"/>
  <c r="BH29" i="82" s="1"/>
  <c r="AY18" i="82"/>
  <c r="BH28" i="82" s="1"/>
  <c r="AY17" i="82"/>
  <c r="BH27" i="82" s="1"/>
  <c r="AY16" i="82"/>
  <c r="BH26" i="82" s="1"/>
  <c r="AY15" i="82"/>
  <c r="BH25" i="82" s="1"/>
  <c r="AY14" i="82"/>
  <c r="BH24" i="82" s="1"/>
  <c r="AY13" i="82"/>
  <c r="BH23" i="82" s="1"/>
  <c r="BB82" i="82"/>
  <c r="AZ82" i="82"/>
  <c r="BB81" i="82"/>
  <c r="AZ81" i="82"/>
  <c r="BB80" i="82"/>
  <c r="AZ80" i="82"/>
  <c r="BB79" i="82"/>
  <c r="AZ79" i="82"/>
  <c r="BK82" i="82"/>
  <c r="BI82" i="82"/>
  <c r="BK81" i="82"/>
  <c r="BI81" i="82"/>
  <c r="BK80" i="82"/>
  <c r="BI80" i="82"/>
  <c r="BK79" i="82"/>
  <c r="BI79" i="82"/>
  <c r="BK69" i="82"/>
  <c r="BI69" i="82"/>
  <c r="BK67" i="82"/>
  <c r="BI67" i="82"/>
  <c r="BB69" i="82"/>
  <c r="AZ69" i="82"/>
  <c r="BB68" i="82"/>
  <c r="AZ68" i="82"/>
  <c r="BB67" i="82"/>
  <c r="AZ67" i="82"/>
  <c r="BB66" i="82"/>
  <c r="AZ66" i="82"/>
  <c r="BB65" i="82"/>
  <c r="AZ65" i="82"/>
  <c r="BB64" i="82"/>
  <c r="AZ64" i="82"/>
  <c r="BB63" i="82"/>
  <c r="AZ63" i="82"/>
  <c r="BB62" i="82"/>
  <c r="AZ62" i="82"/>
  <c r="BB61" i="82"/>
  <c r="AZ61" i="82"/>
  <c r="BB60" i="82"/>
  <c r="AZ60" i="82"/>
  <c r="BB59" i="82"/>
  <c r="AZ59" i="82"/>
  <c r="BB58" i="82"/>
  <c r="AZ58" i="82"/>
  <c r="BB57" i="82"/>
  <c r="AZ57" i="82"/>
  <c r="BK54" i="82"/>
  <c r="BI54" i="82"/>
  <c r="BB56" i="82"/>
  <c r="AZ56" i="82"/>
  <c r="BB55" i="82"/>
  <c r="AZ55" i="82"/>
  <c r="BB54" i="82"/>
  <c r="AZ54" i="82"/>
  <c r="BB53" i="82"/>
  <c r="AZ53" i="82"/>
  <c r="BB52" i="82"/>
  <c r="AZ52" i="82"/>
  <c r="BB51" i="82"/>
  <c r="AZ51" i="82"/>
  <c r="BB50" i="82"/>
  <c r="AZ50" i="82"/>
  <c r="BB49" i="82"/>
  <c r="AZ49" i="82"/>
  <c r="BB48" i="82"/>
  <c r="AZ48" i="82"/>
  <c r="BB47" i="82"/>
  <c r="AZ47" i="82"/>
  <c r="BB46" i="82"/>
  <c r="AZ46" i="82"/>
  <c r="BK43" i="82"/>
  <c r="BI43" i="82"/>
  <c r="BB45" i="82"/>
  <c r="AZ45" i="82"/>
  <c r="BB44" i="82"/>
  <c r="AZ44" i="82"/>
  <c r="BB42" i="82"/>
  <c r="AZ42" i="82"/>
  <c r="BB40" i="82"/>
  <c r="AZ40" i="82"/>
  <c r="AY39" i="82"/>
  <c r="BH66" i="82" s="1"/>
  <c r="AY38" i="82"/>
  <c r="BH64" i="82" s="1"/>
  <c r="AY37" i="82"/>
  <c r="BH61" i="82" s="1"/>
  <c r="AY36" i="82"/>
  <c r="BH59" i="82" s="1"/>
  <c r="AY35" i="82"/>
  <c r="BH57" i="82" s="1"/>
  <c r="AY34" i="82"/>
  <c r="BH55" i="82" s="1"/>
  <c r="BB33" i="82"/>
  <c r="AZ33" i="82"/>
  <c r="AY32" i="82"/>
  <c r="BH52" i="82" s="1"/>
  <c r="AY31" i="82"/>
  <c r="BH51" i="82" s="1"/>
  <c r="BK30" i="82"/>
  <c r="BI30" i="82"/>
  <c r="AY30" i="82"/>
  <c r="BH48" i="82" s="1"/>
  <c r="AY29" i="82"/>
  <c r="BH46" i="82" s="1"/>
  <c r="AY28" i="82"/>
  <c r="BH44" i="82" s="1"/>
  <c r="BB27" i="82"/>
  <c r="AZ27" i="82"/>
  <c r="AY26" i="82"/>
  <c r="BH41" i="82" s="1"/>
  <c r="AY25" i="82"/>
  <c r="BH39" i="82" s="1"/>
  <c r="AY24" i="82"/>
  <c r="BH38" i="82" s="1"/>
  <c r="AY23" i="82"/>
  <c r="BH36" i="82" s="1"/>
  <c r="AY22" i="82"/>
  <c r="BH33" i="82" s="1"/>
  <c r="AY21" i="82"/>
  <c r="BH32" i="82" s="1"/>
  <c r="BK22" i="82"/>
  <c r="BI22" i="82"/>
  <c r="BH21" i="82"/>
  <c r="BH20" i="82"/>
  <c r="BB20" i="82"/>
  <c r="AZ20" i="82"/>
  <c r="BK19" i="82"/>
  <c r="BI19" i="82"/>
  <c r="O17" i="82"/>
  <c r="BB12" i="82"/>
  <c r="AZ12" i="82"/>
  <c r="AY11" i="82"/>
  <c r="BH17" i="82" s="1"/>
  <c r="J13" i="82"/>
  <c r="AY10" i="82"/>
  <c r="BH15" i="82" s="1"/>
  <c r="AY9" i="82"/>
  <c r="BH13" i="82" s="1"/>
  <c r="F11" i="82"/>
  <c r="AY8" i="82"/>
  <c r="BH11" i="82" s="1"/>
  <c r="F10" i="82"/>
  <c r="AY7" i="82"/>
  <c r="BH9" i="82" s="1"/>
  <c r="AY6" i="82"/>
  <c r="BH8" i="82" s="1"/>
  <c r="F8" i="82"/>
  <c r="AY5" i="82"/>
  <c r="BH6" i="82" s="1"/>
  <c r="F7" i="82"/>
  <c r="AP79" i="4"/>
  <c r="AB79" i="4"/>
  <c r="M79" i="4"/>
  <c r="AY13" i="81"/>
  <c r="BH22" i="81" s="1"/>
  <c r="AY12" i="81"/>
  <c r="BH20" i="81" s="1"/>
  <c r="AY11" i="81"/>
  <c r="BH17" i="81" s="1"/>
  <c r="AY10" i="81"/>
  <c r="BH16" i="81" s="1"/>
  <c r="AY9" i="81"/>
  <c r="BH13" i="81" s="1"/>
  <c r="AY8" i="81"/>
  <c r="BH12" i="81" s="1"/>
  <c r="AY7" i="81"/>
  <c r="BH10" i="81" s="1"/>
  <c r="AY6" i="81"/>
  <c r="BH8" i="81" s="1"/>
  <c r="AY5" i="81"/>
  <c r="BH5" i="81" s="1"/>
  <c r="BB91" i="81"/>
  <c r="AZ91" i="81"/>
  <c r="BB90" i="81"/>
  <c r="AZ90" i="81"/>
  <c r="BK91" i="81"/>
  <c r="BI91" i="81"/>
  <c r="BK90" i="81"/>
  <c r="BI90" i="81"/>
  <c r="BK83" i="81"/>
  <c r="BI83" i="81"/>
  <c r="BK81" i="81"/>
  <c r="BI81" i="81"/>
  <c r="BB83" i="81"/>
  <c r="AZ83" i="81"/>
  <c r="BB82" i="81"/>
  <c r="AZ82" i="81"/>
  <c r="BB81" i="81"/>
  <c r="AZ81" i="81"/>
  <c r="BB80" i="81"/>
  <c r="AZ80" i="81"/>
  <c r="BB79" i="81"/>
  <c r="AZ79" i="81"/>
  <c r="BB78" i="81"/>
  <c r="AZ78" i="81"/>
  <c r="BB77" i="81"/>
  <c r="AZ77" i="81"/>
  <c r="BB76" i="81"/>
  <c r="AZ76" i="81"/>
  <c r="BB75" i="81"/>
  <c r="AZ75" i="81"/>
  <c r="BB74" i="81"/>
  <c r="AZ74" i="81"/>
  <c r="BK64" i="81"/>
  <c r="BI64" i="81"/>
  <c r="BB73" i="81"/>
  <c r="AZ73" i="81"/>
  <c r="BB72" i="81"/>
  <c r="AZ72" i="81"/>
  <c r="BB71" i="81"/>
  <c r="AZ71" i="81"/>
  <c r="BB70" i="81"/>
  <c r="AZ70" i="81"/>
  <c r="BB69" i="81"/>
  <c r="AZ69" i="81"/>
  <c r="BB68" i="81"/>
  <c r="AZ68" i="81"/>
  <c r="BB67" i="81"/>
  <c r="AZ67" i="81"/>
  <c r="BB66" i="81"/>
  <c r="AZ66" i="81"/>
  <c r="BB65" i="81"/>
  <c r="AZ65" i="81"/>
  <c r="BB64" i="81"/>
  <c r="AZ64" i="81"/>
  <c r="BB63" i="81"/>
  <c r="AZ63" i="81"/>
  <c r="BK53" i="81"/>
  <c r="BI53" i="81"/>
  <c r="BB62" i="81"/>
  <c r="AZ62" i="81"/>
  <c r="BB61" i="81"/>
  <c r="AZ61" i="81"/>
  <c r="BB60" i="81"/>
  <c r="AZ60" i="81"/>
  <c r="BB59" i="81"/>
  <c r="AZ59" i="81"/>
  <c r="BB58" i="81"/>
  <c r="AZ58" i="81"/>
  <c r="BB57" i="81"/>
  <c r="AZ57" i="81"/>
  <c r="BB56" i="81"/>
  <c r="AZ56" i="81"/>
  <c r="BB55" i="81"/>
  <c r="AZ55" i="81"/>
  <c r="BB54" i="81"/>
  <c r="AZ54" i="81"/>
  <c r="BB53" i="81"/>
  <c r="AZ53" i="81"/>
  <c r="BB52" i="81"/>
  <c r="AZ52" i="81"/>
  <c r="BB50" i="81"/>
  <c r="AZ50" i="81"/>
  <c r="BB48" i="81"/>
  <c r="AZ48" i="81"/>
  <c r="AY47" i="81"/>
  <c r="AY46" i="81"/>
  <c r="BH78" i="81" s="1"/>
  <c r="BK36" i="81"/>
  <c r="BI36" i="81"/>
  <c r="AY45" i="81"/>
  <c r="BH76" i="81" s="1"/>
  <c r="BH35" i="81"/>
  <c r="AY44" i="81"/>
  <c r="BH73" i="81" s="1"/>
  <c r="BH34" i="81"/>
  <c r="AY43" i="81"/>
  <c r="BH72" i="81" s="1"/>
  <c r="BH33" i="81"/>
  <c r="AY42" i="81"/>
  <c r="BH69" i="81" s="1"/>
  <c r="BH32" i="81"/>
  <c r="AY41" i="81"/>
  <c r="BH67" i="81" s="1"/>
  <c r="BH31" i="81"/>
  <c r="AY40" i="81"/>
  <c r="BH66" i="81" s="1"/>
  <c r="BH30" i="81"/>
  <c r="BB39" i="81"/>
  <c r="AZ39" i="81"/>
  <c r="BH29" i="81"/>
  <c r="AY38" i="81"/>
  <c r="BH62" i="81" s="1"/>
  <c r="BH28" i="81"/>
  <c r="AY37" i="81"/>
  <c r="BH60" i="81" s="1"/>
  <c r="BH27" i="81"/>
  <c r="AY36" i="81"/>
  <c r="BH58" i="81" s="1"/>
  <c r="BK26" i="81"/>
  <c r="BI26" i="81"/>
  <c r="AY35" i="81"/>
  <c r="BH57" i="81" s="1"/>
  <c r="BH25" i="81"/>
  <c r="AY34" i="81"/>
  <c r="BH54" i="81" s="1"/>
  <c r="BH24" i="81"/>
  <c r="BB33" i="81"/>
  <c r="AZ33" i="81"/>
  <c r="BK23" i="81"/>
  <c r="BI23" i="81"/>
  <c r="AY32" i="81"/>
  <c r="BH52" i="81" s="1"/>
  <c r="AY31" i="81"/>
  <c r="BH49" i="81" s="1"/>
  <c r="AY30" i="81"/>
  <c r="BH47" i="81" s="1"/>
  <c r="AY29" i="81"/>
  <c r="BH45" i="81" s="1"/>
  <c r="AY28" i="81"/>
  <c r="BH44" i="81" s="1"/>
  <c r="AY27" i="81"/>
  <c r="BH42" i="81" s="1"/>
  <c r="AY26" i="81"/>
  <c r="BH40" i="81" s="1"/>
  <c r="AY25" i="81"/>
  <c r="BH37" i="81" s="1"/>
  <c r="BB24" i="81"/>
  <c r="AZ24" i="81"/>
  <c r="BB14" i="81"/>
  <c r="AZ14" i="81"/>
  <c r="O17" i="81"/>
  <c r="J13" i="81"/>
  <c r="F11" i="81"/>
  <c r="F10" i="81"/>
  <c r="F8" i="81"/>
  <c r="F7" i="81"/>
  <c r="BK96" i="80"/>
  <c r="BK95" i="80"/>
  <c r="BK94" i="80"/>
  <c r="BK93" i="80"/>
  <c r="BK87" i="80"/>
  <c r="BK85" i="80"/>
  <c r="BI96" i="80"/>
  <c r="BI95" i="80"/>
  <c r="BI94" i="80"/>
  <c r="BI93" i="80"/>
  <c r="BI87" i="80"/>
  <c r="BI85" i="80"/>
  <c r="BB96" i="80"/>
  <c r="AZ96" i="80"/>
  <c r="BB95" i="80"/>
  <c r="AZ95" i="80"/>
  <c r="BB94" i="80"/>
  <c r="AZ94" i="80"/>
  <c r="BB87" i="80"/>
  <c r="AZ87" i="80"/>
  <c r="BB86" i="80"/>
  <c r="AZ86" i="80"/>
  <c r="BB85" i="80"/>
  <c r="AZ85" i="80"/>
  <c r="BB84" i="80"/>
  <c r="AZ84" i="80"/>
  <c r="BB83" i="80"/>
  <c r="AZ83" i="80"/>
  <c r="BB82" i="80"/>
  <c r="AZ82" i="80"/>
  <c r="BB81" i="80"/>
  <c r="AZ81" i="80"/>
  <c r="BB80" i="80"/>
  <c r="AZ80" i="80"/>
  <c r="BB79" i="80"/>
  <c r="AZ79" i="80"/>
  <c r="BB78" i="80"/>
  <c r="AZ78" i="80"/>
  <c r="BB77" i="80"/>
  <c r="AZ77" i="80"/>
  <c r="BB76" i="80"/>
  <c r="AZ76" i="80"/>
  <c r="BK70" i="80"/>
  <c r="BI70" i="80"/>
  <c r="BB75" i="80"/>
  <c r="AZ75" i="80"/>
  <c r="BB74" i="80"/>
  <c r="AZ74" i="80"/>
  <c r="BB73" i="80"/>
  <c r="AZ73" i="80"/>
  <c r="BB72" i="80"/>
  <c r="AZ72" i="80"/>
  <c r="BB71" i="80"/>
  <c r="AZ71" i="80"/>
  <c r="BB70" i="80"/>
  <c r="AZ70" i="80"/>
  <c r="BB69" i="80"/>
  <c r="AZ69" i="80"/>
  <c r="BB68" i="80"/>
  <c r="AZ68" i="80"/>
  <c r="BB67" i="80"/>
  <c r="AZ67" i="80"/>
  <c r="BB66" i="80"/>
  <c r="AZ66" i="80"/>
  <c r="BB65" i="80"/>
  <c r="AZ65" i="80"/>
  <c r="BK61" i="80"/>
  <c r="BI61" i="80"/>
  <c r="BB64" i="80"/>
  <c r="AZ64" i="80"/>
  <c r="BB63" i="80"/>
  <c r="AZ63" i="80"/>
  <c r="BB62" i="80"/>
  <c r="AZ62" i="80"/>
  <c r="BB61" i="80"/>
  <c r="AZ61" i="80"/>
  <c r="BB60" i="80"/>
  <c r="AZ60" i="80"/>
  <c r="BB59" i="80"/>
  <c r="AZ59" i="80"/>
  <c r="BB58" i="80"/>
  <c r="AZ58" i="80"/>
  <c r="BB57" i="80"/>
  <c r="AZ57" i="80"/>
  <c r="BB56" i="80"/>
  <c r="AZ56" i="80"/>
  <c r="BB55" i="80"/>
  <c r="AZ55" i="80"/>
  <c r="BB54" i="80"/>
  <c r="AZ54" i="80"/>
  <c r="BB52" i="80"/>
  <c r="AZ52" i="80"/>
  <c r="BB49" i="80"/>
  <c r="AZ49" i="80"/>
  <c r="AY48" i="80"/>
  <c r="BH83" i="80" s="1"/>
  <c r="AY47" i="80"/>
  <c r="BH82" i="80" s="1"/>
  <c r="BK46" i="80"/>
  <c r="BI46" i="80"/>
  <c r="AY46" i="80"/>
  <c r="BH80" i="80" s="1"/>
  <c r="AY45" i="80"/>
  <c r="BH78" i="80" s="1"/>
  <c r="BH45" i="80"/>
  <c r="AY44" i="80"/>
  <c r="BH76" i="80" s="1"/>
  <c r="BH44" i="80"/>
  <c r="AY43" i="80"/>
  <c r="BH74" i="80" s="1"/>
  <c r="BH43" i="80"/>
  <c r="AY42" i="80"/>
  <c r="BH72" i="80" s="1"/>
  <c r="BH42" i="80"/>
  <c r="BH41" i="80"/>
  <c r="BB41" i="80"/>
  <c r="AZ41" i="80"/>
  <c r="BH40" i="80"/>
  <c r="BH39" i="80"/>
  <c r="AY40" i="80"/>
  <c r="BH69" i="80" s="1"/>
  <c r="AY39" i="80"/>
  <c r="BH66" i="80" s="1"/>
  <c r="BK38" i="80"/>
  <c r="BI38" i="80"/>
  <c r="AY38" i="80"/>
  <c r="BH65" i="80" s="1"/>
  <c r="BH37" i="80"/>
  <c r="AY37" i="80"/>
  <c r="BH62" i="80" s="1"/>
  <c r="BB36" i="80"/>
  <c r="AZ36" i="80"/>
  <c r="BK34" i="80"/>
  <c r="BI34" i="80"/>
  <c r="AY34" i="80"/>
  <c r="BH58" i="80" s="1"/>
  <c r="AY33" i="80"/>
  <c r="BH55" i="80" s="1"/>
  <c r="AY32" i="80"/>
  <c r="BH54" i="80" s="1"/>
  <c r="AY31" i="80"/>
  <c r="BH52" i="80" s="1"/>
  <c r="AY30" i="80"/>
  <c r="BH49" i="80" s="1"/>
  <c r="AY29" i="80"/>
  <c r="BH48" i="80" s="1"/>
  <c r="BB28" i="80"/>
  <c r="AZ28" i="80"/>
  <c r="BB20" i="80"/>
  <c r="AZ20" i="80"/>
  <c r="BK19" i="80"/>
  <c r="BI19" i="80"/>
  <c r="O17" i="80"/>
  <c r="J13" i="80"/>
  <c r="AY11" i="80"/>
  <c r="BH18" i="80" s="1"/>
  <c r="BH33" i="80" s="1"/>
  <c r="AY10" i="80"/>
  <c r="BH16" i="80" s="1"/>
  <c r="BH31" i="80" s="1"/>
  <c r="F11" i="80"/>
  <c r="AY9" i="80"/>
  <c r="BH14" i="80" s="1"/>
  <c r="BH29" i="80" s="1"/>
  <c r="F10" i="80"/>
  <c r="AY8" i="80"/>
  <c r="AY16" i="80" s="1"/>
  <c r="AY7" i="80"/>
  <c r="BH10" i="80" s="1"/>
  <c r="F8" i="80"/>
  <c r="AY6" i="80"/>
  <c r="BH8" i="80" s="1"/>
  <c r="BH23" i="80" s="1"/>
  <c r="F7" i="80"/>
  <c r="AY5" i="80"/>
  <c r="BH5" i="80" s="1"/>
  <c r="BH20" i="80" s="1"/>
  <c r="B2" i="80"/>
  <c r="BH55" i="78"/>
  <c r="BH54" i="78"/>
  <c r="BH53" i="78"/>
  <c r="BH52" i="78"/>
  <c r="BH51" i="78"/>
  <c r="BH50" i="78"/>
  <c r="BH49" i="78"/>
  <c r="BH48" i="78"/>
  <c r="BH47" i="78"/>
  <c r="BH45" i="78"/>
  <c r="AY57" i="78"/>
  <c r="BH99" i="78" s="1"/>
  <c r="AY56" i="78"/>
  <c r="BH98" i="78" s="1"/>
  <c r="AY55" i="78"/>
  <c r="BH96" i="78" s="1"/>
  <c r="AY54" i="78"/>
  <c r="BH93" i="78" s="1"/>
  <c r="AY53" i="78"/>
  <c r="BH91" i="78" s="1"/>
  <c r="AY52" i="78"/>
  <c r="BH90" i="78" s="1"/>
  <c r="AY51" i="78"/>
  <c r="BH87" i="78" s="1"/>
  <c r="AY50" i="78"/>
  <c r="BH86" i="78" s="1"/>
  <c r="AY42" i="78"/>
  <c r="BH72" i="78" s="1"/>
  <c r="AY41" i="78"/>
  <c r="BH70" i="78" s="1"/>
  <c r="AY40" i="78"/>
  <c r="BH68" i="78" s="1"/>
  <c r="AY39" i="78"/>
  <c r="AY38" i="78"/>
  <c r="BH63" i="78" s="1"/>
  <c r="AY37" i="78"/>
  <c r="BH61" i="78" s="1"/>
  <c r="AY36" i="78"/>
  <c r="BH60" i="78" s="1"/>
  <c r="AY35" i="78"/>
  <c r="BH58" i="78" s="1"/>
  <c r="AY12" i="78"/>
  <c r="AY22" i="78" s="1"/>
  <c r="AY11" i="78"/>
  <c r="AY21" i="78" s="1"/>
  <c r="AY10" i="78"/>
  <c r="BH16" i="78" s="1"/>
  <c r="BH35" i="78" s="1"/>
  <c r="AY9" i="78"/>
  <c r="BH14" i="78" s="1"/>
  <c r="BH33" i="78" s="1"/>
  <c r="AY8" i="78"/>
  <c r="BH11" i="78" s="1"/>
  <c r="BH30" i="78" s="1"/>
  <c r="AY7" i="78"/>
  <c r="AY17" i="78" s="1"/>
  <c r="AY6" i="78"/>
  <c r="BH8" i="78" s="1"/>
  <c r="AY5" i="78"/>
  <c r="AY15" i="78" s="1"/>
  <c r="BK42" i="78"/>
  <c r="BI42" i="78"/>
  <c r="BK23" i="78"/>
  <c r="BI23" i="78"/>
  <c r="BB117" i="78"/>
  <c r="BB116" i="78"/>
  <c r="BB115" i="78"/>
  <c r="BB114" i="78"/>
  <c r="BB113" i="78"/>
  <c r="BB103" i="78"/>
  <c r="BB102" i="78"/>
  <c r="BB101" i="78"/>
  <c r="BB100" i="78"/>
  <c r="BB99" i="78"/>
  <c r="BB98" i="78"/>
  <c r="BB97" i="78"/>
  <c r="BB96" i="78"/>
  <c r="BB95" i="78"/>
  <c r="BB94" i="78"/>
  <c r="BB93" i="78"/>
  <c r="BB92" i="78"/>
  <c r="BB91" i="78"/>
  <c r="BB90" i="78"/>
  <c r="BB89" i="78"/>
  <c r="BB88" i="78"/>
  <c r="BB87" i="78"/>
  <c r="BB86" i="78"/>
  <c r="BB85" i="78"/>
  <c r="BB84" i="78"/>
  <c r="BB83" i="78"/>
  <c r="BB82" i="78"/>
  <c r="BB81" i="78"/>
  <c r="BB80" i="78"/>
  <c r="BB79" i="78"/>
  <c r="BB78" i="78"/>
  <c r="BB77" i="78"/>
  <c r="BB76" i="78"/>
  <c r="BB75" i="78"/>
  <c r="BB74" i="78"/>
  <c r="BB73" i="78"/>
  <c r="BB72" i="78"/>
  <c r="BB71" i="78"/>
  <c r="BB70" i="78"/>
  <c r="BB69" i="78"/>
  <c r="BB68" i="78"/>
  <c r="BB67" i="78"/>
  <c r="BB66" i="78"/>
  <c r="BB65" i="78"/>
  <c r="BB64" i="78"/>
  <c r="BB63" i="78"/>
  <c r="BB61" i="78"/>
  <c r="BB58" i="78"/>
  <c r="BB49" i="78"/>
  <c r="BB43" i="78"/>
  <c r="BB34" i="78"/>
  <c r="BB24" i="78"/>
  <c r="BB14" i="78"/>
  <c r="AZ117" i="78"/>
  <c r="AZ116" i="78"/>
  <c r="AZ115" i="78"/>
  <c r="AZ114" i="78"/>
  <c r="AZ113" i="78"/>
  <c r="AZ103" i="78"/>
  <c r="AZ102" i="78"/>
  <c r="AZ101" i="78"/>
  <c r="AZ100" i="78"/>
  <c r="AZ99" i="78"/>
  <c r="AZ98" i="78"/>
  <c r="AZ97" i="78"/>
  <c r="AZ96" i="78"/>
  <c r="AZ95" i="78"/>
  <c r="AZ94" i="78"/>
  <c r="AZ93" i="78"/>
  <c r="AZ92" i="78"/>
  <c r="AZ91" i="78"/>
  <c r="AZ90" i="78"/>
  <c r="AZ89" i="78"/>
  <c r="AZ88" i="78"/>
  <c r="AZ87" i="78"/>
  <c r="AZ86" i="78"/>
  <c r="AZ85" i="78"/>
  <c r="AZ84" i="78"/>
  <c r="AZ83" i="78"/>
  <c r="AZ82" i="78"/>
  <c r="AZ81" i="78"/>
  <c r="AZ80" i="78"/>
  <c r="AZ79" i="78"/>
  <c r="AZ78" i="78"/>
  <c r="AZ77" i="78"/>
  <c r="AZ76" i="78"/>
  <c r="AZ75" i="78"/>
  <c r="AZ74" i="78"/>
  <c r="AZ73" i="78"/>
  <c r="AZ72" i="78"/>
  <c r="AZ71" i="78"/>
  <c r="AZ70" i="78"/>
  <c r="AZ69" i="78"/>
  <c r="AZ68" i="78"/>
  <c r="AZ67" i="78"/>
  <c r="AZ66" i="78"/>
  <c r="AZ65" i="78"/>
  <c r="AZ64" i="78"/>
  <c r="AZ63" i="78"/>
  <c r="AZ61" i="78"/>
  <c r="AZ58" i="78"/>
  <c r="AZ49" i="78"/>
  <c r="AZ43" i="78"/>
  <c r="AZ34" i="78"/>
  <c r="AZ24" i="78"/>
  <c r="AZ14" i="78"/>
  <c r="BK117" i="78"/>
  <c r="BI117" i="78"/>
  <c r="BK116" i="78"/>
  <c r="BI116" i="78"/>
  <c r="BK115" i="78"/>
  <c r="BI115" i="78"/>
  <c r="BK114" i="78"/>
  <c r="BI114" i="78"/>
  <c r="BK113" i="78"/>
  <c r="BI113" i="78"/>
  <c r="BK103" i="78"/>
  <c r="BI103" i="78"/>
  <c r="BK101" i="78"/>
  <c r="BI101" i="78"/>
  <c r="BK84" i="78"/>
  <c r="BI84" i="78"/>
  <c r="BK73" i="78"/>
  <c r="BI73" i="78"/>
  <c r="AY48" i="78"/>
  <c r="BH82" i="78" s="1"/>
  <c r="AY47" i="78"/>
  <c r="BH81" i="78" s="1"/>
  <c r="AY46" i="78"/>
  <c r="BH78" i="78" s="1"/>
  <c r="AY45" i="78"/>
  <c r="BH77" i="78" s="1"/>
  <c r="AY44" i="78"/>
  <c r="BH75" i="78" s="1"/>
  <c r="BK56" i="78"/>
  <c r="BI56" i="78"/>
  <c r="BK46" i="78"/>
  <c r="BI46" i="78"/>
  <c r="O17" i="78"/>
  <c r="AY13" i="78"/>
  <c r="BH22" i="78" s="1"/>
  <c r="BH41" i="78" s="1"/>
  <c r="J13" i="78"/>
  <c r="F11" i="78"/>
  <c r="F10" i="78"/>
  <c r="F8" i="78"/>
  <c r="F7" i="78"/>
  <c r="E138" i="3"/>
  <c r="AT74" i="4" s="1"/>
  <c r="BH20" i="76"/>
  <c r="BH110" i="76" s="1"/>
  <c r="AZ12" i="80"/>
  <c r="BB12" i="80"/>
  <c r="BI78" i="77"/>
  <c r="BI77" i="77"/>
  <c r="BI76" i="77"/>
  <c r="BI69" i="77"/>
  <c r="BI67" i="77"/>
  <c r="BI65" i="77"/>
  <c r="BI56" i="77"/>
  <c r="BI52" i="77"/>
  <c r="BI43" i="77"/>
  <c r="BI37" i="77"/>
  <c r="BI30" i="77"/>
  <c r="BI21" i="77"/>
  <c r="BI16" i="77"/>
  <c r="BI13" i="77"/>
  <c r="AZ78" i="77"/>
  <c r="AZ77" i="77"/>
  <c r="AZ76" i="77"/>
  <c r="AZ69" i="77"/>
  <c r="AZ68" i="77"/>
  <c r="AZ67" i="77"/>
  <c r="AZ66" i="77"/>
  <c r="AZ65" i="77"/>
  <c r="AZ64" i="77"/>
  <c r="AZ63" i="77"/>
  <c r="AZ62" i="77"/>
  <c r="AZ61" i="77"/>
  <c r="AZ60" i="77"/>
  <c r="AZ59" i="77"/>
  <c r="AZ58" i="77"/>
  <c r="AZ57" i="77"/>
  <c r="AZ56" i="77"/>
  <c r="AZ55" i="77"/>
  <c r="AZ54" i="77"/>
  <c r="AZ53" i="77"/>
  <c r="AZ52" i="77"/>
  <c r="AZ51" i="77"/>
  <c r="AZ50" i="77"/>
  <c r="AZ49" i="77"/>
  <c r="AZ47" i="77"/>
  <c r="AZ45" i="77"/>
  <c r="AZ43" i="77"/>
  <c r="AZ38" i="77"/>
  <c r="AZ34" i="77"/>
  <c r="AZ29" i="77"/>
  <c r="AZ23" i="77"/>
  <c r="AZ19" i="77"/>
  <c r="AZ14" i="77"/>
  <c r="AZ9" i="77"/>
  <c r="BH20" i="77"/>
  <c r="BH19" i="77"/>
  <c r="BH18" i="77"/>
  <c r="BH17" i="77"/>
  <c r="AY8" i="77"/>
  <c r="BH11" i="77" s="1"/>
  <c r="AY7" i="77"/>
  <c r="BH10" i="77" s="1"/>
  <c r="AY6" i="77"/>
  <c r="BH7" i="77" s="1"/>
  <c r="AY5" i="77"/>
  <c r="BH5" i="77" s="1"/>
  <c r="M68" i="4"/>
  <c r="BK78" i="77"/>
  <c r="BK77" i="77"/>
  <c r="BK76" i="77"/>
  <c r="BB78" i="77"/>
  <c r="BB77" i="77"/>
  <c r="BB76" i="77"/>
  <c r="BK69" i="77"/>
  <c r="BK67" i="77"/>
  <c r="BK65" i="77"/>
  <c r="BK52" i="77"/>
  <c r="BB69" i="77"/>
  <c r="BB68" i="77"/>
  <c r="BB67" i="77"/>
  <c r="BB66" i="77"/>
  <c r="BB65" i="77"/>
  <c r="BB64" i="77"/>
  <c r="BB63" i="77"/>
  <c r="BB62" i="77"/>
  <c r="BB61" i="77"/>
  <c r="BB60" i="77"/>
  <c r="BB59" i="77"/>
  <c r="BK43" i="77"/>
  <c r="BB58" i="77"/>
  <c r="BB57" i="77"/>
  <c r="BB56" i="77"/>
  <c r="BB55" i="77"/>
  <c r="BB54" i="77"/>
  <c r="BB53" i="77"/>
  <c r="BB52" i="77"/>
  <c r="BB51" i="77"/>
  <c r="BB50" i="77"/>
  <c r="BB49" i="77"/>
  <c r="BB47" i="77"/>
  <c r="BB45" i="77"/>
  <c r="AY44" i="77"/>
  <c r="BH66" i="77" s="1"/>
  <c r="BB43" i="77"/>
  <c r="AY42" i="77"/>
  <c r="BH63" i="77" s="1"/>
  <c r="AY41" i="77"/>
  <c r="BH62" i="77" s="1"/>
  <c r="BK37" i="77"/>
  <c r="AY40" i="77"/>
  <c r="BH60" i="77" s="1"/>
  <c r="AY39" i="77"/>
  <c r="BH58" i="77" s="1"/>
  <c r="BB38" i="77"/>
  <c r="AY37" i="77"/>
  <c r="BH55" i="77" s="1"/>
  <c r="AY36" i="77"/>
  <c r="BH54" i="77" s="1"/>
  <c r="AY35" i="77"/>
  <c r="BH53" i="77" s="1"/>
  <c r="BB34" i="77"/>
  <c r="BK30" i="77"/>
  <c r="AY33" i="77"/>
  <c r="BH50" i="77" s="1"/>
  <c r="AY32" i="77"/>
  <c r="BH48" i="77" s="1"/>
  <c r="AY31" i="77"/>
  <c r="BH47" i="77" s="1"/>
  <c r="AY30" i="77"/>
  <c r="BH45" i="77" s="1"/>
  <c r="AY28" i="77"/>
  <c r="BH42" i="77" s="1"/>
  <c r="AY27" i="77"/>
  <c r="BH41" i="77" s="1"/>
  <c r="AY26" i="77"/>
  <c r="BH40" i="77" s="1"/>
  <c r="AY25" i="77"/>
  <c r="BH39" i="77" s="1"/>
  <c r="AY24" i="77"/>
  <c r="BH38" i="77" s="1"/>
  <c r="BB23" i="77"/>
  <c r="AY22" i="77"/>
  <c r="BH36" i="77" s="1"/>
  <c r="AY21" i="77"/>
  <c r="BH34" i="77" s="1"/>
  <c r="AY20" i="77"/>
  <c r="BH32" i="77" s="1"/>
  <c r="AY18" i="77"/>
  <c r="BH29" i="77" s="1"/>
  <c r="AY17" i="77"/>
  <c r="BH26" i="77" s="1"/>
  <c r="AY16" i="77"/>
  <c r="BH25" i="77" s="1"/>
  <c r="AY15" i="77"/>
  <c r="BH23" i="77" s="1"/>
  <c r="BK16" i="77"/>
  <c r="BH14" i="77"/>
  <c r="BK13" i="77"/>
  <c r="O17" i="77"/>
  <c r="J13" i="77"/>
  <c r="F11" i="77"/>
  <c r="F10" i="77"/>
  <c r="F8" i="77"/>
  <c r="F7" i="77"/>
  <c r="AP39" i="4"/>
  <c r="AR41" i="4" s="1"/>
  <c r="BI103" i="76"/>
  <c r="BB86" i="76"/>
  <c r="BB85" i="76"/>
  <c r="AZ95" i="76"/>
  <c r="AZ94" i="76"/>
  <c r="AZ93" i="76"/>
  <c r="AZ92" i="76"/>
  <c r="AZ91" i="76"/>
  <c r="AZ90" i="76"/>
  <c r="AZ89" i="76"/>
  <c r="AU89" i="76"/>
  <c r="AZ88" i="76"/>
  <c r="AZ87" i="76"/>
  <c r="AU87" i="76"/>
  <c r="AY83" i="76" s="1"/>
  <c r="BH102" i="76" s="1"/>
  <c r="AZ86" i="76"/>
  <c r="AZ85" i="76"/>
  <c r="AY84" i="76"/>
  <c r="BH104" i="76" s="1"/>
  <c r="AI85" i="76"/>
  <c r="AI81" i="76" s="1"/>
  <c r="AG85" i="76"/>
  <c r="AG81" i="76" s="1"/>
  <c r="AE85" i="76"/>
  <c r="AE80" i="76" s="1"/>
  <c r="AC85" i="76"/>
  <c r="AC79" i="76" s="1"/>
  <c r="AA85" i="76"/>
  <c r="AA80" i="76" s="1"/>
  <c r="Y85" i="76"/>
  <c r="Y80" i="76" s="1"/>
  <c r="W85" i="76"/>
  <c r="W81" i="76" s="1"/>
  <c r="U85" i="76"/>
  <c r="U79" i="76" s="1"/>
  <c r="S85" i="76"/>
  <c r="S81" i="76" s="1"/>
  <c r="Q85" i="76"/>
  <c r="Q81" i="76" s="1"/>
  <c r="O85" i="76"/>
  <c r="O81" i="76" s="1"/>
  <c r="BK115" i="76"/>
  <c r="BI115" i="76"/>
  <c r="BB115" i="76"/>
  <c r="AZ115" i="76"/>
  <c r="BK114" i="76"/>
  <c r="BI114" i="76"/>
  <c r="BB114" i="76"/>
  <c r="AZ114" i="76"/>
  <c r="BK113" i="76"/>
  <c r="BI113" i="76"/>
  <c r="BB113" i="76"/>
  <c r="AZ113" i="76"/>
  <c r="BK112" i="76"/>
  <c r="BI112" i="76"/>
  <c r="BB112" i="76"/>
  <c r="AZ112" i="76"/>
  <c r="BB106" i="76"/>
  <c r="AZ106" i="76"/>
  <c r="BB105" i="76"/>
  <c r="AZ105" i="76"/>
  <c r="BB104" i="76"/>
  <c r="AZ104" i="76"/>
  <c r="BB103" i="76"/>
  <c r="AZ103" i="76"/>
  <c r="BB102" i="76"/>
  <c r="AZ102" i="76"/>
  <c r="BK101" i="76"/>
  <c r="BI101" i="76"/>
  <c r="BB101" i="76"/>
  <c r="AZ101" i="76"/>
  <c r="BK100" i="76"/>
  <c r="BI100" i="76"/>
  <c r="BB100" i="76"/>
  <c r="AZ100" i="76"/>
  <c r="BB99" i="76"/>
  <c r="AZ99" i="76"/>
  <c r="BK98" i="76"/>
  <c r="BI98" i="76"/>
  <c r="BB98" i="76"/>
  <c r="AZ98" i="76"/>
  <c r="BB97" i="76"/>
  <c r="AZ97" i="76"/>
  <c r="AU97" i="76"/>
  <c r="AU98" i="76" s="1"/>
  <c r="AU99" i="76" s="1"/>
  <c r="BK96" i="76"/>
  <c r="BI96" i="76"/>
  <c r="BB96" i="76"/>
  <c r="AZ96" i="76"/>
  <c r="BB95" i="76"/>
  <c r="BB94" i="76"/>
  <c r="BK83" i="76"/>
  <c r="BI83" i="76"/>
  <c r="BB82" i="76"/>
  <c r="AZ82" i="76"/>
  <c r="BB81" i="76"/>
  <c r="AZ81" i="76"/>
  <c r="BB80" i="76"/>
  <c r="AZ80" i="76"/>
  <c r="BK79" i="76"/>
  <c r="BI79" i="76"/>
  <c r="BB79" i="76"/>
  <c r="AZ79" i="76"/>
  <c r="BB78" i="76"/>
  <c r="AZ78" i="76"/>
  <c r="BB77" i="76"/>
  <c r="AZ77" i="76"/>
  <c r="BB76" i="76"/>
  <c r="AZ76" i="76"/>
  <c r="BB75" i="76"/>
  <c r="AZ75" i="76"/>
  <c r="BB74" i="76"/>
  <c r="AZ74" i="76"/>
  <c r="BB73" i="76"/>
  <c r="AZ73" i="76"/>
  <c r="BB72" i="76"/>
  <c r="AZ72" i="76"/>
  <c r="BB71" i="76"/>
  <c r="AZ71" i="76"/>
  <c r="BB70" i="76"/>
  <c r="AZ70" i="76"/>
  <c r="BB69" i="76"/>
  <c r="AZ69" i="76"/>
  <c r="BB68" i="76"/>
  <c r="AZ68" i="76"/>
  <c r="BB67" i="76"/>
  <c r="AZ67" i="76"/>
  <c r="BK66" i="76"/>
  <c r="BI66" i="76"/>
  <c r="BB65" i="76"/>
  <c r="AZ65" i="76"/>
  <c r="AW64" i="76"/>
  <c r="AV64" i="76"/>
  <c r="BK63" i="76"/>
  <c r="BI63" i="76"/>
  <c r="BB63" i="76"/>
  <c r="AZ63" i="76"/>
  <c r="AY62" i="76"/>
  <c r="BH97" i="76" s="1"/>
  <c r="BB61" i="76"/>
  <c r="AZ61" i="76"/>
  <c r="AY60" i="76"/>
  <c r="BH95" i="76" s="1"/>
  <c r="AY59" i="76"/>
  <c r="BH93" i="76" s="1"/>
  <c r="AY58" i="76"/>
  <c r="BH90" i="76" s="1"/>
  <c r="BK57" i="76"/>
  <c r="BI57" i="76"/>
  <c r="AY57" i="76"/>
  <c r="BH89" i="76" s="1"/>
  <c r="AY56" i="76"/>
  <c r="BH86" i="76" s="1"/>
  <c r="AY55" i="76"/>
  <c r="BH85" i="76" s="1"/>
  <c r="BB54" i="76"/>
  <c r="AZ54" i="76"/>
  <c r="AY53" i="76"/>
  <c r="BH82" i="76" s="1"/>
  <c r="AY52" i="76"/>
  <c r="BH81" i="76" s="1"/>
  <c r="AY51" i="76"/>
  <c r="BH80" i="76" s="1"/>
  <c r="BB50" i="76"/>
  <c r="AZ50" i="76"/>
  <c r="AY49" i="76"/>
  <c r="BH77" i="76" s="1"/>
  <c r="AY48" i="76"/>
  <c r="BH75" i="76" s="1"/>
  <c r="AY47" i="76"/>
  <c r="BK46" i="76"/>
  <c r="BI46" i="76"/>
  <c r="AY46" i="76"/>
  <c r="BH72" i="76" s="1"/>
  <c r="AY45" i="76"/>
  <c r="BH70" i="76" s="1"/>
  <c r="AY44" i="76"/>
  <c r="BH68" i="76" s="1"/>
  <c r="BB43" i="76"/>
  <c r="AZ43" i="76"/>
  <c r="AY42" i="76"/>
  <c r="BH64" i="76" s="1"/>
  <c r="BB41" i="76"/>
  <c r="AZ41" i="76"/>
  <c r="AY39" i="76"/>
  <c r="BH61" i="76" s="1"/>
  <c r="AY38" i="76"/>
  <c r="BH60" i="76" s="1"/>
  <c r="AY37" i="76"/>
  <c r="BH59" i="76" s="1"/>
  <c r="AY36" i="76"/>
  <c r="BH58" i="76" s="1"/>
  <c r="BB35" i="76"/>
  <c r="AZ35" i="76"/>
  <c r="AY34" i="76"/>
  <c r="BH55" i="76" s="1"/>
  <c r="BK33" i="76"/>
  <c r="BI33" i="76"/>
  <c r="AY33" i="76"/>
  <c r="BH54" i="76" s="1"/>
  <c r="AY32" i="76"/>
  <c r="BH52" i="76" s="1"/>
  <c r="AY31" i="76"/>
  <c r="BK30" i="76"/>
  <c r="BI30" i="76"/>
  <c r="AY30" i="76"/>
  <c r="BH48" i="76" s="1"/>
  <c r="BH29" i="76"/>
  <c r="BB29" i="76"/>
  <c r="AZ29" i="76"/>
  <c r="BH28" i="76"/>
  <c r="AY28" i="76"/>
  <c r="BH44" i="76" s="1"/>
  <c r="BH27" i="76"/>
  <c r="AY27" i="76"/>
  <c r="BH42" i="76" s="1"/>
  <c r="BH26" i="76"/>
  <c r="AY26" i="76"/>
  <c r="BH40" i="76" s="1"/>
  <c r="BH25" i="76"/>
  <c r="AY25" i="76"/>
  <c r="BH38" i="76" s="1"/>
  <c r="BH24" i="76"/>
  <c r="AY24" i="76"/>
  <c r="BH36" i="76" s="1"/>
  <c r="BH23" i="76"/>
  <c r="AY23" i="76"/>
  <c r="BH35" i="76" s="1"/>
  <c r="BK22" i="76"/>
  <c r="BI22" i="76"/>
  <c r="BB22" i="76"/>
  <c r="AZ22" i="76"/>
  <c r="AY21" i="76"/>
  <c r="BH32" i="76" s="1"/>
  <c r="BB20" i="76"/>
  <c r="AZ20" i="76"/>
  <c r="BK19" i="76"/>
  <c r="BI19" i="76"/>
  <c r="AY19" i="76"/>
  <c r="AY18" i="76"/>
  <c r="AY17" i="76"/>
  <c r="O17" i="76"/>
  <c r="AY16" i="76"/>
  <c r="AY15" i="76"/>
  <c r="AY14" i="76"/>
  <c r="AY13" i="76"/>
  <c r="J13" i="76"/>
  <c r="BB12" i="76"/>
  <c r="AZ12" i="76"/>
  <c r="AY11" i="76"/>
  <c r="BH17" i="76" s="1"/>
  <c r="F11" i="76"/>
  <c r="AY10" i="76"/>
  <c r="BH15" i="76" s="1"/>
  <c r="F10" i="76"/>
  <c r="AY9" i="76"/>
  <c r="BH14" i="76" s="1"/>
  <c r="AY8" i="76"/>
  <c r="BH12" i="76" s="1"/>
  <c r="F8" i="76"/>
  <c r="AY7" i="76"/>
  <c r="BH9" i="76" s="1"/>
  <c r="F7" i="76"/>
  <c r="AY6" i="76"/>
  <c r="BH8" i="76" s="1"/>
  <c r="AY5" i="76"/>
  <c r="BH5" i="76" s="1"/>
  <c r="E148" i="3"/>
  <c r="AT13" i="4" s="1"/>
  <c r="AP57" i="4"/>
  <c r="AR59" i="4" s="1"/>
  <c r="AP49" i="4"/>
  <c r="AR51" i="4" s="1"/>
  <c r="BK122" i="75"/>
  <c r="BK121" i="75"/>
  <c r="BK120" i="75"/>
  <c r="BK119" i="75"/>
  <c r="BK118" i="75"/>
  <c r="BK101" i="75"/>
  <c r="BK100" i="75"/>
  <c r="BK98" i="75"/>
  <c r="BK96" i="75"/>
  <c r="BK83" i="75"/>
  <c r="BK79" i="75"/>
  <c r="BK66" i="75"/>
  <c r="BK63" i="75"/>
  <c r="BK57" i="75"/>
  <c r="BK46" i="75"/>
  <c r="BK33" i="75"/>
  <c r="BK30" i="75"/>
  <c r="BK22" i="75"/>
  <c r="BK19" i="75"/>
  <c r="BI122" i="75"/>
  <c r="BI121" i="75"/>
  <c r="BI120" i="75"/>
  <c r="BI119" i="75"/>
  <c r="BI118" i="75"/>
  <c r="BI101" i="75"/>
  <c r="BI100" i="75"/>
  <c r="BI98" i="75"/>
  <c r="BI96" i="75"/>
  <c r="BB104" i="75"/>
  <c r="AZ104" i="75"/>
  <c r="BB103" i="75"/>
  <c r="AZ103" i="75"/>
  <c r="BB102" i="75"/>
  <c r="AZ102" i="75"/>
  <c r="BB101" i="75"/>
  <c r="AZ101" i="75"/>
  <c r="BB100" i="75"/>
  <c r="AZ100" i="75"/>
  <c r="BB99" i="75"/>
  <c r="AZ99" i="75"/>
  <c r="BB98" i="75"/>
  <c r="AZ98" i="75"/>
  <c r="BB97" i="75"/>
  <c r="AZ97" i="75"/>
  <c r="AU97" i="75"/>
  <c r="BB96" i="75"/>
  <c r="AZ96" i="75"/>
  <c r="BB95" i="75"/>
  <c r="AZ95" i="75"/>
  <c r="AU95" i="75"/>
  <c r="AY83" i="75" s="1"/>
  <c r="BH102" i="75" s="1"/>
  <c r="AY40" i="75"/>
  <c r="BH62" i="75" s="1"/>
  <c r="BB94" i="75"/>
  <c r="AZ94" i="75"/>
  <c r="AZ93" i="75"/>
  <c r="AY92" i="75"/>
  <c r="BH111" i="75" s="1"/>
  <c r="AY91" i="75"/>
  <c r="BH110" i="75" s="1"/>
  <c r="AY90" i="75"/>
  <c r="AY89" i="75"/>
  <c r="BH108" i="75" s="1"/>
  <c r="AY88" i="75"/>
  <c r="BH107" i="75" s="1"/>
  <c r="AY87" i="75"/>
  <c r="BH106" i="75" s="1"/>
  <c r="AY86" i="75"/>
  <c r="BH105" i="75" s="1"/>
  <c r="AY85" i="75"/>
  <c r="BH104" i="75" s="1"/>
  <c r="AY84" i="75"/>
  <c r="BH103" i="75" s="1"/>
  <c r="AI85" i="75"/>
  <c r="AI80" i="75" s="1"/>
  <c r="AG85" i="75"/>
  <c r="AG79" i="75" s="1"/>
  <c r="AE85" i="75"/>
  <c r="AE79" i="75" s="1"/>
  <c r="AC85" i="75"/>
  <c r="AC80" i="75" s="1"/>
  <c r="U85" i="75"/>
  <c r="U80" i="75" s="1"/>
  <c r="S85" i="75"/>
  <c r="S80" i="75" s="1"/>
  <c r="Q85" i="75"/>
  <c r="Q80" i="75" s="1"/>
  <c r="O85" i="75"/>
  <c r="O80" i="75" s="1"/>
  <c r="BK127" i="74"/>
  <c r="BK126" i="74"/>
  <c r="BK124" i="74"/>
  <c r="BK122" i="74"/>
  <c r="BK105" i="74"/>
  <c r="BK101" i="74"/>
  <c r="BK84" i="74"/>
  <c r="BK77" i="74"/>
  <c r="BK71" i="74"/>
  <c r="BK60" i="74"/>
  <c r="BK43" i="74"/>
  <c r="BK36" i="74"/>
  <c r="BK26" i="74"/>
  <c r="BK23" i="74"/>
  <c r="AZ146" i="74"/>
  <c r="AZ137" i="74"/>
  <c r="AZ136" i="74"/>
  <c r="AZ135" i="74"/>
  <c r="AZ134" i="74"/>
  <c r="AZ133" i="74"/>
  <c r="AZ132" i="74"/>
  <c r="AZ131" i="74"/>
  <c r="AZ130" i="74"/>
  <c r="AZ129" i="74"/>
  <c r="AZ128" i="74"/>
  <c r="AZ127" i="74"/>
  <c r="AZ126" i="74"/>
  <c r="AZ125" i="74"/>
  <c r="AZ124" i="74"/>
  <c r="AZ123" i="74"/>
  <c r="AZ122" i="74"/>
  <c r="AZ121" i="74"/>
  <c r="AZ120" i="74"/>
  <c r="AZ119" i="74"/>
  <c r="AZ118" i="74"/>
  <c r="AZ117" i="74"/>
  <c r="AZ116" i="74"/>
  <c r="AZ115" i="74"/>
  <c r="AZ114" i="74"/>
  <c r="AZ113" i="74"/>
  <c r="AZ112" i="74"/>
  <c r="AZ111" i="74"/>
  <c r="AZ110" i="74"/>
  <c r="AZ109" i="74"/>
  <c r="AZ108" i="74"/>
  <c r="AZ107" i="74"/>
  <c r="AZ106" i="74"/>
  <c r="AZ105" i="74"/>
  <c r="AZ104" i="74"/>
  <c r="AZ103" i="74"/>
  <c r="AZ102" i="74"/>
  <c r="AZ101" i="74"/>
  <c r="AZ100" i="74"/>
  <c r="AZ99" i="74"/>
  <c r="AZ98" i="74"/>
  <c r="AZ97" i="74"/>
  <c r="AZ96" i="74"/>
  <c r="AZ95" i="74"/>
  <c r="AZ94" i="74"/>
  <c r="AZ93" i="74"/>
  <c r="AZ82" i="74"/>
  <c r="AZ81" i="74"/>
  <c r="AZ79" i="74"/>
  <c r="AZ77" i="74"/>
  <c r="AZ75" i="74"/>
  <c r="AZ66" i="74"/>
  <c r="AZ62" i="74"/>
  <c r="AZ53" i="74"/>
  <c r="AZ49" i="74"/>
  <c r="AZ43" i="74"/>
  <c r="AZ37" i="74"/>
  <c r="AZ28" i="74"/>
  <c r="AZ24" i="74"/>
  <c r="AZ14" i="74"/>
  <c r="AI85" i="74"/>
  <c r="AI79" i="74" s="1"/>
  <c r="AG85" i="74"/>
  <c r="AG79" i="74" s="1"/>
  <c r="AE85" i="74"/>
  <c r="AE80" i="74" s="1"/>
  <c r="AC85" i="74"/>
  <c r="AC79" i="74" s="1"/>
  <c r="U85" i="74"/>
  <c r="U79" i="74" s="1"/>
  <c r="S85" i="74"/>
  <c r="S80" i="74" s="1"/>
  <c r="Q85" i="74"/>
  <c r="Q79" i="74" s="1"/>
  <c r="O85" i="74"/>
  <c r="O79" i="74" s="1"/>
  <c r="AY92" i="74"/>
  <c r="BH137" i="74" s="1"/>
  <c r="AY91" i="74"/>
  <c r="BH136" i="74" s="1"/>
  <c r="AY90" i="74"/>
  <c r="BH135" i="74" s="1"/>
  <c r="AY88" i="74"/>
  <c r="BH133" i="74" s="1"/>
  <c r="AY87" i="74"/>
  <c r="BH132" i="74" s="1"/>
  <c r="AY86" i="74"/>
  <c r="BH131" i="74" s="1"/>
  <c r="AY89" i="74"/>
  <c r="BH134" i="74" s="1"/>
  <c r="AY85" i="74"/>
  <c r="BH130" i="74" s="1"/>
  <c r="BB128" i="74"/>
  <c r="E165" i="3"/>
  <c r="E164" i="3"/>
  <c r="O82" i="75" s="1"/>
  <c r="BB122" i="75"/>
  <c r="AZ122" i="75"/>
  <c r="BB121" i="75"/>
  <c r="AZ121" i="75"/>
  <c r="BB120" i="75"/>
  <c r="AZ120" i="75"/>
  <c r="BB119" i="75"/>
  <c r="AZ119" i="75"/>
  <c r="BB118" i="75"/>
  <c r="AZ118" i="75"/>
  <c r="BB111" i="75"/>
  <c r="AZ111" i="75"/>
  <c r="BB110" i="75"/>
  <c r="AZ110" i="75"/>
  <c r="BB109" i="75"/>
  <c r="AZ109" i="75"/>
  <c r="BB108" i="75"/>
  <c r="AZ108" i="75"/>
  <c r="BB107" i="75"/>
  <c r="AZ107" i="75"/>
  <c r="BB106" i="75"/>
  <c r="AZ106" i="75"/>
  <c r="BB105" i="75"/>
  <c r="AZ105" i="75"/>
  <c r="BI83" i="75"/>
  <c r="BB82" i="75"/>
  <c r="AZ82" i="75"/>
  <c r="BB81" i="75"/>
  <c r="AZ81" i="75"/>
  <c r="BB80" i="75"/>
  <c r="AZ80" i="75"/>
  <c r="BI79" i="75"/>
  <c r="BB79" i="75"/>
  <c r="AZ79" i="75"/>
  <c r="BB78" i="75"/>
  <c r="AZ78" i="75"/>
  <c r="BB77" i="75"/>
  <c r="AZ77" i="75"/>
  <c r="BB76" i="75"/>
  <c r="AZ76" i="75"/>
  <c r="BB75" i="75"/>
  <c r="AZ75" i="75"/>
  <c r="BB74" i="75"/>
  <c r="AZ74" i="75"/>
  <c r="BB73" i="75"/>
  <c r="AZ73" i="75"/>
  <c r="BB72" i="75"/>
  <c r="AZ72" i="75"/>
  <c r="BB71" i="75"/>
  <c r="AZ71" i="75"/>
  <c r="BB70" i="75"/>
  <c r="AZ70" i="75"/>
  <c r="BB69" i="75"/>
  <c r="AZ69" i="75"/>
  <c r="BB68" i="75"/>
  <c r="AZ68" i="75"/>
  <c r="BB67" i="75"/>
  <c r="AZ67" i="75"/>
  <c r="BI66" i="75"/>
  <c r="BB65" i="75"/>
  <c r="AZ65" i="75"/>
  <c r="AW64" i="75"/>
  <c r="AV64" i="75"/>
  <c r="BI63" i="75"/>
  <c r="BB63" i="75"/>
  <c r="AZ63" i="75"/>
  <c r="AY62" i="75"/>
  <c r="BH97" i="75" s="1"/>
  <c r="BB61" i="75"/>
  <c r="AZ61" i="75"/>
  <c r="AY60" i="75"/>
  <c r="BH95" i="75" s="1"/>
  <c r="AY59" i="75"/>
  <c r="BH93" i="75" s="1"/>
  <c r="AY58" i="75"/>
  <c r="BH91" i="75" s="1"/>
  <c r="BI57" i="75"/>
  <c r="AY57" i="75"/>
  <c r="BH88" i="75" s="1"/>
  <c r="AY56" i="75"/>
  <c r="BH87" i="75" s="1"/>
  <c r="AY55" i="75"/>
  <c r="BH85" i="75" s="1"/>
  <c r="BB54" i="75"/>
  <c r="AZ54" i="75"/>
  <c r="AY53" i="75"/>
  <c r="BH82" i="75" s="1"/>
  <c r="AY52" i="75"/>
  <c r="BH81" i="75" s="1"/>
  <c r="AY51" i="75"/>
  <c r="BH80" i="75" s="1"/>
  <c r="BB50" i="75"/>
  <c r="AZ50" i="75"/>
  <c r="AY49" i="75"/>
  <c r="AY48" i="75"/>
  <c r="BH76" i="75" s="1"/>
  <c r="AY47" i="75"/>
  <c r="BI46" i="75"/>
  <c r="AY46" i="75"/>
  <c r="BH72" i="75" s="1"/>
  <c r="AY45" i="75"/>
  <c r="BH70" i="75" s="1"/>
  <c r="AY44" i="75"/>
  <c r="BH68" i="75" s="1"/>
  <c r="BB43" i="75"/>
  <c r="AZ43" i="75"/>
  <c r="AY42" i="75"/>
  <c r="BH65" i="75" s="1"/>
  <c r="BB41" i="75"/>
  <c r="AZ41" i="75"/>
  <c r="AY39" i="75"/>
  <c r="BH61" i="75" s="1"/>
  <c r="AY38" i="75"/>
  <c r="BH60" i="75" s="1"/>
  <c r="AY37" i="75"/>
  <c r="BH59" i="75" s="1"/>
  <c r="AY36" i="75"/>
  <c r="BH58" i="75" s="1"/>
  <c r="BB35" i="75"/>
  <c r="AZ35" i="75"/>
  <c r="AY34" i="75"/>
  <c r="BH55" i="75" s="1"/>
  <c r="BI33" i="75"/>
  <c r="AY33" i="75"/>
  <c r="BH54" i="75" s="1"/>
  <c r="AY32" i="75"/>
  <c r="BH51" i="75" s="1"/>
  <c r="AY31" i="75"/>
  <c r="BH49" i="75" s="1"/>
  <c r="BI30" i="75"/>
  <c r="AY30" i="75"/>
  <c r="BH47" i="75" s="1"/>
  <c r="BH29" i="75"/>
  <c r="BB29" i="75"/>
  <c r="AZ29" i="75"/>
  <c r="BH28" i="75"/>
  <c r="AY28" i="75"/>
  <c r="BH45" i="75" s="1"/>
  <c r="BH27" i="75"/>
  <c r="AY27" i="75"/>
  <c r="BH43" i="75" s="1"/>
  <c r="BH26" i="75"/>
  <c r="AY26" i="75"/>
  <c r="BH41" i="75" s="1"/>
  <c r="BH25" i="75"/>
  <c r="AY25" i="75"/>
  <c r="BH39" i="75" s="1"/>
  <c r="BH24" i="75"/>
  <c r="AY24" i="75"/>
  <c r="BH37" i="75" s="1"/>
  <c r="BH23" i="75"/>
  <c r="AY23" i="75"/>
  <c r="BH34" i="75" s="1"/>
  <c r="BI22" i="75"/>
  <c r="BB22" i="75"/>
  <c r="AZ22" i="75"/>
  <c r="AY21" i="75"/>
  <c r="BH32" i="75" s="1"/>
  <c r="BB20" i="75"/>
  <c r="AZ20" i="75"/>
  <c r="BI19" i="75"/>
  <c r="AY19" i="75"/>
  <c r="AY18" i="75"/>
  <c r="AY17" i="75"/>
  <c r="O17" i="75"/>
  <c r="AY16" i="75"/>
  <c r="AY15" i="75"/>
  <c r="AY14" i="75"/>
  <c r="AY13" i="75"/>
  <c r="J13" i="75"/>
  <c r="BB12" i="75"/>
  <c r="AZ12" i="75"/>
  <c r="AY11" i="75"/>
  <c r="BH17" i="75" s="1"/>
  <c r="F11" i="75"/>
  <c r="AY10" i="75"/>
  <c r="BH15" i="75" s="1"/>
  <c r="F10" i="75"/>
  <c r="AY9" i="75"/>
  <c r="AY8" i="75"/>
  <c r="BH12" i="75" s="1"/>
  <c r="F8" i="75"/>
  <c r="AY7" i="75"/>
  <c r="BH10" i="75" s="1"/>
  <c r="F7" i="75"/>
  <c r="AY6" i="75"/>
  <c r="BH8" i="75" s="1"/>
  <c r="AY5" i="75"/>
  <c r="BH5" i="75" s="1"/>
  <c r="B2" i="75"/>
  <c r="BK146" i="74"/>
  <c r="BI146" i="74"/>
  <c r="BB146" i="74"/>
  <c r="BB137" i="74"/>
  <c r="BB133" i="74"/>
  <c r="BB132" i="74"/>
  <c r="BB131" i="74"/>
  <c r="BB130" i="74"/>
  <c r="BI127" i="74"/>
  <c r="BB129" i="74"/>
  <c r="BI126" i="74"/>
  <c r="BI124" i="74"/>
  <c r="BI122" i="74"/>
  <c r="BB127" i="74"/>
  <c r="BB126" i="74"/>
  <c r="BB125" i="74"/>
  <c r="BB124" i="74"/>
  <c r="BB123" i="74"/>
  <c r="BB122" i="74"/>
  <c r="BB121" i="74"/>
  <c r="BB120" i="74"/>
  <c r="BB119" i="74"/>
  <c r="BB118" i="74"/>
  <c r="BB117" i="74"/>
  <c r="BB116" i="74"/>
  <c r="BB115" i="74"/>
  <c r="BB114" i="74"/>
  <c r="BI105" i="74"/>
  <c r="BB113" i="74"/>
  <c r="BB112" i="74"/>
  <c r="BB111" i="74"/>
  <c r="BB110" i="74"/>
  <c r="BI101" i="74"/>
  <c r="BB109" i="74"/>
  <c r="BB108" i="74"/>
  <c r="BB107" i="74"/>
  <c r="BB106" i="74"/>
  <c r="BB105" i="74"/>
  <c r="BB104" i="74"/>
  <c r="BB103" i="74"/>
  <c r="BB102" i="74"/>
  <c r="BB101" i="74"/>
  <c r="BB100" i="74"/>
  <c r="BB99" i="74"/>
  <c r="BB98" i="74"/>
  <c r="BB97" i="74"/>
  <c r="AU97" i="74"/>
  <c r="BB96" i="74"/>
  <c r="BB95" i="74"/>
  <c r="AU95" i="74"/>
  <c r="AY83" i="74" s="1"/>
  <c r="BH128" i="74" s="1"/>
  <c r="BB94" i="74"/>
  <c r="BI84" i="74"/>
  <c r="AY84" i="74"/>
  <c r="BH129" i="74" s="1"/>
  <c r="BB82" i="74"/>
  <c r="BB81" i="74"/>
  <c r="BB79" i="74"/>
  <c r="AW78" i="74"/>
  <c r="AV78" i="74"/>
  <c r="BI77" i="74"/>
  <c r="BB77" i="74"/>
  <c r="AY76" i="74"/>
  <c r="BH123" i="74" s="1"/>
  <c r="BB75" i="74"/>
  <c r="AY74" i="74"/>
  <c r="BH121" i="74" s="1"/>
  <c r="AY73" i="74"/>
  <c r="BH119" i="74" s="1"/>
  <c r="AY72" i="74"/>
  <c r="BH116" i="74" s="1"/>
  <c r="BI71" i="74"/>
  <c r="AY71" i="74"/>
  <c r="BH115" i="74" s="1"/>
  <c r="AY70" i="74"/>
  <c r="AY69" i="74"/>
  <c r="BH111" i="74" s="1"/>
  <c r="AY68" i="74"/>
  <c r="BH108" i="74" s="1"/>
  <c r="AY67" i="74"/>
  <c r="BH107" i="74" s="1"/>
  <c r="BB66" i="74"/>
  <c r="AY65" i="74"/>
  <c r="BH104" i="74" s="1"/>
  <c r="AY64" i="74"/>
  <c r="BH103" i="74" s="1"/>
  <c r="AY63" i="74"/>
  <c r="BH102" i="74" s="1"/>
  <c r="BB62" i="74"/>
  <c r="AY61" i="74"/>
  <c r="BH100" i="74" s="1"/>
  <c r="BI60" i="74"/>
  <c r="AY60" i="74"/>
  <c r="AY59" i="74"/>
  <c r="BH96" i="74" s="1"/>
  <c r="AY58" i="74"/>
  <c r="BH93" i="74" s="1"/>
  <c r="AY57" i="74"/>
  <c r="BH91" i="74" s="1"/>
  <c r="AY56" i="74"/>
  <c r="BH89" i="74" s="1"/>
  <c r="AY55" i="74"/>
  <c r="BH87" i="74" s="1"/>
  <c r="AY54" i="74"/>
  <c r="BH86" i="74" s="1"/>
  <c r="BB53" i="74"/>
  <c r="AY52" i="74"/>
  <c r="AY51" i="74"/>
  <c r="BH80" i="74" s="1"/>
  <c r="AY50" i="74"/>
  <c r="BH78" i="74" s="1"/>
  <c r="BB49" i="74"/>
  <c r="AY47" i="74"/>
  <c r="BH75" i="74" s="1"/>
  <c r="AY46" i="74"/>
  <c r="BH74" i="74" s="1"/>
  <c r="AY45" i="74"/>
  <c r="BH73" i="74" s="1"/>
  <c r="AY44" i="74"/>
  <c r="BH72" i="74" s="1"/>
  <c r="BI43" i="74"/>
  <c r="BB43" i="74"/>
  <c r="AY42" i="74"/>
  <c r="BH69" i="74" s="1"/>
  <c r="AY41" i="74"/>
  <c r="BH67" i="74" s="1"/>
  <c r="AY40" i="74"/>
  <c r="BH65" i="74" s="1"/>
  <c r="AY39" i="74"/>
  <c r="BH64" i="74" s="1"/>
  <c r="AY38" i="74"/>
  <c r="BH62" i="74" s="1"/>
  <c r="BB37" i="74"/>
  <c r="BI36" i="74"/>
  <c r="AY36" i="74"/>
  <c r="BH59" i="74" s="1"/>
  <c r="BH35" i="74"/>
  <c r="AY35" i="74"/>
  <c r="BH34" i="74"/>
  <c r="AY34" i="74"/>
  <c r="BH55" i="74" s="1"/>
  <c r="BH33" i="74"/>
  <c r="AY33" i="74"/>
  <c r="BH52" i="74" s="1"/>
  <c r="BH32" i="74"/>
  <c r="AY32" i="74"/>
  <c r="BH51" i="74" s="1"/>
  <c r="BH31" i="74"/>
  <c r="AY31" i="74"/>
  <c r="BH49" i="74" s="1"/>
  <c r="BH30" i="74"/>
  <c r="AY30" i="74"/>
  <c r="BH47" i="74" s="1"/>
  <c r="BH29" i="74"/>
  <c r="AY29" i="74"/>
  <c r="BH28" i="74"/>
  <c r="BB28" i="74"/>
  <c r="BH27" i="74"/>
  <c r="AY27" i="74"/>
  <c r="BH42" i="74" s="1"/>
  <c r="BI26" i="74"/>
  <c r="AY26" i="74"/>
  <c r="BH40" i="74" s="1"/>
  <c r="AY25" i="74"/>
  <c r="BH38" i="74" s="1"/>
  <c r="BB24" i="74"/>
  <c r="BI23" i="74"/>
  <c r="O17" i="74"/>
  <c r="BB14" i="74"/>
  <c r="AY13" i="74"/>
  <c r="BH21" i="74" s="1"/>
  <c r="J13" i="74"/>
  <c r="AY12" i="74"/>
  <c r="BH19" i="74" s="1"/>
  <c r="AY11" i="74"/>
  <c r="BH17" i="74" s="1"/>
  <c r="F11" i="74"/>
  <c r="AY10" i="74"/>
  <c r="BH15" i="74" s="1"/>
  <c r="F10" i="74"/>
  <c r="AY9" i="74"/>
  <c r="BH13" i="74" s="1"/>
  <c r="AY8" i="74"/>
  <c r="BH11" i="74" s="1"/>
  <c r="F8" i="74"/>
  <c r="AY7" i="74"/>
  <c r="BH9" i="74" s="1"/>
  <c r="F7" i="74"/>
  <c r="AY6" i="74"/>
  <c r="BH8" i="74" s="1"/>
  <c r="AY5" i="74"/>
  <c r="BH6" i="74" s="1"/>
  <c r="Y34" i="71"/>
  <c r="O85" i="71"/>
  <c r="O80" i="71" s="1"/>
  <c r="AC85" i="71"/>
  <c r="AC80" i="71" s="1"/>
  <c r="AA85" i="71"/>
  <c r="AA81" i="71" s="1"/>
  <c r="Y85" i="71"/>
  <c r="Y81" i="71" s="1"/>
  <c r="W85" i="71"/>
  <c r="W80" i="71" s="1"/>
  <c r="U85" i="71"/>
  <c r="U80" i="71" s="1"/>
  <c r="S85" i="71"/>
  <c r="S80" i="71" s="1"/>
  <c r="Q85" i="71"/>
  <c r="Q81" i="71" s="1"/>
  <c r="AE85" i="71"/>
  <c r="AE80" i="71" s="1"/>
  <c r="AP31" i="4"/>
  <c r="AR33" i="4" s="1"/>
  <c r="BI129" i="70"/>
  <c r="BI129" i="73"/>
  <c r="AZ94" i="73"/>
  <c r="AZ93" i="73"/>
  <c r="AZ92" i="73"/>
  <c r="AZ91" i="73"/>
  <c r="AZ90" i="73"/>
  <c r="AZ89" i="73"/>
  <c r="AU89" i="73"/>
  <c r="AR87" i="73" s="1"/>
  <c r="AZ88" i="73"/>
  <c r="AZ87" i="73"/>
  <c r="AU87" i="73"/>
  <c r="AY83" i="73" s="1"/>
  <c r="BH128" i="73" s="1"/>
  <c r="AY48" i="73"/>
  <c r="BH76" i="73" s="1"/>
  <c r="AZ86" i="73"/>
  <c r="AZ85" i="73"/>
  <c r="AY84" i="73"/>
  <c r="BH131" i="73" s="1"/>
  <c r="AI85" i="73"/>
  <c r="AI80" i="73" s="1"/>
  <c r="AG85" i="73"/>
  <c r="AG80" i="73" s="1"/>
  <c r="AE85" i="73"/>
  <c r="AE80" i="73" s="1"/>
  <c r="AC85" i="73"/>
  <c r="AC81" i="73" s="1"/>
  <c r="AA85" i="73"/>
  <c r="AA81" i="73" s="1"/>
  <c r="Y85" i="73"/>
  <c r="Y80" i="73" s="1"/>
  <c r="W85" i="73"/>
  <c r="W80" i="73" s="1"/>
  <c r="U85" i="73"/>
  <c r="U81" i="73" s="1"/>
  <c r="S85" i="73"/>
  <c r="S81" i="73" s="1"/>
  <c r="Q85" i="73"/>
  <c r="Q80" i="73" s="1"/>
  <c r="O85" i="73"/>
  <c r="O80" i="73" s="1"/>
  <c r="BK140" i="73"/>
  <c r="BI140" i="73"/>
  <c r="BK139" i="73"/>
  <c r="BI139" i="73"/>
  <c r="BB140" i="73"/>
  <c r="AZ140" i="73"/>
  <c r="BK132" i="73"/>
  <c r="BI132" i="73"/>
  <c r="BB132" i="73"/>
  <c r="AZ132" i="73"/>
  <c r="BB131" i="73"/>
  <c r="AZ131" i="73"/>
  <c r="BB130" i="73"/>
  <c r="AZ130" i="73"/>
  <c r="BK129" i="73"/>
  <c r="BB129" i="73"/>
  <c r="AZ129" i="73"/>
  <c r="BB128" i="73"/>
  <c r="AZ128" i="73"/>
  <c r="BK127" i="73"/>
  <c r="BI127" i="73"/>
  <c r="BB127" i="73"/>
  <c r="AZ127" i="73"/>
  <c r="BK126" i="73"/>
  <c r="BI126" i="73"/>
  <c r="BB126" i="73"/>
  <c r="AZ126" i="73"/>
  <c r="BB125" i="73"/>
  <c r="AZ125" i="73"/>
  <c r="BK124" i="73"/>
  <c r="BI124" i="73"/>
  <c r="BB124" i="73"/>
  <c r="AZ124" i="73"/>
  <c r="BB123" i="73"/>
  <c r="AZ123" i="73"/>
  <c r="BK122" i="73"/>
  <c r="BI122" i="73"/>
  <c r="BB122" i="73"/>
  <c r="AZ122" i="73"/>
  <c r="BB121" i="73"/>
  <c r="AZ121" i="73"/>
  <c r="BB120" i="73"/>
  <c r="AZ120" i="73"/>
  <c r="BB119" i="73"/>
  <c r="AZ119" i="73"/>
  <c r="BB118" i="73"/>
  <c r="AZ118" i="73"/>
  <c r="BB117" i="73"/>
  <c r="AZ117" i="73"/>
  <c r="BB116" i="73"/>
  <c r="AZ116" i="73"/>
  <c r="BB115" i="73"/>
  <c r="AZ115" i="73"/>
  <c r="BB114" i="73"/>
  <c r="AZ114" i="73"/>
  <c r="BB113" i="73"/>
  <c r="AZ113" i="73"/>
  <c r="BB112" i="73"/>
  <c r="AZ112" i="73"/>
  <c r="BB111" i="73"/>
  <c r="AZ111" i="73"/>
  <c r="BB110" i="73"/>
  <c r="AZ110" i="73"/>
  <c r="BB109" i="73"/>
  <c r="AZ109" i="73"/>
  <c r="BB108" i="73"/>
  <c r="AZ108" i="73"/>
  <c r="BB107" i="73"/>
  <c r="AZ107" i="73"/>
  <c r="BB106" i="73"/>
  <c r="AZ106" i="73"/>
  <c r="BK105" i="73"/>
  <c r="BI105" i="73"/>
  <c r="BB105" i="73"/>
  <c r="AZ105" i="73"/>
  <c r="BB104" i="73"/>
  <c r="AZ104" i="73"/>
  <c r="BB103" i="73"/>
  <c r="AZ103" i="73"/>
  <c r="BB102" i="73"/>
  <c r="AZ102" i="73"/>
  <c r="BK101" i="73"/>
  <c r="BI101" i="73"/>
  <c r="BB101" i="73"/>
  <c r="AZ101" i="73"/>
  <c r="BB100" i="73"/>
  <c r="AZ100" i="73"/>
  <c r="BB99" i="73"/>
  <c r="AZ99" i="73"/>
  <c r="BB98" i="73"/>
  <c r="AZ98" i="73"/>
  <c r="BB97" i="73"/>
  <c r="AZ97" i="73"/>
  <c r="BB96" i="73"/>
  <c r="AZ96" i="73"/>
  <c r="BB95" i="73"/>
  <c r="AZ95" i="73"/>
  <c r="BB94" i="73"/>
  <c r="BB93" i="73"/>
  <c r="BB92" i="73"/>
  <c r="BB91" i="73"/>
  <c r="BB90" i="73"/>
  <c r="BB89" i="73"/>
  <c r="BB88" i="73"/>
  <c r="BB87" i="73"/>
  <c r="BB86" i="73"/>
  <c r="BB85" i="73"/>
  <c r="BK84" i="73"/>
  <c r="BI84" i="73"/>
  <c r="BB82" i="73"/>
  <c r="AZ82" i="73"/>
  <c r="BB81" i="73"/>
  <c r="AZ81" i="73"/>
  <c r="BB79" i="73"/>
  <c r="AZ79" i="73"/>
  <c r="AW78" i="73"/>
  <c r="AV78" i="73"/>
  <c r="BK77" i="73"/>
  <c r="BI77" i="73"/>
  <c r="BB77" i="73"/>
  <c r="AZ77" i="73"/>
  <c r="AY76" i="73"/>
  <c r="BH123" i="73" s="1"/>
  <c r="BB75" i="73"/>
  <c r="AZ75" i="73"/>
  <c r="AY74" i="73"/>
  <c r="BH120" i="73" s="1"/>
  <c r="AY73" i="73"/>
  <c r="BH119" i="73" s="1"/>
  <c r="AY72" i="73"/>
  <c r="BH117" i="73" s="1"/>
  <c r="BK71" i="73"/>
  <c r="BI71" i="73"/>
  <c r="AY71" i="73"/>
  <c r="BH114" i="73" s="1"/>
  <c r="AY70" i="73"/>
  <c r="BH113" i="73" s="1"/>
  <c r="AY69" i="73"/>
  <c r="BH110" i="73" s="1"/>
  <c r="AY68" i="73"/>
  <c r="BH108" i="73" s="1"/>
  <c r="AY67" i="73"/>
  <c r="BH107" i="73" s="1"/>
  <c r="BB66" i="73"/>
  <c r="AZ66" i="73"/>
  <c r="AY65" i="73"/>
  <c r="BH104" i="73" s="1"/>
  <c r="AY64" i="73"/>
  <c r="BH103" i="73" s="1"/>
  <c r="AY63" i="73"/>
  <c r="BB62" i="73"/>
  <c r="AZ62" i="73"/>
  <c r="AY61" i="73"/>
  <c r="BH100" i="73" s="1"/>
  <c r="BK60" i="73"/>
  <c r="BI60" i="73"/>
  <c r="AY60" i="73"/>
  <c r="BH98" i="73" s="1"/>
  <c r="AY59" i="73"/>
  <c r="BH95" i="73" s="1"/>
  <c r="AY58" i="73"/>
  <c r="AY57" i="73"/>
  <c r="BH92" i="73" s="1"/>
  <c r="AY56" i="73"/>
  <c r="BH90" i="73" s="1"/>
  <c r="AY55" i="73"/>
  <c r="BH87" i="73" s="1"/>
  <c r="AY54" i="73"/>
  <c r="BH86" i="73" s="1"/>
  <c r="BB53" i="73"/>
  <c r="AZ53" i="73"/>
  <c r="AY52" i="73"/>
  <c r="BH83" i="73" s="1"/>
  <c r="AY51" i="73"/>
  <c r="BH81" i="73" s="1"/>
  <c r="AY50" i="73"/>
  <c r="BH78" i="73" s="1"/>
  <c r="BB49" i="73"/>
  <c r="AZ49" i="73"/>
  <c r="AY47" i="73"/>
  <c r="BH75" i="73" s="1"/>
  <c r="AY46" i="73"/>
  <c r="BH74" i="73" s="1"/>
  <c r="AY45" i="73"/>
  <c r="BH73" i="73" s="1"/>
  <c r="AY44" i="73"/>
  <c r="BH72" i="73" s="1"/>
  <c r="BK43" i="73"/>
  <c r="BI43" i="73"/>
  <c r="BB43" i="73"/>
  <c r="AZ43" i="73"/>
  <c r="AY42" i="73"/>
  <c r="BH69" i="73" s="1"/>
  <c r="AY41" i="73"/>
  <c r="BH68" i="73" s="1"/>
  <c r="AY40" i="73"/>
  <c r="BH65" i="73" s="1"/>
  <c r="AY39" i="73"/>
  <c r="BH64" i="73" s="1"/>
  <c r="AY38" i="73"/>
  <c r="BH61" i="73" s="1"/>
  <c r="BB37" i="73"/>
  <c r="AZ37" i="73"/>
  <c r="BK36" i="73"/>
  <c r="BI36" i="73"/>
  <c r="AY36" i="73"/>
  <c r="BH59" i="73" s="1"/>
  <c r="BH35" i="73"/>
  <c r="AY35" i="73"/>
  <c r="BH57" i="73" s="1"/>
  <c r="BH34" i="73"/>
  <c r="AY34" i="73"/>
  <c r="BH54" i="73" s="1"/>
  <c r="BH33" i="73"/>
  <c r="AY33" i="73"/>
  <c r="BH53" i="73" s="1"/>
  <c r="BH32" i="73"/>
  <c r="AY32" i="73"/>
  <c r="BH51" i="73" s="1"/>
  <c r="BH31" i="73"/>
  <c r="AY31" i="73"/>
  <c r="BH49" i="73" s="1"/>
  <c r="BH30" i="73"/>
  <c r="AY30" i="73"/>
  <c r="BH47" i="73" s="1"/>
  <c r="BH29" i="73"/>
  <c r="AY29" i="73"/>
  <c r="BH45" i="73" s="1"/>
  <c r="BH28" i="73"/>
  <c r="BB28" i="73"/>
  <c r="AZ28" i="73"/>
  <c r="BH27" i="73"/>
  <c r="AY27" i="73"/>
  <c r="BH41" i="73" s="1"/>
  <c r="BK26" i="73"/>
  <c r="BI26" i="73"/>
  <c r="AY26" i="73"/>
  <c r="BH40" i="73" s="1"/>
  <c r="AY25" i="73"/>
  <c r="BH38" i="73" s="1"/>
  <c r="BH24" i="73"/>
  <c r="BH136" i="73" s="1"/>
  <c r="BB24" i="73"/>
  <c r="AZ24" i="73"/>
  <c r="BK23" i="73"/>
  <c r="BI23" i="73"/>
  <c r="O17" i="73"/>
  <c r="BB14" i="73"/>
  <c r="AZ14" i="73"/>
  <c r="AY13" i="73"/>
  <c r="BH21" i="73" s="1"/>
  <c r="J13" i="73"/>
  <c r="AY12" i="73"/>
  <c r="BH19" i="73" s="1"/>
  <c r="AY11" i="73"/>
  <c r="BH17" i="73" s="1"/>
  <c r="F11" i="73"/>
  <c r="AY10" i="73"/>
  <c r="BH16" i="73" s="1"/>
  <c r="F10" i="73"/>
  <c r="AY9" i="73"/>
  <c r="BH14" i="73" s="1"/>
  <c r="AY8" i="73"/>
  <c r="BH12" i="73" s="1"/>
  <c r="F8" i="73"/>
  <c r="AY7" i="73"/>
  <c r="BH10" i="73" s="1"/>
  <c r="F7" i="73"/>
  <c r="AY6" i="73"/>
  <c r="BH8" i="73" s="1"/>
  <c r="AY5" i="73"/>
  <c r="BH5" i="73" s="1"/>
  <c r="BH131" i="71"/>
  <c r="AZ103" i="71"/>
  <c r="AZ102" i="71"/>
  <c r="AZ101" i="71"/>
  <c r="AZ100" i="71"/>
  <c r="AZ99" i="71"/>
  <c r="AU99" i="71"/>
  <c r="AZ98" i="71"/>
  <c r="AZ97" i="71"/>
  <c r="AU97" i="71"/>
  <c r="AZ96" i="71"/>
  <c r="AZ95" i="71"/>
  <c r="AI85" i="71"/>
  <c r="AI80" i="71" s="1"/>
  <c r="AG85" i="71"/>
  <c r="AG80" i="71" s="1"/>
  <c r="AI85" i="70"/>
  <c r="AI80" i="70" s="1"/>
  <c r="AG85" i="70"/>
  <c r="AG80" i="70" s="1"/>
  <c r="AE85" i="70"/>
  <c r="AE80" i="70" s="1"/>
  <c r="AC85" i="70"/>
  <c r="AC80" i="70" s="1"/>
  <c r="AA85" i="70"/>
  <c r="AA80" i="70" s="1"/>
  <c r="Y85" i="70"/>
  <c r="Y80" i="70" s="1"/>
  <c r="W85" i="70"/>
  <c r="W80" i="70" s="1"/>
  <c r="U85" i="70"/>
  <c r="U80" i="70" s="1"/>
  <c r="S85" i="70"/>
  <c r="S80" i="70" s="1"/>
  <c r="Q85" i="70"/>
  <c r="Q80" i="70" s="1"/>
  <c r="O85" i="70"/>
  <c r="O80" i="70" s="1"/>
  <c r="AU89" i="70"/>
  <c r="AU87" i="70"/>
  <c r="AY84" i="70"/>
  <c r="BH130" i="70" s="1"/>
  <c r="AE81" i="70"/>
  <c r="AB31" i="4"/>
  <c r="AD33" i="4" s="1"/>
  <c r="M31" i="4"/>
  <c r="O33" i="4" s="1"/>
  <c r="BK140" i="71"/>
  <c r="BI140" i="71"/>
  <c r="BK139" i="71"/>
  <c r="BI139" i="71"/>
  <c r="BB132" i="71"/>
  <c r="AZ132" i="71"/>
  <c r="BK132" i="71"/>
  <c r="BI132" i="71"/>
  <c r="BB124" i="71"/>
  <c r="AZ124" i="71"/>
  <c r="BB123" i="71"/>
  <c r="AZ123" i="71"/>
  <c r="BB122" i="71"/>
  <c r="AZ122" i="71"/>
  <c r="BK129" i="71"/>
  <c r="BB121" i="71"/>
  <c r="AZ121" i="71"/>
  <c r="BB120" i="71"/>
  <c r="AZ120" i="71"/>
  <c r="BK127" i="71"/>
  <c r="BI127" i="71"/>
  <c r="BB119" i="71"/>
  <c r="AZ119" i="71"/>
  <c r="BK126" i="71"/>
  <c r="BI126" i="71"/>
  <c r="BB118" i="71"/>
  <c r="AZ118" i="71"/>
  <c r="BB117" i="71"/>
  <c r="AZ117" i="71"/>
  <c r="BK124" i="71"/>
  <c r="BI124" i="71"/>
  <c r="BB116" i="71"/>
  <c r="AZ116" i="71"/>
  <c r="BB115" i="71"/>
  <c r="AZ115" i="71"/>
  <c r="BK122" i="71"/>
  <c r="BI122" i="71"/>
  <c r="BB114" i="71"/>
  <c r="AZ114" i="71"/>
  <c r="BB113" i="71"/>
  <c r="AZ113" i="71"/>
  <c r="BB112" i="71"/>
  <c r="AZ112" i="71"/>
  <c r="BB111" i="71"/>
  <c r="AZ111" i="71"/>
  <c r="BB110" i="71"/>
  <c r="AZ110" i="71"/>
  <c r="BB109" i="71"/>
  <c r="AZ109" i="71"/>
  <c r="BB108" i="71"/>
  <c r="AZ108" i="71"/>
  <c r="BB107" i="71"/>
  <c r="AZ107" i="71"/>
  <c r="BB106" i="71"/>
  <c r="AZ106" i="71"/>
  <c r="BB105" i="71"/>
  <c r="AZ105" i="71"/>
  <c r="BB104" i="71"/>
  <c r="AZ104" i="71"/>
  <c r="BB103" i="71"/>
  <c r="BB102" i="71"/>
  <c r="BB101" i="71"/>
  <c r="BB100" i="71"/>
  <c r="BK105" i="71"/>
  <c r="BI105" i="71"/>
  <c r="BB99" i="71"/>
  <c r="BB98" i="71"/>
  <c r="BB97" i="71"/>
  <c r="BB96" i="71"/>
  <c r="BK101" i="71"/>
  <c r="BI101" i="71"/>
  <c r="BB95" i="71"/>
  <c r="BB92" i="71"/>
  <c r="AZ92" i="71"/>
  <c r="BB91" i="71"/>
  <c r="AZ91" i="71"/>
  <c r="BB90" i="71"/>
  <c r="AZ90" i="71"/>
  <c r="BB89" i="71"/>
  <c r="AZ89" i="71"/>
  <c r="BB88" i="71"/>
  <c r="AZ88" i="71"/>
  <c r="BB87" i="71"/>
  <c r="AZ87" i="71"/>
  <c r="BB86" i="71"/>
  <c r="AZ86" i="71"/>
  <c r="BB85" i="71"/>
  <c r="AZ85" i="71"/>
  <c r="BB84" i="71"/>
  <c r="AZ84" i="71"/>
  <c r="BB83" i="71"/>
  <c r="AZ83" i="71"/>
  <c r="BB82" i="71"/>
  <c r="AZ82" i="71"/>
  <c r="BB81" i="71"/>
  <c r="AZ81" i="71"/>
  <c r="BK84" i="71"/>
  <c r="BI84" i="71"/>
  <c r="BB79" i="71"/>
  <c r="AZ79" i="71"/>
  <c r="AW78" i="71"/>
  <c r="AV78" i="71"/>
  <c r="BB77" i="71"/>
  <c r="AZ77" i="71"/>
  <c r="BH123" i="71"/>
  <c r="BK77" i="71"/>
  <c r="BI77" i="71"/>
  <c r="BB75" i="71"/>
  <c r="AZ75" i="71"/>
  <c r="AY74" i="71"/>
  <c r="BH120" i="71" s="1"/>
  <c r="AY73" i="71"/>
  <c r="BH118" i="71" s="1"/>
  <c r="AY72" i="71"/>
  <c r="BH116" i="71" s="1"/>
  <c r="AY71" i="71"/>
  <c r="BH115" i="71" s="1"/>
  <c r="AY70" i="71"/>
  <c r="BH112" i="71" s="1"/>
  <c r="BK71" i="71"/>
  <c r="BI71" i="71"/>
  <c r="AY69" i="71"/>
  <c r="BH111" i="71" s="1"/>
  <c r="AY68" i="71"/>
  <c r="BH108" i="71" s="1"/>
  <c r="BB66" i="71"/>
  <c r="AZ66" i="71"/>
  <c r="AY65" i="71"/>
  <c r="BH104" i="71" s="1"/>
  <c r="AY64" i="71"/>
  <c r="BH103" i="71" s="1"/>
  <c r="AY63" i="71"/>
  <c r="BH102" i="71" s="1"/>
  <c r="BB62" i="71"/>
  <c r="AZ62" i="71"/>
  <c r="AY61" i="71"/>
  <c r="BH99" i="71" s="1"/>
  <c r="AY60" i="71"/>
  <c r="BH98" i="71" s="1"/>
  <c r="BK60" i="71"/>
  <c r="BI60" i="71"/>
  <c r="AY59" i="71"/>
  <c r="BH96" i="71" s="1"/>
  <c r="AY58" i="71"/>
  <c r="BH94" i="71" s="1"/>
  <c r="AY57" i="71"/>
  <c r="BH92" i="71" s="1"/>
  <c r="AY56" i="71"/>
  <c r="BH89" i="71" s="1"/>
  <c r="AY55" i="71"/>
  <c r="BH87" i="71" s="1"/>
  <c r="BB53" i="71"/>
  <c r="AZ53" i="71"/>
  <c r="AY52" i="71"/>
  <c r="BH83" i="71" s="1"/>
  <c r="AY51" i="71"/>
  <c r="BH80" i="71" s="1"/>
  <c r="BB49" i="71"/>
  <c r="AZ49" i="71"/>
  <c r="AY47" i="71"/>
  <c r="BH75" i="71" s="1"/>
  <c r="AY46" i="71"/>
  <c r="BH74" i="71" s="1"/>
  <c r="AY45" i="71"/>
  <c r="BH73" i="71" s="1"/>
  <c r="AY44" i="71"/>
  <c r="BH72" i="71" s="1"/>
  <c r="BB43" i="71"/>
  <c r="AZ43" i="71"/>
  <c r="BK43" i="71"/>
  <c r="BI43" i="71"/>
  <c r="AY41" i="71"/>
  <c r="BH67" i="71" s="1"/>
  <c r="AY40" i="71"/>
  <c r="BH66" i="71" s="1"/>
  <c r="AY39" i="71"/>
  <c r="BH64" i="71" s="1"/>
  <c r="AY38" i="71"/>
  <c r="BH62" i="71" s="1"/>
  <c r="BB37" i="71"/>
  <c r="AZ37" i="71"/>
  <c r="AY36" i="71"/>
  <c r="BH59" i="71" s="1"/>
  <c r="BH34" i="71"/>
  <c r="AY35" i="71"/>
  <c r="BH56" i="71" s="1"/>
  <c r="BH33" i="71"/>
  <c r="AY34" i="71"/>
  <c r="BH55" i="71" s="1"/>
  <c r="BH32" i="71"/>
  <c r="AY33" i="71"/>
  <c r="BH52" i="71" s="1"/>
  <c r="BH31" i="71"/>
  <c r="AY32" i="71"/>
  <c r="BH50" i="71" s="1"/>
  <c r="BH30" i="71"/>
  <c r="AY31" i="71"/>
  <c r="BH49" i="71" s="1"/>
  <c r="BH29" i="71"/>
  <c r="AY30" i="71"/>
  <c r="BH46" i="71" s="1"/>
  <c r="BH28" i="71"/>
  <c r="BB28" i="71"/>
  <c r="AZ28" i="71"/>
  <c r="BK26" i="71"/>
  <c r="BI26" i="71"/>
  <c r="AY27" i="71"/>
  <c r="BH41" i="71" s="1"/>
  <c r="AY26" i="71"/>
  <c r="BH136" i="71"/>
  <c r="BK23" i="71"/>
  <c r="BI23" i="71"/>
  <c r="O17" i="71"/>
  <c r="J13" i="71"/>
  <c r="AY12" i="71"/>
  <c r="BH19" i="71" s="1"/>
  <c r="F11" i="71"/>
  <c r="AY11" i="71"/>
  <c r="BH17" i="71" s="1"/>
  <c r="F10" i="71"/>
  <c r="AY10" i="71"/>
  <c r="BH16" i="71" s="1"/>
  <c r="AY9" i="71"/>
  <c r="BH14" i="71" s="1"/>
  <c r="F8" i="71"/>
  <c r="AY8" i="71"/>
  <c r="BH11" i="71" s="1"/>
  <c r="F7" i="71"/>
  <c r="AY7" i="71"/>
  <c r="BH10" i="71" s="1"/>
  <c r="AY6" i="71"/>
  <c r="BK143" i="70"/>
  <c r="BI143" i="70"/>
  <c r="BK142" i="70"/>
  <c r="BI142" i="70"/>
  <c r="BK141" i="70"/>
  <c r="BI141" i="70"/>
  <c r="BB141" i="70"/>
  <c r="AZ141" i="70"/>
  <c r="BK132" i="70"/>
  <c r="BI132" i="70"/>
  <c r="BB132" i="70"/>
  <c r="AZ132" i="70"/>
  <c r="BB131" i="70"/>
  <c r="AZ131" i="70"/>
  <c r="BB130" i="70"/>
  <c r="AZ130" i="70"/>
  <c r="BB129" i="70"/>
  <c r="AZ129" i="70"/>
  <c r="BB128" i="70"/>
  <c r="AZ128" i="70"/>
  <c r="BK127" i="70"/>
  <c r="BI127" i="70"/>
  <c r="BB127" i="70"/>
  <c r="AZ127" i="70"/>
  <c r="BK126" i="70"/>
  <c r="BI126" i="70"/>
  <c r="BB126" i="70"/>
  <c r="AZ126" i="70"/>
  <c r="BB125" i="70"/>
  <c r="AZ125" i="70"/>
  <c r="BK124" i="70"/>
  <c r="BI124" i="70"/>
  <c r="BB124" i="70"/>
  <c r="AZ124" i="70"/>
  <c r="BB123" i="70"/>
  <c r="AZ123" i="70"/>
  <c r="BK122" i="70"/>
  <c r="BI122" i="70"/>
  <c r="BB122" i="70"/>
  <c r="AZ122" i="70"/>
  <c r="BB121" i="70"/>
  <c r="AZ121" i="70"/>
  <c r="BB120" i="70"/>
  <c r="AZ120" i="70"/>
  <c r="BB119" i="70"/>
  <c r="AZ119" i="70"/>
  <c r="BB118" i="70"/>
  <c r="AZ118" i="70"/>
  <c r="BB117" i="70"/>
  <c r="AZ117" i="70"/>
  <c r="BB116" i="70"/>
  <c r="AZ116" i="70"/>
  <c r="BB115" i="70"/>
  <c r="AZ115" i="70"/>
  <c r="BB114" i="70"/>
  <c r="AZ114" i="70"/>
  <c r="BB113" i="70"/>
  <c r="AZ113" i="70"/>
  <c r="BB112" i="70"/>
  <c r="AZ112" i="70"/>
  <c r="BB111" i="70"/>
  <c r="AZ111" i="70"/>
  <c r="BB110" i="70"/>
  <c r="AZ110" i="70"/>
  <c r="BB109" i="70"/>
  <c r="AZ109" i="70"/>
  <c r="BB108" i="70"/>
  <c r="AZ108" i="70"/>
  <c r="BB107" i="70"/>
  <c r="AZ107" i="70"/>
  <c r="BB106" i="70"/>
  <c r="AZ106" i="70"/>
  <c r="BK105" i="70"/>
  <c r="BI105" i="70"/>
  <c r="BB105" i="70"/>
  <c r="AZ105" i="70"/>
  <c r="BB104" i="70"/>
  <c r="AZ104" i="70"/>
  <c r="BB103" i="70"/>
  <c r="AZ103" i="70"/>
  <c r="BB102" i="70"/>
  <c r="AZ102" i="70"/>
  <c r="BK101" i="70"/>
  <c r="BI101" i="70"/>
  <c r="BB101" i="70"/>
  <c r="AZ101" i="70"/>
  <c r="BB100" i="70"/>
  <c r="AZ100" i="70"/>
  <c r="BB99" i="70"/>
  <c r="AZ99" i="70"/>
  <c r="BB98" i="70"/>
  <c r="AZ98" i="70"/>
  <c r="BB97" i="70"/>
  <c r="AZ97" i="70"/>
  <c r="BB96" i="70"/>
  <c r="AZ96" i="70"/>
  <c r="BB95" i="70"/>
  <c r="AZ95" i="70"/>
  <c r="BB94" i="70"/>
  <c r="AZ94" i="70"/>
  <c r="BB93" i="70"/>
  <c r="AZ93" i="70"/>
  <c r="BB92" i="70"/>
  <c r="AZ92" i="70"/>
  <c r="BB91" i="70"/>
  <c r="AZ91" i="70"/>
  <c r="BB90" i="70"/>
  <c r="AZ90" i="70"/>
  <c r="BB89" i="70"/>
  <c r="AZ89" i="70"/>
  <c r="BB88" i="70"/>
  <c r="AZ88" i="70"/>
  <c r="BB87" i="70"/>
  <c r="AZ87" i="70"/>
  <c r="BB86" i="70"/>
  <c r="AZ86" i="70"/>
  <c r="BB85" i="70"/>
  <c r="AZ85" i="70"/>
  <c r="BK84" i="70"/>
  <c r="BI84" i="70"/>
  <c r="BB82" i="70"/>
  <c r="AZ82" i="70"/>
  <c r="BB81" i="70"/>
  <c r="AZ81" i="70"/>
  <c r="BB79" i="70"/>
  <c r="AZ79" i="70"/>
  <c r="AW78" i="70"/>
  <c r="AV78" i="70"/>
  <c r="BK77" i="70"/>
  <c r="BI77" i="70"/>
  <c r="BB77" i="70"/>
  <c r="AZ77" i="70"/>
  <c r="AY76" i="70"/>
  <c r="BB75" i="70"/>
  <c r="AZ75" i="70"/>
  <c r="AY74" i="70"/>
  <c r="BH120" i="70" s="1"/>
  <c r="AY73" i="70"/>
  <c r="BH118" i="70" s="1"/>
  <c r="AY72" i="70"/>
  <c r="BH116" i="70" s="1"/>
  <c r="BK71" i="70"/>
  <c r="BI71" i="70"/>
  <c r="AY71" i="70"/>
  <c r="BH114" i="70" s="1"/>
  <c r="AY70" i="70"/>
  <c r="BH113" i="70" s="1"/>
  <c r="AY69" i="70"/>
  <c r="BH111" i="70" s="1"/>
  <c r="AY68" i="70"/>
  <c r="BH109" i="70" s="1"/>
  <c r="AY67" i="70"/>
  <c r="BH106" i="70" s="1"/>
  <c r="BB66" i="70"/>
  <c r="AZ66" i="70"/>
  <c r="AY65" i="70"/>
  <c r="BH104" i="70" s="1"/>
  <c r="AY64" i="70"/>
  <c r="BH103" i="70" s="1"/>
  <c r="AY63" i="70"/>
  <c r="BH102" i="70" s="1"/>
  <c r="BB62" i="70"/>
  <c r="AZ62" i="70"/>
  <c r="AY61" i="70"/>
  <c r="BH100" i="70" s="1"/>
  <c r="BK60" i="70"/>
  <c r="BI60" i="70"/>
  <c r="AY60" i="70"/>
  <c r="BH98" i="70" s="1"/>
  <c r="AY59" i="70"/>
  <c r="BH95" i="70" s="1"/>
  <c r="AY58" i="70"/>
  <c r="BH94" i="70" s="1"/>
  <c r="AY57" i="70"/>
  <c r="BH92" i="70" s="1"/>
  <c r="AY56" i="70"/>
  <c r="BH89" i="70" s="1"/>
  <c r="AY55" i="70"/>
  <c r="BH87" i="70" s="1"/>
  <c r="AY54" i="70"/>
  <c r="BB53" i="70"/>
  <c r="AZ53" i="70"/>
  <c r="AY52" i="70"/>
  <c r="BH82" i="70" s="1"/>
  <c r="AY51" i="70"/>
  <c r="BH80" i="70" s="1"/>
  <c r="AY50" i="70"/>
  <c r="BB49" i="70"/>
  <c r="AZ49" i="70"/>
  <c r="AY47" i="70"/>
  <c r="BH75" i="70" s="1"/>
  <c r="AY46" i="70"/>
  <c r="BH74" i="70" s="1"/>
  <c r="AY45" i="70"/>
  <c r="BH73" i="70" s="1"/>
  <c r="AY44" i="70"/>
  <c r="BH72" i="70" s="1"/>
  <c r="BK43" i="70"/>
  <c r="BI43" i="70"/>
  <c r="BB43" i="70"/>
  <c r="AZ43" i="70"/>
  <c r="AY42" i="70"/>
  <c r="BH70" i="70" s="1"/>
  <c r="AY41" i="70"/>
  <c r="BH68" i="70" s="1"/>
  <c r="AY40" i="70"/>
  <c r="BH65" i="70" s="1"/>
  <c r="AY39" i="70"/>
  <c r="BH64" i="70" s="1"/>
  <c r="AY38" i="70"/>
  <c r="BH61" i="70" s="1"/>
  <c r="BB37" i="70"/>
  <c r="AZ37" i="70"/>
  <c r="BK36" i="70"/>
  <c r="BI36" i="70"/>
  <c r="AY36" i="70"/>
  <c r="BH59" i="70" s="1"/>
  <c r="BH35" i="70"/>
  <c r="AY35" i="70"/>
  <c r="BH56" i="70" s="1"/>
  <c r="BH34" i="70"/>
  <c r="AY34" i="70"/>
  <c r="BH54" i="70" s="1"/>
  <c r="BH33" i="70"/>
  <c r="AY33" i="70"/>
  <c r="BH53" i="70" s="1"/>
  <c r="BH32" i="70"/>
  <c r="AY32" i="70"/>
  <c r="BH50" i="70" s="1"/>
  <c r="BH31" i="70"/>
  <c r="AY31" i="70"/>
  <c r="BH49" i="70" s="1"/>
  <c r="BH30" i="70"/>
  <c r="AY30" i="70"/>
  <c r="BH47" i="70" s="1"/>
  <c r="BH29" i="70"/>
  <c r="AY29" i="70"/>
  <c r="BH45" i="70" s="1"/>
  <c r="BH28" i="70"/>
  <c r="BB28" i="70"/>
  <c r="AZ28" i="70"/>
  <c r="BH27" i="70"/>
  <c r="AY27" i="70"/>
  <c r="BH42" i="70" s="1"/>
  <c r="BK26" i="70"/>
  <c r="BI26" i="70"/>
  <c r="AY26" i="70"/>
  <c r="BH40" i="70" s="1"/>
  <c r="AY25" i="70"/>
  <c r="BH24" i="70"/>
  <c r="BH136" i="70" s="1"/>
  <c r="BB24" i="70"/>
  <c r="AZ24" i="70"/>
  <c r="BK23" i="70"/>
  <c r="BI23" i="70"/>
  <c r="O17" i="70"/>
  <c r="BB14" i="70"/>
  <c r="AZ14" i="70"/>
  <c r="AY13" i="70"/>
  <c r="BH22" i="70" s="1"/>
  <c r="J13" i="70"/>
  <c r="AY12" i="70"/>
  <c r="BH19" i="70" s="1"/>
  <c r="AY11" i="70"/>
  <c r="BH17" i="70" s="1"/>
  <c r="F11" i="70"/>
  <c r="AY10" i="70"/>
  <c r="BH16" i="70" s="1"/>
  <c r="F10" i="70"/>
  <c r="AY9" i="70"/>
  <c r="BH13" i="70" s="1"/>
  <c r="AY8" i="70"/>
  <c r="BH12" i="70" s="1"/>
  <c r="F8" i="70"/>
  <c r="AY7" i="70"/>
  <c r="BH9" i="70" s="1"/>
  <c r="F7" i="70"/>
  <c r="AY6" i="70"/>
  <c r="BH8" i="70" s="1"/>
  <c r="AY5" i="70"/>
  <c r="BH5" i="70" s="1"/>
  <c r="AP21" i="4"/>
  <c r="AY19" i="69"/>
  <c r="AY18" i="69"/>
  <c r="AY17" i="69"/>
  <c r="AY16" i="69"/>
  <c r="AY15" i="69"/>
  <c r="AY14" i="69"/>
  <c r="AY13" i="69"/>
  <c r="BH29" i="69"/>
  <c r="BH28" i="69"/>
  <c r="BH27" i="69"/>
  <c r="BH26" i="69"/>
  <c r="BH25" i="69"/>
  <c r="BH24" i="69"/>
  <c r="BH23" i="69"/>
  <c r="BK108" i="69"/>
  <c r="BI108" i="69"/>
  <c r="BK107" i="69"/>
  <c r="BI107" i="69"/>
  <c r="BK106" i="69"/>
  <c r="BI106" i="69"/>
  <c r="BB106" i="69"/>
  <c r="AZ106" i="69"/>
  <c r="BK100" i="69"/>
  <c r="BI100" i="69"/>
  <c r="BB100" i="69"/>
  <c r="AZ100" i="69"/>
  <c r="BB99" i="69"/>
  <c r="AZ99" i="69"/>
  <c r="BK98" i="69"/>
  <c r="BI98" i="69"/>
  <c r="BB98" i="69"/>
  <c r="AZ98" i="69"/>
  <c r="BB97" i="69"/>
  <c r="AZ97" i="69"/>
  <c r="BK96" i="69"/>
  <c r="BI96" i="69"/>
  <c r="BB96" i="69"/>
  <c r="AZ96" i="69"/>
  <c r="BB95" i="69"/>
  <c r="AZ95" i="69"/>
  <c r="BB94" i="69"/>
  <c r="AZ94" i="69"/>
  <c r="BB93" i="69"/>
  <c r="AZ93" i="69"/>
  <c r="BB92" i="69"/>
  <c r="AZ92" i="69"/>
  <c r="BB91" i="69"/>
  <c r="AZ91" i="69"/>
  <c r="BB90" i="69"/>
  <c r="AZ90" i="69"/>
  <c r="BB89" i="69"/>
  <c r="AZ89" i="69"/>
  <c r="BB88" i="69"/>
  <c r="AZ88" i="69"/>
  <c r="BB87" i="69"/>
  <c r="AZ87" i="69"/>
  <c r="BB86" i="69"/>
  <c r="AZ86" i="69"/>
  <c r="BB85" i="69"/>
  <c r="AZ85" i="69"/>
  <c r="BB84" i="69"/>
  <c r="AZ84" i="69"/>
  <c r="BK83" i="69"/>
  <c r="BI83" i="69"/>
  <c r="BB83" i="69"/>
  <c r="AZ83" i="69"/>
  <c r="BB82" i="69"/>
  <c r="AZ82" i="69"/>
  <c r="BB81" i="69"/>
  <c r="AZ81" i="69"/>
  <c r="BB80" i="69"/>
  <c r="AZ80" i="69"/>
  <c r="BK79" i="69"/>
  <c r="BI79" i="69"/>
  <c r="BB79" i="69"/>
  <c r="AZ79" i="69"/>
  <c r="BB78" i="69"/>
  <c r="AZ78" i="69"/>
  <c r="BB77" i="69"/>
  <c r="AZ77" i="69"/>
  <c r="BB76" i="69"/>
  <c r="AZ76" i="69"/>
  <c r="BB75" i="69"/>
  <c r="AZ75" i="69"/>
  <c r="BB74" i="69"/>
  <c r="AZ74" i="69"/>
  <c r="BB73" i="69"/>
  <c r="AZ73" i="69"/>
  <c r="BB72" i="69"/>
  <c r="AZ72" i="69"/>
  <c r="BB71" i="69"/>
  <c r="AZ71" i="69"/>
  <c r="BB70" i="69"/>
  <c r="AZ70" i="69"/>
  <c r="BB69" i="69"/>
  <c r="AZ69" i="69"/>
  <c r="BB68" i="69"/>
  <c r="AZ68" i="69"/>
  <c r="BB67" i="69"/>
  <c r="AZ67" i="69"/>
  <c r="BK66" i="69"/>
  <c r="BI66" i="69"/>
  <c r="BB65" i="69"/>
  <c r="AZ65" i="69"/>
  <c r="BK63" i="69"/>
  <c r="BI63" i="69"/>
  <c r="BB63" i="69"/>
  <c r="AZ63" i="69"/>
  <c r="AY62" i="69"/>
  <c r="BH97" i="69" s="1"/>
  <c r="BB61" i="69"/>
  <c r="AZ61" i="69"/>
  <c r="AY60" i="69"/>
  <c r="BH95" i="69" s="1"/>
  <c r="AY59" i="69"/>
  <c r="BH93" i="69" s="1"/>
  <c r="BK57" i="69"/>
  <c r="BI57" i="69"/>
  <c r="AY58" i="69"/>
  <c r="BH91" i="69" s="1"/>
  <c r="AY57" i="69"/>
  <c r="BH89" i="69" s="1"/>
  <c r="AY56" i="69"/>
  <c r="BH87" i="69" s="1"/>
  <c r="AY55" i="69"/>
  <c r="BH84" i="69" s="1"/>
  <c r="BB54" i="69"/>
  <c r="AZ54" i="69"/>
  <c r="AY53" i="69"/>
  <c r="AY52" i="69"/>
  <c r="BH81" i="69" s="1"/>
  <c r="AY51" i="69"/>
  <c r="BH80" i="69" s="1"/>
  <c r="BB50" i="69"/>
  <c r="AZ50" i="69"/>
  <c r="AY49" i="69"/>
  <c r="BH77" i="69" s="1"/>
  <c r="AY48" i="69"/>
  <c r="BK46" i="69"/>
  <c r="BI46" i="69"/>
  <c r="AY47" i="69"/>
  <c r="BH73" i="69" s="1"/>
  <c r="AY46" i="69"/>
  <c r="BH72" i="69" s="1"/>
  <c r="AY45" i="69"/>
  <c r="BH69" i="69" s="1"/>
  <c r="AY44" i="69"/>
  <c r="BH68" i="69" s="1"/>
  <c r="BB43" i="69"/>
  <c r="AZ43" i="69"/>
  <c r="AY42" i="69"/>
  <c r="BH65" i="69" s="1"/>
  <c r="BB41" i="69"/>
  <c r="AZ41" i="69"/>
  <c r="AY40" i="69"/>
  <c r="BH62" i="69" s="1"/>
  <c r="AY39" i="69"/>
  <c r="BH61" i="69" s="1"/>
  <c r="AY38" i="69"/>
  <c r="BH60" i="69" s="1"/>
  <c r="AY37" i="69"/>
  <c r="BH59" i="69" s="1"/>
  <c r="AY36" i="69"/>
  <c r="BH58" i="69" s="1"/>
  <c r="BB35" i="69"/>
  <c r="AZ35" i="69"/>
  <c r="BK33" i="69"/>
  <c r="BI33" i="69"/>
  <c r="AY34" i="69"/>
  <c r="BH56" i="69" s="1"/>
  <c r="AY33" i="69"/>
  <c r="BH54" i="69" s="1"/>
  <c r="AY32" i="69"/>
  <c r="BH51" i="69" s="1"/>
  <c r="BK30" i="69"/>
  <c r="BI30" i="69"/>
  <c r="AY31" i="69"/>
  <c r="BH50" i="69" s="1"/>
  <c r="AY30" i="69"/>
  <c r="BH47" i="69" s="1"/>
  <c r="BB29" i="69"/>
  <c r="AZ29" i="69"/>
  <c r="AY28" i="69"/>
  <c r="BH44" i="69" s="1"/>
  <c r="AY27" i="69"/>
  <c r="BH43" i="69" s="1"/>
  <c r="AY26" i="69"/>
  <c r="BH41" i="69" s="1"/>
  <c r="AY25" i="69"/>
  <c r="BH38" i="69" s="1"/>
  <c r="AY24" i="69"/>
  <c r="BK22" i="69"/>
  <c r="BI22" i="69"/>
  <c r="AY23" i="69"/>
  <c r="BH35" i="69" s="1"/>
  <c r="BB22" i="69"/>
  <c r="AZ22" i="69"/>
  <c r="AY21" i="69"/>
  <c r="BH31" i="69" s="1"/>
  <c r="BH20" i="69"/>
  <c r="BB20" i="69"/>
  <c r="AZ20" i="69"/>
  <c r="BK19" i="69"/>
  <c r="BI19" i="69"/>
  <c r="O17" i="69"/>
  <c r="J13" i="69"/>
  <c r="BB12" i="69"/>
  <c r="AZ12" i="69"/>
  <c r="AY11" i="69"/>
  <c r="BH17" i="69" s="1"/>
  <c r="F11" i="69"/>
  <c r="AY10" i="69"/>
  <c r="BH16" i="69" s="1"/>
  <c r="F10" i="69"/>
  <c r="AY9" i="69"/>
  <c r="BH13" i="69" s="1"/>
  <c r="AY8" i="69"/>
  <c r="BH12" i="69" s="1"/>
  <c r="F8" i="69"/>
  <c r="AY7" i="69"/>
  <c r="BH10" i="69" s="1"/>
  <c r="F7" i="69"/>
  <c r="AY6" i="69"/>
  <c r="BH8" i="69" s="1"/>
  <c r="AY5" i="69"/>
  <c r="BH5" i="69" s="1"/>
  <c r="BD13" i="4"/>
  <c r="AP13" i="4"/>
  <c r="AB13" i="4"/>
  <c r="M13" i="4"/>
  <c r="BK107" i="68"/>
  <c r="BI107" i="68"/>
  <c r="BI101" i="68"/>
  <c r="BI99" i="68"/>
  <c r="BI97" i="68"/>
  <c r="BI84" i="68"/>
  <c r="BI80" i="68"/>
  <c r="BI67" i="68"/>
  <c r="BI64" i="68"/>
  <c r="BI58" i="68"/>
  <c r="BI47" i="68"/>
  <c r="BI34" i="68"/>
  <c r="BI31" i="68"/>
  <c r="BI23" i="68"/>
  <c r="BI19" i="68"/>
  <c r="AZ101" i="68"/>
  <c r="AZ100" i="68"/>
  <c r="AZ99" i="68"/>
  <c r="AZ98" i="68"/>
  <c r="AZ97" i="68"/>
  <c r="AZ96" i="68"/>
  <c r="AZ95" i="68"/>
  <c r="AZ94" i="68"/>
  <c r="AZ93" i="68"/>
  <c r="AZ92" i="68"/>
  <c r="AZ91" i="68"/>
  <c r="AZ90" i="68"/>
  <c r="AZ89" i="68"/>
  <c r="AZ88" i="68"/>
  <c r="AZ87" i="68"/>
  <c r="AZ86" i="68"/>
  <c r="AZ85" i="68"/>
  <c r="AZ84" i="68"/>
  <c r="AZ83" i="68"/>
  <c r="AZ82" i="68"/>
  <c r="AZ81" i="68"/>
  <c r="AZ80" i="68"/>
  <c r="AZ79" i="68"/>
  <c r="AZ78" i="68"/>
  <c r="AZ77" i="68"/>
  <c r="AZ76" i="68"/>
  <c r="AZ75" i="68"/>
  <c r="AZ74" i="68"/>
  <c r="AZ73" i="68"/>
  <c r="AZ72" i="68"/>
  <c r="AZ71" i="68"/>
  <c r="AZ70" i="68"/>
  <c r="AZ69" i="68"/>
  <c r="AZ68" i="68"/>
  <c r="AZ66" i="68"/>
  <c r="AZ63" i="68"/>
  <c r="AZ61" i="68"/>
  <c r="AZ54" i="68"/>
  <c r="AZ50" i="68"/>
  <c r="AZ43" i="68"/>
  <c r="AZ41" i="68"/>
  <c r="AZ35" i="68"/>
  <c r="AZ29" i="68"/>
  <c r="AZ22" i="68"/>
  <c r="AZ20" i="68"/>
  <c r="AZ12" i="68"/>
  <c r="BI135" i="67"/>
  <c r="BI134" i="67"/>
  <c r="BI133" i="67"/>
  <c r="BI132" i="67"/>
  <c r="BI126" i="67"/>
  <c r="BI124" i="67"/>
  <c r="BI122" i="67"/>
  <c r="BI105" i="67"/>
  <c r="BI101" i="67"/>
  <c r="BI84" i="67"/>
  <c r="BI77" i="67"/>
  <c r="BI71" i="67"/>
  <c r="BI60" i="67"/>
  <c r="BI43" i="67"/>
  <c r="BI36" i="67"/>
  <c r="BI26" i="67"/>
  <c r="BI23" i="67"/>
  <c r="AZ133" i="67"/>
  <c r="AZ132" i="67"/>
  <c r="AZ126" i="67"/>
  <c r="AZ125" i="67"/>
  <c r="AZ124" i="67"/>
  <c r="AZ123" i="67"/>
  <c r="AZ122" i="67"/>
  <c r="AZ121" i="67"/>
  <c r="AZ120" i="67"/>
  <c r="AZ119" i="67"/>
  <c r="AZ118" i="67"/>
  <c r="AZ117" i="67"/>
  <c r="AZ116" i="67"/>
  <c r="AZ115" i="67"/>
  <c r="AZ114" i="67"/>
  <c r="AZ113" i="67"/>
  <c r="AZ112" i="67"/>
  <c r="AZ111" i="67"/>
  <c r="AZ110" i="67"/>
  <c r="AZ109" i="67"/>
  <c r="AZ108" i="67"/>
  <c r="AZ107" i="67"/>
  <c r="AZ106" i="67"/>
  <c r="AZ105" i="67"/>
  <c r="AZ104" i="67"/>
  <c r="AZ103" i="67"/>
  <c r="AZ102" i="67"/>
  <c r="AZ101" i="67"/>
  <c r="AZ100" i="67"/>
  <c r="AZ99" i="67"/>
  <c r="AZ98" i="67"/>
  <c r="AZ97" i="67"/>
  <c r="AZ96" i="67"/>
  <c r="AZ95" i="67"/>
  <c r="AZ94" i="67"/>
  <c r="AZ93" i="67"/>
  <c r="AZ92" i="67"/>
  <c r="AZ91" i="67"/>
  <c r="AZ90" i="67"/>
  <c r="AZ89" i="67"/>
  <c r="AZ88" i="67"/>
  <c r="AZ87" i="67"/>
  <c r="AZ86" i="67"/>
  <c r="AZ85" i="67"/>
  <c r="AZ84" i="67"/>
  <c r="AZ83" i="67"/>
  <c r="AZ82" i="67"/>
  <c r="AZ81" i="67"/>
  <c r="AZ79" i="67"/>
  <c r="AZ77" i="67"/>
  <c r="AZ75" i="67"/>
  <c r="AZ66" i="67"/>
  <c r="AZ62" i="67"/>
  <c r="AZ53" i="67"/>
  <c r="AZ49" i="67"/>
  <c r="AZ43" i="67"/>
  <c r="AZ37" i="67"/>
  <c r="AZ28" i="67"/>
  <c r="AZ24" i="67"/>
  <c r="AZ14" i="67"/>
  <c r="BI135" i="66"/>
  <c r="BI134" i="66"/>
  <c r="BI133" i="66"/>
  <c r="BI132" i="66"/>
  <c r="BI126" i="66"/>
  <c r="BI124" i="66"/>
  <c r="BI122" i="66"/>
  <c r="BI105" i="66"/>
  <c r="BI101" i="66"/>
  <c r="BI84" i="66"/>
  <c r="BI77" i="66"/>
  <c r="BI71" i="66"/>
  <c r="BI60" i="66"/>
  <c r="BI43" i="66"/>
  <c r="BI23" i="66"/>
  <c r="AZ125" i="66"/>
  <c r="AZ124" i="66"/>
  <c r="AZ118" i="66"/>
  <c r="AZ117" i="66"/>
  <c r="AZ116" i="66"/>
  <c r="AZ115" i="66"/>
  <c r="AZ114" i="66"/>
  <c r="AZ113" i="66"/>
  <c r="AZ112" i="66"/>
  <c r="AZ111" i="66"/>
  <c r="AZ110" i="66"/>
  <c r="AZ109" i="66"/>
  <c r="AZ108" i="66"/>
  <c r="AZ107" i="66"/>
  <c r="AZ106" i="66"/>
  <c r="AZ105" i="66"/>
  <c r="AZ104" i="66"/>
  <c r="AZ103" i="66"/>
  <c r="AZ102" i="66"/>
  <c r="AZ101" i="66"/>
  <c r="AZ100" i="66"/>
  <c r="AZ99" i="66"/>
  <c r="AZ98" i="66"/>
  <c r="AZ97" i="66"/>
  <c r="AZ96" i="66"/>
  <c r="AZ95" i="66"/>
  <c r="AZ94" i="66"/>
  <c r="AZ93" i="66"/>
  <c r="AZ92" i="66"/>
  <c r="AZ91" i="66"/>
  <c r="AZ90" i="66"/>
  <c r="AZ89" i="66"/>
  <c r="AZ88" i="66"/>
  <c r="AZ87" i="66"/>
  <c r="AZ86" i="66"/>
  <c r="AZ85" i="66"/>
  <c r="AZ84" i="66"/>
  <c r="AZ83" i="66"/>
  <c r="AZ82" i="66"/>
  <c r="AZ81" i="66"/>
  <c r="AZ79" i="66"/>
  <c r="AZ77" i="66"/>
  <c r="AZ75" i="66"/>
  <c r="AZ66" i="66"/>
  <c r="AZ62" i="66"/>
  <c r="AZ53" i="66"/>
  <c r="AZ49" i="66"/>
  <c r="AZ43" i="66"/>
  <c r="AZ37" i="66"/>
  <c r="AZ28" i="66"/>
  <c r="BI135" i="1"/>
  <c r="BI134" i="1"/>
  <c r="BI133" i="1"/>
  <c r="BI132" i="1"/>
  <c r="BI126" i="1"/>
  <c r="BI124" i="1"/>
  <c r="BI122" i="1"/>
  <c r="BI105" i="1"/>
  <c r="BI101" i="1"/>
  <c r="BI84" i="1"/>
  <c r="BI77" i="1"/>
  <c r="BI71" i="1"/>
  <c r="BI60" i="1"/>
  <c r="BI43" i="1"/>
  <c r="BI36" i="1"/>
  <c r="BI26" i="1"/>
  <c r="BI23" i="1"/>
  <c r="AZ133" i="1"/>
  <c r="AZ132" i="1"/>
  <c r="AZ126" i="1"/>
  <c r="AZ125" i="1"/>
  <c r="AZ124" i="1"/>
  <c r="AZ123" i="1"/>
  <c r="AZ122" i="1"/>
  <c r="AZ121" i="1"/>
  <c r="AZ120" i="1"/>
  <c r="AZ119" i="1"/>
  <c r="AZ118" i="1"/>
  <c r="AZ117" i="1"/>
  <c r="AZ116" i="1"/>
  <c r="AZ115" i="1"/>
  <c r="AZ114" i="1"/>
  <c r="AZ113" i="1"/>
  <c r="AZ112" i="1"/>
  <c r="AZ111" i="1"/>
  <c r="AZ110" i="1"/>
  <c r="AZ109" i="1"/>
  <c r="AZ108" i="1"/>
  <c r="AZ107" i="1"/>
  <c r="AZ106" i="1"/>
  <c r="AZ105" i="1"/>
  <c r="AZ104" i="1"/>
  <c r="AZ103" i="1"/>
  <c r="AZ102" i="1"/>
  <c r="AZ101" i="1"/>
  <c r="AZ100" i="1"/>
  <c r="AZ99" i="1"/>
  <c r="AZ98" i="1"/>
  <c r="AZ97" i="1"/>
  <c r="AZ96" i="1"/>
  <c r="AZ95" i="1"/>
  <c r="AZ94" i="1"/>
  <c r="AZ93" i="1"/>
  <c r="AZ92" i="1"/>
  <c r="AZ91" i="1"/>
  <c r="AZ90" i="1"/>
  <c r="AZ89" i="1"/>
  <c r="AZ88" i="1"/>
  <c r="AZ87" i="1"/>
  <c r="AZ86" i="1"/>
  <c r="AZ85" i="1"/>
  <c r="AZ84" i="1"/>
  <c r="AZ83" i="1"/>
  <c r="AZ82" i="1"/>
  <c r="AZ81" i="1"/>
  <c r="AZ79" i="1"/>
  <c r="AZ77" i="1"/>
  <c r="AZ75" i="1"/>
  <c r="AZ66" i="1"/>
  <c r="AZ62" i="1"/>
  <c r="AZ53" i="1"/>
  <c r="AZ49" i="1"/>
  <c r="AZ43" i="1"/>
  <c r="AZ37" i="1"/>
  <c r="AZ28" i="1"/>
  <c r="AZ24" i="1"/>
  <c r="AZ14" i="1"/>
  <c r="AY44" i="68"/>
  <c r="BH68" i="68" s="1"/>
  <c r="BH30" i="68"/>
  <c r="BH29" i="68"/>
  <c r="BH28" i="68"/>
  <c r="BH27" i="68"/>
  <c r="BH26" i="68"/>
  <c r="BH25" i="68"/>
  <c r="BH24" i="68"/>
  <c r="BH20" i="68"/>
  <c r="BH21" i="68" s="1"/>
  <c r="AY40" i="68"/>
  <c r="BH63" i="68" s="1"/>
  <c r="AY34" i="68"/>
  <c r="BH56" i="68" s="1"/>
  <c r="AY33" i="68"/>
  <c r="BH55" i="68" s="1"/>
  <c r="AY32" i="68"/>
  <c r="BH52" i="68" s="1"/>
  <c r="AY31" i="68"/>
  <c r="AY30" i="68"/>
  <c r="BH48" i="68" s="1"/>
  <c r="AY28" i="68"/>
  <c r="BH46" i="68" s="1"/>
  <c r="AY27" i="68"/>
  <c r="BH43" i="68" s="1"/>
  <c r="AY26" i="68"/>
  <c r="BH41" i="68" s="1"/>
  <c r="AY25" i="68"/>
  <c r="BH39" i="68" s="1"/>
  <c r="AY24" i="68"/>
  <c r="BH37" i="68" s="1"/>
  <c r="AY23" i="68"/>
  <c r="BH35" i="68" s="1"/>
  <c r="AY21" i="68"/>
  <c r="BH32" i="68" s="1"/>
  <c r="AY11" i="68"/>
  <c r="BH18" i="68" s="1"/>
  <c r="AY10" i="68"/>
  <c r="BH15" i="68" s="1"/>
  <c r="AY9" i="68"/>
  <c r="BH14" i="68" s="1"/>
  <c r="AY8" i="68"/>
  <c r="BH11" i="68" s="1"/>
  <c r="AY7" i="68"/>
  <c r="BH9" i="68" s="1"/>
  <c r="AY6" i="68"/>
  <c r="BH8" i="68" s="1"/>
  <c r="AY5" i="68"/>
  <c r="BH5" i="68" s="1"/>
  <c r="AW65" i="68"/>
  <c r="AV65" i="68"/>
  <c r="BK101" i="68"/>
  <c r="BK99" i="68"/>
  <c r="BB101" i="68"/>
  <c r="BB100" i="68"/>
  <c r="BK97" i="68"/>
  <c r="BB99" i="68"/>
  <c r="BB98" i="68"/>
  <c r="BB97" i="68"/>
  <c r="BB96" i="68"/>
  <c r="BB95" i="68"/>
  <c r="BB94" i="68"/>
  <c r="BB93" i="68"/>
  <c r="BB92" i="68"/>
  <c r="BB91" i="68"/>
  <c r="BB90" i="68"/>
  <c r="BB89" i="68"/>
  <c r="BB88" i="68"/>
  <c r="BB87" i="68"/>
  <c r="BB86" i="68"/>
  <c r="BB85" i="68"/>
  <c r="BB84" i="68"/>
  <c r="BB83" i="68"/>
  <c r="BB82" i="68"/>
  <c r="BB81" i="68"/>
  <c r="BK80" i="68"/>
  <c r="BB80" i="68"/>
  <c r="BB79" i="68"/>
  <c r="BB78" i="68"/>
  <c r="BB77" i="68"/>
  <c r="BB76" i="68"/>
  <c r="BB75" i="68"/>
  <c r="BB74" i="68"/>
  <c r="BB73" i="68"/>
  <c r="BB72" i="68"/>
  <c r="BB71" i="68"/>
  <c r="BB70" i="68"/>
  <c r="BB69" i="68"/>
  <c r="BB68" i="68"/>
  <c r="BB66" i="68"/>
  <c r="BB63" i="68"/>
  <c r="AY62" i="68"/>
  <c r="BH98" i="68" s="1"/>
  <c r="BB61" i="68"/>
  <c r="AY60" i="68"/>
  <c r="BH96" i="68" s="1"/>
  <c r="AY59" i="68"/>
  <c r="BH93" i="68" s="1"/>
  <c r="AY58" i="68"/>
  <c r="BH91" i="68" s="1"/>
  <c r="AY57" i="68"/>
  <c r="BH90" i="68" s="1"/>
  <c r="AY56" i="68"/>
  <c r="BH88" i="68" s="1"/>
  <c r="AY55" i="68"/>
  <c r="BH86" i="68" s="1"/>
  <c r="BK58" i="68"/>
  <c r="AY53" i="68"/>
  <c r="BH83" i="68" s="1"/>
  <c r="AY52" i="68"/>
  <c r="BH82" i="68" s="1"/>
  <c r="AY51" i="68"/>
  <c r="BH81" i="68" s="1"/>
  <c r="BB50" i="68"/>
  <c r="AY49" i="68"/>
  <c r="BH78" i="68" s="1"/>
  <c r="AY48" i="68"/>
  <c r="BH77" i="68" s="1"/>
  <c r="AY47" i="68"/>
  <c r="BH75" i="68" s="1"/>
  <c r="AY46" i="68"/>
  <c r="BH72" i="68" s="1"/>
  <c r="AY45" i="68"/>
  <c r="BH70" i="68" s="1"/>
  <c r="BB43" i="68"/>
  <c r="AY42" i="68"/>
  <c r="BH66" i="68" s="1"/>
  <c r="AY39" i="68"/>
  <c r="BH62" i="68" s="1"/>
  <c r="AY38" i="68"/>
  <c r="BH61" i="68" s="1"/>
  <c r="AY37" i="68"/>
  <c r="BH60" i="68" s="1"/>
  <c r="AY36" i="68"/>
  <c r="BH59" i="68" s="1"/>
  <c r="BB35" i="68"/>
  <c r="BK34" i="68"/>
  <c r="BB22" i="68"/>
  <c r="BK23" i="68"/>
  <c r="BB20" i="68"/>
  <c r="BK19" i="68"/>
  <c r="O17" i="68"/>
  <c r="J13" i="68"/>
  <c r="BB12" i="68"/>
  <c r="F11" i="68"/>
  <c r="F10" i="68"/>
  <c r="F8" i="68"/>
  <c r="F7" i="68"/>
  <c r="BH34" i="66"/>
  <c r="BH33" i="66"/>
  <c r="BH32" i="66"/>
  <c r="BH31" i="66"/>
  <c r="BH30" i="66"/>
  <c r="BH29" i="66"/>
  <c r="BH28" i="66"/>
  <c r="BH24" i="66"/>
  <c r="BK135" i="67"/>
  <c r="BB133" i="67"/>
  <c r="BK134" i="67"/>
  <c r="BB132" i="67"/>
  <c r="BK133" i="67"/>
  <c r="BK132" i="67"/>
  <c r="BB126" i="67"/>
  <c r="BB125" i="67"/>
  <c r="BK126" i="67"/>
  <c r="BB124" i="67"/>
  <c r="BB123" i="67"/>
  <c r="BK124" i="67"/>
  <c r="BB122" i="67"/>
  <c r="BB121" i="67"/>
  <c r="BK122" i="67"/>
  <c r="BB120" i="67"/>
  <c r="BB119" i="67"/>
  <c r="BB118" i="67"/>
  <c r="BB117" i="67"/>
  <c r="BB116" i="67"/>
  <c r="BB115" i="67"/>
  <c r="BB114" i="67"/>
  <c r="BB113" i="67"/>
  <c r="BB112" i="67"/>
  <c r="BB111" i="67"/>
  <c r="BB110" i="67"/>
  <c r="BB109" i="67"/>
  <c r="BB108" i="67"/>
  <c r="BB107" i="67"/>
  <c r="BB106" i="67"/>
  <c r="BB105" i="67"/>
  <c r="BB104" i="67"/>
  <c r="BK105" i="67"/>
  <c r="BB103" i="67"/>
  <c r="BB102" i="67"/>
  <c r="BB101" i="67"/>
  <c r="BB100" i="67"/>
  <c r="BK101" i="67"/>
  <c r="BB99" i="67"/>
  <c r="BB98" i="67"/>
  <c r="BB97" i="67"/>
  <c r="BB96" i="67"/>
  <c r="BB95" i="67"/>
  <c r="BB94" i="67"/>
  <c r="BB93" i="67"/>
  <c r="BB92" i="67"/>
  <c r="BB91" i="67"/>
  <c r="BB90" i="67"/>
  <c r="BB89" i="67"/>
  <c r="BB88" i="67"/>
  <c r="BB87" i="67"/>
  <c r="BB86" i="67"/>
  <c r="BB85" i="67"/>
  <c r="BB84" i="67"/>
  <c r="BB83" i="67"/>
  <c r="BK84" i="67"/>
  <c r="BB82" i="67"/>
  <c r="BB81" i="67"/>
  <c r="BB79" i="67"/>
  <c r="BB77" i="67"/>
  <c r="AY76" i="67"/>
  <c r="BH123" i="67" s="1"/>
  <c r="BK77" i="67"/>
  <c r="BB75" i="67"/>
  <c r="AY74" i="67"/>
  <c r="BH121" i="67" s="1"/>
  <c r="AY73" i="67"/>
  <c r="BH118" i="67" s="1"/>
  <c r="AY72" i="67"/>
  <c r="BH117" i="67" s="1"/>
  <c r="AY71" i="67"/>
  <c r="BH114" i="67" s="1"/>
  <c r="AY70" i="67"/>
  <c r="BH112" i="67" s="1"/>
  <c r="BK71" i="67"/>
  <c r="AY69" i="67"/>
  <c r="BH110" i="67" s="1"/>
  <c r="AY68" i="67"/>
  <c r="BH108" i="67" s="1"/>
  <c r="AY67" i="67"/>
  <c r="BH106" i="67" s="1"/>
  <c r="BB66" i="67"/>
  <c r="AY65" i="67"/>
  <c r="BH104" i="67" s="1"/>
  <c r="AY64" i="67"/>
  <c r="BH103" i="67" s="1"/>
  <c r="AY63" i="67"/>
  <c r="BH102" i="67" s="1"/>
  <c r="BB62" i="67"/>
  <c r="AY61" i="67"/>
  <c r="BH99" i="67" s="1"/>
  <c r="AY60" i="67"/>
  <c r="BH97" i="67" s="1"/>
  <c r="AY59" i="67"/>
  <c r="BH95" i="67" s="1"/>
  <c r="BK60" i="67"/>
  <c r="AY58" i="67"/>
  <c r="BH93" i="67" s="1"/>
  <c r="AY57" i="67"/>
  <c r="BH92" i="67" s="1"/>
  <c r="AY56" i="67"/>
  <c r="BH90" i="67" s="1"/>
  <c r="AY55" i="67"/>
  <c r="BH88" i="67" s="1"/>
  <c r="AY54" i="67"/>
  <c r="BH85" i="67" s="1"/>
  <c r="BB53" i="67"/>
  <c r="AY52" i="67"/>
  <c r="BH82" i="67" s="1"/>
  <c r="AY51" i="67"/>
  <c r="BH81" i="67" s="1"/>
  <c r="AY50" i="67"/>
  <c r="BH79" i="67" s="1"/>
  <c r="BB49" i="67"/>
  <c r="AY48" i="67"/>
  <c r="BH76" i="67" s="1"/>
  <c r="AY47" i="67"/>
  <c r="BH75" i="67" s="1"/>
  <c r="AY46" i="67"/>
  <c r="BH74" i="67" s="1"/>
  <c r="AY45" i="67"/>
  <c r="BH73" i="67" s="1"/>
  <c r="AY44" i="67"/>
  <c r="BH72" i="67" s="1"/>
  <c r="BB43" i="67"/>
  <c r="AY42" i="67"/>
  <c r="BH70" i="67" s="1"/>
  <c r="BK43" i="67"/>
  <c r="AY41" i="67"/>
  <c r="BH68" i="67" s="1"/>
  <c r="AY40" i="67"/>
  <c r="BH66" i="67" s="1"/>
  <c r="AY39" i="67"/>
  <c r="BH64" i="67" s="1"/>
  <c r="AY38" i="67"/>
  <c r="BH61" i="67" s="1"/>
  <c r="BB37" i="67"/>
  <c r="AY36" i="67"/>
  <c r="BH59" i="67" s="1"/>
  <c r="AY35" i="67"/>
  <c r="BH57" i="67" s="1"/>
  <c r="BK36" i="67"/>
  <c r="AY34" i="67"/>
  <c r="BH54" i="67" s="1"/>
  <c r="BH35" i="67"/>
  <c r="AY33" i="67"/>
  <c r="BH53" i="67" s="1"/>
  <c r="BH34" i="67"/>
  <c r="AY32" i="67"/>
  <c r="BH50" i="67" s="1"/>
  <c r="BH33" i="67"/>
  <c r="AY31" i="67"/>
  <c r="BH48" i="67" s="1"/>
  <c r="BH32" i="67"/>
  <c r="AY30" i="67"/>
  <c r="BH47" i="67" s="1"/>
  <c r="BH31" i="67"/>
  <c r="AY29" i="67"/>
  <c r="BH44" i="67" s="1"/>
  <c r="BH30" i="67"/>
  <c r="BB28" i="67"/>
  <c r="BH29" i="67"/>
  <c r="AY27" i="67"/>
  <c r="BH41" i="67" s="1"/>
  <c r="BH28" i="67"/>
  <c r="AY26" i="67"/>
  <c r="BH40" i="67" s="1"/>
  <c r="BH27" i="67"/>
  <c r="AY25" i="67"/>
  <c r="BH38" i="67" s="1"/>
  <c r="BK26" i="67"/>
  <c r="BB24" i="67"/>
  <c r="BH24" i="67"/>
  <c r="BK23" i="67"/>
  <c r="O17" i="67"/>
  <c r="BB14" i="67"/>
  <c r="AY13" i="67"/>
  <c r="BH21" i="67" s="1"/>
  <c r="J13" i="67"/>
  <c r="AY12" i="67"/>
  <c r="BH20" i="67" s="1"/>
  <c r="AY11" i="67"/>
  <c r="BH18" i="67" s="1"/>
  <c r="F11" i="67"/>
  <c r="AY10" i="67"/>
  <c r="BH15" i="67" s="1"/>
  <c r="F10" i="67"/>
  <c r="AY9" i="67"/>
  <c r="BH13" i="67" s="1"/>
  <c r="AY8" i="67"/>
  <c r="BH11" i="67" s="1"/>
  <c r="F8" i="67"/>
  <c r="AY7" i="67"/>
  <c r="BH10" i="67" s="1"/>
  <c r="F7" i="67"/>
  <c r="AY6" i="67"/>
  <c r="BH8" i="67" s="1"/>
  <c r="AY5" i="67"/>
  <c r="BH6" i="67" s="1"/>
  <c r="F7" i="66"/>
  <c r="F11" i="66"/>
  <c r="F8" i="66"/>
  <c r="J13" i="66"/>
  <c r="F11" i="1"/>
  <c r="F8" i="1"/>
  <c r="J13" i="1"/>
  <c r="F7" i="1"/>
  <c r="BH123" i="66"/>
  <c r="AY74" i="66"/>
  <c r="BH120" i="66" s="1"/>
  <c r="AY73" i="66"/>
  <c r="BH118" i="66" s="1"/>
  <c r="AY72" i="66"/>
  <c r="BH117" i="66" s="1"/>
  <c r="AY71" i="66"/>
  <c r="BH115" i="66" s="1"/>
  <c r="AY70" i="66"/>
  <c r="BH113" i="66" s="1"/>
  <c r="AY69" i="66"/>
  <c r="BH111" i="66" s="1"/>
  <c r="AY68" i="66"/>
  <c r="BH109" i="66" s="1"/>
  <c r="AY65" i="66"/>
  <c r="BH104" i="66" s="1"/>
  <c r="AY64" i="66"/>
  <c r="BH103" i="66" s="1"/>
  <c r="AY63" i="66"/>
  <c r="BH102" i="66" s="1"/>
  <c r="AY61" i="66"/>
  <c r="BH100" i="66" s="1"/>
  <c r="AY60" i="66"/>
  <c r="BH97" i="66" s="1"/>
  <c r="AY59" i="66"/>
  <c r="BH96" i="66" s="1"/>
  <c r="AY58" i="66"/>
  <c r="AY57" i="66"/>
  <c r="BH91" i="66" s="1"/>
  <c r="AY56" i="66"/>
  <c r="BH90" i="66" s="1"/>
  <c r="AY55" i="66"/>
  <c r="BH87" i="66" s="1"/>
  <c r="AY52" i="66"/>
  <c r="BH83" i="66" s="1"/>
  <c r="AY51" i="66"/>
  <c r="BH81" i="66" s="1"/>
  <c r="BH76" i="66"/>
  <c r="AY47" i="66"/>
  <c r="BH75" i="66" s="1"/>
  <c r="AY46" i="66"/>
  <c r="BH74" i="66" s="1"/>
  <c r="AY45" i="66"/>
  <c r="BH73" i="66" s="1"/>
  <c r="AY44" i="66"/>
  <c r="BH72" i="66" s="1"/>
  <c r="AY41" i="66"/>
  <c r="BH68" i="66" s="1"/>
  <c r="AY40" i="66"/>
  <c r="BH65" i="66" s="1"/>
  <c r="AY39" i="66"/>
  <c r="BH64" i="66" s="1"/>
  <c r="AY38" i="66"/>
  <c r="BH62" i="66" s="1"/>
  <c r="AY36" i="66"/>
  <c r="BH59" i="66" s="1"/>
  <c r="AY35" i="66"/>
  <c r="BH56" i="66" s="1"/>
  <c r="AY34" i="66"/>
  <c r="BH55" i="66" s="1"/>
  <c r="AY33" i="66"/>
  <c r="BH53" i="66" s="1"/>
  <c r="AY32" i="66"/>
  <c r="BH51" i="66" s="1"/>
  <c r="AY31" i="66"/>
  <c r="BH48" i="66" s="1"/>
  <c r="AY30" i="66"/>
  <c r="BH46" i="66" s="1"/>
  <c r="AY27" i="66"/>
  <c r="BH42" i="66" s="1"/>
  <c r="AY26" i="66"/>
  <c r="BH39" i="66" s="1"/>
  <c r="AY12" i="66"/>
  <c r="BH20" i="66" s="1"/>
  <c r="AY11" i="66"/>
  <c r="BH18" i="66" s="1"/>
  <c r="AY10" i="66"/>
  <c r="BH16" i="66" s="1"/>
  <c r="AY9" i="66"/>
  <c r="BH14" i="66" s="1"/>
  <c r="AY8" i="66"/>
  <c r="BH11" i="66" s="1"/>
  <c r="AY7" i="66"/>
  <c r="BH10" i="66" s="1"/>
  <c r="AY6" i="66"/>
  <c r="BK135" i="66"/>
  <c r="BB125" i="66"/>
  <c r="BK134" i="66"/>
  <c r="BB124" i="66"/>
  <c r="BK133" i="66"/>
  <c r="BK132" i="66"/>
  <c r="BB118" i="66"/>
  <c r="BK126" i="66"/>
  <c r="BB117" i="66"/>
  <c r="BB116" i="66"/>
  <c r="BB115" i="66"/>
  <c r="BB114" i="66"/>
  <c r="BB113" i="66"/>
  <c r="BB112" i="66"/>
  <c r="BB111" i="66"/>
  <c r="BB110" i="66"/>
  <c r="BB109" i="66"/>
  <c r="BB108" i="66"/>
  <c r="BB107" i="66"/>
  <c r="BB106" i="66"/>
  <c r="BB105" i="66"/>
  <c r="BB104" i="66"/>
  <c r="BB103" i="66"/>
  <c r="BB102" i="66"/>
  <c r="BB101" i="66"/>
  <c r="BB100" i="66"/>
  <c r="BB99" i="66"/>
  <c r="BB98" i="66"/>
  <c r="BB97" i="66"/>
  <c r="BB96" i="66"/>
  <c r="BB95" i="66"/>
  <c r="BB94" i="66"/>
  <c r="BB93" i="66"/>
  <c r="BB92" i="66"/>
  <c r="BB91" i="66"/>
  <c r="BB89" i="66"/>
  <c r="BB88" i="66"/>
  <c r="BB87" i="66"/>
  <c r="BB85" i="66"/>
  <c r="BB84" i="66"/>
  <c r="BB83" i="66"/>
  <c r="BB82" i="66"/>
  <c r="BB77" i="66"/>
  <c r="BB75" i="66"/>
  <c r="BB66" i="66"/>
  <c r="BB62" i="66"/>
  <c r="BB53" i="66"/>
  <c r="BB37" i="66"/>
  <c r="O17" i="66"/>
  <c r="F10" i="66"/>
  <c r="BH35" i="1"/>
  <c r="BH34" i="1"/>
  <c r="BH33" i="1"/>
  <c r="BH32" i="1"/>
  <c r="BH31" i="1"/>
  <c r="BH30" i="1"/>
  <c r="BH29" i="1"/>
  <c r="BH28" i="1"/>
  <c r="BH27" i="1"/>
  <c r="E84" i="3"/>
  <c r="AM23" i="10" s="1"/>
  <c r="E83" i="3"/>
  <c r="AW22" i="10" s="1"/>
  <c r="E82" i="3"/>
  <c r="AW21" i="10" s="1"/>
  <c r="E81" i="3"/>
  <c r="AW20" i="10" s="1"/>
  <c r="E80" i="3"/>
  <c r="AW19" i="10" s="1"/>
  <c r="E79" i="3"/>
  <c r="AW18" i="10" s="1"/>
  <c r="E78" i="3"/>
  <c r="AW17" i="10" s="1"/>
  <c r="E77" i="3"/>
  <c r="AW16" i="10" s="1"/>
  <c r="E76" i="3"/>
  <c r="E85" i="3"/>
  <c r="E75" i="3"/>
  <c r="AU21" i="10" s="1"/>
  <c r="AA15" i="2" s="1"/>
  <c r="E74" i="3"/>
  <c r="AU20" i="10" s="1"/>
  <c r="AA14" i="2" s="1"/>
  <c r="E73" i="3"/>
  <c r="E72" i="3"/>
  <c r="E71" i="3"/>
  <c r="AU16" i="10" s="1"/>
  <c r="AY10" i="77" s="1"/>
  <c r="E70" i="3"/>
  <c r="B8" i="77" s="1"/>
  <c r="E69" i="3"/>
  <c r="E68" i="3"/>
  <c r="AU11" i="10" s="1"/>
  <c r="E67" i="3"/>
  <c r="AU10" i="10" s="1"/>
  <c r="E66" i="3"/>
  <c r="E65" i="3"/>
  <c r="AU19" i="10" s="1"/>
  <c r="AA13" i="2" s="1"/>
  <c r="E64" i="3"/>
  <c r="E63" i="3"/>
  <c r="AU8" i="10" s="1"/>
  <c r="E62" i="3"/>
  <c r="AU7" i="10" s="1"/>
  <c r="AA9" i="2" s="1"/>
  <c r="E61" i="3"/>
  <c r="AU6" i="10" s="1"/>
  <c r="E25" i="3"/>
  <c r="U17" i="10" s="1"/>
  <c r="B221" i="2"/>
  <c r="AU18" i="75" s="1"/>
  <c r="B220" i="2"/>
  <c r="B219" i="2"/>
  <c r="BD26" i="69" s="1"/>
  <c r="B218" i="2"/>
  <c r="B217" i="2"/>
  <c r="C217" i="2" s="1"/>
  <c r="B216" i="2"/>
  <c r="B222" i="2"/>
  <c r="BK84" i="1"/>
  <c r="BK60" i="1"/>
  <c r="BK36" i="1"/>
  <c r="BK135" i="1"/>
  <c r="BK134" i="1"/>
  <c r="BK133" i="1"/>
  <c r="BK132" i="1"/>
  <c r="BK126" i="1"/>
  <c r="BK124" i="1"/>
  <c r="BK122" i="1"/>
  <c r="BK105" i="1"/>
  <c r="BK101" i="1"/>
  <c r="BK77" i="1"/>
  <c r="BK71" i="1"/>
  <c r="BK43" i="1"/>
  <c r="BK26" i="1"/>
  <c r="BK23" i="1"/>
  <c r="BB88" i="1"/>
  <c r="BB87" i="1"/>
  <c r="BB86" i="1"/>
  <c r="BB85" i="1"/>
  <c r="BB84" i="1"/>
  <c r="BB83" i="1"/>
  <c r="BB82" i="1"/>
  <c r="BB81" i="1"/>
  <c r="BB79" i="1"/>
  <c r="BB77" i="1"/>
  <c r="BB75" i="1"/>
  <c r="BB66" i="1"/>
  <c r="BB62" i="1"/>
  <c r="BB53" i="1"/>
  <c r="BB49" i="1"/>
  <c r="BB43" i="1"/>
  <c r="BB37" i="1"/>
  <c r="BB28" i="1"/>
  <c r="BB24" i="1"/>
  <c r="BB14" i="1"/>
  <c r="BB29" i="68"/>
  <c r="BK31" i="68"/>
  <c r="BK47" i="68"/>
  <c r="BK84" i="68"/>
  <c r="BK64" i="68"/>
  <c r="BB41" i="68"/>
  <c r="BB54" i="68"/>
  <c r="BK60" i="66"/>
  <c r="BH39" i="67"/>
  <c r="BH86" i="67"/>
  <c r="BK122" i="66"/>
  <c r="BK105" i="66"/>
  <c r="BK77" i="66"/>
  <c r="BB28" i="66"/>
  <c r="BK43" i="66"/>
  <c r="BK124" i="66"/>
  <c r="BB43" i="66"/>
  <c r="BB49" i="66"/>
  <c r="BK71" i="66"/>
  <c r="BB79" i="66"/>
  <c r="BB81" i="66"/>
  <c r="BK101" i="66"/>
  <c r="BK23" i="66"/>
  <c r="BK84" i="66"/>
  <c r="BB90" i="66"/>
  <c r="BB86" i="66"/>
  <c r="BK67" i="68"/>
  <c r="AY48" i="1"/>
  <c r="BH76" i="1" s="1"/>
  <c r="AY27" i="1"/>
  <c r="BH42" i="1" s="1"/>
  <c r="BH24" i="1"/>
  <c r="AY76" i="1"/>
  <c r="BH123" i="1" s="1"/>
  <c r="AY74" i="1"/>
  <c r="BH121" i="1" s="1"/>
  <c r="AY73" i="1"/>
  <c r="AY72" i="1"/>
  <c r="BH117" i="1" s="1"/>
  <c r="AY71" i="1"/>
  <c r="BH114" i="1" s="1"/>
  <c r="AY70" i="1"/>
  <c r="BH112" i="1" s="1"/>
  <c r="AY69" i="1"/>
  <c r="BH111" i="1" s="1"/>
  <c r="AY68" i="1"/>
  <c r="BH109" i="1" s="1"/>
  <c r="AY67" i="1"/>
  <c r="BH107" i="1" s="1"/>
  <c r="AY65" i="1"/>
  <c r="BH104" i="1" s="1"/>
  <c r="AY64" i="1"/>
  <c r="BH103" i="1" s="1"/>
  <c r="AY63" i="1"/>
  <c r="BH102" i="1" s="1"/>
  <c r="AY61" i="1"/>
  <c r="BH100" i="1" s="1"/>
  <c r="AY60" i="1"/>
  <c r="BH98" i="1" s="1"/>
  <c r="AY59" i="1"/>
  <c r="BH96" i="1" s="1"/>
  <c r="AY58" i="1"/>
  <c r="BH93" i="1" s="1"/>
  <c r="AY57" i="1"/>
  <c r="BH92" i="1" s="1"/>
  <c r="AY56" i="1"/>
  <c r="BH90" i="1" s="1"/>
  <c r="AY55" i="1"/>
  <c r="BH87" i="1" s="1"/>
  <c r="AY54" i="1"/>
  <c r="BH85" i="1" s="1"/>
  <c r="AY52" i="1"/>
  <c r="BH83" i="1" s="1"/>
  <c r="AY51" i="1"/>
  <c r="BH80" i="1" s="1"/>
  <c r="AY50" i="1"/>
  <c r="BH78" i="1" s="1"/>
  <c r="AY47" i="1"/>
  <c r="BH75" i="1" s="1"/>
  <c r="AY46" i="1"/>
  <c r="BH74" i="1" s="1"/>
  <c r="AY45" i="1"/>
  <c r="AY44" i="1"/>
  <c r="BH72" i="1" s="1"/>
  <c r="AY42" i="1"/>
  <c r="BH70" i="1" s="1"/>
  <c r="AY41" i="1"/>
  <c r="BH68" i="1" s="1"/>
  <c r="AY40" i="1"/>
  <c r="BH66" i="1" s="1"/>
  <c r="AY39" i="1"/>
  <c r="BH63" i="1" s="1"/>
  <c r="AY38" i="1"/>
  <c r="AY36" i="1"/>
  <c r="BH59" i="1" s="1"/>
  <c r="AY35" i="1"/>
  <c r="BH56" i="1" s="1"/>
  <c r="AY34" i="1"/>
  <c r="BH54" i="1" s="1"/>
  <c r="AY33" i="1"/>
  <c r="BH52" i="1" s="1"/>
  <c r="AY32" i="1"/>
  <c r="BH51" i="1" s="1"/>
  <c r="AY31" i="1"/>
  <c r="BH48" i="1" s="1"/>
  <c r="AY30" i="1"/>
  <c r="BH47" i="1" s="1"/>
  <c r="AY29" i="1"/>
  <c r="BH44" i="1" s="1"/>
  <c r="AY26" i="1"/>
  <c r="BH40" i="1" s="1"/>
  <c r="AY25" i="1"/>
  <c r="BH38" i="1" s="1"/>
  <c r="AY13" i="1"/>
  <c r="BH21" i="1" s="1"/>
  <c r="AY12" i="1"/>
  <c r="BH20" i="1" s="1"/>
  <c r="AY11" i="1"/>
  <c r="BH17" i="1" s="1"/>
  <c r="AY10" i="1"/>
  <c r="BH15" i="1" s="1"/>
  <c r="AY9" i="1"/>
  <c r="BH14" i="1" s="1"/>
  <c r="AY8" i="1"/>
  <c r="BH11" i="1" s="1"/>
  <c r="AY7" i="1"/>
  <c r="BH9" i="1" s="1"/>
  <c r="AY6" i="1"/>
  <c r="BH8" i="1" s="1"/>
  <c r="AY5" i="1"/>
  <c r="BH6" i="1" s="1"/>
  <c r="BB133" i="1"/>
  <c r="BB132" i="1"/>
  <c r="BB126" i="1"/>
  <c r="BB125" i="1"/>
  <c r="BB124" i="1"/>
  <c r="BB123" i="1"/>
  <c r="BB122" i="1"/>
  <c r="BB121" i="1"/>
  <c r="BB120" i="1"/>
  <c r="BB119" i="1"/>
  <c r="BB118" i="1"/>
  <c r="BB117" i="1"/>
  <c r="BB116" i="1"/>
  <c r="BB115" i="1"/>
  <c r="BB114" i="1"/>
  <c r="BB113" i="1"/>
  <c r="BB112" i="1"/>
  <c r="BB111" i="1"/>
  <c r="BB110" i="1"/>
  <c r="BB109" i="1"/>
  <c r="BB108" i="1"/>
  <c r="BB107" i="1"/>
  <c r="BB106" i="1"/>
  <c r="BB105" i="1"/>
  <c r="BB104" i="1"/>
  <c r="BB103" i="1"/>
  <c r="BB102" i="1"/>
  <c r="BB101" i="1"/>
  <c r="BB100" i="1"/>
  <c r="BB99" i="1"/>
  <c r="BB98" i="1"/>
  <c r="BB97" i="1"/>
  <c r="BB96" i="1"/>
  <c r="BB95" i="1"/>
  <c r="BB94" i="1"/>
  <c r="BB93" i="1"/>
  <c r="BB92" i="1"/>
  <c r="BB91" i="1"/>
  <c r="BB90" i="1"/>
  <c r="BB89" i="1"/>
  <c r="B358" i="2"/>
  <c r="B356" i="2"/>
  <c r="B355" i="2"/>
  <c r="B354" i="2"/>
  <c r="BD119" i="74" s="1"/>
  <c r="B353" i="2"/>
  <c r="B352" i="2"/>
  <c r="BD117" i="73" s="1"/>
  <c r="B351" i="2"/>
  <c r="D351" i="2" s="1"/>
  <c r="B350" i="2"/>
  <c r="B349" i="2"/>
  <c r="B348" i="2"/>
  <c r="B347" i="2"/>
  <c r="B346" i="2"/>
  <c r="B345" i="2"/>
  <c r="L345" i="2" s="1"/>
  <c r="B344" i="2"/>
  <c r="B343" i="2"/>
  <c r="B342" i="2"/>
  <c r="BD107" i="1" s="1"/>
  <c r="B341" i="2"/>
  <c r="L341" i="2" s="1"/>
  <c r="B340" i="2"/>
  <c r="AU74" i="71" s="1"/>
  <c r="B339" i="2"/>
  <c r="B338" i="2"/>
  <c r="B337" i="2"/>
  <c r="B336" i="2"/>
  <c r="B335" i="2"/>
  <c r="B334" i="2"/>
  <c r="AU68" i="66" s="1"/>
  <c r="B333" i="2"/>
  <c r="B331" i="2"/>
  <c r="B330" i="2"/>
  <c r="AU64" i="1" s="1"/>
  <c r="B329" i="2"/>
  <c r="L329" i="2" s="1"/>
  <c r="B327" i="2"/>
  <c r="L327" i="2" s="1"/>
  <c r="B326" i="2"/>
  <c r="BD78" i="68" s="1"/>
  <c r="BE78" i="68" s="1"/>
  <c r="B325" i="2"/>
  <c r="B324" i="2"/>
  <c r="B323" i="2"/>
  <c r="B322" i="2"/>
  <c r="B321" i="2"/>
  <c r="B320" i="2"/>
  <c r="B319" i="2"/>
  <c r="B318" i="2"/>
  <c r="B317" i="2"/>
  <c r="B316" i="2"/>
  <c r="BD69" i="81" s="1"/>
  <c r="B315" i="2"/>
  <c r="D315" i="2" s="1"/>
  <c r="B314" i="2"/>
  <c r="BD87" i="78" s="1"/>
  <c r="BF87" i="78" s="1"/>
  <c r="B313" i="2"/>
  <c r="B312" i="2"/>
  <c r="B311" i="2"/>
  <c r="B310" i="2"/>
  <c r="B309" i="2"/>
  <c r="B308" i="2"/>
  <c r="B307" i="2"/>
  <c r="B306" i="2"/>
  <c r="B302" i="2"/>
  <c r="B305" i="2"/>
  <c r="AU55" i="74" s="1"/>
  <c r="B304" i="2"/>
  <c r="D304" i="2" s="1"/>
  <c r="B301" i="2"/>
  <c r="E301" i="2" s="1"/>
  <c r="B300" i="2"/>
  <c r="B299" i="2"/>
  <c r="B298" i="2"/>
  <c r="B297" i="2"/>
  <c r="B296" i="2"/>
  <c r="B295" i="2"/>
  <c r="B294" i="2"/>
  <c r="B292" i="2"/>
  <c r="B291" i="2"/>
  <c r="B290" i="2"/>
  <c r="K290" i="2" s="1"/>
  <c r="B289" i="2"/>
  <c r="B288" i="2"/>
  <c r="B287" i="2"/>
  <c r="B286" i="2"/>
  <c r="B285" i="2"/>
  <c r="B284" i="2"/>
  <c r="B282" i="2"/>
  <c r="B281" i="2"/>
  <c r="B280" i="2"/>
  <c r="B279" i="2"/>
  <c r="B278" i="2"/>
  <c r="B277" i="2"/>
  <c r="BD58" i="81" s="1"/>
  <c r="B276" i="2"/>
  <c r="K276" i="2" s="1"/>
  <c r="B275" i="2"/>
  <c r="B274" i="2"/>
  <c r="B273" i="2"/>
  <c r="B272" i="2"/>
  <c r="B271" i="2"/>
  <c r="B270" i="2"/>
  <c r="B269" i="2"/>
  <c r="B268" i="2"/>
  <c r="B266" i="2"/>
  <c r="B265" i="2"/>
  <c r="E265" i="2" s="1"/>
  <c r="B264" i="2"/>
  <c r="BD57" i="73" s="1"/>
  <c r="BE57" i="73" s="1"/>
  <c r="B263" i="2"/>
  <c r="B262" i="2"/>
  <c r="B261" i="2"/>
  <c r="B260" i="2"/>
  <c r="B259" i="2"/>
  <c r="K259" i="2" s="1"/>
  <c r="B258" i="2"/>
  <c r="B257" i="2"/>
  <c r="B256" i="2"/>
  <c r="K256" i="2" s="1"/>
  <c r="B255" i="2"/>
  <c r="B254" i="2"/>
  <c r="B253" i="2"/>
  <c r="B252" i="2"/>
  <c r="BD38" i="81" s="1"/>
  <c r="B251" i="2"/>
  <c r="B250" i="2"/>
  <c r="AU32" i="81" s="1"/>
  <c r="AW32" i="81" s="1"/>
  <c r="B249" i="2"/>
  <c r="B248" i="2"/>
  <c r="B247" i="2"/>
  <c r="B246" i="2"/>
  <c r="B245" i="2"/>
  <c r="B244" i="2"/>
  <c r="B243" i="2"/>
  <c r="B241" i="2"/>
  <c r="B240" i="2"/>
  <c r="B239" i="2"/>
  <c r="BD40" i="1" s="1"/>
  <c r="B238" i="2"/>
  <c r="B237" i="2"/>
  <c r="K237" i="2" s="1"/>
  <c r="B236" i="2"/>
  <c r="B235" i="2"/>
  <c r="B234" i="2"/>
  <c r="B233" i="2"/>
  <c r="B203" i="2"/>
  <c r="B192" i="2"/>
  <c r="I192" i="2"/>
  <c r="B48" i="2"/>
  <c r="B27" i="2"/>
  <c r="K27" i="2" s="1"/>
  <c r="O17" i="1"/>
  <c r="E243" i="3"/>
  <c r="E242" i="3"/>
  <c r="E241" i="3"/>
  <c r="E240" i="3"/>
  <c r="E239" i="3"/>
  <c r="E238" i="3"/>
  <c r="E237" i="3"/>
  <c r="E236" i="3"/>
  <c r="E235" i="3"/>
  <c r="E234" i="3"/>
  <c r="E233" i="3"/>
  <c r="E232" i="3"/>
  <c r="E231" i="3"/>
  <c r="E230" i="3"/>
  <c r="E229" i="3"/>
  <c r="E228" i="3"/>
  <c r="E227" i="3"/>
  <c r="E226" i="3"/>
  <c r="E225" i="3"/>
  <c r="E224" i="3"/>
  <c r="E223" i="3"/>
  <c r="E222" i="3"/>
  <c r="E221" i="3"/>
  <c r="E220" i="3"/>
  <c r="E219" i="3"/>
  <c r="E218" i="3"/>
  <c r="E217" i="3"/>
  <c r="E216" i="3"/>
  <c r="E215" i="3"/>
  <c r="E214" i="3"/>
  <c r="E213" i="3"/>
  <c r="E206" i="3"/>
  <c r="E205" i="3"/>
  <c r="E204" i="3"/>
  <c r="E203" i="3"/>
  <c r="E202" i="3"/>
  <c r="C104" i="4" s="1"/>
  <c r="E201" i="3"/>
  <c r="E200" i="3"/>
  <c r="E199" i="3"/>
  <c r="E198" i="3"/>
  <c r="E197" i="3"/>
  <c r="E196" i="3"/>
  <c r="AT20" i="4" s="1"/>
  <c r="E195" i="3"/>
  <c r="E194" i="3"/>
  <c r="E193" i="3"/>
  <c r="C396" i="2" s="1"/>
  <c r="E192" i="3"/>
  <c r="C395" i="2" s="1"/>
  <c r="E191" i="3"/>
  <c r="C394" i="2" s="1"/>
  <c r="E190" i="3"/>
  <c r="E189" i="3"/>
  <c r="O28" i="82" s="1"/>
  <c r="E188" i="3"/>
  <c r="E187" i="3"/>
  <c r="E186" i="3"/>
  <c r="E185" i="3"/>
  <c r="E184" i="3"/>
  <c r="E183" i="3"/>
  <c r="E182" i="3"/>
  <c r="E181" i="3"/>
  <c r="E180" i="3"/>
  <c r="E179" i="3"/>
  <c r="E178" i="3"/>
  <c r="E177" i="3"/>
  <c r="E176" i="3"/>
  <c r="E175" i="3"/>
  <c r="E174" i="3"/>
  <c r="E173" i="3"/>
  <c r="E172" i="3"/>
  <c r="E171" i="3"/>
  <c r="E170" i="3"/>
  <c r="E169" i="3"/>
  <c r="E168" i="3"/>
  <c r="E167" i="3"/>
  <c r="B84" i="75" s="1"/>
  <c r="E166" i="3"/>
  <c r="N83" i="73" s="1"/>
  <c r="E163" i="3"/>
  <c r="E162" i="3"/>
  <c r="B82" i="74" s="1"/>
  <c r="E161" i="3"/>
  <c r="E160" i="3"/>
  <c r="E159" i="3"/>
  <c r="E158" i="3"/>
  <c r="E157" i="3"/>
  <c r="E156" i="3"/>
  <c r="E155" i="3"/>
  <c r="E154" i="3"/>
  <c r="E153" i="3"/>
  <c r="Q13" i="65" s="1"/>
  <c r="E152" i="3"/>
  <c r="AF28" i="65" s="1"/>
  <c r="E151" i="3"/>
  <c r="E150" i="3"/>
  <c r="C9" i="65" s="1"/>
  <c r="E147" i="3"/>
  <c r="E146" i="3"/>
  <c r="E145" i="3"/>
  <c r="Q76" i="4" s="1"/>
  <c r="E144" i="3"/>
  <c r="E143" i="3"/>
  <c r="B83" i="4" s="1"/>
  <c r="E142" i="3"/>
  <c r="B72" i="4" s="1"/>
  <c r="E141" i="3"/>
  <c r="B61" i="4" s="1"/>
  <c r="E140" i="3"/>
  <c r="C94" i="4" s="1"/>
  <c r="E139" i="3"/>
  <c r="Q85" i="4" s="1"/>
  <c r="E137" i="3"/>
  <c r="Q74" i="4" s="1"/>
  <c r="E136" i="3"/>
  <c r="C74" i="4" s="1"/>
  <c r="E135" i="3"/>
  <c r="E134" i="3"/>
  <c r="E133" i="3"/>
  <c r="E132" i="3"/>
  <c r="E131" i="3"/>
  <c r="E130" i="3"/>
  <c r="E129" i="3"/>
  <c r="E128" i="3"/>
  <c r="AR43" i="4" s="1"/>
  <c r="E127" i="3"/>
  <c r="AR25" i="4" s="1"/>
  <c r="E126" i="3"/>
  <c r="AD25" i="4" s="1"/>
  <c r="E125" i="3"/>
  <c r="O25" i="4" s="1"/>
  <c r="E124" i="3"/>
  <c r="E123" i="3"/>
  <c r="E122" i="3"/>
  <c r="E121" i="3"/>
  <c r="E120" i="3"/>
  <c r="AF52" i="4" s="1"/>
  <c r="E119" i="3"/>
  <c r="E118" i="3"/>
  <c r="E117" i="3"/>
  <c r="E116" i="3"/>
  <c r="E115" i="3"/>
  <c r="E114" i="3"/>
  <c r="E113" i="3"/>
  <c r="E112" i="3"/>
  <c r="AA19" i="20" s="1"/>
  <c r="E111" i="3"/>
  <c r="AA18" i="20" s="1"/>
  <c r="E110" i="3"/>
  <c r="AA24" i="20" s="1"/>
  <c r="E109" i="3"/>
  <c r="E108" i="3"/>
  <c r="E107" i="3"/>
  <c r="E106" i="3"/>
  <c r="AA21" i="20" s="1"/>
  <c r="E105" i="3"/>
  <c r="AA20" i="20" s="1"/>
  <c r="E104" i="3"/>
  <c r="AA17" i="20" s="1"/>
  <c r="E103" i="3"/>
  <c r="AA13" i="20" s="1"/>
  <c r="E102" i="3"/>
  <c r="AA12" i="20" s="1"/>
  <c r="E101" i="3"/>
  <c r="AA11" i="20" s="1"/>
  <c r="E100" i="3"/>
  <c r="AA10" i="20" s="1"/>
  <c r="E99" i="3"/>
  <c r="AA9" i="20" s="1"/>
  <c r="E98" i="3"/>
  <c r="E97" i="3"/>
  <c r="E96" i="3"/>
  <c r="E95" i="3"/>
  <c r="E94" i="3"/>
  <c r="B7" i="20" s="1"/>
  <c r="E93" i="3"/>
  <c r="E92" i="3"/>
  <c r="E91" i="3"/>
  <c r="E90" i="3"/>
  <c r="B6" i="74" s="1"/>
  <c r="E89" i="3"/>
  <c r="E88" i="3"/>
  <c r="AV36" i="10" s="1"/>
  <c r="E87" i="3"/>
  <c r="AU31" i="10" s="1"/>
  <c r="E86" i="3"/>
  <c r="AU30" i="10" s="1"/>
  <c r="E60" i="3"/>
  <c r="E59" i="3"/>
  <c r="AD28" i="10" s="1"/>
  <c r="E58" i="3"/>
  <c r="U27" i="10" s="1"/>
  <c r="E57" i="3"/>
  <c r="B10" i="74" s="1"/>
  <c r="E56" i="3"/>
  <c r="B7" i="81" s="1"/>
  <c r="E55" i="3"/>
  <c r="AU4" i="10" s="1"/>
  <c r="E54" i="3"/>
  <c r="E53" i="3"/>
  <c r="I8" i="7" s="1"/>
  <c r="E52" i="3"/>
  <c r="E51" i="3"/>
  <c r="E50" i="3"/>
  <c r="E49" i="3"/>
  <c r="K22" i="2" s="1"/>
  <c r="E48" i="3"/>
  <c r="J22" i="2" s="1"/>
  <c r="E47" i="3"/>
  <c r="I22" i="2" s="1"/>
  <c r="E46" i="3"/>
  <c r="E45" i="3"/>
  <c r="F22" i="2" s="1"/>
  <c r="E44" i="3"/>
  <c r="E22" i="2" s="1"/>
  <c r="E43" i="3"/>
  <c r="D22" i="2" s="1"/>
  <c r="E42" i="3"/>
  <c r="C10" i="7" s="1"/>
  <c r="E41" i="3"/>
  <c r="B10" i="7" s="1"/>
  <c r="E40" i="3"/>
  <c r="F17" i="2" s="1"/>
  <c r="E39" i="3"/>
  <c r="F15" i="2" s="1"/>
  <c r="E38" i="3"/>
  <c r="B20" i="2" s="1"/>
  <c r="E37" i="3"/>
  <c r="P7" i="20" s="1"/>
  <c r="E36" i="3"/>
  <c r="B22" i="20" s="1"/>
  <c r="E35" i="3"/>
  <c r="B20" i="20" s="1"/>
  <c r="E34" i="3"/>
  <c r="E33" i="3"/>
  <c r="E32" i="3"/>
  <c r="B5" i="2" s="1"/>
  <c r="E31" i="3"/>
  <c r="B10" i="20" s="1"/>
  <c r="E30" i="3"/>
  <c r="B4" i="2" s="1"/>
  <c r="E29" i="3"/>
  <c r="B25" i="10" s="1"/>
  <c r="E28" i="3"/>
  <c r="E27" i="3"/>
  <c r="AU14" i="10" s="1"/>
  <c r="AE23" i="10" s="1"/>
  <c r="E26" i="3"/>
  <c r="E24" i="3"/>
  <c r="E23" i="3"/>
  <c r="E22" i="3"/>
  <c r="E21" i="3"/>
  <c r="E20" i="3"/>
  <c r="E19" i="3"/>
  <c r="E18" i="3"/>
  <c r="H19" i="1" s="1"/>
  <c r="E17" i="3"/>
  <c r="E16" i="3"/>
  <c r="AA7" i="20" s="1"/>
  <c r="E15" i="3"/>
  <c r="AI4" i="10" s="1"/>
  <c r="E14" i="3"/>
  <c r="AO2" i="82" s="1"/>
  <c r="B67" i="73"/>
  <c r="E12" i="3"/>
  <c r="E11" i="3"/>
  <c r="E10" i="3"/>
  <c r="AI2" i="74" s="1"/>
  <c r="E9" i="3"/>
  <c r="E8" i="3"/>
  <c r="E7" i="3"/>
  <c r="O2" i="70" s="1"/>
  <c r="E6" i="3"/>
  <c r="G2" i="76" s="1"/>
  <c r="E5" i="3"/>
  <c r="E4" i="3"/>
  <c r="E3" i="3"/>
  <c r="B17" i="2"/>
  <c r="B16" i="2"/>
  <c r="B15" i="2"/>
  <c r="B392" i="2"/>
  <c r="M13" i="65"/>
  <c r="AB21" i="65"/>
  <c r="M29" i="65"/>
  <c r="M21" i="65"/>
  <c r="BA30" i="65"/>
  <c r="AY30" i="65"/>
  <c r="AZ30" i="65" s="1"/>
  <c r="BA29" i="65"/>
  <c r="AY29" i="65"/>
  <c r="AP29" i="65"/>
  <c r="AB29" i="65"/>
  <c r="BA28" i="65"/>
  <c r="AY28" i="65"/>
  <c r="AZ28" i="65" s="1"/>
  <c r="BA22" i="65"/>
  <c r="BA21" i="65"/>
  <c r="BB21" i="65" s="1"/>
  <c r="AP21" i="65"/>
  <c r="BA20" i="65"/>
  <c r="BA14" i="65"/>
  <c r="AY14" i="65"/>
  <c r="AZ14" i="65" s="1"/>
  <c r="AW14" i="65"/>
  <c r="BA13" i="65"/>
  <c r="AY13" i="65"/>
  <c r="AW13" i="65"/>
  <c r="AP13" i="65"/>
  <c r="AB13" i="65"/>
  <c r="BA12" i="65"/>
  <c r="BB12" i="65"/>
  <c r="AY12" i="65"/>
  <c r="AZ12" i="65"/>
  <c r="AW12" i="65"/>
  <c r="B371" i="2"/>
  <c r="B370" i="2"/>
  <c r="B369" i="2"/>
  <c r="D369" i="2" s="1"/>
  <c r="B368" i="2"/>
  <c r="B367" i="2"/>
  <c r="C367" i="2" s="1"/>
  <c r="L1053" i="7"/>
  <c r="L1052" i="7"/>
  <c r="L1051" i="7"/>
  <c r="L1050" i="7"/>
  <c r="L1049" i="7"/>
  <c r="L1048" i="7"/>
  <c r="H1048" i="7"/>
  <c r="I381" i="2"/>
  <c r="H381" i="2"/>
  <c r="I380" i="2"/>
  <c r="H380" i="2"/>
  <c r="I379" i="2"/>
  <c r="H379" i="2"/>
  <c r="I378" i="2"/>
  <c r="H378" i="2"/>
  <c r="I377" i="2"/>
  <c r="H377" i="2"/>
  <c r="I376" i="2"/>
  <c r="H376" i="2"/>
  <c r="I375" i="2"/>
  <c r="H375" i="2"/>
  <c r="I374" i="2"/>
  <c r="H374" i="2"/>
  <c r="I373" i="2"/>
  <c r="H373" i="2"/>
  <c r="I372" i="2"/>
  <c r="H372" i="2"/>
  <c r="L1047" i="7"/>
  <c r="L1046" i="7"/>
  <c r="L1045" i="7"/>
  <c r="L1044" i="7"/>
  <c r="L1043" i="7"/>
  <c r="L1042" i="7"/>
  <c r="L1041" i="7"/>
  <c r="L1040" i="7"/>
  <c r="L1039" i="7"/>
  <c r="L1038" i="7"/>
  <c r="L1037" i="7"/>
  <c r="L1036" i="7"/>
  <c r="L1035" i="7"/>
  <c r="L1034" i="7"/>
  <c r="L1033" i="7"/>
  <c r="L1032" i="7"/>
  <c r="L1031" i="7"/>
  <c r="L1030" i="7"/>
  <c r="L1029" i="7"/>
  <c r="L1028" i="7"/>
  <c r="L1027" i="7"/>
  <c r="L1026" i="7"/>
  <c r="L1025" i="7"/>
  <c r="L1024" i="7"/>
  <c r="L1023" i="7"/>
  <c r="L1022" i="7"/>
  <c r="L1021" i="7"/>
  <c r="L1020" i="7"/>
  <c r="L1019" i="7"/>
  <c r="L1018" i="7"/>
  <c r="L1017" i="7"/>
  <c r="L1016" i="7"/>
  <c r="L1015" i="7"/>
  <c r="L1014" i="7"/>
  <c r="L1013" i="7"/>
  <c r="L1012" i="7"/>
  <c r="L1011" i="7"/>
  <c r="L1010" i="7"/>
  <c r="L1009" i="7"/>
  <c r="L1008" i="7"/>
  <c r="L1007" i="7"/>
  <c r="L1006" i="7"/>
  <c r="L1005" i="7"/>
  <c r="L1004" i="7"/>
  <c r="L1003" i="7"/>
  <c r="L1002" i="7"/>
  <c r="L1001" i="7"/>
  <c r="L1000" i="7"/>
  <c r="L999" i="7"/>
  <c r="L998" i="7"/>
  <c r="L997" i="7"/>
  <c r="L996" i="7"/>
  <c r="L995" i="7"/>
  <c r="L994" i="7"/>
  <c r="L993" i="7"/>
  <c r="L992" i="7"/>
  <c r="L991" i="7"/>
  <c r="L990" i="7"/>
  <c r="L989" i="7"/>
  <c r="L988" i="7"/>
  <c r="L987" i="7"/>
  <c r="L986" i="7"/>
  <c r="L985" i="7"/>
  <c r="L984" i="7"/>
  <c r="L983" i="7"/>
  <c r="L982" i="7"/>
  <c r="L981" i="7"/>
  <c r="L980" i="7"/>
  <c r="L979" i="7"/>
  <c r="L978" i="7"/>
  <c r="L977" i="7"/>
  <c r="L976" i="7"/>
  <c r="L975" i="7"/>
  <c r="L974" i="7"/>
  <c r="L973" i="7"/>
  <c r="L972" i="7"/>
  <c r="L971" i="7"/>
  <c r="L970" i="7"/>
  <c r="L969" i="7"/>
  <c r="L968" i="7"/>
  <c r="L967" i="7"/>
  <c r="L966" i="7"/>
  <c r="L965" i="7"/>
  <c r="L964" i="7"/>
  <c r="L963" i="7"/>
  <c r="L962" i="7"/>
  <c r="L961" i="7"/>
  <c r="L960" i="7"/>
  <c r="L959" i="7"/>
  <c r="L958" i="7"/>
  <c r="L957" i="7"/>
  <c r="L956" i="7"/>
  <c r="L955" i="7"/>
  <c r="L954" i="7"/>
  <c r="L953" i="7"/>
  <c r="L952" i="7"/>
  <c r="L951" i="7"/>
  <c r="L950" i="7"/>
  <c r="L949" i="7"/>
  <c r="L948" i="7"/>
  <c r="L947" i="7"/>
  <c r="L946" i="7"/>
  <c r="L945" i="7"/>
  <c r="L944" i="7"/>
  <c r="L943" i="7"/>
  <c r="L942" i="7"/>
  <c r="L941" i="7"/>
  <c r="L940" i="7"/>
  <c r="L939" i="7"/>
  <c r="L938" i="7"/>
  <c r="L937" i="7"/>
  <c r="L936" i="7"/>
  <c r="L935" i="7"/>
  <c r="L934" i="7"/>
  <c r="L933" i="7"/>
  <c r="L932" i="7"/>
  <c r="L931" i="7"/>
  <c r="L930" i="7"/>
  <c r="L929" i="7"/>
  <c r="L928" i="7"/>
  <c r="L927" i="7"/>
  <c r="L926" i="7"/>
  <c r="L925" i="7"/>
  <c r="L924" i="7"/>
  <c r="L923" i="7"/>
  <c r="L922" i="7"/>
  <c r="L921" i="7"/>
  <c r="L920" i="7"/>
  <c r="L919" i="7"/>
  <c r="L918" i="7"/>
  <c r="L917" i="7"/>
  <c r="L916" i="7"/>
  <c r="L915" i="7"/>
  <c r="L914" i="7"/>
  <c r="L913" i="7"/>
  <c r="L912" i="7"/>
  <c r="L911" i="7"/>
  <c r="L910" i="7"/>
  <c r="L909" i="7"/>
  <c r="L908" i="7"/>
  <c r="L907" i="7"/>
  <c r="L906" i="7"/>
  <c r="L905" i="7"/>
  <c r="L904" i="7"/>
  <c r="L903" i="7"/>
  <c r="L902" i="7"/>
  <c r="L901" i="7"/>
  <c r="L900" i="7"/>
  <c r="L899" i="7"/>
  <c r="L898" i="7"/>
  <c r="L897" i="7"/>
  <c r="L896" i="7"/>
  <c r="L895" i="7"/>
  <c r="L894" i="7"/>
  <c r="L893" i="7"/>
  <c r="L892" i="7"/>
  <c r="L891" i="7"/>
  <c r="L890" i="7"/>
  <c r="L889" i="7"/>
  <c r="L888" i="7"/>
  <c r="L887" i="7"/>
  <c r="L886" i="7"/>
  <c r="L885" i="7"/>
  <c r="L884" i="7"/>
  <c r="L883" i="7"/>
  <c r="L882" i="7"/>
  <c r="L881" i="7"/>
  <c r="L880" i="7"/>
  <c r="L879" i="7"/>
  <c r="L878" i="7"/>
  <c r="L877" i="7"/>
  <c r="L876" i="7"/>
  <c r="L875" i="7"/>
  <c r="L874" i="7"/>
  <c r="L873" i="7"/>
  <c r="L872" i="7"/>
  <c r="L871" i="7"/>
  <c r="L870" i="7"/>
  <c r="L869" i="7"/>
  <c r="L868" i="7"/>
  <c r="L867" i="7"/>
  <c r="L866" i="7"/>
  <c r="L865" i="7"/>
  <c r="L864" i="7"/>
  <c r="L863" i="7"/>
  <c r="L862" i="7"/>
  <c r="L861" i="7"/>
  <c r="L860" i="7"/>
  <c r="L859" i="7"/>
  <c r="L858" i="7"/>
  <c r="L857" i="7"/>
  <c r="L856" i="7"/>
  <c r="L855" i="7"/>
  <c r="L854" i="7"/>
  <c r="L853" i="7"/>
  <c r="L852" i="7"/>
  <c r="L851" i="7"/>
  <c r="L850" i="7"/>
  <c r="L849" i="7"/>
  <c r="L848" i="7"/>
  <c r="L847" i="7"/>
  <c r="L846" i="7"/>
  <c r="L845" i="7"/>
  <c r="L844" i="7"/>
  <c r="L843" i="7"/>
  <c r="L842" i="7"/>
  <c r="L841" i="7"/>
  <c r="L840" i="7"/>
  <c r="L839" i="7"/>
  <c r="L838" i="7"/>
  <c r="L837" i="7"/>
  <c r="L836" i="7"/>
  <c r="L835" i="7"/>
  <c r="L834" i="7"/>
  <c r="L833" i="7"/>
  <c r="L832" i="7"/>
  <c r="L831" i="7"/>
  <c r="L830" i="7"/>
  <c r="L829" i="7"/>
  <c r="L828" i="7"/>
  <c r="L827" i="7"/>
  <c r="L826" i="7"/>
  <c r="L825" i="7"/>
  <c r="L824" i="7"/>
  <c r="L823" i="7"/>
  <c r="L822" i="7"/>
  <c r="L821" i="7"/>
  <c r="L820" i="7"/>
  <c r="L819" i="7"/>
  <c r="L818" i="7"/>
  <c r="L817" i="7"/>
  <c r="L816" i="7"/>
  <c r="L815" i="7"/>
  <c r="L814" i="7"/>
  <c r="L813" i="7"/>
  <c r="L812" i="7"/>
  <c r="L811" i="7"/>
  <c r="L810" i="7"/>
  <c r="L809" i="7"/>
  <c r="L808" i="7"/>
  <c r="L807" i="7"/>
  <c r="L806" i="7"/>
  <c r="L805" i="7"/>
  <c r="L804" i="7"/>
  <c r="L803" i="7"/>
  <c r="L802" i="7"/>
  <c r="L801" i="7"/>
  <c r="L800" i="7"/>
  <c r="L799" i="7"/>
  <c r="L798" i="7"/>
  <c r="L797" i="7"/>
  <c r="L796" i="7"/>
  <c r="L795" i="7"/>
  <c r="L794" i="7"/>
  <c r="L793" i="7"/>
  <c r="L792" i="7"/>
  <c r="L791" i="7"/>
  <c r="L790" i="7"/>
  <c r="L789" i="7"/>
  <c r="L788" i="7"/>
  <c r="L787" i="7"/>
  <c r="L786" i="7"/>
  <c r="L785" i="7"/>
  <c r="L784" i="7"/>
  <c r="L783" i="7"/>
  <c r="L782" i="7"/>
  <c r="L781" i="7"/>
  <c r="L780" i="7"/>
  <c r="L779" i="7"/>
  <c r="L778" i="7"/>
  <c r="L777" i="7"/>
  <c r="L776" i="7"/>
  <c r="L775" i="7"/>
  <c r="L774" i="7"/>
  <c r="L773" i="7"/>
  <c r="L772" i="7"/>
  <c r="L771" i="7"/>
  <c r="L770" i="7"/>
  <c r="L769" i="7"/>
  <c r="L768" i="7"/>
  <c r="L767" i="7"/>
  <c r="L766" i="7"/>
  <c r="L765" i="7"/>
  <c r="L764" i="7"/>
  <c r="L763" i="7"/>
  <c r="L762" i="7"/>
  <c r="L761" i="7"/>
  <c r="L760" i="7"/>
  <c r="L759" i="7"/>
  <c r="L758" i="7"/>
  <c r="L757" i="7"/>
  <c r="L756" i="7"/>
  <c r="L755" i="7"/>
  <c r="L754" i="7"/>
  <c r="L753" i="7"/>
  <c r="L752" i="7"/>
  <c r="L751" i="7"/>
  <c r="L750" i="7"/>
  <c r="L749" i="7"/>
  <c r="L748" i="7"/>
  <c r="L747" i="7"/>
  <c r="L746" i="7"/>
  <c r="L745" i="7"/>
  <c r="L744" i="7"/>
  <c r="L743" i="7"/>
  <c r="L742" i="7"/>
  <c r="L741" i="7"/>
  <c r="L740" i="7"/>
  <c r="L739" i="7"/>
  <c r="L738" i="7"/>
  <c r="L737" i="7"/>
  <c r="L736" i="7"/>
  <c r="L735" i="7"/>
  <c r="L734" i="7"/>
  <c r="L733" i="7"/>
  <c r="L732" i="7"/>
  <c r="L731" i="7"/>
  <c r="L730" i="7"/>
  <c r="L729" i="7"/>
  <c r="L728" i="7"/>
  <c r="L727" i="7"/>
  <c r="L726" i="7"/>
  <c r="L725" i="7"/>
  <c r="L724" i="7"/>
  <c r="L723" i="7"/>
  <c r="L722" i="7"/>
  <c r="L721" i="7"/>
  <c r="L720" i="7"/>
  <c r="L719" i="7"/>
  <c r="L718" i="7"/>
  <c r="L717" i="7"/>
  <c r="L716" i="7"/>
  <c r="L715" i="7"/>
  <c r="L714" i="7"/>
  <c r="L713" i="7"/>
  <c r="L712" i="7"/>
  <c r="L711" i="7"/>
  <c r="L710" i="7"/>
  <c r="L709" i="7"/>
  <c r="L708" i="7"/>
  <c r="L707" i="7"/>
  <c r="L706" i="7"/>
  <c r="L705" i="7"/>
  <c r="L704" i="7"/>
  <c r="L703" i="7"/>
  <c r="L702" i="7"/>
  <c r="L701" i="7"/>
  <c r="L700" i="7"/>
  <c r="L699" i="7"/>
  <c r="L698" i="7"/>
  <c r="L697" i="7"/>
  <c r="L696" i="7"/>
  <c r="L695" i="7"/>
  <c r="L694" i="7"/>
  <c r="L693" i="7"/>
  <c r="L692" i="7"/>
  <c r="L691" i="7"/>
  <c r="L690" i="7"/>
  <c r="L689" i="7"/>
  <c r="L688" i="7"/>
  <c r="L687" i="7"/>
  <c r="L686" i="7"/>
  <c r="L685" i="7"/>
  <c r="L684" i="7"/>
  <c r="L683" i="7"/>
  <c r="L682" i="7"/>
  <c r="L681" i="7"/>
  <c r="L680" i="7"/>
  <c r="L679" i="7"/>
  <c r="L678" i="7"/>
  <c r="L677" i="7"/>
  <c r="L676" i="7"/>
  <c r="L675" i="7"/>
  <c r="L674" i="7"/>
  <c r="L673" i="7"/>
  <c r="L672" i="7"/>
  <c r="L671" i="7"/>
  <c r="L670" i="7"/>
  <c r="L669" i="7"/>
  <c r="L668" i="7"/>
  <c r="L667" i="7"/>
  <c r="L666" i="7"/>
  <c r="L665" i="7"/>
  <c r="L664" i="7"/>
  <c r="L663" i="7"/>
  <c r="L662" i="7"/>
  <c r="L661" i="7"/>
  <c r="L660" i="7"/>
  <c r="L659" i="7"/>
  <c r="L658" i="7"/>
  <c r="L657" i="7"/>
  <c r="L656" i="7"/>
  <c r="L655" i="7"/>
  <c r="L654" i="7"/>
  <c r="L653" i="7"/>
  <c r="L652" i="7"/>
  <c r="L651" i="7"/>
  <c r="L650" i="7"/>
  <c r="L649" i="7"/>
  <c r="L648" i="7"/>
  <c r="L647" i="7"/>
  <c r="L646" i="7"/>
  <c r="L645" i="7"/>
  <c r="L644" i="7"/>
  <c r="L643" i="7"/>
  <c r="L642" i="7"/>
  <c r="L641" i="7"/>
  <c r="L640" i="7"/>
  <c r="L639" i="7"/>
  <c r="L638" i="7"/>
  <c r="L637" i="7"/>
  <c r="L636" i="7"/>
  <c r="L635" i="7"/>
  <c r="L634" i="7"/>
  <c r="L633" i="7"/>
  <c r="L632" i="7"/>
  <c r="L631" i="7"/>
  <c r="L630" i="7"/>
  <c r="L629" i="7"/>
  <c r="L628" i="7"/>
  <c r="L627" i="7"/>
  <c r="L626" i="7"/>
  <c r="L625" i="7"/>
  <c r="L624" i="7"/>
  <c r="L623" i="7"/>
  <c r="L622" i="7"/>
  <c r="L621" i="7"/>
  <c r="L620" i="7"/>
  <c r="L619" i="7"/>
  <c r="L618" i="7"/>
  <c r="L617" i="7"/>
  <c r="L616" i="7"/>
  <c r="L615" i="7"/>
  <c r="L614" i="7"/>
  <c r="L613" i="7"/>
  <c r="L612" i="7"/>
  <c r="L611" i="7"/>
  <c r="L610" i="7"/>
  <c r="L609" i="7"/>
  <c r="L608" i="7"/>
  <c r="L600" i="7"/>
  <c r="L599" i="7"/>
  <c r="L598" i="7"/>
  <c r="L597" i="7"/>
  <c r="L596" i="7"/>
  <c r="L595" i="7"/>
  <c r="L594" i="7"/>
  <c r="L593" i="7"/>
  <c r="L592" i="7"/>
  <c r="L591" i="7"/>
  <c r="L590" i="7"/>
  <c r="L589" i="7"/>
  <c r="L588" i="7"/>
  <c r="L587" i="7"/>
  <c r="L586" i="7"/>
  <c r="L585" i="7"/>
  <c r="L584" i="7"/>
  <c r="L583" i="7"/>
  <c r="L582" i="7"/>
  <c r="L581" i="7"/>
  <c r="L580" i="7"/>
  <c r="L579" i="7"/>
  <c r="L578" i="7"/>
  <c r="L577" i="7"/>
  <c r="L576" i="7"/>
  <c r="L575" i="7"/>
  <c r="L574" i="7"/>
  <c r="L573" i="7"/>
  <c r="L572" i="7"/>
  <c r="L571" i="7"/>
  <c r="L570" i="7"/>
  <c r="L569" i="7"/>
  <c r="L568" i="7"/>
  <c r="L567" i="7"/>
  <c r="L566" i="7"/>
  <c r="L565" i="7"/>
  <c r="L564" i="7"/>
  <c r="L563" i="7"/>
  <c r="L562" i="7"/>
  <c r="L561" i="7"/>
  <c r="L560" i="7"/>
  <c r="L559" i="7"/>
  <c r="L558" i="7"/>
  <c r="L557" i="7"/>
  <c r="L556" i="7"/>
  <c r="L555" i="7"/>
  <c r="L554" i="7"/>
  <c r="L553" i="7"/>
  <c r="L552" i="7"/>
  <c r="L551" i="7"/>
  <c r="L550" i="7"/>
  <c r="L549" i="7"/>
  <c r="L548" i="7"/>
  <c r="L547" i="7"/>
  <c r="L546" i="7"/>
  <c r="L545" i="7"/>
  <c r="L544" i="7"/>
  <c r="L543" i="7"/>
  <c r="L542" i="7"/>
  <c r="L541" i="7"/>
  <c r="L540" i="7"/>
  <c r="L539" i="7"/>
  <c r="L538" i="7"/>
  <c r="L537" i="7"/>
  <c r="L536" i="7"/>
  <c r="L535" i="7"/>
  <c r="L534" i="7"/>
  <c r="L533" i="7"/>
  <c r="L532" i="7"/>
  <c r="L531" i="7"/>
  <c r="L530" i="7"/>
  <c r="L529" i="7"/>
  <c r="L528" i="7"/>
  <c r="L527" i="7"/>
  <c r="L526" i="7"/>
  <c r="L525" i="7"/>
  <c r="L524" i="7"/>
  <c r="L523" i="7"/>
  <c r="L522" i="7"/>
  <c r="L521" i="7"/>
  <c r="L520" i="7"/>
  <c r="L519" i="7"/>
  <c r="L518" i="7"/>
  <c r="L517" i="7"/>
  <c r="L516" i="7"/>
  <c r="L515" i="7"/>
  <c r="L514" i="7"/>
  <c r="L513" i="7"/>
  <c r="L512" i="7"/>
  <c r="L511" i="7"/>
  <c r="L510" i="7"/>
  <c r="L509" i="7"/>
  <c r="L508" i="7"/>
  <c r="L507" i="7"/>
  <c r="L506" i="7"/>
  <c r="L505" i="7"/>
  <c r="L504" i="7"/>
  <c r="L503" i="7"/>
  <c r="L502" i="7"/>
  <c r="L501" i="7"/>
  <c r="L500" i="7"/>
  <c r="L499" i="7"/>
  <c r="L498" i="7"/>
  <c r="L497" i="7"/>
  <c r="L496" i="7"/>
  <c r="L495" i="7"/>
  <c r="L494" i="7"/>
  <c r="L493" i="7"/>
  <c r="L492" i="7"/>
  <c r="L491" i="7"/>
  <c r="L490" i="7"/>
  <c r="L489" i="7"/>
  <c r="L488" i="7"/>
  <c r="L487" i="7"/>
  <c r="L486" i="7"/>
  <c r="L485" i="7"/>
  <c r="L484" i="7"/>
  <c r="L483" i="7"/>
  <c r="L482" i="7"/>
  <c r="L481" i="7"/>
  <c r="L480" i="7"/>
  <c r="L479" i="7"/>
  <c r="L478" i="7"/>
  <c r="L477" i="7"/>
  <c r="L476" i="7"/>
  <c r="L475" i="7"/>
  <c r="L474" i="7"/>
  <c r="L473" i="7"/>
  <c r="L472" i="7"/>
  <c r="L471" i="7"/>
  <c r="L470" i="7"/>
  <c r="L469" i="7"/>
  <c r="L468" i="7"/>
  <c r="L467" i="7"/>
  <c r="L466" i="7"/>
  <c r="L465" i="7"/>
  <c r="L464" i="7"/>
  <c r="L463" i="7"/>
  <c r="L462" i="7"/>
  <c r="L461" i="7"/>
  <c r="L460" i="7"/>
  <c r="L459" i="7"/>
  <c r="L458" i="7"/>
  <c r="L457" i="7"/>
  <c r="L456" i="7"/>
  <c r="L455" i="7"/>
  <c r="L454" i="7"/>
  <c r="L453" i="7"/>
  <c r="L452" i="7"/>
  <c r="L451" i="7"/>
  <c r="L450" i="7"/>
  <c r="L449" i="7"/>
  <c r="L448" i="7"/>
  <c r="L447" i="7"/>
  <c r="L446" i="7"/>
  <c r="L445" i="7"/>
  <c r="L444" i="7"/>
  <c r="L443" i="7"/>
  <c r="L442" i="7"/>
  <c r="L441" i="7"/>
  <c r="L440" i="7"/>
  <c r="L439" i="7"/>
  <c r="L438" i="7"/>
  <c r="L437" i="7"/>
  <c r="L436" i="7"/>
  <c r="L435" i="7"/>
  <c r="L434" i="7"/>
  <c r="L433" i="7"/>
  <c r="L432" i="7"/>
  <c r="L431" i="7"/>
  <c r="L430" i="7"/>
  <c r="L429" i="7"/>
  <c r="L428" i="7"/>
  <c r="L427" i="7"/>
  <c r="L426" i="7"/>
  <c r="L425" i="7"/>
  <c r="L424" i="7"/>
  <c r="L423" i="7"/>
  <c r="L422" i="7"/>
  <c r="L421" i="7"/>
  <c r="L420" i="7"/>
  <c r="L419" i="7"/>
  <c r="L418" i="7"/>
  <c r="L417" i="7"/>
  <c r="L416" i="7"/>
  <c r="L415" i="7"/>
  <c r="L414" i="7"/>
  <c r="L413" i="7"/>
  <c r="L412" i="7"/>
  <c r="L411" i="7"/>
  <c r="L410" i="7"/>
  <c r="L409" i="7"/>
  <c r="L408" i="7"/>
  <c r="L407" i="7"/>
  <c r="L406" i="7"/>
  <c r="L405" i="7"/>
  <c r="L404" i="7"/>
  <c r="L403" i="7"/>
  <c r="L402" i="7"/>
  <c r="L401" i="7"/>
  <c r="L400" i="7"/>
  <c r="L399" i="7"/>
  <c r="L398" i="7"/>
  <c r="L397" i="7"/>
  <c r="L396" i="7"/>
  <c r="L393" i="7"/>
  <c r="L392" i="7"/>
  <c r="L391" i="7"/>
  <c r="L390" i="7"/>
  <c r="L389" i="7"/>
  <c r="L388" i="7"/>
  <c r="L387" i="7"/>
  <c r="L386" i="7"/>
  <c r="L385" i="7"/>
  <c r="L384" i="7"/>
  <c r="L383" i="7"/>
  <c r="L382" i="7"/>
  <c r="L381" i="7"/>
  <c r="L380" i="7"/>
  <c r="L379" i="7"/>
  <c r="L378" i="7"/>
  <c r="L377" i="7"/>
  <c r="L376" i="7"/>
  <c r="L375" i="7"/>
  <c r="L374" i="7"/>
  <c r="L373" i="7"/>
  <c r="L372" i="7"/>
  <c r="L371" i="7"/>
  <c r="L370" i="7"/>
  <c r="L369" i="7"/>
  <c r="L368" i="7"/>
  <c r="L367" i="7"/>
  <c r="L366" i="7"/>
  <c r="L365" i="7"/>
  <c r="L364" i="7"/>
  <c r="L363" i="7"/>
  <c r="L362" i="7"/>
  <c r="L361" i="7"/>
  <c r="L360" i="7"/>
  <c r="L359" i="7"/>
  <c r="L358" i="7"/>
  <c r="L357" i="7"/>
  <c r="L356" i="7"/>
  <c r="L355" i="7"/>
  <c r="L354" i="7"/>
  <c r="L353" i="7"/>
  <c r="L352" i="7"/>
  <c r="L351" i="7"/>
  <c r="L350" i="7"/>
  <c r="L349" i="7"/>
  <c r="L348" i="7"/>
  <c r="L347" i="7"/>
  <c r="L346" i="7"/>
  <c r="L345" i="7"/>
  <c r="L344" i="7"/>
  <c r="L343" i="7"/>
  <c r="L342" i="7"/>
  <c r="L341" i="7"/>
  <c r="L340" i="7"/>
  <c r="L339" i="7"/>
  <c r="L338" i="7"/>
  <c r="L337" i="7"/>
  <c r="L336" i="7"/>
  <c r="L335" i="7"/>
  <c r="L334" i="7"/>
  <c r="L333" i="7"/>
  <c r="L332" i="7"/>
  <c r="L331" i="7"/>
  <c r="L330" i="7"/>
  <c r="L329" i="7"/>
  <c r="L328" i="7"/>
  <c r="L327" i="7"/>
  <c r="L326" i="7"/>
  <c r="L325" i="7"/>
  <c r="L324" i="7"/>
  <c r="L323" i="7"/>
  <c r="L322" i="7"/>
  <c r="L321" i="7"/>
  <c r="L320" i="7"/>
  <c r="L319" i="7"/>
  <c r="L318" i="7"/>
  <c r="L317" i="7"/>
  <c r="L316" i="7"/>
  <c r="L315" i="7"/>
  <c r="L314" i="7"/>
  <c r="L313" i="7"/>
  <c r="L312" i="7"/>
  <c r="L311" i="7"/>
  <c r="L310" i="7"/>
  <c r="L309" i="7"/>
  <c r="L308" i="7"/>
  <c r="L307" i="7"/>
  <c r="L306" i="7"/>
  <c r="L305" i="7"/>
  <c r="L304" i="7"/>
  <c r="L303" i="7"/>
  <c r="L302" i="7"/>
  <c r="L301" i="7"/>
  <c r="L300" i="7"/>
  <c r="L299" i="7"/>
  <c r="L298" i="7"/>
  <c r="L297" i="7"/>
  <c r="L296" i="7"/>
  <c r="L295" i="7"/>
  <c r="L294" i="7"/>
  <c r="L293" i="7"/>
  <c r="L292" i="7"/>
  <c r="L291" i="7"/>
  <c r="L290" i="7"/>
  <c r="L289" i="7"/>
  <c r="L288" i="7"/>
  <c r="L287" i="7"/>
  <c r="L286" i="7"/>
  <c r="L285" i="7"/>
  <c r="L284" i="7"/>
  <c r="L283" i="7"/>
  <c r="L282" i="7"/>
  <c r="L281" i="7"/>
  <c r="L280" i="7"/>
  <c r="L279" i="7"/>
  <c r="L278" i="7"/>
  <c r="L277" i="7"/>
  <c r="L276" i="7"/>
  <c r="L275" i="7"/>
  <c r="L274" i="7"/>
  <c r="L273" i="7"/>
  <c r="L272" i="7"/>
  <c r="L271" i="7"/>
  <c r="L270" i="7"/>
  <c r="L269" i="7"/>
  <c r="L268" i="7"/>
  <c r="L267" i="7"/>
  <c r="L266" i="7"/>
  <c r="L265" i="7"/>
  <c r="L264" i="7"/>
  <c r="L263" i="7"/>
  <c r="L262" i="7"/>
  <c r="L261" i="7"/>
  <c r="L260" i="7"/>
  <c r="L259" i="7"/>
  <c r="L258" i="7"/>
  <c r="L257" i="7"/>
  <c r="L256" i="7"/>
  <c r="L255" i="7"/>
  <c r="L254" i="7"/>
  <c r="L253" i="7"/>
  <c r="L252" i="7"/>
  <c r="L251" i="7"/>
  <c r="L250" i="7"/>
  <c r="L249" i="7"/>
  <c r="L248" i="7"/>
  <c r="L247" i="7"/>
  <c r="L246" i="7"/>
  <c r="L245" i="7"/>
  <c r="L244" i="7"/>
  <c r="L241" i="7"/>
  <c r="L240" i="7"/>
  <c r="L239" i="7"/>
  <c r="L238" i="7"/>
  <c r="L237" i="7"/>
  <c r="L236" i="7"/>
  <c r="L235" i="7"/>
  <c r="L234" i="7"/>
  <c r="L233" i="7"/>
  <c r="L232" i="7"/>
  <c r="L231" i="7"/>
  <c r="L230" i="7"/>
  <c r="L229" i="7"/>
  <c r="L228" i="7"/>
  <c r="L223" i="7"/>
  <c r="L222" i="7"/>
  <c r="L221" i="7"/>
  <c r="L220" i="7"/>
  <c r="L219" i="7"/>
  <c r="L218" i="7"/>
  <c r="L217" i="7"/>
  <c r="L216" i="7"/>
  <c r="L215" i="7"/>
  <c r="L214" i="7"/>
  <c r="L213" i="7"/>
  <c r="L212" i="7"/>
  <c r="L211" i="7"/>
  <c r="L210" i="7"/>
  <c r="L205" i="7"/>
  <c r="L204" i="7"/>
  <c r="L203" i="7"/>
  <c r="L202" i="7"/>
  <c r="L201" i="7"/>
  <c r="L200" i="7"/>
  <c r="L199" i="7"/>
  <c r="L198" i="7"/>
  <c r="L197" i="7"/>
  <c r="L196" i="7"/>
  <c r="L195" i="7"/>
  <c r="L194" i="7"/>
  <c r="L193" i="7"/>
  <c r="L192" i="7"/>
  <c r="L188" i="7"/>
  <c r="L187" i="7"/>
  <c r="L186" i="7"/>
  <c r="L185" i="7"/>
  <c r="L184" i="7"/>
  <c r="L183" i="7"/>
  <c r="L182" i="7"/>
  <c r="L179" i="7"/>
  <c r="L178" i="7"/>
  <c r="L177" i="7"/>
  <c r="L176" i="7"/>
  <c r="L175" i="7"/>
  <c r="L174" i="7"/>
  <c r="L173" i="7"/>
  <c r="L170" i="7"/>
  <c r="L169" i="7"/>
  <c r="L168" i="7"/>
  <c r="L167" i="7"/>
  <c r="L166" i="7"/>
  <c r="L165" i="7"/>
  <c r="L164" i="7"/>
  <c r="L162" i="7"/>
  <c r="L161" i="7"/>
  <c r="L160" i="7"/>
  <c r="L159" i="7"/>
  <c r="L158" i="7"/>
  <c r="L157" i="7"/>
  <c r="L156" i="7"/>
  <c r="L155" i="7"/>
  <c r="L154" i="7"/>
  <c r="L153" i="7"/>
  <c r="L152" i="7"/>
  <c r="L151" i="7"/>
  <c r="L150" i="7"/>
  <c r="L149" i="7"/>
  <c r="L148" i="7"/>
  <c r="L147" i="7"/>
  <c r="L146" i="7"/>
  <c r="L145" i="7"/>
  <c r="L144" i="7"/>
  <c r="L143" i="7"/>
  <c r="L142" i="7"/>
  <c r="L141" i="7"/>
  <c r="L140" i="7"/>
  <c r="L139" i="7"/>
  <c r="L138" i="7"/>
  <c r="L137" i="7"/>
  <c r="L136" i="7"/>
  <c r="L135" i="7"/>
  <c r="L134" i="7"/>
  <c r="L133" i="7"/>
  <c r="L132" i="7"/>
  <c r="L131" i="7"/>
  <c r="L130" i="7"/>
  <c r="L129" i="7"/>
  <c r="L128" i="7"/>
  <c r="L127" i="7"/>
  <c r="L126" i="7"/>
  <c r="L125" i="7"/>
  <c r="L124" i="7"/>
  <c r="L123" i="7"/>
  <c r="L122" i="7"/>
  <c r="L121" i="7"/>
  <c r="L120" i="7"/>
  <c r="L119" i="7"/>
  <c r="L118" i="7"/>
  <c r="L117" i="7"/>
  <c r="L116" i="7"/>
  <c r="L115" i="7"/>
  <c r="L114" i="7"/>
  <c r="L113" i="7"/>
  <c r="L112" i="7"/>
  <c r="L111" i="7"/>
  <c r="L110" i="7"/>
  <c r="L109" i="7"/>
  <c r="L108" i="7"/>
  <c r="L107" i="7"/>
  <c r="L106" i="7"/>
  <c r="L105" i="7"/>
  <c r="L104" i="7"/>
  <c r="L103" i="7"/>
  <c r="L102" i="7"/>
  <c r="L101" i="7"/>
  <c r="L100" i="7"/>
  <c r="L99" i="7"/>
  <c r="L98" i="7"/>
  <c r="L97" i="7"/>
  <c r="L96" i="7"/>
  <c r="L95" i="7"/>
  <c r="L94" i="7"/>
  <c r="L93" i="7"/>
  <c r="L92" i="7"/>
  <c r="L91" i="7"/>
  <c r="L90" i="7"/>
  <c r="L89" i="7"/>
  <c r="L88" i="7"/>
  <c r="L87" i="7"/>
  <c r="L86" i="7"/>
  <c r="L85" i="7"/>
  <c r="L84" i="7"/>
  <c r="L83" i="7"/>
  <c r="L82" i="7"/>
  <c r="L81" i="7"/>
  <c r="L80" i="7"/>
  <c r="L79" i="7"/>
  <c r="L78" i="7"/>
  <c r="L77" i="7"/>
  <c r="L76" i="7"/>
  <c r="L75" i="7"/>
  <c r="L74" i="7"/>
  <c r="L73" i="7"/>
  <c r="L72" i="7"/>
  <c r="L71" i="7"/>
  <c r="L70" i="7"/>
  <c r="L69" i="7"/>
  <c r="L68" i="7"/>
  <c r="L67" i="7"/>
  <c r="L66" i="7"/>
  <c r="L65" i="7"/>
  <c r="L64" i="7"/>
  <c r="L63" i="7"/>
  <c r="L62" i="7"/>
  <c r="L61" i="7"/>
  <c r="L60" i="7"/>
  <c r="L59" i="7"/>
  <c r="L58" i="7"/>
  <c r="L57" i="7"/>
  <c r="L56" i="7"/>
  <c r="L55" i="7"/>
  <c r="L54" i="7"/>
  <c r="L53" i="7"/>
  <c r="L52" i="7"/>
  <c r="L51" i="7"/>
  <c r="L49" i="7"/>
  <c r="L48" i="7"/>
  <c r="L47" i="7"/>
  <c r="L46" i="7"/>
  <c r="L45" i="7"/>
  <c r="L44" i="7"/>
  <c r="L43" i="7"/>
  <c r="L42" i="7"/>
  <c r="L41" i="7"/>
  <c r="L40" i="7"/>
  <c r="L39" i="7"/>
  <c r="L38" i="7"/>
  <c r="L37" i="7"/>
  <c r="L36" i="7"/>
  <c r="L35" i="7"/>
  <c r="L34" i="7"/>
  <c r="L33" i="7"/>
  <c r="L32" i="7"/>
  <c r="L31" i="7"/>
  <c r="L30" i="7"/>
  <c r="L29" i="7"/>
  <c r="L28" i="7"/>
  <c r="L27" i="7"/>
  <c r="L26" i="7"/>
  <c r="L25" i="7"/>
  <c r="L24" i="7"/>
  <c r="L23" i="7"/>
  <c r="L22" i="7"/>
  <c r="L21" i="7"/>
  <c r="L20" i="7"/>
  <c r="L19" i="7"/>
  <c r="L18" i="7"/>
  <c r="L17" i="7"/>
  <c r="L16" i="7"/>
  <c r="L15" i="7"/>
  <c r="L14" i="7"/>
  <c r="L13" i="7"/>
  <c r="L12" i="7"/>
  <c r="H795" i="7"/>
  <c r="F10" i="2"/>
  <c r="F9" i="2"/>
  <c r="F8" i="2"/>
  <c r="B10" i="2"/>
  <c r="B9" i="2"/>
  <c r="B8" i="2"/>
  <c r="B7" i="2"/>
  <c r="B31" i="10"/>
  <c r="B30" i="10"/>
  <c r="B29" i="10"/>
  <c r="B28" i="10"/>
  <c r="B27" i="10"/>
  <c r="B26" i="10"/>
  <c r="F10" i="1"/>
  <c r="H22" i="2"/>
  <c r="J383" i="2" s="1"/>
  <c r="H10" i="7"/>
  <c r="B2" i="4"/>
  <c r="B2" i="10"/>
  <c r="B2" i="1"/>
  <c r="B2" i="20"/>
  <c r="B2" i="65"/>
  <c r="AU50" i="1"/>
  <c r="AV50" i="1" s="1"/>
  <c r="O2" i="65"/>
  <c r="B2" i="67"/>
  <c r="B2" i="66"/>
  <c r="B2" i="68"/>
  <c r="BH95" i="68"/>
  <c r="BH82" i="1"/>
  <c r="BH108" i="1"/>
  <c r="BH113" i="67"/>
  <c r="BH94" i="68"/>
  <c r="BH82" i="66"/>
  <c r="BH110" i="66"/>
  <c r="BH118" i="1"/>
  <c r="BH62" i="1"/>
  <c r="BH61" i="1"/>
  <c r="BH97" i="1"/>
  <c r="BH81" i="1"/>
  <c r="BH89" i="1"/>
  <c r="BH119" i="1"/>
  <c r="BH49" i="67"/>
  <c r="BH88" i="1"/>
  <c r="BK129" i="70"/>
  <c r="BH114" i="71"/>
  <c r="BH121" i="71"/>
  <c r="BH99" i="70"/>
  <c r="BH79" i="70"/>
  <c r="BH78" i="70"/>
  <c r="BH86" i="70"/>
  <c r="BH85" i="70"/>
  <c r="BH123" i="70"/>
  <c r="BH78" i="69"/>
  <c r="BH37" i="69"/>
  <c r="BH36" i="69"/>
  <c r="BH82" i="69"/>
  <c r="BH85" i="69"/>
  <c r="BH74" i="69"/>
  <c r="BH75" i="69"/>
  <c r="BH48" i="73"/>
  <c r="BH94" i="73"/>
  <c r="BH93" i="73"/>
  <c r="U81" i="70"/>
  <c r="BH20" i="75"/>
  <c r="BH81" i="74"/>
  <c r="BH92" i="74"/>
  <c r="BH36" i="75"/>
  <c r="BH56" i="75"/>
  <c r="BH69" i="75"/>
  <c r="BH73" i="75"/>
  <c r="BH74" i="75"/>
  <c r="BH78" i="75"/>
  <c r="BH89" i="75"/>
  <c r="BH82" i="74"/>
  <c r="BH110" i="74"/>
  <c r="BH112" i="74"/>
  <c r="BH113" i="74"/>
  <c r="BH83" i="74"/>
  <c r="B2" i="73"/>
  <c r="B67" i="70"/>
  <c r="B67" i="71"/>
  <c r="B2" i="71"/>
  <c r="B2" i="70"/>
  <c r="B2" i="69"/>
  <c r="AR87" i="70"/>
  <c r="BF20" i="75"/>
  <c r="BE20" i="75"/>
  <c r="BF24" i="74"/>
  <c r="BE24" i="74"/>
  <c r="K343" i="2"/>
  <c r="AU35" i="1"/>
  <c r="AV35" i="1" s="1"/>
  <c r="E343" i="2"/>
  <c r="E312" i="2"/>
  <c r="D245" i="2"/>
  <c r="C343" i="2"/>
  <c r="L343" i="2"/>
  <c r="E346" i="2"/>
  <c r="BD108" i="1"/>
  <c r="BE108" i="1" s="1"/>
  <c r="K299" i="2"/>
  <c r="E307" i="2"/>
  <c r="D307" i="2"/>
  <c r="C299" i="2"/>
  <c r="K336" i="2"/>
  <c r="D345" i="2"/>
  <c r="D318" i="2"/>
  <c r="L350" i="2"/>
  <c r="BD35" i="75"/>
  <c r="BD62" i="73"/>
  <c r="AU37" i="76"/>
  <c r="AV37" i="76" s="1"/>
  <c r="BD73" i="73"/>
  <c r="BF73" i="73" s="1"/>
  <c r="AU45" i="71"/>
  <c r="AW45" i="71" s="1"/>
  <c r="BD73" i="66"/>
  <c r="BE73" i="66" s="1"/>
  <c r="AU45" i="66"/>
  <c r="AV45" i="66" s="1"/>
  <c r="BD82" i="73"/>
  <c r="BF82" i="73" s="1"/>
  <c r="AU48" i="76"/>
  <c r="AV48" i="76" s="1"/>
  <c r="BD93" i="73"/>
  <c r="AU53" i="75"/>
  <c r="AV53" i="75" s="1"/>
  <c r="BD104" i="70"/>
  <c r="BF104" i="70" s="1"/>
  <c r="BD104" i="1"/>
  <c r="BF104" i="1" s="1"/>
  <c r="BD82" i="69"/>
  <c r="BE82" i="69" s="1"/>
  <c r="AU42" i="77"/>
  <c r="AU59" i="75"/>
  <c r="AV59" i="75" s="1"/>
  <c r="AU73" i="74"/>
  <c r="AW73" i="74" s="1"/>
  <c r="AU73" i="66"/>
  <c r="AW73" i="66" s="1"/>
  <c r="AU73" i="1"/>
  <c r="BD38" i="74"/>
  <c r="BE38" i="74" s="1"/>
  <c r="BD42" i="74"/>
  <c r="BE42" i="74" s="1"/>
  <c r="BD42" i="67"/>
  <c r="BE42" i="67" s="1"/>
  <c r="AU31" i="70"/>
  <c r="AU23" i="69"/>
  <c r="AV23" i="69" s="1"/>
  <c r="BD46" i="66"/>
  <c r="BE46" i="66" s="1"/>
  <c r="BD39" i="75"/>
  <c r="BD61" i="70"/>
  <c r="BF61" i="70" s="1"/>
  <c r="BD54" i="75"/>
  <c r="BE54" i="75" s="1"/>
  <c r="BD68" i="71"/>
  <c r="BD55" i="68"/>
  <c r="BF55" i="68" s="1"/>
  <c r="BD79" i="74"/>
  <c r="BE79" i="74" s="1"/>
  <c r="BD79" i="73"/>
  <c r="BF79" i="73" s="1"/>
  <c r="BD79" i="70"/>
  <c r="BE79" i="70" s="1"/>
  <c r="BD79" i="67"/>
  <c r="BD45" i="77"/>
  <c r="BE45" i="77" s="1"/>
  <c r="BD70" i="76"/>
  <c r="BE70" i="76" s="1"/>
  <c r="BD70" i="75"/>
  <c r="BD92" i="74"/>
  <c r="BE92" i="74" s="1"/>
  <c r="BD92" i="73"/>
  <c r="BE92" i="73" s="1"/>
  <c r="BD92" i="71"/>
  <c r="BE92" i="71" s="1"/>
  <c r="BD92" i="70"/>
  <c r="BF92" i="70" s="1"/>
  <c r="BD92" i="66"/>
  <c r="BF92" i="66" s="1"/>
  <c r="BD71" i="68"/>
  <c r="BF71" i="68" s="1"/>
  <c r="BD92" i="67"/>
  <c r="BD70" i="69"/>
  <c r="BE70" i="69" s="1"/>
  <c r="BD74" i="76"/>
  <c r="BE74" i="76" s="1"/>
  <c r="BD49" i="77"/>
  <c r="BF49" i="77" s="1"/>
  <c r="BD74" i="75"/>
  <c r="BF74" i="75" s="1"/>
  <c r="BD96" i="74"/>
  <c r="BE96" i="74" s="1"/>
  <c r="BD96" i="73"/>
  <c r="BF96" i="73" s="1"/>
  <c r="BD96" i="70"/>
  <c r="BE96" i="70" s="1"/>
  <c r="BD96" i="71"/>
  <c r="BD74" i="69"/>
  <c r="BD96" i="66"/>
  <c r="BE96" i="66" s="1"/>
  <c r="BD96" i="67"/>
  <c r="BF96" i="67" s="1"/>
  <c r="BD75" i="68"/>
  <c r="AU32" i="74"/>
  <c r="AV32" i="74" s="1"/>
  <c r="AU24" i="69"/>
  <c r="AV24" i="69" s="1"/>
  <c r="AU18" i="77"/>
  <c r="AW18" i="77" s="1"/>
  <c r="AU35" i="73"/>
  <c r="AW35" i="73" s="1"/>
  <c r="AU27" i="68"/>
  <c r="AV27" i="68" s="1"/>
  <c r="BD36" i="75"/>
  <c r="BD50" i="67"/>
  <c r="BD74" i="73"/>
  <c r="BE74" i="73" s="1"/>
  <c r="AU51" i="73"/>
  <c r="AU51" i="67"/>
  <c r="AV51" i="67" s="1"/>
  <c r="AU45" i="76"/>
  <c r="AW45" i="76" s="1"/>
  <c r="AU30" i="77"/>
  <c r="AW30" i="77" s="1"/>
  <c r="AU45" i="75"/>
  <c r="AU57" i="73"/>
  <c r="AW57" i="73" s="1"/>
  <c r="AU57" i="74"/>
  <c r="AV57" i="74" s="1"/>
  <c r="AU57" i="71"/>
  <c r="AW57" i="71" s="1"/>
  <c r="AU57" i="70"/>
  <c r="AU45" i="68"/>
  <c r="AW45" i="68" s="1"/>
  <c r="AU45" i="69"/>
  <c r="AW45" i="69" s="1"/>
  <c r="AU57" i="67"/>
  <c r="AW57" i="67" s="1"/>
  <c r="AU57" i="66"/>
  <c r="AV57" i="66" s="1"/>
  <c r="AU49" i="76"/>
  <c r="AV49" i="76" s="1"/>
  <c r="AU49" i="75"/>
  <c r="AV49" i="75" s="1"/>
  <c r="AU61" i="74"/>
  <c r="AU61" i="73"/>
  <c r="AU61" i="70"/>
  <c r="AV61" i="70" s="1"/>
  <c r="AU61" i="71"/>
  <c r="AW61" i="71" s="1"/>
  <c r="AU49" i="69"/>
  <c r="AW49" i="69" s="1"/>
  <c r="AU49" i="68"/>
  <c r="AW49" i="68" s="1"/>
  <c r="AU61" i="67"/>
  <c r="AV61" i="67" s="1"/>
  <c r="AU61" i="66"/>
  <c r="AW61" i="66" s="1"/>
  <c r="BD69" i="76"/>
  <c r="BF69" i="76" s="1"/>
  <c r="BD91" i="70"/>
  <c r="BF91" i="70" s="1"/>
  <c r="BD69" i="69"/>
  <c r="BE69" i="69" s="1"/>
  <c r="BD97" i="74"/>
  <c r="BF97" i="74" s="1"/>
  <c r="BD97" i="1"/>
  <c r="AU40" i="77"/>
  <c r="AU71" i="70"/>
  <c r="AV71" i="70" s="1"/>
  <c r="AU71" i="1"/>
  <c r="AW71" i="1" s="1"/>
  <c r="K304" i="2"/>
  <c r="E298" i="2"/>
  <c r="C280" i="2"/>
  <c r="BD25" i="73"/>
  <c r="BE25" i="73" s="1"/>
  <c r="BD22" i="68"/>
  <c r="BF22" i="68" s="1"/>
  <c r="BD37" i="70"/>
  <c r="BE37" i="70" s="1"/>
  <c r="BD39" i="73"/>
  <c r="BE39" i="73" s="1"/>
  <c r="BD41" i="73"/>
  <c r="BE41" i="73" s="1"/>
  <c r="BD32" i="68"/>
  <c r="BF32" i="68" s="1"/>
  <c r="BD26" i="77"/>
  <c r="BD54" i="73"/>
  <c r="BE54" i="73" s="1"/>
  <c r="BD41" i="68"/>
  <c r="BE41" i="68" s="1"/>
  <c r="BD58" i="1"/>
  <c r="BE58" i="1" s="1"/>
  <c r="AU32" i="76"/>
  <c r="AU40" i="73"/>
  <c r="AV40" i="73" s="1"/>
  <c r="AU32" i="69"/>
  <c r="AW32" i="69" s="1"/>
  <c r="L285" i="2"/>
  <c r="AU50" i="67"/>
  <c r="AW50" i="67" s="1"/>
  <c r="BD80" i="73"/>
  <c r="BF80" i="73" s="1"/>
  <c r="BD80" i="67"/>
  <c r="BF80" i="67" s="1"/>
  <c r="AU56" i="67"/>
  <c r="AW56" i="67" s="1"/>
  <c r="BD88" i="73"/>
  <c r="BD88" i="71"/>
  <c r="BF88" i="71" s="1"/>
  <c r="BD88" i="70"/>
  <c r="BF88" i="70" s="1"/>
  <c r="BD88" i="67"/>
  <c r="BD93" i="1"/>
  <c r="BD95" i="73"/>
  <c r="BE95" i="73" s="1"/>
  <c r="BD95" i="66"/>
  <c r="BF95" i="66" s="1"/>
  <c r="BD95" i="1"/>
  <c r="BE95" i="1" s="1"/>
  <c r="BD84" i="76"/>
  <c r="BD84" i="75"/>
  <c r="BF84" i="75" s="1"/>
  <c r="BD110" i="74"/>
  <c r="BF110" i="74" s="1"/>
  <c r="BD110" i="73"/>
  <c r="BF110" i="73" s="1"/>
  <c r="BD110" i="70"/>
  <c r="BE110" i="70" s="1"/>
  <c r="BD110" i="71"/>
  <c r="BE110" i="71" s="1"/>
  <c r="BD84" i="69"/>
  <c r="BF84" i="69" s="1"/>
  <c r="BD110" i="1"/>
  <c r="BF110" i="1" s="1"/>
  <c r="BD110" i="67"/>
  <c r="BD85" i="68"/>
  <c r="BE85" i="68" s="1"/>
  <c r="BD110" i="66"/>
  <c r="BD87" i="76"/>
  <c r="BD113" i="73"/>
  <c r="BD113" i="1"/>
  <c r="BE113" i="1" s="1"/>
  <c r="BD94" i="75"/>
  <c r="BE94" i="75" s="1"/>
  <c r="BD120" i="71"/>
  <c r="BD28" i="75"/>
  <c r="BE28" i="75" s="1"/>
  <c r="AU56" i="69"/>
  <c r="AW56" i="69" s="1"/>
  <c r="BD78" i="75"/>
  <c r="BE78" i="75" s="1"/>
  <c r="BD100" i="74"/>
  <c r="BD100" i="73"/>
  <c r="BD100" i="70"/>
  <c r="BE100" i="70" s="1"/>
  <c r="BD100" i="71"/>
  <c r="BD109" i="70"/>
  <c r="BE109" i="70" s="1"/>
  <c r="BD57" i="77"/>
  <c r="BD115" i="74"/>
  <c r="BF115" i="74" s="1"/>
  <c r="BD25" i="76"/>
  <c r="BF25" i="76" s="1"/>
  <c r="BD25" i="75"/>
  <c r="AU15" i="75"/>
  <c r="BD108" i="66"/>
  <c r="BD90" i="69"/>
  <c r="BD25" i="69"/>
  <c r="BF25" i="69" s="1"/>
  <c r="BD28" i="69"/>
  <c r="BE28" i="69" s="1"/>
  <c r="BD111" i="74"/>
  <c r="BE111" i="74" s="1"/>
  <c r="BD121" i="74"/>
  <c r="BE121" i="74" s="1"/>
  <c r="AU19" i="76"/>
  <c r="BD115" i="67"/>
  <c r="BF115" i="67" s="1"/>
  <c r="BD112" i="66"/>
  <c r="BD78" i="69"/>
  <c r="BD94" i="69"/>
  <c r="BE94" i="69" s="1"/>
  <c r="BD95" i="69"/>
  <c r="AU67" i="73"/>
  <c r="AV67" i="73" s="1"/>
  <c r="AU67" i="74"/>
  <c r="AW67" i="74" s="1"/>
  <c r="AU67" i="70"/>
  <c r="AU39" i="77"/>
  <c r="AV39" i="77" s="1"/>
  <c r="AU70" i="74"/>
  <c r="AV70" i="74" s="1"/>
  <c r="BD106" i="73"/>
  <c r="BD108" i="73"/>
  <c r="BD108" i="74"/>
  <c r="BE108" i="74" s="1"/>
  <c r="BD108" i="71"/>
  <c r="BE108" i="71" s="1"/>
  <c r="BD108" i="70"/>
  <c r="BD61" i="77"/>
  <c r="BD116" i="74"/>
  <c r="BE116" i="74" s="1"/>
  <c r="BD112" i="67"/>
  <c r="BF112" i="67" s="1"/>
  <c r="BD100" i="66"/>
  <c r="BD79" i="68"/>
  <c r="BD91" i="68"/>
  <c r="AU15" i="69"/>
  <c r="AW15" i="69" s="1"/>
  <c r="AU18" i="69"/>
  <c r="AV18" i="69" s="1"/>
  <c r="BH51" i="77"/>
  <c r="BK21" i="77"/>
  <c r="BB29" i="65"/>
  <c r="BB28" i="65"/>
  <c r="BB9" i="77"/>
  <c r="BB14" i="77"/>
  <c r="BB29" i="77"/>
  <c r="BB19" i="77"/>
  <c r="BH35" i="77"/>
  <c r="BH57" i="77"/>
  <c r="BK106" i="76"/>
  <c r="BB88" i="76"/>
  <c r="BB90" i="76"/>
  <c r="BB92" i="76"/>
  <c r="BH50" i="76"/>
  <c r="BH73" i="76"/>
  <c r="BH74" i="76"/>
  <c r="BH49" i="76"/>
  <c r="BH69" i="76"/>
  <c r="BK103" i="76"/>
  <c r="BB87" i="76"/>
  <c r="BB89" i="76"/>
  <c r="BB91" i="76"/>
  <c r="BK56" i="77"/>
  <c r="BH74" i="81"/>
  <c r="BH68" i="80"/>
  <c r="BD96" i="1"/>
  <c r="C323" i="2"/>
  <c r="D323" i="2"/>
  <c r="L323" i="2"/>
  <c r="E323" i="2"/>
  <c r="D331" i="2"/>
  <c r="C348" i="2"/>
  <c r="K348" i="2"/>
  <c r="E356" i="2"/>
  <c r="K221" i="2"/>
  <c r="E221" i="2"/>
  <c r="D289" i="2"/>
  <c r="K298" i="2"/>
  <c r="C304" i="2"/>
  <c r="AU54" i="1"/>
  <c r="D320" i="2"/>
  <c r="E320" i="2"/>
  <c r="K345" i="2"/>
  <c r="C345" i="2"/>
  <c r="D238" i="2"/>
  <c r="L247" i="2"/>
  <c r="BD61" i="1"/>
  <c r="E339" i="2"/>
  <c r="L339" i="2"/>
  <c r="C339" i="2"/>
  <c r="E289" i="2"/>
  <c r="L294" i="2"/>
  <c r="L298" i="2"/>
  <c r="C298" i="2"/>
  <c r="K286" i="2"/>
  <c r="BD59" i="1"/>
  <c r="BF59" i="1" s="1"/>
  <c r="BD112" i="1"/>
  <c r="BE112" i="1" s="1"/>
  <c r="C347" i="2"/>
  <c r="BD90" i="68"/>
  <c r="E350" i="2"/>
  <c r="BD50" i="1"/>
  <c r="BE50" i="1" s="1"/>
  <c r="D257" i="2"/>
  <c r="BD92" i="1"/>
  <c r="E319" i="2"/>
  <c r="K319" i="2"/>
  <c r="C319" i="2"/>
  <c r="D319" i="2"/>
  <c r="L324" i="2"/>
  <c r="L261" i="2"/>
  <c r="K240" i="2"/>
  <c r="L203" i="2"/>
  <c r="K203" i="2"/>
  <c r="K295" i="2"/>
  <c r="C273" i="2"/>
  <c r="K331" i="2"/>
  <c r="D298" i="2"/>
  <c r="E285" i="2"/>
  <c r="C282" i="2"/>
  <c r="K245" i="2"/>
  <c r="E240" i="2"/>
  <c r="C203" i="2"/>
  <c r="E299" i="2"/>
  <c r="L295" i="2"/>
  <c r="K351" i="2"/>
  <c r="E304" i="2"/>
  <c r="E271" i="2"/>
  <c r="C240" i="2"/>
  <c r="L240" i="2"/>
  <c r="D299" i="2"/>
  <c r="C295" i="2"/>
  <c r="L351" i="2"/>
  <c r="K285" i="2"/>
  <c r="AU39" i="78"/>
  <c r="BD39" i="81"/>
  <c r="BD47" i="80"/>
  <c r="BD59" i="78"/>
  <c r="BD33" i="82"/>
  <c r="BD43" i="81"/>
  <c r="BD51" i="80"/>
  <c r="BE51" i="80" s="1"/>
  <c r="BD63" i="78"/>
  <c r="BE63" i="78" s="1"/>
  <c r="BD36" i="82"/>
  <c r="AU37" i="81"/>
  <c r="BD51" i="82"/>
  <c r="BD81" i="78"/>
  <c r="BF81" i="78" s="1"/>
  <c r="BD63" i="81"/>
  <c r="AU42" i="81"/>
  <c r="AU52" i="78"/>
  <c r="AV52" i="78" s="1"/>
  <c r="BD58" i="82"/>
  <c r="BD72" i="81"/>
  <c r="BF72" i="81" s="1"/>
  <c r="BD76" i="80"/>
  <c r="BD92" i="78"/>
  <c r="BD29" i="82"/>
  <c r="AU19" i="82"/>
  <c r="BD25" i="82"/>
  <c r="AU15" i="82"/>
  <c r="AV15" i="82" s="1"/>
  <c r="BD25" i="81"/>
  <c r="BF25" i="81" s="1"/>
  <c r="BD21" i="82"/>
  <c r="BE21" i="82" s="1"/>
  <c r="BD37" i="80"/>
  <c r="BD45" i="78"/>
  <c r="AU21" i="82"/>
  <c r="AV21" i="82" s="1"/>
  <c r="AU27" i="81"/>
  <c r="AV27" i="81" s="1"/>
  <c r="AU30" i="80"/>
  <c r="AU37" i="78"/>
  <c r="AU33" i="80"/>
  <c r="AW33" i="80" s="1"/>
  <c r="AU29" i="82"/>
  <c r="BD44" i="82"/>
  <c r="AU36" i="82"/>
  <c r="AU44" i="81"/>
  <c r="AU45" i="80"/>
  <c r="AU54" i="78"/>
  <c r="AV54" i="78" s="1"/>
  <c r="AU38" i="82"/>
  <c r="AV38" i="82" s="1"/>
  <c r="AU47" i="80"/>
  <c r="BD65" i="81"/>
  <c r="BD85" i="78"/>
  <c r="BF85" i="78" s="1"/>
  <c r="BD75" i="81"/>
  <c r="BD61" i="82"/>
  <c r="BE61" i="82" s="1"/>
  <c r="BD79" i="80"/>
  <c r="BD95" i="78"/>
  <c r="BD77" i="81"/>
  <c r="BF77" i="81" s="1"/>
  <c r="BD63" i="82"/>
  <c r="BD81" i="80"/>
  <c r="BD97" i="78"/>
  <c r="BD48" i="80"/>
  <c r="BD42" i="81"/>
  <c r="BE42" i="81" s="1"/>
  <c r="BD72" i="78"/>
  <c r="BE72" i="78" s="1"/>
  <c r="AU30" i="82"/>
  <c r="AU36" i="81"/>
  <c r="AW36" i="81" s="1"/>
  <c r="AU39" i="80"/>
  <c r="AU46" i="78"/>
  <c r="AV46" i="78" s="1"/>
  <c r="AU40" i="81"/>
  <c r="AU50" i="78"/>
  <c r="AV50" i="78" s="1"/>
  <c r="BD57" i="82"/>
  <c r="BD75" i="80"/>
  <c r="BD71" i="81"/>
  <c r="BF71" i="81" s="1"/>
  <c r="BD91" i="78"/>
  <c r="BF91" i="78" s="1"/>
  <c r="BD59" i="82"/>
  <c r="BD73" i="81"/>
  <c r="BD77" i="80"/>
  <c r="BD93" i="78"/>
  <c r="BE93" i="78" s="1"/>
  <c r="AU22" i="82"/>
  <c r="AU28" i="81"/>
  <c r="AU31" i="80"/>
  <c r="AU38" i="78"/>
  <c r="AU25" i="82"/>
  <c r="AU31" i="81"/>
  <c r="AU34" i="80"/>
  <c r="AW34" i="80" s="1"/>
  <c r="AU41" i="78"/>
  <c r="BD52" i="80"/>
  <c r="BD55" i="80"/>
  <c r="BD37" i="82"/>
  <c r="BD47" i="81"/>
  <c r="BF47" i="81" s="1"/>
  <c r="BD67" i="78"/>
  <c r="BD41" i="82"/>
  <c r="BE41" i="82" s="1"/>
  <c r="BD51" i="81"/>
  <c r="BF51" i="81" s="1"/>
  <c r="BD71" i="78"/>
  <c r="BE71" i="78" s="1"/>
  <c r="BD55" i="81"/>
  <c r="BD45" i="82"/>
  <c r="BF45" i="82" s="1"/>
  <c r="BD63" i="80"/>
  <c r="BD75" i="78"/>
  <c r="BD47" i="82"/>
  <c r="BD65" i="80"/>
  <c r="BF65" i="80" s="1"/>
  <c r="BD77" i="78"/>
  <c r="BD79" i="78"/>
  <c r="BF79" i="78" s="1"/>
  <c r="AU35" i="82"/>
  <c r="AU43" i="81"/>
  <c r="AU44" i="80"/>
  <c r="AW44" i="80" s="1"/>
  <c r="AU53" i="78"/>
  <c r="AU47" i="81"/>
  <c r="AU39" i="82"/>
  <c r="AU48" i="80"/>
  <c r="AU57" i="78"/>
  <c r="BD68" i="81"/>
  <c r="BD72" i="80"/>
  <c r="BF72" i="80" s="1"/>
  <c r="BD88" i="78"/>
  <c r="BD76" i="81"/>
  <c r="BD62" i="82"/>
  <c r="BD80" i="80"/>
  <c r="BD96" i="78"/>
  <c r="BE96" i="78" s="1"/>
  <c r="BD80" i="81"/>
  <c r="BF80" i="81" s="1"/>
  <c r="BD66" i="82"/>
  <c r="BD84" i="80"/>
  <c r="BD100" i="78"/>
  <c r="BF100" i="78" s="1"/>
  <c r="BD28" i="82"/>
  <c r="AU18" i="82"/>
  <c r="BB20" i="65"/>
  <c r="BB22" i="65"/>
  <c r="AZ13" i="65"/>
  <c r="D322" i="2"/>
  <c r="C344" i="2"/>
  <c r="K322" i="2"/>
  <c r="K333" i="2"/>
  <c r="D295" i="2"/>
  <c r="B228" i="2"/>
  <c r="K228" i="2" s="1"/>
  <c r="BD130" i="70"/>
  <c r="BE130" i="70" s="1"/>
  <c r="BD104" i="76"/>
  <c r="BD130" i="73"/>
  <c r="BD37" i="73"/>
  <c r="C236" i="2"/>
  <c r="BD37" i="67"/>
  <c r="BD37" i="74"/>
  <c r="BD41" i="1"/>
  <c r="BE41" i="1" s="1"/>
  <c r="BD31" i="76"/>
  <c r="BD41" i="70"/>
  <c r="BD41" i="67"/>
  <c r="BD31" i="75"/>
  <c r="BE31" i="75" s="1"/>
  <c r="BD41" i="71"/>
  <c r="BD41" i="66"/>
  <c r="BD41" i="74"/>
  <c r="BD31" i="69"/>
  <c r="AU31" i="1"/>
  <c r="AW31" i="1" s="1"/>
  <c r="L245" i="2"/>
  <c r="C245" i="2"/>
  <c r="AU23" i="76"/>
  <c r="AU31" i="73"/>
  <c r="AU23" i="68"/>
  <c r="AU23" i="75"/>
  <c r="AU31" i="71"/>
  <c r="AU31" i="66"/>
  <c r="E245" i="2"/>
  <c r="AU31" i="74"/>
  <c r="AV31" i="74" s="1"/>
  <c r="AU31" i="67"/>
  <c r="AV31" i="67" s="1"/>
  <c r="AU27" i="76"/>
  <c r="AU35" i="71"/>
  <c r="AV35" i="71" s="1"/>
  <c r="AU35" i="66"/>
  <c r="AU27" i="75"/>
  <c r="AW27" i="75" s="1"/>
  <c r="AU35" i="70"/>
  <c r="AU35" i="67"/>
  <c r="K249" i="2"/>
  <c r="E249" i="2"/>
  <c r="AU35" i="74"/>
  <c r="AV35" i="74" s="1"/>
  <c r="AU27" i="69"/>
  <c r="AW27" i="69" s="1"/>
  <c r="BD46" i="73"/>
  <c r="BE46" i="73" s="1"/>
  <c r="BD46" i="67"/>
  <c r="BD50" i="71"/>
  <c r="BD50" i="70"/>
  <c r="BE50" i="70" s="1"/>
  <c r="BD36" i="76"/>
  <c r="BD37" i="68"/>
  <c r="BD40" i="76"/>
  <c r="BD54" i="71"/>
  <c r="BD54" i="66"/>
  <c r="BD40" i="75"/>
  <c r="BD54" i="70"/>
  <c r="BD40" i="69"/>
  <c r="BF40" i="69" s="1"/>
  <c r="BD54" i="74"/>
  <c r="BD54" i="67"/>
  <c r="BF54" i="67" s="1"/>
  <c r="AU32" i="75"/>
  <c r="AU40" i="70"/>
  <c r="AV40" i="70" s="1"/>
  <c r="AU40" i="67"/>
  <c r="AW40" i="67" s="1"/>
  <c r="AU40" i="74"/>
  <c r="AU32" i="68"/>
  <c r="AU22" i="77"/>
  <c r="AU40" i="71"/>
  <c r="AU40" i="66"/>
  <c r="C274" i="2"/>
  <c r="BD62" i="1"/>
  <c r="BD70" i="73"/>
  <c r="BD75" i="1"/>
  <c r="AU42" i="69"/>
  <c r="AU15" i="76"/>
  <c r="D218" i="2"/>
  <c r="BD46" i="1"/>
  <c r="D253" i="2"/>
  <c r="K253" i="2"/>
  <c r="C253" i="2"/>
  <c r="BD46" i="70"/>
  <c r="E253" i="2"/>
  <c r="L253" i="2"/>
  <c r="E257" i="2"/>
  <c r="K257" i="2"/>
  <c r="C257" i="2"/>
  <c r="L257" i="2"/>
  <c r="BD54" i="1"/>
  <c r="D261" i="2"/>
  <c r="C261" i="2"/>
  <c r="E261" i="2"/>
  <c r="BD45" i="68"/>
  <c r="BD44" i="76"/>
  <c r="BD44" i="69"/>
  <c r="BF44" i="69" s="1"/>
  <c r="BD58" i="73"/>
  <c r="AU40" i="1"/>
  <c r="AW40" i="1" s="1"/>
  <c r="C270" i="2"/>
  <c r="E270" i="2"/>
  <c r="K270" i="2"/>
  <c r="D270" i="2"/>
  <c r="L274" i="2"/>
  <c r="K274" i="2"/>
  <c r="BD32" i="77"/>
  <c r="BF32" i="77" s="1"/>
  <c r="BD62" i="74"/>
  <c r="BE62" i="74" s="1"/>
  <c r="BD62" i="66"/>
  <c r="E274" i="2"/>
  <c r="BD48" i="76"/>
  <c r="BF48" i="76" s="1"/>
  <c r="BD62" i="71"/>
  <c r="BD62" i="67"/>
  <c r="BE62" i="67" s="1"/>
  <c r="D274" i="2"/>
  <c r="BD48" i="75"/>
  <c r="BD62" i="70"/>
  <c r="BD49" i="68"/>
  <c r="L278" i="2"/>
  <c r="K287" i="2"/>
  <c r="BD61" i="75"/>
  <c r="BD62" i="68"/>
  <c r="AU39" i="75"/>
  <c r="AU47" i="66"/>
  <c r="BD41" i="77"/>
  <c r="BF41" i="77" s="1"/>
  <c r="AU47" i="67"/>
  <c r="L291" i="2"/>
  <c r="AU52" i="1"/>
  <c r="AU52" i="67"/>
  <c r="D296" i="2"/>
  <c r="D334" i="2"/>
  <c r="AU68" i="74"/>
  <c r="AU68" i="67"/>
  <c r="AW68" i="67" s="1"/>
  <c r="AU68" i="71"/>
  <c r="AU68" i="1"/>
  <c r="AW68" i="1" s="1"/>
  <c r="C349" i="2"/>
  <c r="K218" i="2"/>
  <c r="E218" i="2"/>
  <c r="C218" i="2"/>
  <c r="L218" i="2"/>
  <c r="BD36" i="69"/>
  <c r="BD50" i="73"/>
  <c r="BD22" i="77"/>
  <c r="BD70" i="74"/>
  <c r="BD46" i="71"/>
  <c r="BF46" i="71" s="1"/>
  <c r="AU68" i="70"/>
  <c r="E48" i="2"/>
  <c r="K48" i="2"/>
  <c r="BD25" i="1"/>
  <c r="BF25" i="1" s="1"/>
  <c r="C48" i="2"/>
  <c r="D48" i="2"/>
  <c r="K233" i="2"/>
  <c r="E233" i="2"/>
  <c r="D233" i="2"/>
  <c r="C233" i="2"/>
  <c r="AU25" i="1"/>
  <c r="AU25" i="67"/>
  <c r="L233" i="2"/>
  <c r="BD38" i="67"/>
  <c r="BD42" i="1"/>
  <c r="L241" i="2"/>
  <c r="BD32" i="75"/>
  <c r="BD42" i="70"/>
  <c r="BD33" i="68"/>
  <c r="D241" i="2"/>
  <c r="K241" i="2"/>
  <c r="C246" i="2"/>
  <c r="L246" i="2"/>
  <c r="AU32" i="1"/>
  <c r="AW32" i="1" s="1"/>
  <c r="K246" i="2"/>
  <c r="E250" i="2"/>
  <c r="BD50" i="66"/>
  <c r="BE50" i="66" s="1"/>
  <c r="BD50" i="74"/>
  <c r="BD70" i="67"/>
  <c r="BD46" i="74"/>
  <c r="BF46" i="74" s="1"/>
  <c r="AU68" i="73"/>
  <c r="BD48" i="69"/>
  <c r="BD58" i="71"/>
  <c r="K261" i="2"/>
  <c r="D278" i="2"/>
  <c r="L270" i="2"/>
  <c r="E336" i="2"/>
  <c r="D240" i="2"/>
  <c r="D333" i="2"/>
  <c r="L333" i="2"/>
  <c r="L315" i="2"/>
  <c r="E295" i="2"/>
  <c r="C351" i="2"/>
  <c r="L344" i="2"/>
  <c r="BD37" i="1"/>
  <c r="C247" i="2"/>
  <c r="L262" i="2"/>
  <c r="C265" i="2"/>
  <c r="D265" i="2"/>
  <c r="L265" i="2"/>
  <c r="K265" i="2"/>
  <c r="L308" i="2"/>
  <c r="C308" i="2"/>
  <c r="K324" i="2"/>
  <c r="C334" i="2"/>
  <c r="K334" i="2"/>
  <c r="L334" i="2"/>
  <c r="E334" i="2"/>
  <c r="C337" i="2"/>
  <c r="K337" i="2"/>
  <c r="D337" i="2"/>
  <c r="E337" i="2"/>
  <c r="AU46" i="68"/>
  <c r="AW46" i="68" s="1"/>
  <c r="AU58" i="71"/>
  <c r="AU46" i="75"/>
  <c r="AW46" i="75" s="1"/>
  <c r="BD58" i="66"/>
  <c r="BD58" i="74"/>
  <c r="BE58" i="74" s="1"/>
  <c r="AU33" i="67"/>
  <c r="AW33" i="67" s="1"/>
  <c r="D236" i="2"/>
  <c r="D324" i="2"/>
  <c r="C234" i="2"/>
  <c r="AU26" i="1"/>
  <c r="D306" i="2"/>
  <c r="L306" i="2"/>
  <c r="BD59" i="80"/>
  <c r="K262" i="2"/>
  <c r="D203" i="2"/>
  <c r="E203" i="2"/>
  <c r="BD51" i="1"/>
  <c r="L258" i="2"/>
  <c r="C258" i="2"/>
  <c r="K258" i="2"/>
  <c r="BD91" i="1"/>
  <c r="C318" i="2"/>
  <c r="AU58" i="66"/>
  <c r="AW58" i="66" s="1"/>
  <c r="AU58" i="73"/>
  <c r="AU46" i="76"/>
  <c r="AV46" i="76" s="1"/>
  <c r="BD58" i="67"/>
  <c r="BD58" i="70"/>
  <c r="BD44" i="75"/>
  <c r="BE44" i="75" s="1"/>
  <c r="AU33" i="71"/>
  <c r="AW33" i="71" s="1"/>
  <c r="E236" i="2"/>
  <c r="K236" i="2"/>
  <c r="K308" i="2"/>
  <c r="D308" i="2"/>
  <c r="K247" i="2"/>
  <c r="L236" i="2"/>
  <c r="L337" i="2"/>
  <c r="L249" i="2"/>
  <c r="C249" i="2"/>
  <c r="D249" i="2"/>
  <c r="AU61" i="1"/>
  <c r="AV61" i="1" s="1"/>
  <c r="C311" i="2"/>
  <c r="D311" i="2"/>
  <c r="L311" i="2"/>
  <c r="E311" i="2"/>
  <c r="AU60" i="68"/>
  <c r="AV60" i="68" s="1"/>
  <c r="D341" i="2"/>
  <c r="BD21" i="76"/>
  <c r="BF21" i="76" s="1"/>
  <c r="BD25" i="71"/>
  <c r="BF25" i="71" s="1"/>
  <c r="BD25" i="70"/>
  <c r="L48" i="2"/>
  <c r="BD21" i="75"/>
  <c r="BD25" i="66"/>
  <c r="BE25" i="66" s="1"/>
  <c r="BD25" i="67"/>
  <c r="BF25" i="67" s="1"/>
  <c r="BD25" i="74"/>
  <c r="BD21" i="69"/>
  <c r="BE21" i="69" s="1"/>
  <c r="AU25" i="74"/>
  <c r="AU25" i="73"/>
  <c r="AU25" i="70"/>
  <c r="BD38" i="70"/>
  <c r="BD38" i="73"/>
  <c r="C241" i="2"/>
  <c r="BD42" i="73"/>
  <c r="BD42" i="66"/>
  <c r="BF42" i="66" s="1"/>
  <c r="BD42" i="71"/>
  <c r="BD32" i="76"/>
  <c r="BD32" i="69"/>
  <c r="BF32" i="69" s="1"/>
  <c r="D246" i="2"/>
  <c r="AU15" i="77"/>
  <c r="AU32" i="73"/>
  <c r="AU32" i="66"/>
  <c r="E246" i="2"/>
  <c r="AU24" i="76"/>
  <c r="AU32" i="70"/>
  <c r="AU24" i="68"/>
  <c r="AU24" i="75"/>
  <c r="AU32" i="71"/>
  <c r="AV32" i="71" s="1"/>
  <c r="AU32" i="67"/>
  <c r="BD82" i="66"/>
  <c r="BD82" i="71"/>
  <c r="BF82" i="71" s="1"/>
  <c r="BD82" i="67"/>
  <c r="BD64" i="69"/>
  <c r="BF64" i="69" s="1"/>
  <c r="C306" i="2"/>
  <c r="E306" i="2"/>
  <c r="AU56" i="73"/>
  <c r="AW56" i="73" s="1"/>
  <c r="AU56" i="66"/>
  <c r="AW56" i="66" s="1"/>
  <c r="K306" i="2"/>
  <c r="AU56" i="74"/>
  <c r="AV56" i="74" s="1"/>
  <c r="AU44" i="69"/>
  <c r="AU56" i="1"/>
  <c r="AU44" i="76"/>
  <c r="AU56" i="71"/>
  <c r="AV56" i="71" s="1"/>
  <c r="AU44" i="68"/>
  <c r="AU48" i="75"/>
  <c r="AU48" i="68"/>
  <c r="AU60" i="1"/>
  <c r="AW60" i="1" s="1"/>
  <c r="E310" i="2"/>
  <c r="AU60" i="73"/>
  <c r="AU60" i="66"/>
  <c r="K310" i="2"/>
  <c r="L310" i="2"/>
  <c r="AU33" i="77"/>
  <c r="AU60" i="70"/>
  <c r="AU60" i="67"/>
  <c r="BD87" i="73"/>
  <c r="BD69" i="75"/>
  <c r="BE69" i="75" s="1"/>
  <c r="BD91" i="71"/>
  <c r="BD91" i="66"/>
  <c r="BD91" i="74"/>
  <c r="BD70" i="68"/>
  <c r="BE70" i="68" s="1"/>
  <c r="L318" i="2"/>
  <c r="E318" i="2"/>
  <c r="BD44" i="77"/>
  <c r="BD91" i="73"/>
  <c r="BD91" i="67"/>
  <c r="BD73" i="76"/>
  <c r="BD95" i="74"/>
  <c r="BD73" i="69"/>
  <c r="BD48" i="77"/>
  <c r="BD95" i="70"/>
  <c r="BD74" i="68"/>
  <c r="BD73" i="75"/>
  <c r="BD95" i="71"/>
  <c r="BD95" i="67"/>
  <c r="D326" i="2"/>
  <c r="BD77" i="76"/>
  <c r="BF77" i="76" s="1"/>
  <c r="BD99" i="74"/>
  <c r="L326" i="2"/>
  <c r="K326" i="2"/>
  <c r="BD99" i="66"/>
  <c r="L331" i="2"/>
  <c r="BD82" i="76"/>
  <c r="AU65" i="74"/>
  <c r="AU65" i="70"/>
  <c r="AW65" i="70" s="1"/>
  <c r="AU53" i="68"/>
  <c r="AU37" i="77"/>
  <c r="AV37" i="77" s="1"/>
  <c r="BD104" i="74"/>
  <c r="BD104" i="71"/>
  <c r="AU53" i="69"/>
  <c r="AV53" i="69" s="1"/>
  <c r="AU65" i="1"/>
  <c r="BD82" i="75"/>
  <c r="BD104" i="73"/>
  <c r="BD104" i="66"/>
  <c r="BD104" i="67"/>
  <c r="AU70" i="66"/>
  <c r="L336" i="2"/>
  <c r="D336" i="2"/>
  <c r="AU56" i="76"/>
  <c r="AU70" i="70"/>
  <c r="AW70" i="70" s="1"/>
  <c r="C336" i="2"/>
  <c r="AU56" i="75"/>
  <c r="AV56" i="75" s="1"/>
  <c r="AU70" i="71"/>
  <c r="AU70" i="67"/>
  <c r="AV70" i="67" s="1"/>
  <c r="AU70" i="1"/>
  <c r="AU56" i="68"/>
  <c r="AU70" i="73"/>
  <c r="AU74" i="1"/>
  <c r="AU60" i="75"/>
  <c r="AW60" i="75" s="1"/>
  <c r="AU74" i="74"/>
  <c r="E340" i="2"/>
  <c r="AU74" i="73"/>
  <c r="BD109" i="67"/>
  <c r="BD109" i="71"/>
  <c r="BF109" i="71" s="1"/>
  <c r="BD109" i="1"/>
  <c r="BE109" i="1" s="1"/>
  <c r="BD109" i="74"/>
  <c r="BD109" i="66"/>
  <c r="BD109" i="73"/>
  <c r="D348" i="2"/>
  <c r="BD87" i="75"/>
  <c r="BE87" i="75" s="1"/>
  <c r="BD113" i="71"/>
  <c r="BD113" i="67"/>
  <c r="BD58" i="77"/>
  <c r="BD113" i="70"/>
  <c r="BD87" i="69"/>
  <c r="BD113" i="74"/>
  <c r="BE113" i="74" s="1"/>
  <c r="BD113" i="66"/>
  <c r="BD88" i="68"/>
  <c r="BD117" i="74"/>
  <c r="BD117" i="66"/>
  <c r="BD62" i="77"/>
  <c r="D352" i="2"/>
  <c r="L352" i="2"/>
  <c r="BD91" i="76"/>
  <c r="BD117" i="70"/>
  <c r="BD92" i="68"/>
  <c r="BF92" i="68" s="1"/>
  <c r="BD91" i="69"/>
  <c r="BD95" i="75"/>
  <c r="BD121" i="71"/>
  <c r="BD121" i="67"/>
  <c r="BE121" i="67" s="1"/>
  <c r="BD95" i="76"/>
  <c r="BD121" i="70"/>
  <c r="BE121" i="70" s="1"/>
  <c r="BD121" i="66"/>
  <c r="BD121" i="1"/>
  <c r="BF121" i="1" s="1"/>
  <c r="K356" i="2"/>
  <c r="BD121" i="73"/>
  <c r="BD96" i="68"/>
  <c r="BD29" i="75"/>
  <c r="L222" i="2"/>
  <c r="AU19" i="75"/>
  <c r="BD29" i="76"/>
  <c r="BD29" i="69"/>
  <c r="E241" i="2"/>
  <c r="BD53" i="1"/>
  <c r="E260" i="2"/>
  <c r="D260" i="2"/>
  <c r="BD39" i="76"/>
  <c r="BF39" i="76" s="1"/>
  <c r="BD53" i="70"/>
  <c r="BD53" i="66"/>
  <c r="BE53" i="66" s="1"/>
  <c r="BD53" i="74"/>
  <c r="BD39" i="69"/>
  <c r="C260" i="2"/>
  <c r="BD25" i="77"/>
  <c r="BD53" i="73"/>
  <c r="BD53" i="67"/>
  <c r="AU31" i="76"/>
  <c r="AW31" i="76" s="1"/>
  <c r="AU39" i="70"/>
  <c r="AU39" i="66"/>
  <c r="AU31" i="75"/>
  <c r="AU39" i="73"/>
  <c r="AU31" i="68"/>
  <c r="AW31" i="68" s="1"/>
  <c r="AU39" i="74"/>
  <c r="AU31" i="69"/>
  <c r="AV31" i="69" s="1"/>
  <c r="BD69" i="74"/>
  <c r="BD55" i="69"/>
  <c r="BE55" i="69" s="1"/>
  <c r="D281" i="2"/>
  <c r="BD69" i="73"/>
  <c r="BD69" i="67"/>
  <c r="C281" i="2"/>
  <c r="K281" i="2"/>
  <c r="BD55" i="76"/>
  <c r="BD69" i="70"/>
  <c r="E248" i="2"/>
  <c r="BD82" i="78"/>
  <c r="BD32" i="82"/>
  <c r="BD54" i="81"/>
  <c r="AU35" i="81"/>
  <c r="AV35" i="81" s="1"/>
  <c r="AU24" i="82"/>
  <c r="BD66" i="78"/>
  <c r="D286" i="2"/>
  <c r="AU46" i="1"/>
  <c r="C269" i="2"/>
  <c r="BD74" i="66"/>
  <c r="AU39" i="67"/>
  <c r="AV39" i="67" s="1"/>
  <c r="BD47" i="75"/>
  <c r="BE47" i="75" s="1"/>
  <c r="L260" i="2"/>
  <c r="L248" i="2"/>
  <c r="AU26" i="75"/>
  <c r="AU34" i="71"/>
  <c r="AU26" i="68"/>
  <c r="AW26" i="68" s="1"/>
  <c r="AU34" i="74"/>
  <c r="AW34" i="74" s="1"/>
  <c r="AU26" i="69"/>
  <c r="AU17" i="77"/>
  <c r="AU34" i="73"/>
  <c r="AV34" i="73" s="1"/>
  <c r="AU34" i="67"/>
  <c r="AV34" i="67" s="1"/>
  <c r="E256" i="2"/>
  <c r="C256" i="2"/>
  <c r="D256" i="2"/>
  <c r="BD35" i="76"/>
  <c r="BF35" i="76" s="1"/>
  <c r="BD49" i="70"/>
  <c r="BD49" i="66"/>
  <c r="BE49" i="66" s="1"/>
  <c r="L256" i="2"/>
  <c r="BD49" i="74"/>
  <c r="BD35" i="69"/>
  <c r="BD49" i="1"/>
  <c r="BD49" i="73"/>
  <c r="BD49" i="67"/>
  <c r="BF49" i="67" s="1"/>
  <c r="K273" i="2"/>
  <c r="BD61" i="74"/>
  <c r="BD48" i="68"/>
  <c r="BD47" i="76"/>
  <c r="BE47" i="76" s="1"/>
  <c r="BD61" i="73"/>
  <c r="BE61" i="73" s="1"/>
  <c r="BD61" i="66"/>
  <c r="BE61" i="66" s="1"/>
  <c r="E273" i="2"/>
  <c r="BD31" i="77"/>
  <c r="BE31" i="77" s="1"/>
  <c r="BD61" i="71"/>
  <c r="BD47" i="69"/>
  <c r="BD60" i="75"/>
  <c r="BD74" i="74"/>
  <c r="AU46" i="71"/>
  <c r="AV46" i="71" s="1"/>
  <c r="BD61" i="68"/>
  <c r="BD74" i="67"/>
  <c r="BD40" i="77"/>
  <c r="BE40" i="77" s="1"/>
  <c r="AU38" i="75"/>
  <c r="AU46" i="74"/>
  <c r="BD74" i="70"/>
  <c r="BF74" i="70" s="1"/>
  <c r="AU46" i="66"/>
  <c r="AU46" i="67"/>
  <c r="AU38" i="76"/>
  <c r="AU26" i="77"/>
  <c r="AV26" i="77" s="1"/>
  <c r="AU46" i="73"/>
  <c r="AU46" i="70"/>
  <c r="BD60" i="69"/>
  <c r="AU38" i="68"/>
  <c r="BD52" i="82"/>
  <c r="BD62" i="78"/>
  <c r="BD74" i="78"/>
  <c r="BE74" i="78" s="1"/>
  <c r="AU45" i="78"/>
  <c r="AU30" i="81"/>
  <c r="BD46" i="81"/>
  <c r="D248" i="2"/>
  <c r="C286" i="2"/>
  <c r="L286" i="2"/>
  <c r="L269" i="2"/>
  <c r="AU39" i="1"/>
  <c r="AV39" i="1" s="1"/>
  <c r="BD56" i="68"/>
  <c r="AU38" i="69"/>
  <c r="AU39" i="71"/>
  <c r="BD40" i="68"/>
  <c r="BF40" i="68" s="1"/>
  <c r="AU34" i="66"/>
  <c r="BD36" i="68"/>
  <c r="BF36" i="68" s="1"/>
  <c r="L273" i="2"/>
  <c r="D273" i="2"/>
  <c r="E269" i="2"/>
  <c r="K260" i="2"/>
  <c r="BD62" i="81"/>
  <c r="BD50" i="81"/>
  <c r="BD50" i="80"/>
  <c r="BF50" i="80" s="1"/>
  <c r="BD62" i="80"/>
  <c r="AU38" i="80"/>
  <c r="AV38" i="80" s="1"/>
  <c r="AU40" i="78"/>
  <c r="AW40" i="78" s="1"/>
  <c r="BD54" i="80"/>
  <c r="E286" i="2"/>
  <c r="K269" i="2"/>
  <c r="BD55" i="75"/>
  <c r="BD74" i="71"/>
  <c r="AU21" i="77"/>
  <c r="BD61" i="67"/>
  <c r="BE61" i="67" s="1"/>
  <c r="BD53" i="71"/>
  <c r="AU34" i="70"/>
  <c r="AW34" i="70" s="1"/>
  <c r="BD49" i="71"/>
  <c r="BD111" i="73"/>
  <c r="BD115" i="66"/>
  <c r="BD115" i="71"/>
  <c r="BD89" i="75"/>
  <c r="AU18" i="76"/>
  <c r="AW18" i="76" s="1"/>
  <c r="AU14" i="76"/>
  <c r="AU58" i="1"/>
  <c r="BD80" i="71"/>
  <c r="BD97" i="66"/>
  <c r="BD50" i="77"/>
  <c r="AU51" i="66"/>
  <c r="AW51" i="66" s="1"/>
  <c r="BD93" i="67"/>
  <c r="BD71" i="76"/>
  <c r="AU58" i="70"/>
  <c r="AW58" i="70" s="1"/>
  <c r="BD115" i="1"/>
  <c r="C350" i="2"/>
  <c r="D350" i="2"/>
  <c r="L221" i="2"/>
  <c r="BD89" i="69"/>
  <c r="BD111" i="70"/>
  <c r="BD85" i="76"/>
  <c r="BF85" i="76" s="1"/>
  <c r="BD115" i="70"/>
  <c r="BD89" i="76"/>
  <c r="BE89" i="76" s="1"/>
  <c r="BD28" i="76"/>
  <c r="BD24" i="76"/>
  <c r="BE24" i="76" s="1"/>
  <c r="BD80" i="70"/>
  <c r="BF80" i="70" s="1"/>
  <c r="BD97" i="71"/>
  <c r="BD75" i="75"/>
  <c r="AU51" i="70"/>
  <c r="BD72" i="68"/>
  <c r="BD85" i="67"/>
  <c r="L346" i="2"/>
  <c r="C346" i="2"/>
  <c r="E217" i="2"/>
  <c r="BD86" i="68"/>
  <c r="AU14" i="69"/>
  <c r="BD85" i="69"/>
  <c r="BD111" i="71"/>
  <c r="BD85" i="75"/>
  <c r="BE85" i="75" s="1"/>
  <c r="BD111" i="67"/>
  <c r="BD115" i="73"/>
  <c r="BF115" i="73" s="1"/>
  <c r="BD60" i="77"/>
  <c r="BD111" i="1"/>
  <c r="AU14" i="75"/>
  <c r="BD85" i="1"/>
  <c r="BE85" i="1" s="1"/>
  <c r="BD80" i="66"/>
  <c r="BD80" i="74"/>
  <c r="BD75" i="69"/>
  <c r="BE75" i="69" s="1"/>
  <c r="BD97" i="70"/>
  <c r="BF97" i="70" s="1"/>
  <c r="AU51" i="74"/>
  <c r="AW51" i="74" s="1"/>
  <c r="BD85" i="74"/>
  <c r="K350" i="2"/>
  <c r="C248" i="2"/>
  <c r="L370" i="2"/>
  <c r="E370" i="2"/>
  <c r="K370" i="2"/>
  <c r="D370" i="2"/>
  <c r="H791" i="7"/>
  <c r="H125" i="7"/>
  <c r="H524" i="7"/>
  <c r="H359" i="7"/>
  <c r="H105" i="7"/>
  <c r="H298" i="7"/>
  <c r="H982" i="7"/>
  <c r="H323" i="7"/>
  <c r="H703" i="7"/>
  <c r="H124" i="7"/>
  <c r="H1021" i="7"/>
  <c r="C370" i="2"/>
  <c r="H307" i="7"/>
  <c r="H898" i="7"/>
  <c r="K346" i="2"/>
  <c r="BD111" i="66"/>
  <c r="K344" i="2"/>
  <c r="E344" i="2"/>
  <c r="D234" i="2"/>
  <c r="AU26" i="70"/>
  <c r="L234" i="2"/>
  <c r="K234" i="2"/>
  <c r="AU26" i="74"/>
  <c r="AU26" i="66"/>
  <c r="AV26" i="66" s="1"/>
  <c r="AU26" i="73"/>
  <c r="AU26" i="67"/>
  <c r="AU26" i="71"/>
  <c r="E234" i="2"/>
  <c r="K238" i="2"/>
  <c r="BD39" i="74"/>
  <c r="BF39" i="74" s="1"/>
  <c r="BD39" i="66"/>
  <c r="BE39" i="66" s="1"/>
  <c r="L238" i="2"/>
  <c r="BD39" i="71"/>
  <c r="BD39" i="67"/>
  <c r="E238" i="2"/>
  <c r="BD39" i="70"/>
  <c r="BD39" i="1"/>
  <c r="C238" i="2"/>
  <c r="E243" i="2"/>
  <c r="AU29" i="74"/>
  <c r="AU25" i="81"/>
  <c r="C243" i="2"/>
  <c r="AU29" i="73"/>
  <c r="K243" i="2"/>
  <c r="AU29" i="67"/>
  <c r="AW29" i="67" s="1"/>
  <c r="D243" i="2"/>
  <c r="AU29" i="1"/>
  <c r="AU35" i="78"/>
  <c r="AW35" i="78" s="1"/>
  <c r="AU29" i="70"/>
  <c r="AV29" i="70" s="1"/>
  <c r="L243" i="2"/>
  <c r="AU33" i="73"/>
  <c r="AU25" i="69"/>
  <c r="AU33" i="70"/>
  <c r="AU33" i="74"/>
  <c r="AU33" i="1"/>
  <c r="AU32" i="80"/>
  <c r="AV32" i="80" s="1"/>
  <c r="AU25" i="68"/>
  <c r="D247" i="2"/>
  <c r="AU33" i="66"/>
  <c r="E247" i="2"/>
  <c r="AU25" i="76"/>
  <c r="AV25" i="76" s="1"/>
  <c r="AU23" i="82"/>
  <c r="AU29" i="81"/>
  <c r="AU16" i="77"/>
  <c r="AW16" i="77" s="1"/>
  <c r="AU25" i="75"/>
  <c r="AW25" i="75" s="1"/>
  <c r="D250" i="2"/>
  <c r="AU36" i="70"/>
  <c r="AU28" i="69"/>
  <c r="AW28" i="69" s="1"/>
  <c r="AU42" i="78"/>
  <c r="AV42" i="78" s="1"/>
  <c r="AU28" i="76"/>
  <c r="AU36" i="73"/>
  <c r="AU36" i="67"/>
  <c r="AV36" i="67" s="1"/>
  <c r="K250" i="2"/>
  <c r="AU28" i="75"/>
  <c r="AU36" i="71"/>
  <c r="AU28" i="68"/>
  <c r="AW28" i="68" s="1"/>
  <c r="AU36" i="66"/>
  <c r="C250" i="2"/>
  <c r="AU26" i="82"/>
  <c r="AV26" i="82" s="1"/>
  <c r="AU35" i="80"/>
  <c r="L250" i="2"/>
  <c r="AU36" i="1"/>
  <c r="C254" i="2"/>
  <c r="BD47" i="73"/>
  <c r="BD47" i="67"/>
  <c r="E254" i="2"/>
  <c r="BD47" i="70"/>
  <c r="BF47" i="70" s="1"/>
  <c r="BD47" i="1"/>
  <c r="L254" i="2"/>
  <c r="BD47" i="71"/>
  <c r="BD60" i="78"/>
  <c r="BE60" i="78" s="1"/>
  <c r="BD47" i="74"/>
  <c r="K254" i="2"/>
  <c r="BD47" i="66"/>
  <c r="D254" i="2"/>
  <c r="BD40" i="81"/>
  <c r="BD51" i="70"/>
  <c r="BD23" i="77"/>
  <c r="BD51" i="67"/>
  <c r="BE51" i="67" s="1"/>
  <c r="BD38" i="68"/>
  <c r="BD37" i="75"/>
  <c r="BD64" i="78"/>
  <c r="BD34" i="82"/>
  <c r="BD51" i="73"/>
  <c r="BD44" i="81"/>
  <c r="BF44" i="81" s="1"/>
  <c r="D258" i="2"/>
  <c r="BD41" i="76"/>
  <c r="BD55" i="70"/>
  <c r="BD41" i="69"/>
  <c r="BD27" i="77"/>
  <c r="BD55" i="71"/>
  <c r="BE55" i="71" s="1"/>
  <c r="BD41" i="75"/>
  <c r="BD42" i="68"/>
  <c r="BF42" i="68" s="1"/>
  <c r="BD55" i="74"/>
  <c r="BD55" i="67"/>
  <c r="BF55" i="67" s="1"/>
  <c r="BD68" i="78"/>
  <c r="BE68" i="78" s="1"/>
  <c r="D262" i="2"/>
  <c r="BD55" i="73"/>
  <c r="BD48" i="81"/>
  <c r="BF48" i="81" s="1"/>
  <c r="BD55" i="1"/>
  <c r="C262" i="2"/>
  <c r="BD55" i="66"/>
  <c r="BD56" i="80"/>
  <c r="BE56" i="80" s="1"/>
  <c r="E262" i="2"/>
  <c r="D266" i="2"/>
  <c r="E266" i="2"/>
  <c r="C266" i="2"/>
  <c r="L266" i="2"/>
  <c r="BD59" i="73"/>
  <c r="BD45" i="69"/>
  <c r="BD59" i="74"/>
  <c r="BD59" i="67"/>
  <c r="BF59" i="67" s="1"/>
  <c r="BD45" i="76"/>
  <c r="BD59" i="71"/>
  <c r="BE59" i="71" s="1"/>
  <c r="BD46" i="68"/>
  <c r="BD45" i="75"/>
  <c r="BE45" i="75" s="1"/>
  <c r="BD59" i="70"/>
  <c r="BD42" i="82"/>
  <c r="BE42" i="82" s="1"/>
  <c r="BD59" i="66"/>
  <c r="BD52" i="81"/>
  <c r="BF52" i="81" s="1"/>
  <c r="AU41" i="73"/>
  <c r="D271" i="2"/>
  <c r="AU41" i="71"/>
  <c r="AU47" i="78"/>
  <c r="AU33" i="76"/>
  <c r="AW33" i="76" s="1"/>
  <c r="AU41" i="67"/>
  <c r="AW41" i="67" s="1"/>
  <c r="K271" i="2"/>
  <c r="AU33" i="69"/>
  <c r="AU40" i="80"/>
  <c r="C271" i="2"/>
  <c r="AU31" i="82"/>
  <c r="BD49" i="76"/>
  <c r="BD63" i="73"/>
  <c r="BE63" i="73" s="1"/>
  <c r="BD50" i="68"/>
  <c r="BD63" i="74"/>
  <c r="BD63" i="67"/>
  <c r="C275" i="2"/>
  <c r="BD76" i="78"/>
  <c r="BE76" i="78" s="1"/>
  <c r="BD63" i="70"/>
  <c r="BF63" i="70" s="1"/>
  <c r="BD63" i="66"/>
  <c r="BF63" i="66" s="1"/>
  <c r="BD33" i="77"/>
  <c r="BD63" i="71"/>
  <c r="BE63" i="71" s="1"/>
  <c r="L275" i="2"/>
  <c r="BD56" i="81"/>
  <c r="BD49" i="75"/>
  <c r="BF49" i="75" s="1"/>
  <c r="E275" i="2"/>
  <c r="BD46" i="82"/>
  <c r="BD49" i="69"/>
  <c r="D275" i="2"/>
  <c r="K275" i="2"/>
  <c r="BD64" i="80"/>
  <c r="BF64" i="80" s="1"/>
  <c r="BD52" i="75"/>
  <c r="BF52" i="75" s="1"/>
  <c r="BD49" i="82"/>
  <c r="BD66" i="71"/>
  <c r="BD36" i="77"/>
  <c r="BD66" i="66"/>
  <c r="BD67" i="80"/>
  <c r="BE67" i="80" s="1"/>
  <c r="BD52" i="69"/>
  <c r="K278" i="2"/>
  <c r="BD66" i="70"/>
  <c r="BF66" i="70" s="1"/>
  <c r="BD66" i="74"/>
  <c r="BD53" i="68"/>
  <c r="C278" i="2"/>
  <c r="BD59" i="81"/>
  <c r="BF59" i="81" s="1"/>
  <c r="BD52" i="76"/>
  <c r="BF52" i="76" s="1"/>
  <c r="BD66" i="1"/>
  <c r="BE66" i="1" s="1"/>
  <c r="BD66" i="67"/>
  <c r="BE66" i="67" s="1"/>
  <c r="E278" i="2"/>
  <c r="BD66" i="73"/>
  <c r="BE66" i="73" s="1"/>
  <c r="D282" i="2"/>
  <c r="E282" i="2"/>
  <c r="L282" i="2"/>
  <c r="BD83" i="78"/>
  <c r="BD70" i="70"/>
  <c r="BD56" i="75"/>
  <c r="BD56" i="76"/>
  <c r="BF56" i="76" s="1"/>
  <c r="BD70" i="1"/>
  <c r="BD57" i="68"/>
  <c r="BE57" i="68" s="1"/>
  <c r="K282" i="2"/>
  <c r="BD53" i="82"/>
  <c r="BD56" i="69"/>
  <c r="BD75" i="67"/>
  <c r="L287" i="2"/>
  <c r="BD75" i="74"/>
  <c r="BE75" i="74" s="1"/>
  <c r="E287" i="2"/>
  <c r="AU47" i="73"/>
  <c r="AW47" i="73" s="1"/>
  <c r="D287" i="2"/>
  <c r="AU47" i="74"/>
  <c r="AW47" i="74" s="1"/>
  <c r="AU39" i="69"/>
  <c r="AU39" i="76"/>
  <c r="AU47" i="71"/>
  <c r="AU47" i="70"/>
  <c r="BD75" i="71"/>
  <c r="BD75" i="70"/>
  <c r="BD75" i="73"/>
  <c r="BD61" i="76"/>
  <c r="BE61" i="76" s="1"/>
  <c r="AU39" i="68"/>
  <c r="AU27" i="77"/>
  <c r="BD75" i="66"/>
  <c r="AU47" i="1"/>
  <c r="BD61" i="69"/>
  <c r="BE61" i="69" s="1"/>
  <c r="C287" i="2"/>
  <c r="D291" i="2"/>
  <c r="C291" i="2"/>
  <c r="K291" i="2"/>
  <c r="E291" i="2"/>
  <c r="AU52" i="66"/>
  <c r="AU52" i="74"/>
  <c r="AV52" i="74" s="1"/>
  <c r="C296" i="2"/>
  <c r="AU42" i="68"/>
  <c r="AU52" i="70"/>
  <c r="E296" i="2"/>
  <c r="AU42" i="75"/>
  <c r="L296" i="2"/>
  <c r="AU52" i="71"/>
  <c r="AW52" i="71" s="1"/>
  <c r="AU52" i="73"/>
  <c r="AV52" i="73" s="1"/>
  <c r="K296" i="2"/>
  <c r="AU42" i="76"/>
  <c r="AW42" i="76" s="1"/>
  <c r="AU71" i="74"/>
  <c r="AU57" i="69"/>
  <c r="AU71" i="66"/>
  <c r="AV71" i="66" s="1"/>
  <c r="D356" i="2"/>
  <c r="L356" i="2"/>
  <c r="C356" i="2"/>
  <c r="BD80" i="1"/>
  <c r="L299" i="2"/>
  <c r="E308" i="2"/>
  <c r="AU58" i="67"/>
  <c r="AV58" i="67" s="1"/>
  <c r="AU31" i="77"/>
  <c r="AU46" i="69"/>
  <c r="AV46" i="69" s="1"/>
  <c r="D312" i="2"/>
  <c r="K312" i="2"/>
  <c r="BD85" i="73"/>
  <c r="BD85" i="70"/>
  <c r="BD67" i="76"/>
  <c r="BF67" i="76" s="1"/>
  <c r="K320" i="2"/>
  <c r="BD71" i="75"/>
  <c r="BE71" i="75" s="1"/>
  <c r="BD93" i="71"/>
  <c r="BD71" i="69"/>
  <c r="BE71" i="69" s="1"/>
  <c r="L320" i="2"/>
  <c r="C320" i="2"/>
  <c r="BD46" i="77"/>
  <c r="BD93" i="70"/>
  <c r="BD93" i="66"/>
  <c r="C324" i="2"/>
  <c r="E324" i="2"/>
  <c r="BD97" i="73"/>
  <c r="BD76" i="68"/>
  <c r="BD97" i="67"/>
  <c r="BE97" i="67" s="1"/>
  <c r="B226" i="2"/>
  <c r="BD106" i="75" s="1"/>
  <c r="BH31" i="82"/>
  <c r="BH37" i="82"/>
  <c r="BH63" i="82"/>
  <c r="BH60" i="82"/>
  <c r="BH68" i="81"/>
  <c r="BH50" i="81"/>
  <c r="BH43" i="81"/>
  <c r="BH65" i="78"/>
  <c r="BH66" i="78"/>
  <c r="BH63" i="80"/>
  <c r="BH51" i="80"/>
  <c r="BH94" i="78"/>
  <c r="BH88" i="78"/>
  <c r="BH92" i="78"/>
  <c r="U79" i="75"/>
  <c r="AG80" i="75"/>
  <c r="Q79" i="75"/>
  <c r="O79" i="75"/>
  <c r="S79" i="75"/>
  <c r="O80" i="74"/>
  <c r="U80" i="74"/>
  <c r="S79" i="74"/>
  <c r="Q80" i="74"/>
  <c r="AI80" i="74"/>
  <c r="BH39" i="76"/>
  <c r="BH18" i="76"/>
  <c r="BH78" i="76"/>
  <c r="AU104" i="76"/>
  <c r="O80" i="76"/>
  <c r="O79" i="76"/>
  <c r="AA81" i="76"/>
  <c r="S79" i="76"/>
  <c r="S80" i="76"/>
  <c r="AE81" i="76"/>
  <c r="W80" i="76"/>
  <c r="BH37" i="73"/>
  <c r="BH121" i="73"/>
  <c r="AA80" i="73"/>
  <c r="S80" i="73"/>
  <c r="AI81" i="73"/>
  <c r="AC80" i="73"/>
  <c r="BH54" i="71"/>
  <c r="AA80" i="71"/>
  <c r="W81" i="71"/>
  <c r="AG81" i="71"/>
  <c r="C321" i="2"/>
  <c r="K288" i="2"/>
  <c r="AU89" i="75"/>
  <c r="E284" i="2"/>
  <c r="C284" i="2"/>
  <c r="E292" i="2"/>
  <c r="C292" i="2"/>
  <c r="D300" i="2"/>
  <c r="E300" i="2"/>
  <c r="BD81" i="67"/>
  <c r="BE81" i="67" s="1"/>
  <c r="K300" i="2"/>
  <c r="BD81" i="1"/>
  <c r="BD81" i="73"/>
  <c r="BD81" i="74"/>
  <c r="BE81" i="74" s="1"/>
  <c r="BD81" i="70"/>
  <c r="L300" i="2"/>
  <c r="BD81" i="71"/>
  <c r="BD65" i="69"/>
  <c r="BE65" i="69" s="1"/>
  <c r="BD65" i="75"/>
  <c r="BE65" i="75" s="1"/>
  <c r="D302" i="2"/>
  <c r="C302" i="2"/>
  <c r="BD66" i="68"/>
  <c r="BD83" i="66"/>
  <c r="BE83" i="66" s="1"/>
  <c r="BD83" i="67"/>
  <c r="BE83" i="67" s="1"/>
  <c r="BD83" i="1"/>
  <c r="BF83" i="1" s="1"/>
  <c r="L302" i="2"/>
  <c r="BD83" i="71"/>
  <c r="BF83" i="71" s="1"/>
  <c r="BD83" i="73"/>
  <c r="BD83" i="74"/>
  <c r="BD65" i="76"/>
  <c r="AU59" i="73"/>
  <c r="AU32" i="77"/>
  <c r="AU59" i="71"/>
  <c r="C309" i="2"/>
  <c r="K309" i="2"/>
  <c r="AU59" i="70"/>
  <c r="AV59" i="70" s="1"/>
  <c r="AU47" i="68"/>
  <c r="E309" i="2"/>
  <c r="AU47" i="69"/>
  <c r="BD86" i="74"/>
  <c r="E313" i="2"/>
  <c r="BD86" i="67"/>
  <c r="BF86" i="67" s="1"/>
  <c r="BD86" i="73"/>
  <c r="C313" i="2"/>
  <c r="BD69" i="68"/>
  <c r="BE69" i="68" s="1"/>
  <c r="BD90" i="70"/>
  <c r="C317" i="2"/>
  <c r="L317" i="2"/>
  <c r="BD90" i="66"/>
  <c r="E317" i="2"/>
  <c r="BD90" i="67"/>
  <c r="BE90" i="67" s="1"/>
  <c r="BD68" i="76"/>
  <c r="K317" i="2"/>
  <c r="D317" i="2"/>
  <c r="BD90" i="74"/>
  <c r="BD60" i="82"/>
  <c r="BD94" i="70"/>
  <c r="BD94" i="66"/>
  <c r="BF94" i="66" s="1"/>
  <c r="L321" i="2"/>
  <c r="BD72" i="69"/>
  <c r="BE72" i="69" s="1"/>
  <c r="BD72" i="75"/>
  <c r="D321" i="2"/>
  <c r="K321" i="2"/>
  <c r="BD94" i="74"/>
  <c r="BF94" i="74" s="1"/>
  <c r="BD73" i="68"/>
  <c r="BF73" i="68" s="1"/>
  <c r="C330" i="2"/>
  <c r="K330" i="2"/>
  <c r="BD88" i="75"/>
  <c r="BD114" i="1"/>
  <c r="BE114" i="1" s="1"/>
  <c r="BD114" i="71"/>
  <c r="BF114" i="71" s="1"/>
  <c r="D349" i="2"/>
  <c r="BD88" i="69"/>
  <c r="BD89" i="68"/>
  <c r="K349" i="2"/>
  <c r="AU76" i="73"/>
  <c r="AW76" i="73" s="1"/>
  <c r="AU62" i="75"/>
  <c r="AV62" i="75" s="1"/>
  <c r="AU76" i="1"/>
  <c r="BD123" i="71"/>
  <c r="BF123" i="71" s="1"/>
  <c r="BD123" i="74"/>
  <c r="BF123" i="74" s="1"/>
  <c r="L358" i="2"/>
  <c r="AU62" i="69"/>
  <c r="AV62" i="69" s="1"/>
  <c r="AU76" i="70"/>
  <c r="AV76" i="70" s="1"/>
  <c r="D358" i="2"/>
  <c r="AU17" i="69"/>
  <c r="C220" i="2"/>
  <c r="BD27" i="75"/>
  <c r="L220" i="2"/>
  <c r="AU17" i="75"/>
  <c r="AW17" i="75" s="1"/>
  <c r="D220" i="2"/>
  <c r="AU17" i="76"/>
  <c r="AV17" i="76" s="1"/>
  <c r="BD27" i="69"/>
  <c r="BF27" i="69" s="1"/>
  <c r="K220" i="2"/>
  <c r="E220" i="2"/>
  <c r="BD27" i="76"/>
  <c r="BD27" i="82"/>
  <c r="AU17" i="82"/>
  <c r="AW17" i="82" s="1"/>
  <c r="BD108" i="75"/>
  <c r="BF108" i="75" s="1"/>
  <c r="BD94" i="1"/>
  <c r="BD90" i="73"/>
  <c r="AU59" i="74"/>
  <c r="AV59" i="74" s="1"/>
  <c r="L349" i="2"/>
  <c r="BD68" i="69"/>
  <c r="BE68" i="69" s="1"/>
  <c r="K313" i="2"/>
  <c r="C300" i="2"/>
  <c r="BD66" i="77"/>
  <c r="BF66" i="77" s="1"/>
  <c r="BD114" i="66"/>
  <c r="BF114" i="66" s="1"/>
  <c r="AU47" i="76"/>
  <c r="AW47" i="76" s="1"/>
  <c r="C27" i="2"/>
  <c r="AU29" i="80"/>
  <c r="AV29" i="80" s="1"/>
  <c r="E244" i="2"/>
  <c r="D244" i="2"/>
  <c r="AU30" i="1"/>
  <c r="AV30" i="1" s="1"/>
  <c r="K244" i="2"/>
  <c r="AU72" i="73"/>
  <c r="AU72" i="71"/>
  <c r="K338" i="2"/>
  <c r="AU72" i="1"/>
  <c r="AU58" i="68"/>
  <c r="AV58" i="68" s="1"/>
  <c r="C338" i="2"/>
  <c r="AU72" i="66"/>
  <c r="D309" i="2"/>
  <c r="BD97" i="76"/>
  <c r="AU41" i="77"/>
  <c r="AW41" i="77" s="1"/>
  <c r="BD94" i="73"/>
  <c r="AU59" i="66"/>
  <c r="L228" i="2"/>
  <c r="E228" i="2"/>
  <c r="C272" i="2"/>
  <c r="BD63" i="77"/>
  <c r="L353" i="2"/>
  <c r="BD118" i="74"/>
  <c r="BE118" i="74" s="1"/>
  <c r="BD92" i="75"/>
  <c r="BE92" i="75" s="1"/>
  <c r="C353" i="2"/>
  <c r="E353" i="2"/>
  <c r="BD93" i="68"/>
  <c r="BE93" i="68" s="1"/>
  <c r="BD118" i="71"/>
  <c r="K353" i="2"/>
  <c r="BD23" i="75"/>
  <c r="AU13" i="69"/>
  <c r="AV13" i="69" s="1"/>
  <c r="AU13" i="75"/>
  <c r="AV13" i="75" s="1"/>
  <c r="BD23" i="69"/>
  <c r="L216" i="2"/>
  <c r="AU13" i="76"/>
  <c r="AW13" i="76" s="1"/>
  <c r="BD23" i="76"/>
  <c r="BD23" i="82"/>
  <c r="AU13" i="82"/>
  <c r="AV13" i="82" s="1"/>
  <c r="B230" i="2"/>
  <c r="AU91" i="74" s="1"/>
  <c r="AW91" i="74" s="1"/>
  <c r="B229" i="2"/>
  <c r="C229" i="2" s="1"/>
  <c r="B231" i="2"/>
  <c r="AU98" i="87" s="1"/>
  <c r="B227" i="2"/>
  <c r="AU88" i="75" s="1"/>
  <c r="AV88" i="75" s="1"/>
  <c r="B224" i="2"/>
  <c r="C224" i="2" s="1"/>
  <c r="B225" i="2"/>
  <c r="D225" i="2" s="1"/>
  <c r="E272" i="2"/>
  <c r="BD134" i="74"/>
  <c r="L292" i="2"/>
  <c r="D338" i="2"/>
  <c r="BD68" i="75"/>
  <c r="K302" i="2"/>
  <c r="BD118" i="1"/>
  <c r="BE118" i="1" s="1"/>
  <c r="BD72" i="76"/>
  <c r="BD81" i="66"/>
  <c r="BE96" i="73"/>
  <c r="L301" i="2"/>
  <c r="D301" i="2"/>
  <c r="L27" i="2"/>
  <c r="BD15" i="77"/>
  <c r="D27" i="2"/>
  <c r="E27" i="2"/>
  <c r="E192" i="2"/>
  <c r="D192" i="2"/>
  <c r="C192" i="2"/>
  <c r="L192" i="2"/>
  <c r="K192" i="2"/>
  <c r="AU27" i="1"/>
  <c r="AW27" i="1" s="1"/>
  <c r="K235" i="2"/>
  <c r="AU21" i="76"/>
  <c r="AW21" i="76" s="1"/>
  <c r="AU27" i="67"/>
  <c r="AW27" i="67" s="1"/>
  <c r="AU21" i="75"/>
  <c r="AW21" i="75" s="1"/>
  <c r="AU27" i="71"/>
  <c r="AV27" i="71" s="1"/>
  <c r="AU27" i="66"/>
  <c r="L235" i="2"/>
  <c r="AU27" i="74"/>
  <c r="AW27" i="74" s="1"/>
  <c r="AU27" i="70"/>
  <c r="AU21" i="69"/>
  <c r="AV21" i="69" s="1"/>
  <c r="D235" i="2"/>
  <c r="AU27" i="73"/>
  <c r="AW27" i="73" s="1"/>
  <c r="AU21" i="68"/>
  <c r="AV21" i="68" s="1"/>
  <c r="C235" i="2"/>
  <c r="E235" i="2"/>
  <c r="E251" i="2"/>
  <c r="BD44" i="67"/>
  <c r="BF44" i="67" s="1"/>
  <c r="BD37" i="81"/>
  <c r="BF37" i="81" s="1"/>
  <c r="BD57" i="78"/>
  <c r="BD48" i="70"/>
  <c r="BE48" i="70" s="1"/>
  <c r="BD48" i="66"/>
  <c r="BD34" i="75"/>
  <c r="BF34" i="75" s="1"/>
  <c r="BD35" i="68"/>
  <c r="BF35" i="68" s="1"/>
  <c r="BD48" i="74"/>
  <c r="E255" i="2"/>
  <c r="BD48" i="73"/>
  <c r="BE48" i="73" s="1"/>
  <c r="D255" i="2"/>
  <c r="BD31" i="82"/>
  <c r="BF31" i="82" s="1"/>
  <c r="BD49" i="80"/>
  <c r="BF49" i="80" s="1"/>
  <c r="BD41" i="81"/>
  <c r="BE41" i="81" s="1"/>
  <c r="C259" i="2"/>
  <c r="BD38" i="76"/>
  <c r="BF38" i="76" s="1"/>
  <c r="BD52" i="71"/>
  <c r="BD39" i="68"/>
  <c r="BF39" i="68" s="1"/>
  <c r="D259" i="2"/>
  <c r="BD38" i="75"/>
  <c r="BD52" i="70"/>
  <c r="BF52" i="70" s="1"/>
  <c r="BD52" i="66"/>
  <c r="BF52" i="66" s="1"/>
  <c r="E259" i="2"/>
  <c r="BD24" i="77"/>
  <c r="BF24" i="77" s="1"/>
  <c r="BD52" i="67"/>
  <c r="BE52" i="67" s="1"/>
  <c r="L259" i="2"/>
  <c r="BD52" i="74"/>
  <c r="BD52" i="73"/>
  <c r="BD52" i="1"/>
  <c r="BE52" i="1" s="1"/>
  <c r="BD38" i="69"/>
  <c r="BE38" i="69" s="1"/>
  <c r="BD35" i="82"/>
  <c r="BF35" i="82" s="1"/>
  <c r="BD53" i="80"/>
  <c r="BE53" i="80" s="1"/>
  <c r="BD45" i="81"/>
  <c r="E263" i="2"/>
  <c r="BD56" i="71"/>
  <c r="BF56" i="71" s="1"/>
  <c r="BD43" i="68"/>
  <c r="BF43" i="68" s="1"/>
  <c r="BD42" i="76"/>
  <c r="BD56" i="70"/>
  <c r="BE56" i="70" s="1"/>
  <c r="D263" i="2"/>
  <c r="K263" i="2"/>
  <c r="L263" i="2"/>
  <c r="BD28" i="77"/>
  <c r="BF28" i="77" s="1"/>
  <c r="BD42" i="69"/>
  <c r="BE42" i="69" s="1"/>
  <c r="BD56" i="73"/>
  <c r="BF56" i="73" s="1"/>
  <c r="C263" i="2"/>
  <c r="BD56" i="66"/>
  <c r="BE56" i="66" s="1"/>
  <c r="BD39" i="82"/>
  <c r="BE39" i="82" s="1"/>
  <c r="BD49" i="81"/>
  <c r="BF49" i="81" s="1"/>
  <c r="BD57" i="80"/>
  <c r="C268" i="2"/>
  <c r="AU30" i="76"/>
  <c r="AU38" i="70"/>
  <c r="AV38" i="70" s="1"/>
  <c r="AU38" i="67"/>
  <c r="AV38" i="67" s="1"/>
  <c r="L268" i="2"/>
  <c r="AU30" i="75"/>
  <c r="AV30" i="75" s="1"/>
  <c r="AU38" i="73"/>
  <c r="AW38" i="73" s="1"/>
  <c r="AU38" i="66"/>
  <c r="K268" i="2"/>
  <c r="E268" i="2"/>
  <c r="D268" i="2"/>
  <c r="AU38" i="74"/>
  <c r="AU38" i="71"/>
  <c r="AW38" i="71" s="1"/>
  <c r="AU30" i="69"/>
  <c r="AW30" i="69" s="1"/>
  <c r="AU20" i="77"/>
  <c r="AW20" i="77" s="1"/>
  <c r="AU34" i="81"/>
  <c r="AU28" i="82"/>
  <c r="AW28" i="82" s="1"/>
  <c r="AU37" i="80"/>
  <c r="AW37" i="80" s="1"/>
  <c r="K272" i="2"/>
  <c r="AU34" i="76"/>
  <c r="AW34" i="76" s="1"/>
  <c r="AU42" i="70"/>
  <c r="AV42" i="70" s="1"/>
  <c r="AU42" i="74"/>
  <c r="AV42" i="74" s="1"/>
  <c r="AU42" i="67"/>
  <c r="AU34" i="75"/>
  <c r="AW34" i="75" s="1"/>
  <c r="AU34" i="69"/>
  <c r="AV34" i="69" s="1"/>
  <c r="AU42" i="73"/>
  <c r="AV42" i="73" s="1"/>
  <c r="AU34" i="68"/>
  <c r="AU42" i="1"/>
  <c r="AW42" i="1" s="1"/>
  <c r="AU48" i="78"/>
  <c r="AV48" i="78" s="1"/>
  <c r="L272" i="2"/>
  <c r="AU38" i="81"/>
  <c r="D279" i="2"/>
  <c r="BD67" i="73"/>
  <c r="BD54" i="68"/>
  <c r="BF54" i="68" s="1"/>
  <c r="BD67" i="70"/>
  <c r="BF67" i="70" s="1"/>
  <c r="BD67" i="67"/>
  <c r="BF67" i="67" s="1"/>
  <c r="BD53" i="76"/>
  <c r="BD67" i="71"/>
  <c r="BF67" i="71" s="1"/>
  <c r="BD53" i="75"/>
  <c r="BD53" i="69"/>
  <c r="BD67" i="66"/>
  <c r="K279" i="2"/>
  <c r="BD67" i="1"/>
  <c r="L279" i="2"/>
  <c r="BD50" i="82"/>
  <c r="BF50" i="82" s="1"/>
  <c r="E279" i="2"/>
  <c r="BD68" i="80"/>
  <c r="C279" i="2"/>
  <c r="BD60" i="81"/>
  <c r="AU24" i="77"/>
  <c r="AW24" i="77" s="1"/>
  <c r="AU36" i="75"/>
  <c r="AW36" i="75" s="1"/>
  <c r="AU44" i="74"/>
  <c r="AW44" i="74" s="1"/>
  <c r="AU44" i="70"/>
  <c r="BD72" i="66"/>
  <c r="BE72" i="66" s="1"/>
  <c r="AU44" i="66"/>
  <c r="AW44" i="66" s="1"/>
  <c r="AU44" i="1"/>
  <c r="BD38" i="77"/>
  <c r="BF38" i="77" s="1"/>
  <c r="AU44" i="73"/>
  <c r="AW44" i="73" s="1"/>
  <c r="AU44" i="71"/>
  <c r="AV44" i="71" s="1"/>
  <c r="BD72" i="67"/>
  <c r="BD58" i="69"/>
  <c r="BE58" i="69" s="1"/>
  <c r="K284" i="2"/>
  <c r="BD58" i="75"/>
  <c r="BD72" i="71"/>
  <c r="BF72" i="71" s="1"/>
  <c r="AU36" i="68"/>
  <c r="AW36" i="68" s="1"/>
  <c r="BD72" i="73"/>
  <c r="AU44" i="67"/>
  <c r="AW44" i="67" s="1"/>
  <c r="AU36" i="76"/>
  <c r="BD72" i="74"/>
  <c r="BE72" i="74" s="1"/>
  <c r="BD59" i="68"/>
  <c r="AU36" i="69"/>
  <c r="AW36" i="69" s="1"/>
  <c r="BD72" i="1"/>
  <c r="BF72" i="1" s="1"/>
  <c r="BD58" i="76"/>
  <c r="BF58" i="76" s="1"/>
  <c r="BD72" i="70"/>
  <c r="L288" i="2"/>
  <c r="C288" i="2"/>
  <c r="AU48" i="1"/>
  <c r="AW48" i="1" s="1"/>
  <c r="BD62" i="76"/>
  <c r="BE62" i="76" s="1"/>
  <c r="BD62" i="75"/>
  <c r="AU48" i="73"/>
  <c r="AW48" i="73" s="1"/>
  <c r="AU48" i="71"/>
  <c r="BD62" i="69"/>
  <c r="BE62" i="69" s="1"/>
  <c r="AU48" i="66"/>
  <c r="AW48" i="66" s="1"/>
  <c r="AU40" i="76"/>
  <c r="AU40" i="75"/>
  <c r="AU48" i="74"/>
  <c r="AU48" i="70"/>
  <c r="AV48" i="70" s="1"/>
  <c r="BD76" i="67"/>
  <c r="BF76" i="67" s="1"/>
  <c r="BD63" i="68"/>
  <c r="BE63" i="68" s="1"/>
  <c r="BD76" i="1"/>
  <c r="BD76" i="73"/>
  <c r="BE76" i="73" s="1"/>
  <c r="AU40" i="69"/>
  <c r="AV40" i="69" s="1"/>
  <c r="BD76" i="74"/>
  <c r="BE76" i="74" s="1"/>
  <c r="BD76" i="66"/>
  <c r="BD42" i="77"/>
  <c r="BE42" i="77" s="1"/>
  <c r="BD76" i="71"/>
  <c r="AU48" i="67"/>
  <c r="AV48" i="67" s="1"/>
  <c r="AU40" i="68"/>
  <c r="AU28" i="77"/>
  <c r="BD76" i="70"/>
  <c r="BF76" i="70" s="1"/>
  <c r="K292" i="2"/>
  <c r="D292" i="2"/>
  <c r="BD78" i="1"/>
  <c r="BD78" i="74"/>
  <c r="BE78" i="74" s="1"/>
  <c r="E297" i="2"/>
  <c r="BD78" i="67"/>
  <c r="BF78" i="67" s="1"/>
  <c r="BD78" i="73"/>
  <c r="BF78" i="73" s="1"/>
  <c r="BD78" i="70"/>
  <c r="BF78" i="70" s="1"/>
  <c r="K297" i="2"/>
  <c r="D297" i="2"/>
  <c r="C297" i="2"/>
  <c r="BD83" i="70"/>
  <c r="BE83" i="70" s="1"/>
  <c r="E302" i="2"/>
  <c r="AU47" i="75"/>
  <c r="AW47" i="75" s="1"/>
  <c r="AU59" i="67"/>
  <c r="AU59" i="1"/>
  <c r="AV59" i="1" s="1"/>
  <c r="AU46" i="80"/>
  <c r="AW46" i="80" s="1"/>
  <c r="L309" i="2"/>
  <c r="AU55" i="78"/>
  <c r="AW55" i="78" s="1"/>
  <c r="AU37" i="82"/>
  <c r="BD86" i="1"/>
  <c r="BF86" i="1" s="1"/>
  <c r="BD86" i="70"/>
  <c r="L313" i="2"/>
  <c r="BD66" i="81"/>
  <c r="BF66" i="81" s="1"/>
  <c r="BD86" i="78"/>
  <c r="BF86" i="78" s="1"/>
  <c r="BD90" i="1"/>
  <c r="BE90" i="1" s="1"/>
  <c r="BD74" i="80"/>
  <c r="BD90" i="78"/>
  <c r="BF90" i="78" s="1"/>
  <c r="BD56" i="82"/>
  <c r="BF56" i="82" s="1"/>
  <c r="BD94" i="71"/>
  <c r="BE94" i="71" s="1"/>
  <c r="BD94" i="67"/>
  <c r="BF94" i="67" s="1"/>
  <c r="BD47" i="77"/>
  <c r="BE47" i="77" s="1"/>
  <c r="BD78" i="80"/>
  <c r="BF78" i="80" s="1"/>
  <c r="BD94" i="78"/>
  <c r="BE94" i="78" s="1"/>
  <c r="BD74" i="81"/>
  <c r="E325" i="2"/>
  <c r="BD76" i="75"/>
  <c r="BE76" i="75" s="1"/>
  <c r="BD98" i="71"/>
  <c r="BE98" i="71" s="1"/>
  <c r="BD98" i="66"/>
  <c r="BF98" i="66" s="1"/>
  <c r="BD98" i="1"/>
  <c r="BF98" i="1" s="1"/>
  <c r="C325" i="2"/>
  <c r="BD98" i="74"/>
  <c r="BD76" i="69"/>
  <c r="D325" i="2"/>
  <c r="BD51" i="77"/>
  <c r="BD98" i="73"/>
  <c r="BD77" i="68"/>
  <c r="BF77" i="68" s="1"/>
  <c r="BD98" i="67"/>
  <c r="BF98" i="67" s="1"/>
  <c r="L325" i="2"/>
  <c r="K325" i="2"/>
  <c r="BD76" i="76"/>
  <c r="BD98" i="70"/>
  <c r="BD64" i="82"/>
  <c r="BD98" i="78"/>
  <c r="BF98" i="78" s="1"/>
  <c r="BD78" i="81"/>
  <c r="BD81" i="76"/>
  <c r="BE81" i="76" s="1"/>
  <c r="AU64" i="74"/>
  <c r="AU64" i="70"/>
  <c r="AV64" i="70" s="1"/>
  <c r="BD103" i="67"/>
  <c r="BF103" i="67" s="1"/>
  <c r="AU64" i="67"/>
  <c r="AV64" i="67" s="1"/>
  <c r="AU36" i="77"/>
  <c r="AV36" i="77" s="1"/>
  <c r="BD81" i="75"/>
  <c r="BF81" i="75" s="1"/>
  <c r="BD103" i="71"/>
  <c r="AU64" i="66"/>
  <c r="AV64" i="66" s="1"/>
  <c r="BD81" i="69"/>
  <c r="AU52" i="76"/>
  <c r="BD103" i="74"/>
  <c r="BF103" i="74" s="1"/>
  <c r="AU64" i="71"/>
  <c r="AW64" i="71" s="1"/>
  <c r="BD103" i="66"/>
  <c r="AU52" i="69"/>
  <c r="AW52" i="69" s="1"/>
  <c r="AU52" i="75"/>
  <c r="AW52" i="75" s="1"/>
  <c r="AU52" i="68"/>
  <c r="AW52" i="68" s="1"/>
  <c r="BD103" i="73"/>
  <c r="BD82" i="68"/>
  <c r="BE82" i="68" s="1"/>
  <c r="AU64" i="73"/>
  <c r="AW64" i="73" s="1"/>
  <c r="BD103" i="1"/>
  <c r="BD103" i="70"/>
  <c r="BF103" i="70" s="1"/>
  <c r="L330" i="2"/>
  <c r="D330" i="2"/>
  <c r="E330" i="2"/>
  <c r="AU69" i="73"/>
  <c r="E335" i="2"/>
  <c r="C335" i="2"/>
  <c r="K335" i="2"/>
  <c r="L335" i="2"/>
  <c r="D335" i="2"/>
  <c r="AU69" i="1"/>
  <c r="AV69" i="1" s="1"/>
  <c r="AU69" i="74"/>
  <c r="AV69" i="74" s="1"/>
  <c r="AU69" i="71"/>
  <c r="AW69" i="71" s="1"/>
  <c r="AU55" i="76"/>
  <c r="AU69" i="67"/>
  <c r="AW69" i="67" s="1"/>
  <c r="AU55" i="75"/>
  <c r="AU69" i="70"/>
  <c r="AV69" i="70" s="1"/>
  <c r="AU55" i="68"/>
  <c r="AU55" i="69"/>
  <c r="AU69" i="66"/>
  <c r="AU58" i="76"/>
  <c r="AW58" i="76" s="1"/>
  <c r="AU58" i="69"/>
  <c r="AU72" i="70"/>
  <c r="AV72" i="70" s="1"/>
  <c r="AU72" i="67"/>
  <c r="AW72" i="67" s="1"/>
  <c r="AU72" i="74"/>
  <c r="AU58" i="75"/>
  <c r="L338" i="2"/>
  <c r="BD59" i="77"/>
  <c r="BD114" i="67"/>
  <c r="BF114" i="67" s="1"/>
  <c r="BD114" i="74"/>
  <c r="BF114" i="74" s="1"/>
  <c r="BD114" i="73"/>
  <c r="BF114" i="73" s="1"/>
  <c r="BD114" i="70"/>
  <c r="BD88" i="76"/>
  <c r="BD118" i="67"/>
  <c r="BE118" i="67" s="1"/>
  <c r="BD92" i="69"/>
  <c r="BD118" i="66"/>
  <c r="BD92" i="76"/>
  <c r="BF92" i="76" s="1"/>
  <c r="BD118" i="73"/>
  <c r="BE118" i="73" s="1"/>
  <c r="BD118" i="70"/>
  <c r="BF118" i="70" s="1"/>
  <c r="K358" i="2"/>
  <c r="BD97" i="75"/>
  <c r="BD123" i="70"/>
  <c r="BF123" i="70" s="1"/>
  <c r="BD123" i="1"/>
  <c r="BE123" i="1" s="1"/>
  <c r="AU76" i="74"/>
  <c r="AU76" i="66"/>
  <c r="AW76" i="66" s="1"/>
  <c r="BD123" i="73"/>
  <c r="BD123" i="66"/>
  <c r="BD97" i="69"/>
  <c r="AU76" i="67"/>
  <c r="AV76" i="67" s="1"/>
  <c r="AU44" i="77"/>
  <c r="AW44" i="77" s="1"/>
  <c r="AU62" i="68"/>
  <c r="AU62" i="76"/>
  <c r="BD98" i="68"/>
  <c r="BF98" i="68" s="1"/>
  <c r="E358" i="2"/>
  <c r="AU76" i="71"/>
  <c r="AV76" i="71" s="1"/>
  <c r="BD123" i="67"/>
  <c r="C358" i="2"/>
  <c r="BD70" i="81"/>
  <c r="BE70" i="81" s="1"/>
  <c r="AU32" i="82"/>
  <c r="BD65" i="78"/>
  <c r="AU45" i="81"/>
  <c r="AV45" i="81" s="1"/>
  <c r="BD69" i="78"/>
  <c r="BE69" i="78" s="1"/>
  <c r="E321" i="2"/>
  <c r="E338" i="2"/>
  <c r="D272" i="2"/>
  <c r="AU30" i="68"/>
  <c r="BD80" i="78"/>
  <c r="BD61" i="78"/>
  <c r="BF61" i="78" s="1"/>
  <c r="AU36" i="78"/>
  <c r="AW36" i="78" s="1"/>
  <c r="AU38" i="1"/>
  <c r="AW38" i="1" s="1"/>
  <c r="L297" i="2"/>
  <c r="BD54" i="77"/>
  <c r="BD67" i="74"/>
  <c r="D367" i="2"/>
  <c r="C371" i="2"/>
  <c r="K371" i="2"/>
  <c r="L371" i="2"/>
  <c r="E371" i="2"/>
  <c r="D371" i="2"/>
  <c r="AU19" i="69"/>
  <c r="AW19" i="69" s="1"/>
  <c r="D222" i="2"/>
  <c r="K222" i="2"/>
  <c r="E222" i="2"/>
  <c r="C222" i="2"/>
  <c r="BD26" i="75"/>
  <c r="D344" i="2"/>
  <c r="BD40" i="66"/>
  <c r="BF40" i="66" s="1"/>
  <c r="L239" i="2"/>
  <c r="BD40" i="67"/>
  <c r="BE40" i="67" s="1"/>
  <c r="L244" i="2"/>
  <c r="AU30" i="74"/>
  <c r="AV30" i="74" s="1"/>
  <c r="AU30" i="67"/>
  <c r="AV30" i="67" s="1"/>
  <c r="AU30" i="73"/>
  <c r="AW30" i="73" s="1"/>
  <c r="AU30" i="66"/>
  <c r="AW30" i="66" s="1"/>
  <c r="AU30" i="70"/>
  <c r="AW30" i="70" s="1"/>
  <c r="AU30" i="71"/>
  <c r="AU26" i="81"/>
  <c r="AW26" i="81" s="1"/>
  <c r="BD44" i="73"/>
  <c r="K251" i="2"/>
  <c r="L251" i="2"/>
  <c r="BD44" i="1"/>
  <c r="BF44" i="1" s="1"/>
  <c r="BD44" i="74"/>
  <c r="BD44" i="70"/>
  <c r="BF44" i="70" s="1"/>
  <c r="D251" i="2"/>
  <c r="C251" i="2"/>
  <c r="BD107" i="70"/>
  <c r="BE107" i="70" s="1"/>
  <c r="BD107" i="73"/>
  <c r="BF107" i="73" s="1"/>
  <c r="BD107" i="74"/>
  <c r="K342" i="2"/>
  <c r="E342" i="2"/>
  <c r="C310" i="2"/>
  <c r="AU60" i="74"/>
  <c r="AU48" i="69"/>
  <c r="AW48" i="69" s="1"/>
  <c r="BD87" i="74"/>
  <c r="BD87" i="67"/>
  <c r="D314" i="2"/>
  <c r="K318" i="2"/>
  <c r="E326" i="2"/>
  <c r="BD77" i="75"/>
  <c r="BE77" i="75" s="1"/>
  <c r="BD99" i="70"/>
  <c r="BE99" i="70" s="1"/>
  <c r="BD99" i="67"/>
  <c r="BF99" i="67" s="1"/>
  <c r="E331" i="2"/>
  <c r="BD55" i="77"/>
  <c r="BF55" i="77" s="1"/>
  <c r="AU53" i="76"/>
  <c r="AV53" i="76" s="1"/>
  <c r="AU65" i="73"/>
  <c r="AW65" i="73" s="1"/>
  <c r="AU65" i="71"/>
  <c r="AV65" i="71" s="1"/>
  <c r="BD83" i="68"/>
  <c r="AU65" i="67"/>
  <c r="AU65" i="66"/>
  <c r="AV65" i="66" s="1"/>
  <c r="C331" i="2"/>
  <c r="AU73" i="71"/>
  <c r="AU73" i="67"/>
  <c r="BD69" i="1"/>
  <c r="E281" i="2"/>
  <c r="L281" i="2"/>
  <c r="BD74" i="1"/>
  <c r="BE74" i="1" s="1"/>
  <c r="E290" i="2"/>
  <c r="C290" i="2"/>
  <c r="AU57" i="1"/>
  <c r="AW57" i="1" s="1"/>
  <c r="C307" i="2"/>
  <c r="K307" i="2"/>
  <c r="BD116" i="66"/>
  <c r="BE116" i="66" s="1"/>
  <c r="BD116" i="1"/>
  <c r="BF116" i="1" s="1"/>
  <c r="D355" i="2"/>
  <c r="D217" i="2"/>
  <c r="K217" i="2"/>
  <c r="L217" i="2"/>
  <c r="C221" i="2"/>
  <c r="D221" i="2"/>
  <c r="BD51" i="71"/>
  <c r="BD37" i="69"/>
  <c r="BE37" i="69" s="1"/>
  <c r="BD60" i="80"/>
  <c r="BE60" i="80" s="1"/>
  <c r="K266" i="2"/>
  <c r="AU41" i="1"/>
  <c r="AW41" i="1" s="1"/>
  <c r="AU33" i="75"/>
  <c r="AU41" i="70"/>
  <c r="AW41" i="70" s="1"/>
  <c r="AU41" i="66"/>
  <c r="L271" i="2"/>
  <c r="AU41" i="74"/>
  <c r="AW41" i="74" s="1"/>
  <c r="AU33" i="68"/>
  <c r="AW33" i="68" s="1"/>
  <c r="AU55" i="1"/>
  <c r="AW55" i="1" s="1"/>
  <c r="E305" i="2"/>
  <c r="C305" i="2"/>
  <c r="E345" i="2"/>
  <c r="L348" i="2"/>
  <c r="C301" i="2"/>
  <c r="L322" i="2"/>
  <c r="C322" i="2"/>
  <c r="E322" i="2"/>
  <c r="BD88" i="1"/>
  <c r="BE88" i="1" s="1"/>
  <c r="L319" i="2"/>
  <c r="BD100" i="67"/>
  <c r="BF100" i="67" s="1"/>
  <c r="AU51" i="71"/>
  <c r="AW51" i="71" s="1"/>
  <c r="BD48" i="67"/>
  <c r="BF48" i="67" s="1"/>
  <c r="BD56" i="67"/>
  <c r="BE56" i="67" s="1"/>
  <c r="BD56" i="74"/>
  <c r="BE56" i="74" s="1"/>
  <c r="BD42" i="75"/>
  <c r="E348" i="2"/>
  <c r="D252" i="2"/>
  <c r="BD56" i="1"/>
  <c r="L312" i="2"/>
  <c r="C312" i="2"/>
  <c r="D288" i="2"/>
  <c r="AW128" i="67"/>
  <c r="BE134" i="70"/>
  <c r="D368" i="2"/>
  <c r="C368" i="2"/>
  <c r="K368" i="2"/>
  <c r="K255" i="2"/>
  <c r="BD34" i="76"/>
  <c r="BD48" i="71"/>
  <c r="BF48" i="71" s="1"/>
  <c r="BD34" i="69"/>
  <c r="BF34" i="69" s="1"/>
  <c r="E258" i="2"/>
  <c r="BD37" i="76"/>
  <c r="BE37" i="76" s="1"/>
  <c r="BD51" i="74"/>
  <c r="BF51" i="74" s="1"/>
  <c r="BD51" i="66"/>
  <c r="BE51" i="66" s="1"/>
  <c r="AU67" i="67"/>
  <c r="C333" i="2"/>
  <c r="E333" i="2"/>
  <c r="AU67" i="1"/>
  <c r="AW67" i="1" s="1"/>
  <c r="AU59" i="76"/>
  <c r="AW59" i="76" s="1"/>
  <c r="AU73" i="70"/>
  <c r="AW73" i="70" s="1"/>
  <c r="D339" i="2"/>
  <c r="AU73" i="73"/>
  <c r="AU59" i="69"/>
  <c r="AU59" i="68"/>
  <c r="AW59" i="68" s="1"/>
  <c r="E216" i="2"/>
  <c r="D216" i="2"/>
  <c r="C216" i="2"/>
  <c r="BF135" i="70"/>
  <c r="K216" i="2"/>
  <c r="BD48" i="1"/>
  <c r="C255" i="2"/>
  <c r="K339" i="2"/>
  <c r="L255" i="2"/>
  <c r="L368" i="2"/>
  <c r="L284" i="2"/>
  <c r="D284" i="2"/>
  <c r="K355" i="2"/>
  <c r="C355" i="2"/>
  <c r="L355" i="2"/>
  <c r="E355" i="2"/>
  <c r="K314" i="2"/>
  <c r="E314" i="2"/>
  <c r="BD108" i="67"/>
  <c r="D343" i="2"/>
  <c r="AV128" i="67"/>
  <c r="BF134" i="70"/>
  <c r="O81" i="70"/>
  <c r="Q81" i="70"/>
  <c r="AW61" i="70"/>
  <c r="BH40" i="69"/>
  <c r="BH51" i="68"/>
  <c r="BH50" i="68"/>
  <c r="BH45" i="68"/>
  <c r="AV72" i="77"/>
  <c r="AW72" i="77"/>
  <c r="AW142" i="74"/>
  <c r="AV142" i="74"/>
  <c r="BE91" i="80"/>
  <c r="BF91" i="80"/>
  <c r="AV128" i="71"/>
  <c r="AW128" i="71"/>
  <c r="AW126" i="71"/>
  <c r="AV126" i="71"/>
  <c r="AW71" i="82"/>
  <c r="AV71" i="82"/>
  <c r="BF109" i="76"/>
  <c r="BF73" i="82"/>
  <c r="BE106" i="78"/>
  <c r="BF106" i="78"/>
  <c r="BE110" i="76"/>
  <c r="BF110" i="76"/>
  <c r="BF130" i="67"/>
  <c r="BE130" i="67"/>
  <c r="AW102" i="69"/>
  <c r="AV102" i="69"/>
  <c r="AW130" i="1"/>
  <c r="AV130" i="1"/>
  <c r="BF24" i="70"/>
  <c r="BE24" i="70"/>
  <c r="BE24" i="71"/>
  <c r="BF24" i="71"/>
  <c r="BE20" i="76"/>
  <c r="BF20" i="76"/>
  <c r="BE24" i="73"/>
  <c r="BF24" i="73"/>
  <c r="BB13" i="65"/>
  <c r="BB30" i="65"/>
  <c r="BB14" i="65"/>
  <c r="AZ29" i="65"/>
  <c r="BH47" i="82"/>
  <c r="BH53" i="82"/>
  <c r="BH34" i="82"/>
  <c r="BH7" i="81"/>
  <c r="BH70" i="81"/>
  <c r="BH55" i="81"/>
  <c r="BH75" i="80"/>
  <c r="AY15" i="80"/>
  <c r="BH10" i="78"/>
  <c r="BH29" i="78" s="1"/>
  <c r="BH85" i="78"/>
  <c r="BH16" i="75"/>
  <c r="BH44" i="75"/>
  <c r="BH120" i="74"/>
  <c r="BH92" i="76"/>
  <c r="BH84" i="76"/>
  <c r="BH76" i="76"/>
  <c r="BH112" i="73"/>
  <c r="BH97" i="71"/>
  <c r="BH65" i="71"/>
  <c r="BH107" i="70"/>
  <c r="BH97" i="70"/>
  <c r="BH96" i="70"/>
  <c r="BH90" i="70"/>
  <c r="BH81" i="70"/>
  <c r="BH44" i="70"/>
  <c r="BH37" i="70"/>
  <c r="BH39" i="70"/>
  <c r="BH41" i="70"/>
  <c r="BH45" i="69"/>
  <c r="BH73" i="68"/>
  <c r="BH119" i="67"/>
  <c r="BH100" i="67"/>
  <c r="BH89" i="67"/>
  <c r="BH83" i="67"/>
  <c r="BH67" i="67"/>
  <c r="BH16" i="67"/>
  <c r="BH46" i="67"/>
  <c r="BH50" i="66"/>
  <c r="BH64" i="1"/>
  <c r="BH49" i="77"/>
  <c r="BE45" i="82"/>
  <c r="AY23" i="78"/>
  <c r="BH21" i="78"/>
  <c r="BH40" i="78" s="1"/>
  <c r="BH75" i="75"/>
  <c r="BH53" i="75"/>
  <c r="BH120" i="1"/>
  <c r="BH65" i="1"/>
  <c r="BH59" i="77"/>
  <c r="BH44" i="77"/>
  <c r="BH12" i="74"/>
  <c r="BH40" i="82"/>
  <c r="BH21" i="81"/>
  <c r="BH67" i="80"/>
  <c r="BH88" i="74"/>
  <c r="BH48" i="74"/>
  <c r="BH79" i="73"/>
  <c r="BH52" i="73"/>
  <c r="BH7" i="69"/>
  <c r="BH79" i="68"/>
  <c r="BH37" i="67"/>
  <c r="BH116" i="66"/>
  <c r="BH94" i="1"/>
  <c r="BH69" i="1"/>
  <c r="BH39" i="1"/>
  <c r="BH61" i="77"/>
  <c r="BH80" i="81"/>
  <c r="BH79" i="81"/>
  <c r="BH46" i="81"/>
  <c r="BH83" i="78"/>
  <c r="BH77" i="75"/>
  <c r="BH58" i="74"/>
  <c r="BH45" i="74"/>
  <c r="BH37" i="74"/>
  <c r="BH44" i="74"/>
  <c r="BH88" i="76"/>
  <c r="BH115" i="73"/>
  <c r="BH42" i="73"/>
  <c r="BH46" i="73"/>
  <c r="BH42" i="71"/>
  <c r="BH76" i="69"/>
  <c r="BH71" i="69"/>
  <c r="BH67" i="69"/>
  <c r="BH39" i="69"/>
  <c r="BH32" i="69"/>
  <c r="BH33" i="68"/>
  <c r="BH5" i="67"/>
  <c r="BH42" i="67"/>
  <c r="BH64" i="77"/>
  <c r="BH46" i="77"/>
  <c r="BH14" i="82"/>
  <c r="BH9" i="81"/>
  <c r="BH75" i="81"/>
  <c r="BH11" i="81"/>
  <c r="BH84" i="80"/>
  <c r="BH9" i="80"/>
  <c r="BH24" i="80" s="1"/>
  <c r="BH71" i="75"/>
  <c r="BH48" i="75"/>
  <c r="BH14" i="75"/>
  <c r="BH10" i="74"/>
  <c r="BH5" i="74"/>
  <c r="BH71" i="76"/>
  <c r="BH34" i="76"/>
  <c r="AU90" i="73"/>
  <c r="AU91" i="73" s="1"/>
  <c r="BH93" i="71"/>
  <c r="BH58" i="71"/>
  <c r="BH40" i="71"/>
  <c r="BH53" i="69"/>
  <c r="BH54" i="68"/>
  <c r="BH17" i="68"/>
  <c r="BH78" i="67"/>
  <c r="BH65" i="67"/>
  <c r="BH121" i="66"/>
  <c r="BH93" i="66"/>
  <c r="BH94" i="66"/>
  <c r="BH40" i="66"/>
  <c r="BH73" i="1"/>
  <c r="BH113" i="1"/>
  <c r="BH95" i="1"/>
  <c r="BH58" i="1"/>
  <c r="BH71" i="80"/>
  <c r="BH64" i="80"/>
  <c r="BH95" i="78"/>
  <c r="BH69" i="78"/>
  <c r="BH19" i="78"/>
  <c r="BH38" i="78" s="1"/>
  <c r="AY16" i="78"/>
  <c r="BH13" i="75"/>
  <c r="AU104" i="74"/>
  <c r="BH98" i="74"/>
  <c r="BH97" i="74"/>
  <c r="BH50" i="74"/>
  <c r="BH87" i="76"/>
  <c r="BH47" i="76"/>
  <c r="BH43" i="76"/>
  <c r="BH102" i="73"/>
  <c r="BH12" i="71"/>
  <c r="BH117" i="71"/>
  <c r="BH82" i="71"/>
  <c r="BH83" i="70"/>
  <c r="BH38" i="70"/>
  <c r="BH46" i="70"/>
  <c r="BH6" i="70"/>
  <c r="BH92" i="69"/>
  <c r="BH111" i="67"/>
  <c r="BH116" i="67"/>
  <c r="BH120" i="67"/>
  <c r="BH22" i="67"/>
  <c r="BH69" i="67"/>
  <c r="BH116" i="1"/>
  <c r="BH27" i="77"/>
  <c r="AU104" i="75"/>
  <c r="AY40" i="76"/>
  <c r="BH62" i="76" s="1"/>
  <c r="AY48" i="70"/>
  <c r="BH76" i="70" s="1"/>
  <c r="AR87" i="76"/>
  <c r="BH65" i="82"/>
  <c r="BH56" i="80"/>
  <c r="BH36" i="80"/>
  <c r="BH79" i="78"/>
  <c r="BH109" i="75"/>
  <c r="BH94" i="75"/>
  <c r="BH56" i="74"/>
  <c r="BH57" i="74"/>
  <c r="BH108" i="70"/>
  <c r="BH14" i="69"/>
  <c r="BH90" i="69"/>
  <c r="BH41" i="66"/>
  <c r="BH91" i="1"/>
  <c r="Q80" i="76"/>
  <c r="Y80" i="71"/>
  <c r="Q79" i="76"/>
  <c r="Y81" i="76"/>
  <c r="U80" i="76"/>
  <c r="Q80" i="71"/>
  <c r="AG81" i="73"/>
  <c r="Y81" i="73"/>
  <c r="U81" i="76"/>
  <c r="U81" i="71"/>
  <c r="AA2" i="74"/>
  <c r="AA2" i="66"/>
  <c r="Y14" i="10"/>
  <c r="AY51" i="80"/>
  <c r="T9" i="2"/>
  <c r="AY60" i="78"/>
  <c r="AY53" i="80"/>
  <c r="AY43" i="82"/>
  <c r="BH68" i="82" s="1"/>
  <c r="O2" i="78"/>
  <c r="O2" i="76"/>
  <c r="AT94" i="4"/>
  <c r="H30" i="77"/>
  <c r="H20" i="76"/>
  <c r="H19" i="76"/>
  <c r="B6" i="73"/>
  <c r="C95" i="4"/>
  <c r="AT8" i="4"/>
  <c r="N83" i="76"/>
  <c r="N83" i="75"/>
  <c r="AI2" i="81"/>
  <c r="AI2" i="82"/>
  <c r="AI2" i="80"/>
  <c r="AI67" i="75"/>
  <c r="AI67" i="74"/>
  <c r="AI2" i="76"/>
  <c r="B2" i="78"/>
  <c r="B2" i="81"/>
  <c r="B2" i="82"/>
  <c r="B67" i="76"/>
  <c r="B67" i="74"/>
  <c r="C67" i="4"/>
  <c r="AF38" i="4"/>
  <c r="B67" i="75"/>
  <c r="B2" i="76"/>
  <c r="B2" i="77"/>
  <c r="B11" i="82"/>
  <c r="B11" i="74"/>
  <c r="C30" i="4"/>
  <c r="B2" i="74"/>
  <c r="AI2" i="75"/>
  <c r="AF57" i="4"/>
  <c r="Q13" i="4"/>
  <c r="AF31" i="4"/>
  <c r="AF49" i="4"/>
  <c r="C13" i="4"/>
  <c r="Q31" i="4"/>
  <c r="AF13" i="4"/>
  <c r="BH49" i="82"/>
  <c r="BH19" i="81"/>
  <c r="BH62" i="78"/>
  <c r="BH17" i="78"/>
  <c r="BH36" i="78" s="1"/>
  <c r="BH6" i="78"/>
  <c r="BH25" i="78" s="1"/>
  <c r="BH67" i="78"/>
  <c r="BH9" i="78"/>
  <c r="BH28" i="78" s="1"/>
  <c r="BH18" i="78"/>
  <c r="BH37" i="78" s="1"/>
  <c r="BH118" i="74"/>
  <c r="BH106" i="74"/>
  <c r="BH94" i="76"/>
  <c r="BH121" i="70"/>
  <c r="BH66" i="70"/>
  <c r="BH48" i="70"/>
  <c r="BH63" i="67"/>
  <c r="BH7" i="1"/>
  <c r="BF28" i="75"/>
  <c r="AV56" i="67"/>
  <c r="AV57" i="73"/>
  <c r="AW35" i="1"/>
  <c r="BE114" i="75"/>
  <c r="BF114" i="75"/>
  <c r="AW91" i="80"/>
  <c r="AV91" i="80"/>
  <c r="BF137" i="70"/>
  <c r="BH42" i="69"/>
  <c r="AF74" i="4" l="1"/>
  <c r="AF9" i="65"/>
  <c r="AF17" i="65"/>
  <c r="B8" i="81"/>
  <c r="B8" i="82"/>
  <c r="AO2" i="4"/>
  <c r="B8" i="73"/>
  <c r="B8" i="1"/>
  <c r="B8" i="76"/>
  <c r="B8" i="78"/>
  <c r="AO2" i="70"/>
  <c r="B8" i="80"/>
  <c r="AO2" i="71"/>
  <c r="AO2" i="10"/>
  <c r="H28" i="68"/>
  <c r="H30" i="76"/>
  <c r="H20" i="80"/>
  <c r="O67" i="75"/>
  <c r="O2" i="73"/>
  <c r="H19" i="77"/>
  <c r="H20" i="82"/>
  <c r="H22" i="75"/>
  <c r="H27" i="74"/>
  <c r="H25" i="82"/>
  <c r="O2" i="74"/>
  <c r="H30" i="73"/>
  <c r="H20" i="1"/>
  <c r="O2" i="81"/>
  <c r="H28" i="76"/>
  <c r="H20" i="75"/>
  <c r="H20" i="78"/>
  <c r="O2" i="75"/>
  <c r="O2" i="10"/>
  <c r="H20" i="74"/>
  <c r="O67" i="76"/>
  <c r="E10" i="7"/>
  <c r="H28" i="77"/>
  <c r="H30" i="75"/>
  <c r="H25" i="78"/>
  <c r="O2" i="77"/>
  <c r="H22" i="77"/>
  <c r="Q9" i="2"/>
  <c r="O67" i="71"/>
  <c r="H22" i="76"/>
  <c r="H25" i="80"/>
  <c r="G2" i="71"/>
  <c r="B4" i="4"/>
  <c r="H19" i="80"/>
  <c r="H25" i="81"/>
  <c r="H19" i="81"/>
  <c r="O2" i="80"/>
  <c r="G2" i="66"/>
  <c r="C28" i="65"/>
  <c r="H22" i="74"/>
  <c r="H19" i="82"/>
  <c r="H28" i="75"/>
  <c r="O2" i="82"/>
  <c r="H30" i="74"/>
  <c r="H20" i="77"/>
  <c r="H27" i="75"/>
  <c r="H19" i="74"/>
  <c r="H19" i="75"/>
  <c r="H27" i="77"/>
  <c r="H28" i="74"/>
  <c r="H27" i="76"/>
  <c r="H19" i="78"/>
  <c r="O67" i="74"/>
  <c r="B10" i="1"/>
  <c r="O2" i="68"/>
  <c r="O2" i="71"/>
  <c r="O2" i="4"/>
  <c r="O2" i="67"/>
  <c r="O2" i="69"/>
  <c r="O2" i="20"/>
  <c r="H27" i="73"/>
  <c r="H27" i="68"/>
  <c r="BH12" i="82"/>
  <c r="BH41" i="81"/>
  <c r="BH40" i="75"/>
  <c r="BH85" i="74"/>
  <c r="BH51" i="76"/>
  <c r="BH10" i="76"/>
  <c r="BH53" i="76"/>
  <c r="BH97" i="73"/>
  <c r="BH90" i="71"/>
  <c r="BH49" i="69"/>
  <c r="BH7" i="67"/>
  <c r="BH79" i="1"/>
  <c r="BH55" i="1"/>
  <c r="O81" i="71"/>
  <c r="AC81" i="76"/>
  <c r="AC79" i="75"/>
  <c r="S81" i="71"/>
  <c r="AC81" i="71"/>
  <c r="AE80" i="75"/>
  <c r="Q81" i="73"/>
  <c r="O81" i="73"/>
  <c r="AI81" i="71"/>
  <c r="AG80" i="76"/>
  <c r="AC81" i="70"/>
  <c r="K225" i="2"/>
  <c r="Y81" i="70"/>
  <c r="AC80" i="76"/>
  <c r="AG79" i="76"/>
  <c r="AA81" i="70"/>
  <c r="AE79" i="76"/>
  <c r="B6" i="75"/>
  <c r="B6" i="71"/>
  <c r="AY15" i="71"/>
  <c r="AY23" i="71"/>
  <c r="AY23" i="66"/>
  <c r="AY15" i="66"/>
  <c r="H196" i="7"/>
  <c r="H243" i="7"/>
  <c r="H225" i="7"/>
  <c r="H207" i="7"/>
  <c r="H224" i="7"/>
  <c r="H206" i="7"/>
  <c r="H226" i="7"/>
  <c r="H242" i="7"/>
  <c r="H190" i="7"/>
  <c r="H227" i="7"/>
  <c r="H209" i="7"/>
  <c r="H191" i="7"/>
  <c r="H208" i="7"/>
  <c r="AU17" i="10"/>
  <c r="AA11" i="2" s="1"/>
  <c r="AU18" i="10"/>
  <c r="AA12" i="2" s="1"/>
  <c r="B6" i="80"/>
  <c r="B6" i="76"/>
  <c r="B84" i="71"/>
  <c r="B84" i="74"/>
  <c r="B6" i="82"/>
  <c r="B84" i="76"/>
  <c r="O67" i="70"/>
  <c r="O2" i="1"/>
  <c r="B6" i="81"/>
  <c r="B6" i="77"/>
  <c r="C85" i="4"/>
  <c r="B6" i="78"/>
  <c r="O67" i="73"/>
  <c r="AY80" i="71"/>
  <c r="BH125" i="71" s="1"/>
  <c r="B214" i="2"/>
  <c r="AU66" i="76" s="1"/>
  <c r="AE28" i="10"/>
  <c r="M193" i="7" s="1"/>
  <c r="C68" i="4"/>
  <c r="AV35" i="73"/>
  <c r="BF62" i="67"/>
  <c r="AV105" i="78"/>
  <c r="AW23" i="69"/>
  <c r="BE65" i="80"/>
  <c r="BE84" i="75"/>
  <c r="BF108" i="74"/>
  <c r="BH68" i="74"/>
  <c r="BH94" i="67"/>
  <c r="BH56" i="67"/>
  <c r="BH49" i="66"/>
  <c r="BH100" i="78"/>
  <c r="BH64" i="75"/>
  <c r="BH53" i="74"/>
  <c r="BH41" i="74"/>
  <c r="BH109" i="73"/>
  <c r="BH91" i="71"/>
  <c r="BH57" i="71"/>
  <c r="BH51" i="70"/>
  <c r="BH87" i="68"/>
  <c r="BH45" i="67"/>
  <c r="BH99" i="66"/>
  <c r="BH53" i="1"/>
  <c r="BH12" i="1"/>
  <c r="BH6" i="77"/>
  <c r="BH56" i="82"/>
  <c r="BH42" i="82"/>
  <c r="BH63" i="81"/>
  <c r="BH79" i="80"/>
  <c r="BH6" i="80"/>
  <c r="BH21" i="80" s="1"/>
  <c r="AY13" i="80"/>
  <c r="BH64" i="78"/>
  <c r="BH65" i="76"/>
  <c r="BH55" i="73"/>
  <c r="BH47" i="71"/>
  <c r="BH93" i="70"/>
  <c r="BH88" i="69"/>
  <c r="BH12" i="67"/>
  <c r="BH58" i="67"/>
  <c r="BH76" i="78"/>
  <c r="BH52" i="75"/>
  <c r="BH51" i="71"/>
  <c r="BH110" i="71"/>
  <c r="BH39" i="71"/>
  <c r="BH8" i="71"/>
  <c r="AY125" i="71"/>
  <c r="BF94" i="69"/>
  <c r="AE81" i="71"/>
  <c r="AE79" i="74"/>
  <c r="W81" i="73"/>
  <c r="AG81" i="70"/>
  <c r="U80" i="73"/>
  <c r="AI80" i="76"/>
  <c r="AG80" i="74"/>
  <c r="AI79" i="75"/>
  <c r="AI79" i="76"/>
  <c r="BH42" i="68"/>
  <c r="BF109" i="70"/>
  <c r="BF116" i="74"/>
  <c r="AW21" i="82"/>
  <c r="BH47" i="66"/>
  <c r="AY123" i="66"/>
  <c r="BH131" i="66" s="1"/>
  <c r="BH7" i="66"/>
  <c r="AY119" i="66"/>
  <c r="BH127" i="66" s="1"/>
  <c r="BH92" i="66"/>
  <c r="BH63" i="66"/>
  <c r="BH80" i="66"/>
  <c r="BH9" i="66"/>
  <c r="BH108" i="66"/>
  <c r="BH58" i="66"/>
  <c r="BF129" i="66"/>
  <c r="BH88" i="66"/>
  <c r="BH119" i="66"/>
  <c r="AU54" i="73"/>
  <c r="BD88" i="74"/>
  <c r="BE88" i="74" s="1"/>
  <c r="AU54" i="74"/>
  <c r="AW54" i="74" s="1"/>
  <c r="BD78" i="76"/>
  <c r="BE78" i="76" s="1"/>
  <c r="BD88" i="66"/>
  <c r="BF88" i="66" s="1"/>
  <c r="BD34" i="77"/>
  <c r="H501" i="7"/>
  <c r="D228" i="2"/>
  <c r="AW39" i="77"/>
  <c r="H395" i="7"/>
  <c r="H394" i="7"/>
  <c r="L225" i="2"/>
  <c r="C342" i="2"/>
  <c r="C239" i="2"/>
  <c r="L354" i="2"/>
  <c r="AU63" i="66"/>
  <c r="AV63" i="66" s="1"/>
  <c r="E315" i="2"/>
  <c r="D342" i="2"/>
  <c r="E327" i="2"/>
  <c r="BD40" i="74"/>
  <c r="BE40" i="74" s="1"/>
  <c r="L342" i="2"/>
  <c r="AU63" i="71"/>
  <c r="AV63" i="71" s="1"/>
  <c r="K341" i="2"/>
  <c r="K239" i="2"/>
  <c r="BD44" i="68"/>
  <c r="BE44" i="68" s="1"/>
  <c r="K315" i="2"/>
  <c r="BD100" i="1"/>
  <c r="BE100" i="1" s="1"/>
  <c r="BD35" i="77"/>
  <c r="C327" i="2"/>
  <c r="D264" i="2"/>
  <c r="D276" i="2"/>
  <c r="D327" i="2"/>
  <c r="C219" i="2"/>
  <c r="L219" i="2"/>
  <c r="BD119" i="73"/>
  <c r="BF119" i="73" s="1"/>
  <c r="BD89" i="73"/>
  <c r="BE89" i="73" s="1"/>
  <c r="L304" i="2"/>
  <c r="BD40" i="70"/>
  <c r="BE40" i="70" s="1"/>
  <c r="E239" i="2"/>
  <c r="BD102" i="71"/>
  <c r="BE102" i="71" s="1"/>
  <c r="AU54" i="67"/>
  <c r="AV54" i="67" s="1"/>
  <c r="BD64" i="66"/>
  <c r="C315" i="2"/>
  <c r="D290" i="2"/>
  <c r="BD107" i="67"/>
  <c r="BD40" i="71"/>
  <c r="BF40" i="71" s="1"/>
  <c r="L305" i="2"/>
  <c r="BD119" i="67"/>
  <c r="BF119" i="67" s="1"/>
  <c r="BD78" i="78"/>
  <c r="BF78" i="78" s="1"/>
  <c r="AU54" i="70"/>
  <c r="AW54" i="70" s="1"/>
  <c r="BD64" i="71"/>
  <c r="BF64" i="71" s="1"/>
  <c r="AU134" i="73"/>
  <c r="AV134" i="73" s="1"/>
  <c r="BD40" i="73"/>
  <c r="BD89" i="70"/>
  <c r="AU16" i="75"/>
  <c r="AW16" i="75" s="1"/>
  <c r="L369" i="2"/>
  <c r="BD89" i="71"/>
  <c r="BF89" i="71" s="1"/>
  <c r="AU55" i="67"/>
  <c r="AW55" i="67" s="1"/>
  <c r="BD119" i="70"/>
  <c r="BF119" i="70" s="1"/>
  <c r="L314" i="2"/>
  <c r="BD71" i="80"/>
  <c r="BE71" i="80" s="1"/>
  <c r="AU60" i="76"/>
  <c r="AW60" i="76" s="1"/>
  <c r="L227" i="2"/>
  <c r="BD117" i="1"/>
  <c r="AU74" i="70"/>
  <c r="BD77" i="69"/>
  <c r="BD87" i="66"/>
  <c r="BF87" i="66" s="1"/>
  <c r="BD82" i="74"/>
  <c r="BD24" i="82"/>
  <c r="BD67" i="81"/>
  <c r="BE67" i="81" s="1"/>
  <c r="AU14" i="82"/>
  <c r="AW14" i="82" s="1"/>
  <c r="BD99" i="78"/>
  <c r="BF99" i="78" s="1"/>
  <c r="C340" i="2"/>
  <c r="BD99" i="1"/>
  <c r="BF99" i="1" s="1"/>
  <c r="E352" i="2"/>
  <c r="C314" i="2"/>
  <c r="BD83" i="80"/>
  <c r="BE83" i="80" s="1"/>
  <c r="D340" i="2"/>
  <c r="BD99" i="71"/>
  <c r="BD87" i="71"/>
  <c r="BF87" i="71" s="1"/>
  <c r="AV41" i="67"/>
  <c r="C352" i="2"/>
  <c r="K340" i="2"/>
  <c r="BD64" i="75"/>
  <c r="BE64" i="75" s="1"/>
  <c r="C237" i="2"/>
  <c r="BD65" i="82"/>
  <c r="BE65" i="82" s="1"/>
  <c r="BD79" i="81"/>
  <c r="BE79" i="81" s="1"/>
  <c r="C326" i="2"/>
  <c r="BD117" i="67"/>
  <c r="BD82" i="70"/>
  <c r="E237" i="2"/>
  <c r="L367" i="2"/>
  <c r="BD117" i="71"/>
  <c r="BF117" i="71" s="1"/>
  <c r="K226" i="2"/>
  <c r="AU87" i="74"/>
  <c r="AW87" i="74" s="1"/>
  <c r="BD132" i="74"/>
  <c r="BF132" i="74" s="1"/>
  <c r="BD64" i="76"/>
  <c r="BF64" i="76" s="1"/>
  <c r="L237" i="2"/>
  <c r="K301" i="2"/>
  <c r="E367" i="2"/>
  <c r="AU60" i="69"/>
  <c r="BD91" i="75"/>
  <c r="BD24" i="69"/>
  <c r="K352" i="2"/>
  <c r="BD99" i="73"/>
  <c r="BD87" i="1"/>
  <c r="BE87" i="1" s="1"/>
  <c r="D237" i="2"/>
  <c r="BD38" i="1"/>
  <c r="BE38" i="1" s="1"/>
  <c r="AU74" i="66"/>
  <c r="AV74" i="66" s="1"/>
  <c r="AU74" i="67"/>
  <c r="AV74" i="67" s="1"/>
  <c r="BD87" i="70"/>
  <c r="BE87" i="70" s="1"/>
  <c r="L340" i="2"/>
  <c r="BD24" i="75"/>
  <c r="K229" i="2"/>
  <c r="BF58" i="81"/>
  <c r="BE58" i="81"/>
  <c r="D239" i="2"/>
  <c r="BD67" i="75"/>
  <c r="BF67" i="75" s="1"/>
  <c r="K305" i="2"/>
  <c r="D277" i="2"/>
  <c r="C277" i="2"/>
  <c r="E277" i="2"/>
  <c r="BD51" i="69"/>
  <c r="BE51" i="69" s="1"/>
  <c r="BD57" i="74"/>
  <c r="AU63" i="73"/>
  <c r="AW63" i="73" s="1"/>
  <c r="BD93" i="76"/>
  <c r="BD89" i="66"/>
  <c r="BF89" i="66" s="1"/>
  <c r="D305" i="2"/>
  <c r="BD80" i="76"/>
  <c r="BE80" i="76" s="1"/>
  <c r="BD80" i="75"/>
  <c r="BE80" i="75" s="1"/>
  <c r="BD65" i="1"/>
  <c r="BF65" i="1" s="1"/>
  <c r="BD58" i="80"/>
  <c r="BE58" i="80" s="1"/>
  <c r="BD65" i="73"/>
  <c r="BE65" i="73" s="1"/>
  <c r="BD29" i="77"/>
  <c r="BE29" i="77" s="1"/>
  <c r="L290" i="2"/>
  <c r="E329" i="2"/>
  <c r="AU51" i="78"/>
  <c r="AU51" i="76"/>
  <c r="AU63" i="74"/>
  <c r="AU63" i="70"/>
  <c r="BD89" i="74"/>
  <c r="BD119" i="1"/>
  <c r="BE119" i="1" s="1"/>
  <c r="K369" i="2"/>
  <c r="BD65" i="67"/>
  <c r="BE65" i="67" s="1"/>
  <c r="L264" i="2"/>
  <c r="BD48" i="82"/>
  <c r="BF48" i="82" s="1"/>
  <c r="BD45" i="73"/>
  <c r="BE45" i="73" s="1"/>
  <c r="D329" i="2"/>
  <c r="AU42" i="80"/>
  <c r="AV42" i="80" s="1"/>
  <c r="BD51" i="76"/>
  <c r="BE51" i="76" s="1"/>
  <c r="K316" i="2"/>
  <c r="AU55" i="70"/>
  <c r="BD93" i="69"/>
  <c r="AU63" i="67"/>
  <c r="AW63" i="67" s="1"/>
  <c r="BD65" i="71"/>
  <c r="BE65" i="71" s="1"/>
  <c r="E252" i="2"/>
  <c r="E219" i="2"/>
  <c r="AU41" i="81"/>
  <c r="AV41" i="81" s="1"/>
  <c r="D316" i="2"/>
  <c r="BD57" i="67"/>
  <c r="BF57" i="67" s="1"/>
  <c r="BD51" i="75"/>
  <c r="C264" i="2"/>
  <c r="BD70" i="78"/>
  <c r="BD45" i="74"/>
  <c r="K219" i="2"/>
  <c r="AU51" i="69"/>
  <c r="AV51" i="69" s="1"/>
  <c r="BD89" i="1"/>
  <c r="BE89" i="1" s="1"/>
  <c r="AW49" i="76"/>
  <c r="E316" i="2"/>
  <c r="BD80" i="69"/>
  <c r="BE80" i="69" s="1"/>
  <c r="BD66" i="80"/>
  <c r="BF66" i="80" s="1"/>
  <c r="K277" i="2"/>
  <c r="BD43" i="69"/>
  <c r="K252" i="2"/>
  <c r="D219" i="2"/>
  <c r="BD102" i="70"/>
  <c r="BE102" i="70" s="1"/>
  <c r="BD26" i="82"/>
  <c r="D354" i="2"/>
  <c r="BD94" i="68"/>
  <c r="BF94" i="68" s="1"/>
  <c r="AU51" i="68"/>
  <c r="AV51" i="68" s="1"/>
  <c r="L316" i="2"/>
  <c r="BD65" i="70"/>
  <c r="BE65" i="70" s="1"/>
  <c r="BD58" i="78"/>
  <c r="BF58" i="78" s="1"/>
  <c r="K264" i="2"/>
  <c r="L277" i="2"/>
  <c r="BD57" i="70"/>
  <c r="E369" i="2"/>
  <c r="C252" i="2"/>
  <c r="BD45" i="67"/>
  <c r="AU16" i="69"/>
  <c r="AW16" i="69" s="1"/>
  <c r="BD102" i="74"/>
  <c r="BE102" i="74" s="1"/>
  <c r="AU16" i="82"/>
  <c r="BD119" i="66"/>
  <c r="BE119" i="66" s="1"/>
  <c r="BD89" i="67"/>
  <c r="BE89" i="67" s="1"/>
  <c r="K354" i="2"/>
  <c r="AU55" i="73"/>
  <c r="AW55" i="73" s="1"/>
  <c r="BD64" i="77"/>
  <c r="BF64" i="77" s="1"/>
  <c r="BD52" i="68"/>
  <c r="BF52" i="68" s="1"/>
  <c r="BD43" i="75"/>
  <c r="BF43" i="75" s="1"/>
  <c r="C369" i="2"/>
  <c r="BD45" i="1"/>
  <c r="K329" i="2"/>
  <c r="AU51" i="75"/>
  <c r="AW51" i="75" s="1"/>
  <c r="BD40" i="82"/>
  <c r="BE40" i="82" s="1"/>
  <c r="BD89" i="78"/>
  <c r="BE89" i="78" s="1"/>
  <c r="BD81" i="68"/>
  <c r="BF81" i="68" s="1"/>
  <c r="BD102" i="67"/>
  <c r="BD57" i="66"/>
  <c r="BF57" i="66" s="1"/>
  <c r="AU63" i="1"/>
  <c r="BD53" i="77"/>
  <c r="BD73" i="80"/>
  <c r="BD26" i="76"/>
  <c r="AU55" i="66"/>
  <c r="BD93" i="75"/>
  <c r="BF93" i="75" s="1"/>
  <c r="AU35" i="77"/>
  <c r="AV35" i="77" s="1"/>
  <c r="BD65" i="66"/>
  <c r="BE65" i="66" s="1"/>
  <c r="BD57" i="71"/>
  <c r="BE57" i="71" s="1"/>
  <c r="E264" i="2"/>
  <c r="AU16" i="76"/>
  <c r="AV16" i="76" s="1"/>
  <c r="L252" i="2"/>
  <c r="C329" i="2"/>
  <c r="BD102" i="1"/>
  <c r="BD55" i="82"/>
  <c r="C354" i="2"/>
  <c r="BD67" i="69"/>
  <c r="BD119" i="71"/>
  <c r="BF119" i="71" s="1"/>
  <c r="BD68" i="68"/>
  <c r="BE68" i="68" s="1"/>
  <c r="BD102" i="73"/>
  <c r="BE102" i="73" s="1"/>
  <c r="BD57" i="1"/>
  <c r="BF57" i="1" s="1"/>
  <c r="BD65" i="74"/>
  <c r="BF65" i="74" s="1"/>
  <c r="BD43" i="76"/>
  <c r="BF43" i="76" s="1"/>
  <c r="BD128" i="1"/>
  <c r="BD128" i="67"/>
  <c r="AU134" i="70"/>
  <c r="AV134" i="70" s="1"/>
  <c r="L224" i="2"/>
  <c r="D224" i="2"/>
  <c r="BD131" i="74"/>
  <c r="BE131" i="74" s="1"/>
  <c r="C228" i="2"/>
  <c r="AU104" i="69"/>
  <c r="AV104" i="69" s="1"/>
  <c r="AU85" i="74"/>
  <c r="AW85" i="74" s="1"/>
  <c r="H200" i="7"/>
  <c r="H181" i="7"/>
  <c r="H180" i="7"/>
  <c r="H172" i="7"/>
  <c r="H163" i="7"/>
  <c r="H189" i="7"/>
  <c r="H171" i="7"/>
  <c r="D109" i="2"/>
  <c r="AU103" i="68"/>
  <c r="AW40" i="73"/>
  <c r="K224" i="2"/>
  <c r="E229" i="2"/>
  <c r="D230" i="2"/>
  <c r="AU87" i="75"/>
  <c r="AW87" i="75" s="1"/>
  <c r="BD129" i="67"/>
  <c r="BF129" i="67" s="1"/>
  <c r="BD104" i="75"/>
  <c r="E224" i="2"/>
  <c r="C225" i="2"/>
  <c r="BD105" i="75"/>
  <c r="BF105" i="75" s="1"/>
  <c r="C226" i="2"/>
  <c r="E225" i="2"/>
  <c r="BD115" i="75"/>
  <c r="BE115" i="75" s="1"/>
  <c r="AU120" i="66"/>
  <c r="AW120" i="66" s="1"/>
  <c r="AU85" i="75"/>
  <c r="AW85" i="75" s="1"/>
  <c r="AU140" i="74"/>
  <c r="BD73" i="77"/>
  <c r="L109" i="2"/>
  <c r="AW104" i="78"/>
  <c r="AV104" i="78"/>
  <c r="AW109" i="76"/>
  <c r="AV109" i="76"/>
  <c r="L229" i="2"/>
  <c r="D229" i="2"/>
  <c r="K231" i="2"/>
  <c r="AU92" i="74"/>
  <c r="AV92" i="74" s="1"/>
  <c r="D140" i="2"/>
  <c r="L231" i="2"/>
  <c r="C231" i="2"/>
  <c r="BD137" i="74"/>
  <c r="BE137" i="74" s="1"/>
  <c r="BD135" i="74"/>
  <c r="BE135" i="74" s="1"/>
  <c r="D231" i="2"/>
  <c r="AU90" i="75"/>
  <c r="AV90" i="75" s="1"/>
  <c r="AU90" i="74"/>
  <c r="AW90" i="74" s="1"/>
  <c r="BD110" i="75"/>
  <c r="BE110" i="75" s="1"/>
  <c r="D226" i="2"/>
  <c r="BF50" i="70"/>
  <c r="AW40" i="70"/>
  <c r="AU109" i="85"/>
  <c r="BD157" i="85"/>
  <c r="AU114" i="87"/>
  <c r="BD157" i="86"/>
  <c r="BD160" i="87"/>
  <c r="AU109" i="86"/>
  <c r="AU56" i="87"/>
  <c r="AU56" i="86"/>
  <c r="AU56" i="85"/>
  <c r="AU56" i="84"/>
  <c r="AU56" i="83"/>
  <c r="L307" i="2"/>
  <c r="AU63" i="87"/>
  <c r="AU63" i="86"/>
  <c r="AU63" i="85"/>
  <c r="AU63" i="84"/>
  <c r="AU63" i="83"/>
  <c r="BD106" i="86"/>
  <c r="BD106" i="87"/>
  <c r="BD106" i="85"/>
  <c r="BD106" i="84"/>
  <c r="BD106" i="83"/>
  <c r="AU71" i="87"/>
  <c r="AU71" i="86"/>
  <c r="BD118" i="85"/>
  <c r="AU71" i="85"/>
  <c r="BD118" i="86"/>
  <c r="BD118" i="87"/>
  <c r="BD118" i="84"/>
  <c r="AU71" i="84"/>
  <c r="AU71" i="83"/>
  <c r="BD118" i="83"/>
  <c r="BD122" i="85"/>
  <c r="BD122" i="87"/>
  <c r="BD122" i="86"/>
  <c r="BD122" i="84"/>
  <c r="BD122" i="83"/>
  <c r="E354" i="2"/>
  <c r="BD133" i="85"/>
  <c r="BD133" i="86"/>
  <c r="BD133" i="87"/>
  <c r="BD133" i="84"/>
  <c r="BD133" i="83"/>
  <c r="AU92" i="75"/>
  <c r="AV92" i="75" s="1"/>
  <c r="AU115" i="87"/>
  <c r="BD158" i="85"/>
  <c r="BD158" i="86"/>
  <c r="BD161" i="87"/>
  <c r="AU110" i="86"/>
  <c r="AU110" i="85"/>
  <c r="AU51" i="1"/>
  <c r="AW51" i="1" s="1"/>
  <c r="AU57" i="87"/>
  <c r="AU57" i="86"/>
  <c r="AU57" i="85"/>
  <c r="AU57" i="84"/>
  <c r="AU57" i="83"/>
  <c r="AU58" i="74"/>
  <c r="AV58" i="74" s="1"/>
  <c r="AU64" i="87"/>
  <c r="AU64" i="86"/>
  <c r="AU64" i="85"/>
  <c r="AU64" i="84"/>
  <c r="AU64" i="83"/>
  <c r="BD93" i="74"/>
  <c r="BE93" i="74" s="1"/>
  <c r="BD107" i="85"/>
  <c r="BD107" i="87"/>
  <c r="BD107" i="86"/>
  <c r="BD107" i="84"/>
  <c r="BD107" i="83"/>
  <c r="AU73" i="87"/>
  <c r="AU73" i="86"/>
  <c r="AU73" i="85"/>
  <c r="AU73" i="84"/>
  <c r="AU73" i="83"/>
  <c r="BD123" i="87"/>
  <c r="BD123" i="86"/>
  <c r="BD123" i="85"/>
  <c r="BD123" i="84"/>
  <c r="BD123" i="83"/>
  <c r="BD134" i="85"/>
  <c r="BD134" i="86"/>
  <c r="BD134" i="87"/>
  <c r="BD134" i="84"/>
  <c r="BD134" i="83"/>
  <c r="C109" i="2"/>
  <c r="C227" i="2"/>
  <c r="AU116" i="87"/>
  <c r="BD159" i="86"/>
  <c r="BD159" i="85"/>
  <c r="AU111" i="86"/>
  <c r="BD162" i="87"/>
  <c r="AU111" i="85"/>
  <c r="AU58" i="87"/>
  <c r="AU58" i="86"/>
  <c r="AU58" i="85"/>
  <c r="AU58" i="84"/>
  <c r="AU58" i="83"/>
  <c r="AU65" i="85"/>
  <c r="AU65" i="87"/>
  <c r="AU65" i="86"/>
  <c r="AU65" i="84"/>
  <c r="AU65" i="83"/>
  <c r="BD108" i="87"/>
  <c r="BD108" i="86"/>
  <c r="BD108" i="85"/>
  <c r="BD108" i="84"/>
  <c r="BD108" i="83"/>
  <c r="BD135" i="87"/>
  <c r="BD135" i="86"/>
  <c r="BD135" i="85"/>
  <c r="BD135" i="84"/>
  <c r="BD135" i="83"/>
  <c r="K109" i="2"/>
  <c r="D227" i="2"/>
  <c r="AU50" i="87"/>
  <c r="BD86" i="87"/>
  <c r="BD86" i="86"/>
  <c r="BD86" i="85"/>
  <c r="AU50" i="86"/>
  <c r="AU50" i="85"/>
  <c r="BD86" i="84"/>
  <c r="AU50" i="84"/>
  <c r="AU50" i="83"/>
  <c r="BD86" i="83"/>
  <c r="BD92" i="87"/>
  <c r="BD92" i="86"/>
  <c r="BD92" i="85"/>
  <c r="BD92" i="84"/>
  <c r="BD92" i="83"/>
  <c r="AU66" i="85"/>
  <c r="AU66" i="87"/>
  <c r="AU66" i="86"/>
  <c r="AU66" i="84"/>
  <c r="AU66" i="83"/>
  <c r="BD109" i="87"/>
  <c r="BD109" i="86"/>
  <c r="BD109" i="85"/>
  <c r="BD109" i="84"/>
  <c r="BD109" i="83"/>
  <c r="AU74" i="87"/>
  <c r="AU74" i="85"/>
  <c r="AU74" i="86"/>
  <c r="AU74" i="84"/>
  <c r="AU74" i="83"/>
  <c r="BD124" i="86"/>
  <c r="BD124" i="85"/>
  <c r="BD124" i="87"/>
  <c r="BD124" i="84"/>
  <c r="BD124" i="83"/>
  <c r="BD137" i="86"/>
  <c r="BD137" i="85"/>
  <c r="BD137" i="87"/>
  <c r="AU82" i="87"/>
  <c r="AU82" i="86"/>
  <c r="AU82" i="85"/>
  <c r="BD137" i="84"/>
  <c r="AU82" i="84"/>
  <c r="BD137" i="83"/>
  <c r="AU82" i="83"/>
  <c r="AE81" i="73"/>
  <c r="K227" i="2"/>
  <c r="AU51" i="87"/>
  <c r="AU51" i="86"/>
  <c r="AU51" i="85"/>
  <c r="BD87" i="85"/>
  <c r="BD87" i="87"/>
  <c r="BD87" i="86"/>
  <c r="AU51" i="84"/>
  <c r="BD87" i="84"/>
  <c r="BD87" i="83"/>
  <c r="AU51" i="83"/>
  <c r="BD79" i="1"/>
  <c r="BE79" i="1" s="1"/>
  <c r="BD93" i="86"/>
  <c r="BD93" i="85"/>
  <c r="BD93" i="87"/>
  <c r="BD93" i="84"/>
  <c r="BD93" i="83"/>
  <c r="K311" i="2"/>
  <c r="AU67" i="87"/>
  <c r="AU67" i="86"/>
  <c r="AU67" i="85"/>
  <c r="AU67" i="84"/>
  <c r="AU67" i="83"/>
  <c r="K323" i="2"/>
  <c r="BD110" i="85"/>
  <c r="BD110" i="87"/>
  <c r="BD110" i="86"/>
  <c r="BD110" i="84"/>
  <c r="BD110" i="83"/>
  <c r="AU75" i="87"/>
  <c r="AU75" i="86"/>
  <c r="AU75" i="85"/>
  <c r="AU75" i="84"/>
  <c r="AU75" i="83"/>
  <c r="D346" i="2"/>
  <c r="BD125" i="86"/>
  <c r="BD125" i="87"/>
  <c r="BD125" i="85"/>
  <c r="BD125" i="84"/>
  <c r="BD125" i="83"/>
  <c r="BD60" i="76"/>
  <c r="BE60" i="76" s="1"/>
  <c r="BD88" i="87"/>
  <c r="BD88" i="86"/>
  <c r="BD88" i="85"/>
  <c r="AU52" i="87"/>
  <c r="AU52" i="86"/>
  <c r="AU52" i="85"/>
  <c r="BD88" i="84"/>
  <c r="AU52" i="84"/>
  <c r="BD88" i="83"/>
  <c r="AU52" i="83"/>
  <c r="BD94" i="86"/>
  <c r="BD94" i="85"/>
  <c r="BD94" i="87"/>
  <c r="BD94" i="84"/>
  <c r="BD94" i="83"/>
  <c r="BD99" i="86"/>
  <c r="BD99" i="85"/>
  <c r="BD99" i="87"/>
  <c r="BD99" i="84"/>
  <c r="BD99" i="83"/>
  <c r="BD75" i="76"/>
  <c r="BE75" i="76" s="1"/>
  <c r="BD111" i="86"/>
  <c r="BD111" i="87"/>
  <c r="BD111" i="85"/>
  <c r="BD111" i="84"/>
  <c r="BD111" i="83"/>
  <c r="AU76" i="87"/>
  <c r="AU76" i="86"/>
  <c r="AU76" i="85"/>
  <c r="AU76" i="84"/>
  <c r="AU76" i="83"/>
  <c r="BD126" i="87"/>
  <c r="BD126" i="86"/>
  <c r="BD126" i="85"/>
  <c r="BD126" i="84"/>
  <c r="BD126" i="83"/>
  <c r="L190" i="2"/>
  <c r="BD133" i="74"/>
  <c r="BF133" i="74" s="1"/>
  <c r="BD89" i="86"/>
  <c r="BD89" i="85"/>
  <c r="BD89" i="87"/>
  <c r="AU53" i="87"/>
  <c r="AU53" i="86"/>
  <c r="AU53" i="85"/>
  <c r="BD89" i="84"/>
  <c r="AU53" i="84"/>
  <c r="BD89" i="83"/>
  <c r="AU53" i="83"/>
  <c r="BD95" i="85"/>
  <c r="BD95" i="86"/>
  <c r="BD95" i="87"/>
  <c r="BD95" i="84"/>
  <c r="BD95" i="83"/>
  <c r="D313" i="2"/>
  <c r="BD100" i="86"/>
  <c r="BD100" i="85"/>
  <c r="BD100" i="87"/>
  <c r="BD100" i="84"/>
  <c r="BD100" i="83"/>
  <c r="BD82" i="80"/>
  <c r="BD112" i="86"/>
  <c r="BD112" i="87"/>
  <c r="BD112" i="85"/>
  <c r="BD112" i="84"/>
  <c r="BD112" i="83"/>
  <c r="AU77" i="87"/>
  <c r="AU77" i="86"/>
  <c r="AU77" i="85"/>
  <c r="AU77" i="84"/>
  <c r="AU77" i="83"/>
  <c r="BD127" i="85"/>
  <c r="BD127" i="86"/>
  <c r="BD127" i="87"/>
  <c r="BD127" i="84"/>
  <c r="BD127" i="83"/>
  <c r="C190" i="2"/>
  <c r="E226" i="2"/>
  <c r="BD130" i="74"/>
  <c r="BF130" i="74" s="1"/>
  <c r="BF130" i="70"/>
  <c r="BD111" i="75"/>
  <c r="BE111" i="75" s="1"/>
  <c r="BD107" i="75"/>
  <c r="BE107" i="75" s="1"/>
  <c r="AU86" i="75"/>
  <c r="BD39" i="87"/>
  <c r="BD39" i="86"/>
  <c r="BD39" i="85"/>
  <c r="BD39" i="84"/>
  <c r="BD39" i="83"/>
  <c r="E288" i="2"/>
  <c r="AU54" i="87"/>
  <c r="AU54" i="86"/>
  <c r="AU54" i="85"/>
  <c r="BD90" i="86"/>
  <c r="BD90" i="85"/>
  <c r="BD90" i="87"/>
  <c r="AU54" i="84"/>
  <c r="BD90" i="84"/>
  <c r="AU54" i="83"/>
  <c r="BD90" i="83"/>
  <c r="BD96" i="86"/>
  <c r="BD96" i="85"/>
  <c r="BD96" i="87"/>
  <c r="BD96" i="84"/>
  <c r="BD96" i="83"/>
  <c r="BD101" i="86"/>
  <c r="BD101" i="85"/>
  <c r="BD101" i="87"/>
  <c r="BD101" i="84"/>
  <c r="BD101" i="83"/>
  <c r="BD113" i="86"/>
  <c r="BD113" i="87"/>
  <c r="BD113" i="85"/>
  <c r="BD113" i="84"/>
  <c r="BD113" i="83"/>
  <c r="AU78" i="87"/>
  <c r="AU78" i="86"/>
  <c r="AU78" i="85"/>
  <c r="AU78" i="84"/>
  <c r="AU78" i="83"/>
  <c r="E349" i="2"/>
  <c r="BD128" i="85"/>
  <c r="BD128" i="87"/>
  <c r="BD128" i="86"/>
  <c r="BD128" i="84"/>
  <c r="BD128" i="83"/>
  <c r="BD149" i="86"/>
  <c r="BD149" i="85"/>
  <c r="AU147" i="87"/>
  <c r="BD152" i="87"/>
  <c r="AU142" i="86"/>
  <c r="AU142" i="85"/>
  <c r="BD149" i="84"/>
  <c r="AU142" i="84"/>
  <c r="BD149" i="83"/>
  <c r="AU142" i="83"/>
  <c r="AU60" i="87"/>
  <c r="AU60" i="86"/>
  <c r="AU60" i="85"/>
  <c r="AU60" i="84"/>
  <c r="AU60" i="83"/>
  <c r="BD102" i="86"/>
  <c r="BD102" i="85"/>
  <c r="BD102" i="87"/>
  <c r="BD102" i="84"/>
  <c r="BD102" i="83"/>
  <c r="K327" i="2"/>
  <c r="BD114" i="87"/>
  <c r="BD114" i="85"/>
  <c r="BD114" i="86"/>
  <c r="BD114" i="84"/>
  <c r="BD114" i="83"/>
  <c r="AU79" i="87"/>
  <c r="AU79" i="86"/>
  <c r="AU79" i="85"/>
  <c r="AU79" i="84"/>
  <c r="AU79" i="83"/>
  <c r="BD129" i="87"/>
  <c r="BD129" i="86"/>
  <c r="BD129" i="85"/>
  <c r="BD129" i="84"/>
  <c r="BD129" i="83"/>
  <c r="L362" i="2"/>
  <c r="AU148" i="87"/>
  <c r="BD153" i="87"/>
  <c r="BD150" i="86"/>
  <c r="AU143" i="86"/>
  <c r="BD150" i="85"/>
  <c r="AU143" i="85"/>
  <c r="BD150" i="84"/>
  <c r="AU143" i="84"/>
  <c r="BD150" i="83"/>
  <c r="AU143" i="83"/>
  <c r="E231" i="2"/>
  <c r="AU91" i="75"/>
  <c r="AV91" i="75" s="1"/>
  <c r="AU86" i="74"/>
  <c r="AV86" i="74" s="1"/>
  <c r="BD136" i="74"/>
  <c r="BF136" i="74" s="1"/>
  <c r="AU55" i="71"/>
  <c r="AV55" i="71" s="1"/>
  <c r="AU61" i="86"/>
  <c r="AU61" i="85"/>
  <c r="AU61" i="87"/>
  <c r="AU61" i="84"/>
  <c r="AU61" i="83"/>
  <c r="C316" i="2"/>
  <c r="BD103" i="86"/>
  <c r="BD103" i="85"/>
  <c r="BD103" i="87"/>
  <c r="BD103" i="84"/>
  <c r="BD103" i="83"/>
  <c r="BD102" i="66"/>
  <c r="BE102" i="66" s="1"/>
  <c r="AU69" i="87"/>
  <c r="AU69" i="86"/>
  <c r="BD116" i="85"/>
  <c r="AU69" i="85"/>
  <c r="BD116" i="86"/>
  <c r="BD116" i="87"/>
  <c r="AU69" i="84"/>
  <c r="BD116" i="84"/>
  <c r="BD116" i="83"/>
  <c r="AU69" i="83"/>
  <c r="AU80" i="87"/>
  <c r="AU80" i="86"/>
  <c r="AU80" i="85"/>
  <c r="AU80" i="84"/>
  <c r="AU80" i="83"/>
  <c r="BD130" i="85"/>
  <c r="BD130" i="86"/>
  <c r="BD130" i="87"/>
  <c r="BD130" i="84"/>
  <c r="BD130" i="83"/>
  <c r="AU90" i="80"/>
  <c r="AW90" i="80" s="1"/>
  <c r="AU149" i="87"/>
  <c r="AU144" i="85"/>
  <c r="BD154" i="87"/>
  <c r="BD151" i="85"/>
  <c r="BD151" i="86"/>
  <c r="AU144" i="86"/>
  <c r="BD151" i="84"/>
  <c r="AU144" i="84"/>
  <c r="BD151" i="83"/>
  <c r="AU144" i="83"/>
  <c r="K230" i="2"/>
  <c r="C230" i="2"/>
  <c r="K367" i="2"/>
  <c r="BD158" i="87"/>
  <c r="BD155" i="85"/>
  <c r="AU107" i="86"/>
  <c r="BD155" i="86"/>
  <c r="AU112" i="87"/>
  <c r="AU107" i="85"/>
  <c r="BD130" i="71"/>
  <c r="BF130" i="71" s="1"/>
  <c r="BD145" i="86"/>
  <c r="BD145" i="85"/>
  <c r="BD145" i="84"/>
  <c r="BD145" i="83"/>
  <c r="BD97" i="86"/>
  <c r="BD97" i="85"/>
  <c r="BD97" i="87"/>
  <c r="BD97" i="84"/>
  <c r="BD97" i="83"/>
  <c r="BD90" i="71"/>
  <c r="BD104" i="86"/>
  <c r="BD104" i="87"/>
  <c r="BD104" i="85"/>
  <c r="BD104" i="84"/>
  <c r="BD104" i="83"/>
  <c r="BD120" i="87"/>
  <c r="BD120" i="86"/>
  <c r="BD120" i="85"/>
  <c r="BD120" i="84"/>
  <c r="BD120" i="83"/>
  <c r="BD131" i="85"/>
  <c r="BD131" i="87"/>
  <c r="BD131" i="86"/>
  <c r="BD131" i="84"/>
  <c r="BD131" i="83"/>
  <c r="K360" i="2"/>
  <c r="BD130" i="66"/>
  <c r="BF130" i="66" s="1"/>
  <c r="AU150" i="87"/>
  <c r="BD155" i="87"/>
  <c r="AU145" i="85"/>
  <c r="BD152" i="86"/>
  <c r="AU145" i="86"/>
  <c r="BD152" i="85"/>
  <c r="AU145" i="84"/>
  <c r="BD152" i="84"/>
  <c r="BD152" i="83"/>
  <c r="AU145" i="83"/>
  <c r="E368" i="2"/>
  <c r="BD159" i="87"/>
  <c r="AU108" i="85"/>
  <c r="AU108" i="86"/>
  <c r="BD156" i="86"/>
  <c r="AU113" i="87"/>
  <c r="BD156" i="85"/>
  <c r="AU62" i="86"/>
  <c r="AU62" i="85"/>
  <c r="AU62" i="87"/>
  <c r="AU62" i="84"/>
  <c r="AU62" i="83"/>
  <c r="BD105" i="87"/>
  <c r="BD105" i="86"/>
  <c r="BD105" i="85"/>
  <c r="BD105" i="84"/>
  <c r="BD105" i="83"/>
  <c r="BD117" i="87"/>
  <c r="BD117" i="86"/>
  <c r="AU70" i="87"/>
  <c r="AU70" i="86"/>
  <c r="BD117" i="85"/>
  <c r="AU70" i="85"/>
  <c r="BD117" i="84"/>
  <c r="AU70" i="84"/>
  <c r="AU70" i="83"/>
  <c r="BD117" i="83"/>
  <c r="BD121" i="85"/>
  <c r="BD121" i="86"/>
  <c r="BD121" i="87"/>
  <c r="BD121" i="84"/>
  <c r="BD121" i="83"/>
  <c r="D353" i="2"/>
  <c r="BD132" i="85"/>
  <c r="BD132" i="87"/>
  <c r="BD132" i="86"/>
  <c r="BD132" i="84"/>
  <c r="BD132" i="83"/>
  <c r="E190" i="2"/>
  <c r="BD153" i="86"/>
  <c r="BD156" i="87"/>
  <c r="AU146" i="86"/>
  <c r="BD153" i="85"/>
  <c r="AU146" i="85"/>
  <c r="AU151" i="87"/>
  <c r="AU146" i="84"/>
  <c r="BD153" i="84"/>
  <c r="BD153" i="83"/>
  <c r="AU146" i="83"/>
  <c r="BH50" i="82"/>
  <c r="BH18" i="75"/>
  <c r="BH50" i="75"/>
  <c r="BH9" i="71"/>
  <c r="BH55" i="70"/>
  <c r="BH98" i="67"/>
  <c r="AI81" i="70"/>
  <c r="AC80" i="74"/>
  <c r="AU101" i="74" s="1"/>
  <c r="S81" i="70"/>
  <c r="W81" i="70"/>
  <c r="B10" i="70"/>
  <c r="B10" i="78"/>
  <c r="B4" i="20"/>
  <c r="AK9" i="75"/>
  <c r="AK9" i="85"/>
  <c r="AK9" i="87"/>
  <c r="AK9" i="86"/>
  <c r="AK9" i="84"/>
  <c r="AK9" i="83"/>
  <c r="BH150" i="85"/>
  <c r="BH150" i="84"/>
  <c r="BH150" i="86"/>
  <c r="BH153" i="87"/>
  <c r="BH150" i="83"/>
  <c r="O82" i="74"/>
  <c r="O84" i="87"/>
  <c r="U67" i="71"/>
  <c r="U67" i="86"/>
  <c r="U2" i="87"/>
  <c r="U67" i="85"/>
  <c r="U67" i="87"/>
  <c r="U2" i="86"/>
  <c r="U2" i="85"/>
  <c r="U2" i="84"/>
  <c r="U67" i="84"/>
  <c r="U2" i="83"/>
  <c r="U67" i="83"/>
  <c r="B10" i="75"/>
  <c r="AY84" i="87"/>
  <c r="AY84" i="86"/>
  <c r="AY85" i="86"/>
  <c r="AY85" i="85"/>
  <c r="AY85" i="87"/>
  <c r="AY84" i="85"/>
  <c r="AY85" i="84"/>
  <c r="AY84" i="84"/>
  <c r="AC82" i="74"/>
  <c r="AC84" i="87"/>
  <c r="B83" i="87"/>
  <c r="B83" i="86"/>
  <c r="B83" i="85"/>
  <c r="B83" i="84"/>
  <c r="B83" i="83"/>
  <c r="AO2" i="87"/>
  <c r="AO67" i="87"/>
  <c r="AO2" i="86"/>
  <c r="AO67" i="86"/>
  <c r="AO2" i="85"/>
  <c r="AO67" i="85"/>
  <c r="AO2" i="84"/>
  <c r="AO67" i="84"/>
  <c r="AO67" i="83"/>
  <c r="AO2" i="83"/>
  <c r="O81" i="75"/>
  <c r="O83" i="85"/>
  <c r="O83" i="87"/>
  <c r="O83" i="86"/>
  <c r="O83" i="84"/>
  <c r="O83" i="83"/>
  <c r="B30" i="87"/>
  <c r="B30" i="86"/>
  <c r="B30" i="85"/>
  <c r="B30" i="84"/>
  <c r="B30" i="83"/>
  <c r="B8" i="75"/>
  <c r="B8" i="86"/>
  <c r="B8" i="87"/>
  <c r="B8" i="85"/>
  <c r="B8" i="84"/>
  <c r="B8" i="83"/>
  <c r="N84" i="87"/>
  <c r="N84" i="86"/>
  <c r="N84" i="85"/>
  <c r="N84" i="84"/>
  <c r="N84" i="83"/>
  <c r="AY15" i="81"/>
  <c r="AY29" i="84"/>
  <c r="AY26" i="84"/>
  <c r="AY25" i="84"/>
  <c r="AY28" i="84"/>
  <c r="AY27" i="84"/>
  <c r="AY28" i="85"/>
  <c r="AY26" i="85"/>
  <c r="AY29" i="86"/>
  <c r="AY27" i="85"/>
  <c r="AY26" i="86"/>
  <c r="AY25" i="85"/>
  <c r="AY27" i="86"/>
  <c r="AY28" i="86"/>
  <c r="AY25" i="86"/>
  <c r="AY29" i="85"/>
  <c r="AY29" i="83"/>
  <c r="AY25" i="83"/>
  <c r="AY28" i="83"/>
  <c r="AY27" i="83"/>
  <c r="AY26" i="83"/>
  <c r="N26" i="1"/>
  <c r="N18" i="85"/>
  <c r="N18" i="87"/>
  <c r="N26" i="87"/>
  <c r="N18" i="86"/>
  <c r="N26" i="85"/>
  <c r="N26" i="86"/>
  <c r="N26" i="84"/>
  <c r="N18" i="84"/>
  <c r="N18" i="83"/>
  <c r="N26" i="83"/>
  <c r="B10" i="86"/>
  <c r="B10" i="85"/>
  <c r="B10" i="87"/>
  <c r="B10" i="84"/>
  <c r="B10" i="83"/>
  <c r="B10" i="76"/>
  <c r="B6" i="68"/>
  <c r="B6" i="85"/>
  <c r="B6" i="87"/>
  <c r="B6" i="86"/>
  <c r="B6" i="84"/>
  <c r="B6" i="83"/>
  <c r="B85" i="87"/>
  <c r="B85" i="86"/>
  <c r="B85" i="85"/>
  <c r="B85" i="84"/>
  <c r="B85" i="83"/>
  <c r="B10" i="80"/>
  <c r="B10" i="82"/>
  <c r="B10" i="77"/>
  <c r="G2" i="81"/>
  <c r="G67" i="87"/>
  <c r="G2" i="85"/>
  <c r="G2" i="87"/>
  <c r="G67" i="85"/>
  <c r="G67" i="86"/>
  <c r="G2" i="86"/>
  <c r="G67" i="84"/>
  <c r="G2" i="84"/>
  <c r="G2" i="83"/>
  <c r="G67" i="83"/>
  <c r="H27" i="71"/>
  <c r="H22" i="87"/>
  <c r="H20" i="85"/>
  <c r="H20" i="86"/>
  <c r="H28" i="85"/>
  <c r="H19" i="85"/>
  <c r="H20" i="87"/>
  <c r="H27" i="85"/>
  <c r="H28" i="87"/>
  <c r="H19" i="87"/>
  <c r="H27" i="87"/>
  <c r="H28" i="86"/>
  <c r="H19" i="86"/>
  <c r="H27" i="86"/>
  <c r="H22" i="85"/>
  <c r="H22" i="86"/>
  <c r="H20" i="84"/>
  <c r="H28" i="84"/>
  <c r="H19" i="84"/>
  <c r="H27" i="84"/>
  <c r="H22" i="84"/>
  <c r="H19" i="83"/>
  <c r="H22" i="83"/>
  <c r="H28" i="83"/>
  <c r="H20" i="83"/>
  <c r="H27" i="83"/>
  <c r="B13" i="66"/>
  <c r="B13" i="85"/>
  <c r="B13" i="87"/>
  <c r="B13" i="86"/>
  <c r="B13" i="84"/>
  <c r="B13" i="83"/>
  <c r="AR87" i="85"/>
  <c r="AR87" i="86"/>
  <c r="AU109" i="87"/>
  <c r="V89" i="87" s="1"/>
  <c r="AR87" i="84"/>
  <c r="AR87" i="83"/>
  <c r="B10" i="81"/>
  <c r="B10" i="66"/>
  <c r="O2" i="66"/>
  <c r="O67" i="85"/>
  <c r="O67" i="86"/>
  <c r="O2" i="85"/>
  <c r="O2" i="87"/>
  <c r="O67" i="87"/>
  <c r="O2" i="86"/>
  <c r="O2" i="84"/>
  <c r="O67" i="84"/>
  <c r="O2" i="83"/>
  <c r="O67" i="83"/>
  <c r="B7" i="85"/>
  <c r="B7" i="87"/>
  <c r="B7" i="86"/>
  <c r="B7" i="84"/>
  <c r="B7" i="83"/>
  <c r="B69" i="86"/>
  <c r="B4" i="82"/>
  <c r="B4" i="86"/>
  <c r="B4" i="84"/>
  <c r="B69" i="84" s="1"/>
  <c r="B4" i="87"/>
  <c r="B69" i="87" s="1"/>
  <c r="B4" i="85"/>
  <c r="B69" i="85" s="1"/>
  <c r="B4" i="83"/>
  <c r="B69" i="83" s="1"/>
  <c r="B10" i="67"/>
  <c r="AA2" i="81"/>
  <c r="AA2" i="87"/>
  <c r="AA67" i="85"/>
  <c r="AA67" i="87"/>
  <c r="AA2" i="86"/>
  <c r="AA67" i="86"/>
  <c r="AA2" i="85"/>
  <c r="AA2" i="84"/>
  <c r="AA67" i="84"/>
  <c r="AA2" i="83"/>
  <c r="AA67" i="83"/>
  <c r="B11" i="76"/>
  <c r="B11" i="86"/>
  <c r="B11" i="85"/>
  <c r="B11" i="87"/>
  <c r="B11" i="84"/>
  <c r="B11" i="83"/>
  <c r="AI2" i="85"/>
  <c r="AI67" i="85"/>
  <c r="AI2" i="86"/>
  <c r="AI67" i="87"/>
  <c r="AI67" i="86"/>
  <c r="AI2" i="87"/>
  <c r="AI2" i="84"/>
  <c r="AI67" i="84"/>
  <c r="AI2" i="83"/>
  <c r="AI67" i="83"/>
  <c r="AY66" i="75"/>
  <c r="BH99" i="75" s="1"/>
  <c r="AY87" i="85"/>
  <c r="AY87" i="87"/>
  <c r="AY87" i="86"/>
  <c r="AY87" i="84"/>
  <c r="AY87" i="83"/>
  <c r="AY80" i="70"/>
  <c r="BH56" i="81"/>
  <c r="BH15" i="80"/>
  <c r="BH30" i="80" s="1"/>
  <c r="BH57" i="78"/>
  <c r="BH67" i="75"/>
  <c r="BH114" i="74"/>
  <c r="BH79" i="74"/>
  <c r="AU90" i="76"/>
  <c r="AU91" i="76" s="1"/>
  <c r="BH6" i="73"/>
  <c r="BH61" i="71"/>
  <c r="BH110" i="70"/>
  <c r="BH7" i="70"/>
  <c r="BH109" i="67"/>
  <c r="BH9" i="67"/>
  <c r="BH91" i="67"/>
  <c r="BH52" i="67"/>
  <c r="BH114" i="66"/>
  <c r="BH67" i="1"/>
  <c r="BH10" i="1"/>
  <c r="BE63" i="70"/>
  <c r="E230" i="2"/>
  <c r="AU88" i="74"/>
  <c r="AW88" i="74" s="1"/>
  <c r="AU89" i="74"/>
  <c r="AW89" i="74" s="1"/>
  <c r="BD148" i="87"/>
  <c r="AU95" i="87"/>
  <c r="L226" i="2"/>
  <c r="BD146" i="87"/>
  <c r="AU93" i="87"/>
  <c r="BD145" i="87"/>
  <c r="AU92" i="87"/>
  <c r="BD144" i="87"/>
  <c r="AU91" i="87"/>
  <c r="BD147" i="87"/>
  <c r="AU94" i="87"/>
  <c r="AW98" i="87"/>
  <c r="AV98" i="87"/>
  <c r="BD109" i="75"/>
  <c r="BE109" i="75" s="1"/>
  <c r="BD149" i="87"/>
  <c r="AU96" i="87"/>
  <c r="BD150" i="87"/>
  <c r="AU97" i="87"/>
  <c r="E227" i="2"/>
  <c r="L230" i="2"/>
  <c r="BD75" i="85"/>
  <c r="BD75" i="87"/>
  <c r="BD75" i="86"/>
  <c r="BD75" i="84"/>
  <c r="BD75" i="83"/>
  <c r="BD76" i="85"/>
  <c r="BD76" i="86"/>
  <c r="BD76" i="87"/>
  <c r="BD76" i="84"/>
  <c r="BD76" i="83"/>
  <c r="BD63" i="1"/>
  <c r="BD77" i="86"/>
  <c r="BD77" i="87"/>
  <c r="BD77" i="85"/>
  <c r="BD77" i="84"/>
  <c r="BD77" i="83"/>
  <c r="BD78" i="86"/>
  <c r="BD78" i="87"/>
  <c r="BD78" i="85"/>
  <c r="BD78" i="84"/>
  <c r="BD78" i="83"/>
  <c r="BD79" i="85"/>
  <c r="BD79" i="87"/>
  <c r="BD79" i="86"/>
  <c r="BD79" i="84"/>
  <c r="BD79" i="83"/>
  <c r="BD80" i="86"/>
  <c r="BD80" i="85"/>
  <c r="BD80" i="87"/>
  <c r="BD80" i="84"/>
  <c r="BD80" i="83"/>
  <c r="BD81" i="86"/>
  <c r="BD81" i="87"/>
  <c r="BD81" i="85"/>
  <c r="BD81" i="84"/>
  <c r="BD81" i="83"/>
  <c r="AU44" i="78"/>
  <c r="AW44" i="78" s="1"/>
  <c r="AU44" i="86"/>
  <c r="AU44" i="87"/>
  <c r="AU44" i="85"/>
  <c r="AU44" i="84"/>
  <c r="AU44" i="83"/>
  <c r="BD82" i="87"/>
  <c r="BD82" i="85"/>
  <c r="BD82" i="86"/>
  <c r="BD82" i="84"/>
  <c r="BD82" i="83"/>
  <c r="D269" i="2"/>
  <c r="AU45" i="87"/>
  <c r="AU45" i="85"/>
  <c r="AU45" i="86"/>
  <c r="AU45" i="84"/>
  <c r="AU45" i="83"/>
  <c r="BD83" i="86"/>
  <c r="BD83" i="87"/>
  <c r="BD83" i="85"/>
  <c r="BD83" i="84"/>
  <c r="BD83" i="83"/>
  <c r="AU46" i="87"/>
  <c r="AU46" i="85"/>
  <c r="AU46" i="86"/>
  <c r="AU46" i="84"/>
  <c r="AU46" i="83"/>
  <c r="BD84" i="85"/>
  <c r="BD84" i="87"/>
  <c r="BD84" i="86"/>
  <c r="BD84" i="84"/>
  <c r="BD84" i="83"/>
  <c r="AU47" i="85"/>
  <c r="AU47" i="86"/>
  <c r="AU47" i="87"/>
  <c r="AU47" i="84"/>
  <c r="AU47" i="83"/>
  <c r="AU48" i="86"/>
  <c r="AU48" i="87"/>
  <c r="AU48" i="85"/>
  <c r="AU48" i="84"/>
  <c r="AU48" i="83"/>
  <c r="BD54" i="87"/>
  <c r="BD54" i="85"/>
  <c r="BD54" i="86"/>
  <c r="BD54" i="84"/>
  <c r="BD54" i="83"/>
  <c r="BD55" i="85"/>
  <c r="BD55" i="86"/>
  <c r="BD55" i="87"/>
  <c r="BD55" i="84"/>
  <c r="BD55" i="83"/>
  <c r="BD56" i="87"/>
  <c r="BD56" i="86"/>
  <c r="BD56" i="85"/>
  <c r="BD56" i="84"/>
  <c r="BD56" i="83"/>
  <c r="AU31" i="85"/>
  <c r="AU31" i="86"/>
  <c r="AU31" i="87"/>
  <c r="AU31" i="84"/>
  <c r="AU31" i="83"/>
  <c r="AU32" i="85"/>
  <c r="AU32" i="86"/>
  <c r="AU32" i="87"/>
  <c r="AU32" i="84"/>
  <c r="AU32" i="83"/>
  <c r="AU33" i="87"/>
  <c r="AU33" i="86"/>
  <c r="AU33" i="85"/>
  <c r="AU33" i="84"/>
  <c r="AU33" i="83"/>
  <c r="BD51" i="87"/>
  <c r="BD51" i="85"/>
  <c r="BD51" i="86"/>
  <c r="BD51" i="84"/>
  <c r="BD51" i="83"/>
  <c r="BD52" i="85"/>
  <c r="BD52" i="86"/>
  <c r="BD52" i="87"/>
  <c r="BD52" i="84"/>
  <c r="BD52" i="83"/>
  <c r="BD53" i="87"/>
  <c r="BD53" i="85"/>
  <c r="BD53" i="86"/>
  <c r="BD53" i="84"/>
  <c r="BD53" i="83"/>
  <c r="BD45" i="70"/>
  <c r="BE45" i="70" s="1"/>
  <c r="BD59" i="86"/>
  <c r="BD59" i="85"/>
  <c r="BD59" i="87"/>
  <c r="BD59" i="84"/>
  <c r="BD59" i="83"/>
  <c r="BD38" i="82"/>
  <c r="BF38" i="82" s="1"/>
  <c r="BD69" i="87"/>
  <c r="BD69" i="86"/>
  <c r="BD69" i="85"/>
  <c r="BD69" i="84"/>
  <c r="BD69" i="83"/>
  <c r="BD60" i="86"/>
  <c r="BD60" i="85"/>
  <c r="BD60" i="87"/>
  <c r="BD60" i="84"/>
  <c r="BD60" i="83"/>
  <c r="BD70" i="87"/>
  <c r="BD70" i="85"/>
  <c r="BD70" i="86"/>
  <c r="BD70" i="84"/>
  <c r="BD70" i="83"/>
  <c r="BD61" i="87"/>
  <c r="BD61" i="86"/>
  <c r="BD61" i="85"/>
  <c r="BD61" i="84"/>
  <c r="BD61" i="83"/>
  <c r="AU35" i="86"/>
  <c r="AU35" i="85"/>
  <c r="AU35" i="87"/>
  <c r="AU35" i="84"/>
  <c r="AU35" i="83"/>
  <c r="BD62" i="86"/>
  <c r="BD62" i="85"/>
  <c r="BD62" i="87"/>
  <c r="BD62" i="84"/>
  <c r="BD62" i="83"/>
  <c r="BD71" i="87"/>
  <c r="BD71" i="85"/>
  <c r="BD71" i="86"/>
  <c r="BD71" i="84"/>
  <c r="BD71" i="83"/>
  <c r="C244" i="2"/>
  <c r="AU36" i="85"/>
  <c r="AU36" i="87"/>
  <c r="AU36" i="86"/>
  <c r="AU36" i="84"/>
  <c r="AU36" i="83"/>
  <c r="AU37" i="85"/>
  <c r="AU37" i="87"/>
  <c r="AU37" i="86"/>
  <c r="AU37" i="84"/>
  <c r="AU37" i="83"/>
  <c r="BD63" i="86"/>
  <c r="BD63" i="87"/>
  <c r="BD63" i="85"/>
  <c r="BD63" i="84"/>
  <c r="BD63" i="83"/>
  <c r="BD72" i="85"/>
  <c r="BD72" i="86"/>
  <c r="BD72" i="87"/>
  <c r="BD72" i="84"/>
  <c r="BD72" i="83"/>
  <c r="AU38" i="86"/>
  <c r="AU38" i="85"/>
  <c r="AU38" i="87"/>
  <c r="AU38" i="84"/>
  <c r="AU38" i="83"/>
  <c r="BD64" i="87"/>
  <c r="BD64" i="85"/>
  <c r="BD64" i="86"/>
  <c r="BD64" i="84"/>
  <c r="BD64" i="83"/>
  <c r="BD73" i="86"/>
  <c r="BD73" i="87"/>
  <c r="BD73" i="85"/>
  <c r="BD73" i="84"/>
  <c r="BD73" i="83"/>
  <c r="AU39" i="85"/>
  <c r="AU39" i="87"/>
  <c r="AU39" i="86"/>
  <c r="AU39" i="84"/>
  <c r="AU39" i="83"/>
  <c r="BD65" i="87"/>
  <c r="BD65" i="85"/>
  <c r="BD65" i="86"/>
  <c r="BD65" i="84"/>
  <c r="BD65" i="83"/>
  <c r="AU40" i="85"/>
  <c r="AU40" i="87"/>
  <c r="AU40" i="86"/>
  <c r="AU40" i="84"/>
  <c r="AU40" i="83"/>
  <c r="AU41" i="87"/>
  <c r="AU41" i="86"/>
  <c r="AU41" i="85"/>
  <c r="AU41" i="84"/>
  <c r="AU41" i="83"/>
  <c r="BD66" i="85"/>
  <c r="BD66" i="86"/>
  <c r="BD66" i="87"/>
  <c r="BD66" i="84"/>
  <c r="BD66" i="83"/>
  <c r="AU36" i="74"/>
  <c r="AV36" i="74" s="1"/>
  <c r="AU42" i="86"/>
  <c r="AU42" i="85"/>
  <c r="AU42" i="87"/>
  <c r="AU42" i="84"/>
  <c r="AU42" i="83"/>
  <c r="BD67" i="87"/>
  <c r="BD67" i="85"/>
  <c r="BD67" i="86"/>
  <c r="BD67" i="84"/>
  <c r="BD67" i="83"/>
  <c r="BD58" i="85"/>
  <c r="BD58" i="87"/>
  <c r="BD58" i="86"/>
  <c r="BD58" i="84"/>
  <c r="BD58" i="83"/>
  <c r="BD68" i="85"/>
  <c r="BD68" i="86"/>
  <c r="BD68" i="87"/>
  <c r="BD68" i="84"/>
  <c r="BD68" i="83"/>
  <c r="AV48" i="1"/>
  <c r="BH9" i="75"/>
  <c r="BH90" i="74"/>
  <c r="BH16" i="74"/>
  <c r="BH7" i="76"/>
  <c r="BH41" i="76"/>
  <c r="BH37" i="76"/>
  <c r="BH11" i="76"/>
  <c r="BH45" i="76"/>
  <c r="BH49" i="68"/>
  <c r="BH45" i="1"/>
  <c r="BH58" i="82"/>
  <c r="BH35" i="82"/>
  <c r="BH5" i="82"/>
  <c r="BH16" i="82"/>
  <c r="BH61" i="81"/>
  <c r="BH48" i="81"/>
  <c r="BH39" i="81"/>
  <c r="BH18" i="81"/>
  <c r="BH60" i="80"/>
  <c r="BH15" i="78"/>
  <c r="BH34" i="78" s="1"/>
  <c r="BH7" i="78"/>
  <c r="BH26" i="78" s="1"/>
  <c r="AY20" i="78"/>
  <c r="BH59" i="78"/>
  <c r="BH7" i="74"/>
  <c r="BH109" i="74"/>
  <c r="BH63" i="74"/>
  <c r="BH61" i="74"/>
  <c r="BH89" i="73"/>
  <c r="BH20" i="71"/>
  <c r="BH15" i="71"/>
  <c r="BH117" i="70"/>
  <c r="BH112" i="70"/>
  <c r="BH88" i="70"/>
  <c r="BH10" i="70"/>
  <c r="BH63" i="70"/>
  <c r="BH34" i="69"/>
  <c r="BH36" i="68"/>
  <c r="BH87" i="67"/>
  <c r="BH80" i="67"/>
  <c r="BH8" i="66"/>
  <c r="BH112" i="66"/>
  <c r="BH15" i="66"/>
  <c r="BH98" i="66"/>
  <c r="BH67" i="66"/>
  <c r="BH52" i="66"/>
  <c r="BH115" i="1"/>
  <c r="BH99" i="1"/>
  <c r="BH22" i="1"/>
  <c r="BH13" i="1"/>
  <c r="BH18" i="1"/>
  <c r="BH50" i="1"/>
  <c r="BH37" i="1"/>
  <c r="BH41" i="1"/>
  <c r="BH5" i="1"/>
  <c r="BH49" i="1"/>
  <c r="AY14" i="80"/>
  <c r="BH92" i="75"/>
  <c r="BH86" i="75"/>
  <c r="BH16" i="76"/>
  <c r="BH67" i="73"/>
  <c r="BH22" i="73"/>
  <c r="AU90" i="70"/>
  <c r="AU91" i="70" s="1"/>
  <c r="BH69" i="68"/>
  <c r="BH65" i="68"/>
  <c r="BH53" i="68"/>
  <c r="BH38" i="68"/>
  <c r="BH16" i="68"/>
  <c r="BH57" i="66"/>
  <c r="BH46" i="1"/>
  <c r="BH31" i="77"/>
  <c r="BH9" i="77"/>
  <c r="BH22" i="77"/>
  <c r="BH6" i="81"/>
  <c r="AY18" i="80"/>
  <c r="BH80" i="78"/>
  <c r="BH74" i="78"/>
  <c r="AU101" i="75"/>
  <c r="BH117" i="74"/>
  <c r="BH54" i="74"/>
  <c r="BH91" i="76"/>
  <c r="BH13" i="76"/>
  <c r="BH116" i="73"/>
  <c r="BH99" i="73"/>
  <c r="BH88" i="73"/>
  <c r="BH82" i="73"/>
  <c r="BH130" i="73"/>
  <c r="BH63" i="73"/>
  <c r="BH15" i="73"/>
  <c r="BH66" i="73"/>
  <c r="BH20" i="73"/>
  <c r="BH9" i="73"/>
  <c r="BH39" i="73"/>
  <c r="BH44" i="73"/>
  <c r="BH91" i="70"/>
  <c r="BH67" i="70"/>
  <c r="BH11" i="70"/>
  <c r="BH58" i="70"/>
  <c r="BH94" i="69"/>
  <c r="BH52" i="69"/>
  <c r="BH57" i="68"/>
  <c r="BH44" i="68"/>
  <c r="BH6" i="68"/>
  <c r="BH96" i="67"/>
  <c r="BH62" i="67"/>
  <c r="AY127" i="67"/>
  <c r="BH127" i="67" s="1"/>
  <c r="BH19" i="67"/>
  <c r="BH51" i="67"/>
  <c r="BH55" i="67"/>
  <c r="BH95" i="66"/>
  <c r="BH17" i="66"/>
  <c r="BH89" i="66"/>
  <c r="BH13" i="66"/>
  <c r="BH86" i="1"/>
  <c r="BH57" i="1"/>
  <c r="BH16" i="1"/>
  <c r="BH33" i="77"/>
  <c r="BH59" i="81"/>
  <c r="BH38" i="81"/>
  <c r="BH11" i="80"/>
  <c r="BH26" i="80" s="1"/>
  <c r="BH12" i="80"/>
  <c r="BH27" i="80" s="1"/>
  <c r="BH50" i="80"/>
  <c r="BH57" i="80"/>
  <c r="BH35" i="75"/>
  <c r="BH42" i="75"/>
  <c r="BH31" i="75"/>
  <c r="BH94" i="74"/>
  <c r="BH99" i="74"/>
  <c r="AU98" i="74"/>
  <c r="AU99" i="74" s="1"/>
  <c r="BH70" i="74"/>
  <c r="BH20" i="74"/>
  <c r="BH46" i="74"/>
  <c r="BH39" i="74"/>
  <c r="AY107" i="76"/>
  <c r="BH107" i="76" s="1"/>
  <c r="BH67" i="76"/>
  <c r="BH56" i="76"/>
  <c r="BH6" i="76"/>
  <c r="BH31" i="76"/>
  <c r="BH111" i="73"/>
  <c r="BH91" i="73"/>
  <c r="BH80" i="73"/>
  <c r="BH85" i="73"/>
  <c r="BH62" i="73"/>
  <c r="BH70" i="73"/>
  <c r="AU103" i="71"/>
  <c r="AY93" i="71" s="1"/>
  <c r="BH113" i="71"/>
  <c r="BH95" i="71"/>
  <c r="BH100" i="71"/>
  <c r="BH88" i="71"/>
  <c r="BH81" i="71"/>
  <c r="BH7" i="71"/>
  <c r="BH21" i="70"/>
  <c r="AY133" i="70"/>
  <c r="BH133" i="70" s="1"/>
  <c r="BH7" i="68"/>
  <c r="BH76" i="68"/>
  <c r="AX13" i="65"/>
  <c r="BH12" i="77"/>
  <c r="AY75" i="77"/>
  <c r="BH75" i="77" s="1"/>
  <c r="BH24" i="77"/>
  <c r="BH7" i="82"/>
  <c r="BH62" i="82"/>
  <c r="AY74" i="82"/>
  <c r="BH74" i="82" s="1"/>
  <c r="BH18" i="82"/>
  <c r="AY70" i="82"/>
  <c r="BH70" i="82" s="1"/>
  <c r="BH45" i="82"/>
  <c r="AY84" i="81"/>
  <c r="BH84" i="81" s="1"/>
  <c r="AY88" i="81"/>
  <c r="BH88" i="81" s="1"/>
  <c r="BH65" i="81"/>
  <c r="BH77" i="81"/>
  <c r="BH71" i="81"/>
  <c r="BH51" i="81"/>
  <c r="BH15" i="81"/>
  <c r="BH14" i="81"/>
  <c r="BH81" i="80"/>
  <c r="BH77" i="80"/>
  <c r="BH53" i="80"/>
  <c r="AY17" i="80"/>
  <c r="BH13" i="80"/>
  <c r="BH28" i="80" s="1"/>
  <c r="BH47" i="80"/>
  <c r="BH13" i="78"/>
  <c r="BH32" i="78" s="1"/>
  <c r="BH89" i="78"/>
  <c r="BH97" i="78"/>
  <c r="AY108" i="78"/>
  <c r="BH108" i="78" s="1"/>
  <c r="AY19" i="78"/>
  <c r="BH5" i="78"/>
  <c r="BH24" i="78" s="1"/>
  <c r="BH6" i="75"/>
  <c r="BH84" i="75"/>
  <c r="BH90" i="75"/>
  <c r="BH7" i="75"/>
  <c r="BH11" i="75"/>
  <c r="AY113" i="75"/>
  <c r="BH113" i="75" s="1"/>
  <c r="AY117" i="75"/>
  <c r="BH117" i="75" s="1"/>
  <c r="BH38" i="75"/>
  <c r="AY143" i="74"/>
  <c r="BH143" i="74" s="1"/>
  <c r="BH66" i="74"/>
  <c r="BH22" i="74"/>
  <c r="BH118" i="73"/>
  <c r="BH106" i="73"/>
  <c r="BH96" i="73"/>
  <c r="BH13" i="73"/>
  <c r="BH18" i="73"/>
  <c r="BH58" i="73"/>
  <c r="BH53" i="71"/>
  <c r="BH48" i="71"/>
  <c r="BH14" i="70"/>
  <c r="BH18" i="70"/>
  <c r="BH86" i="69"/>
  <c r="BH70" i="69"/>
  <c r="BH15" i="69"/>
  <c r="BH6" i="69"/>
  <c r="BH64" i="69"/>
  <c r="BH18" i="69"/>
  <c r="BH55" i="69"/>
  <c r="BH9" i="69"/>
  <c r="BH48" i="69"/>
  <c r="BH92" i="68"/>
  <c r="BH85" i="68"/>
  <c r="BH74" i="68"/>
  <c r="BH40" i="68"/>
  <c r="BH10" i="68"/>
  <c r="BH54" i="66"/>
  <c r="BH12" i="66"/>
  <c r="AX14" i="65"/>
  <c r="AX12" i="65"/>
  <c r="AY70" i="77"/>
  <c r="BH70" i="77" s="1"/>
  <c r="BH8" i="77"/>
  <c r="BH28" i="77"/>
  <c r="BH10" i="82"/>
  <c r="BH73" i="80"/>
  <c r="BH7" i="80"/>
  <c r="BH22" i="80" s="1"/>
  <c r="AY19" i="80"/>
  <c r="BH17" i="80"/>
  <c r="BH32" i="80" s="1"/>
  <c r="AY92" i="80"/>
  <c r="BH92" i="80" s="1"/>
  <c r="BH14" i="74"/>
  <c r="BH95" i="74"/>
  <c r="AY139" i="74"/>
  <c r="BH139" i="74" s="1"/>
  <c r="BH18" i="74"/>
  <c r="AU101" i="76"/>
  <c r="BH115" i="70"/>
  <c r="BH119" i="70"/>
  <c r="BH62" i="70"/>
  <c r="BH69" i="70"/>
  <c r="BH20" i="70"/>
  <c r="BH57" i="70"/>
  <c r="BH52" i="70"/>
  <c r="AY83" i="70"/>
  <c r="BH128" i="70" s="1"/>
  <c r="BH12" i="68"/>
  <c r="BH71" i="68"/>
  <c r="AY102" i="68"/>
  <c r="BH102" i="68" s="1"/>
  <c r="BH107" i="67"/>
  <c r="BH61" i="66"/>
  <c r="BH19" i="66"/>
  <c r="AY18" i="78"/>
  <c r="BH20" i="78"/>
  <c r="BH39" i="78" s="1"/>
  <c r="BH71" i="78"/>
  <c r="BH12" i="78"/>
  <c r="BH31" i="78" s="1"/>
  <c r="AU93" i="76"/>
  <c r="BH50" i="73"/>
  <c r="BH11" i="73"/>
  <c r="BH56" i="73"/>
  <c r="AY133" i="73"/>
  <c r="AU93" i="70"/>
  <c r="AY105" i="69"/>
  <c r="BH105" i="69" s="1"/>
  <c r="AY101" i="69"/>
  <c r="BH101" i="69" s="1"/>
  <c r="AY106" i="68"/>
  <c r="BH106" i="68" s="1"/>
  <c r="BH13" i="68"/>
  <c r="BH89" i="68"/>
  <c r="BH14" i="67"/>
  <c r="AY131" i="67"/>
  <c r="BH131" i="67" s="1"/>
  <c r="BH17" i="67"/>
  <c r="BH115" i="67"/>
  <c r="AW114" i="75"/>
  <c r="AW136" i="70"/>
  <c r="AW134" i="70"/>
  <c r="BE135" i="73"/>
  <c r="BF74" i="77"/>
  <c r="BF134" i="71"/>
  <c r="AW73" i="82"/>
  <c r="AV110" i="76"/>
  <c r="BF77" i="75"/>
  <c r="AV127" i="71"/>
  <c r="AV74" i="77"/>
  <c r="BF71" i="82"/>
  <c r="AW135" i="73"/>
  <c r="AW130" i="67"/>
  <c r="BE85" i="81"/>
  <c r="AV87" i="81"/>
  <c r="AV73" i="77"/>
  <c r="BF116" i="75"/>
  <c r="AW122" i="66"/>
  <c r="AV57" i="1"/>
  <c r="AW105" i="68"/>
  <c r="AW65" i="66"/>
  <c r="BE104" i="69"/>
  <c r="BF44" i="75"/>
  <c r="AV33" i="67"/>
  <c r="AW129" i="1"/>
  <c r="AW103" i="69"/>
  <c r="BE104" i="68"/>
  <c r="BE86" i="81"/>
  <c r="AW108" i="76"/>
  <c r="AW128" i="1"/>
  <c r="AW107" i="78"/>
  <c r="BF37" i="69"/>
  <c r="AV28" i="68"/>
  <c r="AV65" i="73"/>
  <c r="AV48" i="69"/>
  <c r="AV41" i="1"/>
  <c r="AV55" i="1"/>
  <c r="BE115" i="74"/>
  <c r="BE105" i="68"/>
  <c r="BF108" i="76"/>
  <c r="BE64" i="77"/>
  <c r="AV51" i="71"/>
  <c r="BE72" i="77"/>
  <c r="BE105" i="78"/>
  <c r="BF134" i="73"/>
  <c r="AW39" i="1"/>
  <c r="BF128" i="66"/>
  <c r="BF45" i="75"/>
  <c r="BE51" i="81"/>
  <c r="AW52" i="74"/>
  <c r="BE52" i="68"/>
  <c r="AV135" i="70"/>
  <c r="BH131" i="70"/>
  <c r="BH15" i="70"/>
  <c r="H561" i="7"/>
  <c r="H93" i="7"/>
  <c r="H607" i="7"/>
  <c r="H1028" i="7"/>
  <c r="H387" i="7"/>
  <c r="H378" i="7"/>
  <c r="H596" i="7"/>
  <c r="H217" i="7"/>
  <c r="H205" i="7"/>
  <c r="H971" i="7"/>
  <c r="H475" i="7"/>
  <c r="H606" i="7"/>
  <c r="H712" i="7"/>
  <c r="H412" i="7"/>
  <c r="H427" i="7"/>
  <c r="H667" i="7"/>
  <c r="H849" i="7"/>
  <c r="H960" i="7"/>
  <c r="H648" i="7"/>
  <c r="H787" i="7"/>
  <c r="H438" i="7"/>
  <c r="H353" i="7"/>
  <c r="H31" i="7"/>
  <c r="H256" i="7"/>
  <c r="H619" i="7"/>
  <c r="H199" i="7"/>
  <c r="H293" i="7"/>
  <c r="H301" i="7"/>
  <c r="H726" i="7"/>
  <c r="H969" i="7"/>
  <c r="H151" i="7"/>
  <c r="H129" i="7"/>
  <c r="H318" i="7"/>
  <c r="H424" i="7"/>
  <c r="H294" i="7"/>
  <c r="H800" i="7"/>
  <c r="H296" i="7"/>
  <c r="H991" i="7"/>
  <c r="H790" i="7"/>
  <c r="H348" i="7"/>
  <c r="H118" i="7"/>
  <c r="H734" i="7"/>
  <c r="H385" i="7"/>
  <c r="H957" i="7"/>
  <c r="H1025" i="7"/>
  <c r="H333" i="7"/>
  <c r="H698" i="7"/>
  <c r="H676" i="7"/>
  <c r="H490" i="7"/>
  <c r="H117" i="7"/>
  <c r="H195" i="7"/>
  <c r="H961" i="7"/>
  <c r="H530" i="7"/>
  <c r="H112" i="7"/>
  <c r="H1049" i="7"/>
  <c r="H546" i="7"/>
  <c r="H821" i="7"/>
  <c r="H456" i="7"/>
  <c r="H786" i="7"/>
  <c r="H174" i="7"/>
  <c r="H998" i="7"/>
  <c r="H489" i="7"/>
  <c r="H752" i="7"/>
  <c r="H28" i="7"/>
  <c r="H857" i="7"/>
  <c r="H100" i="7"/>
  <c r="H273" i="7"/>
  <c r="H220" i="7"/>
  <c r="H986" i="7"/>
  <c r="H810" i="7"/>
  <c r="H994" i="7"/>
  <c r="H299" i="7"/>
  <c r="H391" i="7"/>
  <c r="H354" i="7"/>
  <c r="H976" i="7"/>
  <c r="H980" i="7"/>
  <c r="H309" i="7"/>
  <c r="H75" i="7"/>
  <c r="H924" i="7"/>
  <c r="H832" i="7"/>
  <c r="H329" i="7"/>
  <c r="H86" i="7"/>
  <c r="H625" i="7"/>
  <c r="H879" i="7"/>
  <c r="H992" i="7"/>
  <c r="H707" i="7"/>
  <c r="H604" i="7"/>
  <c r="H194" i="7"/>
  <c r="H470" i="7"/>
  <c r="H948" i="7"/>
  <c r="H186" i="7"/>
  <c r="H553" i="7"/>
  <c r="H793" i="7"/>
  <c r="H846" i="7"/>
  <c r="H600" i="7"/>
  <c r="H835" i="7"/>
  <c r="H138" i="7"/>
  <c r="H161" i="7"/>
  <c r="H222" i="7"/>
  <c r="H53" i="7"/>
  <c r="H965" i="7"/>
  <c r="H984" i="7"/>
  <c r="H728" i="7"/>
  <c r="H493" i="7"/>
  <c r="H379" i="7"/>
  <c r="H616" i="7"/>
  <c r="H1046" i="7"/>
  <c r="H812" i="7"/>
  <c r="H295" i="7"/>
  <c r="H642" i="7"/>
  <c r="H439" i="7"/>
  <c r="H460" i="7"/>
  <c r="H781" i="7"/>
  <c r="H377" i="7"/>
  <c r="H922" i="7"/>
  <c r="H197" i="7"/>
  <c r="H285" i="7"/>
  <c r="H820" i="7"/>
  <c r="H134" i="7"/>
  <c r="H462" i="7"/>
  <c r="H895" i="7"/>
  <c r="H236" i="7"/>
  <c r="H480" i="7"/>
  <c r="H721" i="7"/>
  <c r="H340" i="7"/>
  <c r="H681" i="7"/>
  <c r="H499" i="7"/>
  <c r="H541" i="7"/>
  <c r="H496" i="7"/>
  <c r="H249" i="7"/>
  <c r="H688" i="7"/>
  <c r="H756" i="7"/>
  <c r="H368" i="7"/>
  <c r="H584" i="7"/>
  <c r="H212" i="7"/>
  <c r="H685" i="7"/>
  <c r="H964" i="7"/>
  <c r="H817" i="7"/>
  <c r="H714" i="7"/>
  <c r="H729" i="7"/>
  <c r="H185" i="7"/>
  <c r="H1051" i="7"/>
  <c r="H811" i="7"/>
  <c r="H517" i="7"/>
  <c r="H674" i="7"/>
  <c r="H565" i="7"/>
  <c r="H515" i="7"/>
  <c r="H325" i="7"/>
  <c r="H422" i="7"/>
  <c r="H865" i="7"/>
  <c r="H587" i="7"/>
  <c r="H661" i="7"/>
  <c r="H687" i="7"/>
  <c r="H457" i="7"/>
  <c r="H178" i="7"/>
  <c r="H614" i="7"/>
  <c r="H110" i="7"/>
  <c r="H324" i="7"/>
  <c r="H152" i="7"/>
  <c r="H183" i="7"/>
  <c r="H746" i="7"/>
  <c r="H297" i="7"/>
  <c r="H38" i="7"/>
  <c r="H997" i="7"/>
  <c r="H554" i="7"/>
  <c r="H337" i="7"/>
  <c r="H45" i="7"/>
  <c r="H235" i="7"/>
  <c r="H366" i="7"/>
  <c r="H1013" i="7"/>
  <c r="H372" i="7"/>
  <c r="H713" i="7"/>
  <c r="H437" i="7"/>
  <c r="H1033" i="7"/>
  <c r="H130" i="7"/>
  <c r="H615" i="7"/>
  <c r="H519" i="7"/>
  <c r="H697" i="7"/>
  <c r="H842" i="7"/>
  <c r="H467" i="7"/>
  <c r="H266" i="7"/>
  <c r="H261" i="7"/>
  <c r="H147" i="7"/>
  <c r="H567" i="7"/>
  <c r="H347" i="7"/>
  <c r="H963" i="7"/>
  <c r="H143" i="7"/>
  <c r="H934" i="7"/>
  <c r="H577" i="7"/>
  <c r="H841" i="7"/>
  <c r="H468" i="7"/>
  <c r="H228" i="7"/>
  <c r="H315" i="7"/>
  <c r="H1042" i="7"/>
  <c r="H393" i="7"/>
  <c r="H589" i="7"/>
  <c r="H1006" i="7"/>
  <c r="H202" i="7"/>
  <c r="H254" i="7"/>
  <c r="H1031" i="7"/>
  <c r="H656" i="7"/>
  <c r="H494" i="7"/>
  <c r="H101" i="7"/>
  <c r="H866" i="7"/>
  <c r="H1004" i="7"/>
  <c r="H789" i="7"/>
  <c r="H856" i="7"/>
  <c r="H81" i="7"/>
  <c r="H450" i="7"/>
  <c r="H1047" i="7"/>
  <c r="H497" i="7"/>
  <c r="H287" i="7"/>
  <c r="H283" i="7"/>
  <c r="H383" i="7"/>
  <c r="H65" i="7"/>
  <c r="H794" i="7"/>
  <c r="H892" i="7"/>
  <c r="H638" i="7"/>
  <c r="H573" i="7"/>
  <c r="H417" i="7"/>
  <c r="H878" i="7"/>
  <c r="H852" i="7"/>
  <c r="H1018" i="7"/>
  <c r="H434" i="7"/>
  <c r="H215" i="7"/>
  <c r="H730" i="7"/>
  <c r="H52" i="7"/>
  <c r="H92" i="7"/>
  <c r="H632" i="7"/>
  <c r="H63" i="7"/>
  <c r="H141" i="7"/>
  <c r="H260" i="7"/>
  <c r="H47" i="7"/>
  <c r="H785" i="7"/>
  <c r="H958" i="7"/>
  <c r="H819" i="7"/>
  <c r="H711" i="7"/>
  <c r="H30" i="7"/>
  <c r="H683" i="7"/>
  <c r="H455" i="7"/>
  <c r="H579" i="7"/>
  <c r="H784" i="7"/>
  <c r="H248" i="7"/>
  <c r="H416" i="7"/>
  <c r="H1019" i="7"/>
  <c r="H17" i="7"/>
  <c r="H26" i="7"/>
  <c r="H624" i="7"/>
  <c r="H154" i="7"/>
  <c r="H586" i="7"/>
  <c r="H829" i="7"/>
  <c r="H267" i="7"/>
  <c r="H397" i="7"/>
  <c r="H431" i="7"/>
  <c r="H277" i="7"/>
  <c r="H798" i="7"/>
  <c r="H1000" i="7"/>
  <c r="H1027" i="7"/>
  <c r="H108" i="7"/>
  <c r="H907" i="7"/>
  <c r="H70" i="7"/>
  <c r="H745" i="7"/>
  <c r="H744" i="7"/>
  <c r="H545" i="7"/>
  <c r="H49" i="7"/>
  <c r="H877" i="7"/>
  <c r="H355" i="7"/>
  <c r="H504" i="7"/>
  <c r="H647" i="7"/>
  <c r="H564" i="7"/>
  <c r="H825" i="7"/>
  <c r="H364" i="7"/>
  <c r="H926" i="7"/>
  <c r="H382" i="7"/>
  <c r="H623" i="7"/>
  <c r="H503" i="7"/>
  <c r="H447" i="7"/>
  <c r="H663" i="7"/>
  <c r="H64" i="7"/>
  <c r="H131" i="7"/>
  <c r="H245" i="7"/>
  <c r="H595" i="7"/>
  <c r="H650" i="7"/>
  <c r="H498" i="7"/>
  <c r="H631" i="7"/>
  <c r="H915" i="7"/>
  <c r="H943" i="7"/>
  <c r="H902" i="7"/>
  <c r="H818" i="7"/>
  <c r="H760" i="7"/>
  <c r="H611" i="7"/>
  <c r="H34" i="7"/>
  <c r="H363" i="7"/>
  <c r="H551" i="7"/>
  <c r="H910" i="7"/>
  <c r="H824" i="7"/>
  <c r="H932" i="7"/>
  <c r="H262" i="7"/>
  <c r="H621" i="7"/>
  <c r="H657" i="7"/>
  <c r="H905" i="7"/>
  <c r="H700" i="7"/>
  <c r="H184" i="7"/>
  <c r="H321" i="7"/>
  <c r="H673" i="7"/>
  <c r="H959" i="7"/>
  <c r="H338" i="7"/>
  <c r="H389" i="7"/>
  <c r="H769" i="7"/>
  <c r="H342" i="7"/>
  <c r="H230" i="7"/>
  <c r="H844" i="7"/>
  <c r="H247" i="7"/>
  <c r="H904" i="7"/>
  <c r="H693" i="7"/>
  <c r="H977" i="7"/>
  <c r="H620" i="7"/>
  <c r="H458" i="7"/>
  <c r="H806" i="7"/>
  <c r="H223" i="7"/>
  <c r="H847" i="7"/>
  <c r="H255" i="7"/>
  <c r="H758" i="7"/>
  <c r="H780" i="7"/>
  <c r="H279" i="7"/>
  <c r="H1023" i="7"/>
  <c r="H20" i="7"/>
  <c r="H316" i="7"/>
  <c r="H764" i="7"/>
  <c r="H1030" i="7"/>
  <c r="H317" i="7"/>
  <c r="H763" i="7"/>
  <c r="H376" i="7"/>
  <c r="H361" i="7"/>
  <c r="H306" i="7"/>
  <c r="H72" i="7"/>
  <c r="H706" i="7"/>
  <c r="H142" i="7"/>
  <c r="H808" i="7"/>
  <c r="H863" i="7"/>
  <c r="H888" i="7"/>
  <c r="H210" i="7"/>
  <c r="H1002" i="7"/>
  <c r="H1043" i="7"/>
  <c r="H566" i="7"/>
  <c r="H929" i="7"/>
  <c r="H85" i="7"/>
  <c r="H428" i="7"/>
  <c r="H935" i="7"/>
  <c r="H995" i="7"/>
  <c r="H464" i="7"/>
  <c r="H286" i="7"/>
  <c r="H405" i="7"/>
  <c r="H884" i="7"/>
  <c r="H384" i="7"/>
  <c r="H320" i="7"/>
  <c r="H40" i="7"/>
  <c r="H778" i="7"/>
  <c r="H651" i="7"/>
  <c r="H159" i="7"/>
  <c r="H671" i="7"/>
  <c r="H311" i="7"/>
  <c r="H630" i="7"/>
  <c r="H156" i="7"/>
  <c r="H757" i="7"/>
  <c r="H120" i="7"/>
  <c r="H942" i="7"/>
  <c r="H830" i="7"/>
  <c r="H826" i="7"/>
  <c r="H592" i="7"/>
  <c r="H392" i="7"/>
  <c r="H754" i="7"/>
  <c r="H622" i="7"/>
  <c r="H175" i="7"/>
  <c r="H540" i="7"/>
  <c r="H263" i="7"/>
  <c r="H593" i="7"/>
  <c r="H827" i="7"/>
  <c r="H570" i="7"/>
  <c r="H691" i="7"/>
  <c r="H880" i="7"/>
  <c r="H453" i="7"/>
  <c r="H341" i="7"/>
  <c r="H479" i="7"/>
  <c r="H14" i="7"/>
  <c r="H710" i="7"/>
  <c r="H753" i="7"/>
  <c r="H452" i="7"/>
  <c r="H198" i="7"/>
  <c r="H240" i="7"/>
  <c r="H288" i="7"/>
  <c r="H451" i="7"/>
  <c r="H276" i="7"/>
  <c r="H253" i="7"/>
  <c r="H259" i="7"/>
  <c r="H302" i="7"/>
  <c r="H629" i="7"/>
  <c r="H1008" i="7"/>
  <c r="H722" i="7"/>
  <c r="H950" i="7"/>
  <c r="H187" i="7"/>
  <c r="H668" i="7"/>
  <c r="H725" i="7"/>
  <c r="H1024" i="7"/>
  <c r="H989" i="7"/>
  <c r="H400" i="7"/>
  <c r="H526" i="7"/>
  <c r="H522" i="7"/>
  <c r="H102" i="7"/>
  <c r="H571" i="7"/>
  <c r="H289" i="7"/>
  <c r="H61" i="7"/>
  <c r="H874" i="7"/>
  <c r="H423" i="7"/>
  <c r="H805" i="7"/>
  <c r="H119" i="7"/>
  <c r="H974" i="7"/>
  <c r="H252" i="7"/>
  <c r="H88" i="7"/>
  <c r="H39" i="7"/>
  <c r="H37" i="7"/>
  <c r="H312" i="7"/>
  <c r="H882" i="7"/>
  <c r="H920" i="7"/>
  <c r="H665" i="7"/>
  <c r="H925" i="7"/>
  <c r="H139" i="7"/>
  <c r="H449" i="7"/>
  <c r="H560" i="7"/>
  <c r="H346" i="7"/>
  <c r="H816" i="7"/>
  <c r="H555" i="7"/>
  <c r="H1020" i="7"/>
  <c r="H486" i="7"/>
  <c r="H889" i="7"/>
  <c r="H861" i="7"/>
  <c r="H25" i="7"/>
  <c r="H506" i="7"/>
  <c r="H1014" i="7"/>
  <c r="H580" i="7"/>
  <c r="H401" i="7"/>
  <c r="H635" i="7"/>
  <c r="H851" i="7"/>
  <c r="H193" i="7"/>
  <c r="H868" i="7"/>
  <c r="H60" i="7"/>
  <c r="H1037" i="7"/>
  <c r="H871" i="7"/>
  <c r="H58" i="7"/>
  <c r="H845" i="7"/>
  <c r="H911" i="7"/>
  <c r="H44" i="7"/>
  <c r="H76" i="7"/>
  <c r="H403" i="7"/>
  <c r="H258" i="7"/>
  <c r="H32" i="7"/>
  <c r="H765" i="7"/>
  <c r="H869" i="7"/>
  <c r="H705" i="7"/>
  <c r="H201" i="7"/>
  <c r="H993" i="7"/>
  <c r="H362" i="7"/>
  <c r="H901" i="7"/>
  <c r="H762" i="7"/>
  <c r="H547" i="7"/>
  <c r="H281" i="7"/>
  <c r="H716" i="7"/>
  <c r="H1009" i="7"/>
  <c r="H1041" i="7"/>
  <c r="H300" i="7"/>
  <c r="H940" i="7"/>
  <c r="H459" i="7"/>
  <c r="H881" i="7"/>
  <c r="H343" i="7"/>
  <c r="H27" i="7"/>
  <c r="H374" i="7"/>
  <c r="H788" i="7"/>
  <c r="H396" i="7"/>
  <c r="H69" i="7"/>
  <c r="H670" i="7"/>
  <c r="H166" i="7"/>
  <c r="H78" i="7"/>
  <c r="H783" i="7"/>
  <c r="H275" i="7"/>
  <c r="H686" i="7"/>
  <c r="H505" i="7"/>
  <c r="H531" i="7"/>
  <c r="H583" i="7"/>
  <c r="H388" i="7"/>
  <c r="H335" i="7"/>
  <c r="H115" i="7"/>
  <c r="H636" i="7"/>
  <c r="H469" i="7"/>
  <c r="H833" i="7"/>
  <c r="H701" i="7"/>
  <c r="H1017" i="7"/>
  <c r="H426" i="7"/>
  <c r="H282" i="7"/>
  <c r="H192" i="7"/>
  <c r="H238" i="7"/>
  <c r="H274" i="7"/>
  <c r="H443" i="7"/>
  <c r="H54" i="7"/>
  <c r="H176" i="7"/>
  <c r="H939" i="7"/>
  <c r="H146" i="7"/>
  <c r="H1052" i="7"/>
  <c r="H483" i="7"/>
  <c r="H421" i="7"/>
  <c r="H867" i="7"/>
  <c r="H951" i="7"/>
  <c r="H548" i="7"/>
  <c r="H660" i="7"/>
  <c r="H766" i="7"/>
  <c r="H511" i="7"/>
  <c r="H779" i="7"/>
  <c r="H870" i="7"/>
  <c r="H116" i="7"/>
  <c r="H613" i="7"/>
  <c r="H678" i="7"/>
  <c r="H751" i="7"/>
  <c r="H326" i="7"/>
  <c r="H610" i="7"/>
  <c r="H512" i="7"/>
  <c r="H128" i="7"/>
  <c r="H513" i="7"/>
  <c r="H563" i="7"/>
  <c r="H862" i="7"/>
  <c r="H140" i="7"/>
  <c r="H955" i="7"/>
  <c r="H750" i="7"/>
  <c r="H891" i="7"/>
  <c r="H126" i="7"/>
  <c r="H390" i="7"/>
  <c r="H80" i="7"/>
  <c r="H430" i="7"/>
  <c r="H446" i="7"/>
  <c r="H562" i="7"/>
  <c r="H921" i="7"/>
  <c r="H831" i="7"/>
  <c r="H945" i="7"/>
  <c r="H478" i="7"/>
  <c r="H169" i="7"/>
  <c r="H251" i="7"/>
  <c r="H527" i="7"/>
  <c r="H588" i="7"/>
  <c r="H550" i="7"/>
  <c r="H594" i="7"/>
  <c r="H502" i="7"/>
  <c r="H42" i="7"/>
  <c r="H41" i="7"/>
  <c r="H782" i="7"/>
  <c r="H409" i="7"/>
  <c r="H717" i="7"/>
  <c r="H482" i="7"/>
  <c r="H150" i="7"/>
  <c r="H77" i="7"/>
  <c r="H51" i="7"/>
  <c r="H1012" i="7"/>
  <c r="H83" i="7"/>
  <c r="H767" i="7"/>
  <c r="H420" i="7"/>
  <c r="H775" i="7"/>
  <c r="H518" i="7"/>
  <c r="H284" i="7"/>
  <c r="H529" i="7"/>
  <c r="H158" i="7"/>
  <c r="H952" i="7"/>
  <c r="H702" i="7"/>
  <c r="H13" i="7"/>
  <c r="H658" i="7"/>
  <c r="H535" i="7"/>
  <c r="H640" i="7"/>
  <c r="H204" i="7"/>
  <c r="H850" i="7"/>
  <c r="H864" i="7"/>
  <c r="H415" i="7"/>
  <c r="H956" i="7"/>
  <c r="H440" i="7"/>
  <c r="H442" i="7"/>
  <c r="H136" i="7"/>
  <c r="H544" i="7"/>
  <c r="H476" i="7"/>
  <c r="H218" i="7"/>
  <c r="H680" i="7"/>
  <c r="H938" i="7"/>
  <c r="H967" i="7"/>
  <c r="H599" i="7"/>
  <c r="H448" i="7"/>
  <c r="H59" i="7"/>
  <c r="H914" i="7"/>
  <c r="H122" i="7"/>
  <c r="H923" i="7"/>
  <c r="H598" i="7"/>
  <c r="H121" i="7"/>
  <c r="H773" i="7"/>
  <c r="H1016" i="7"/>
  <c r="H962" i="7"/>
  <c r="H109" i="7"/>
  <c r="H761" i="7"/>
  <c r="H575" i="7"/>
  <c r="H645" i="7"/>
  <c r="H365" i="7"/>
  <c r="H858" i="7"/>
  <c r="H487" i="7"/>
  <c r="H454" i="7"/>
  <c r="H491" i="7"/>
  <c r="H328" i="7"/>
  <c r="H966" i="7"/>
  <c r="H834" i="7"/>
  <c r="H165" i="7"/>
  <c r="H219" i="7"/>
  <c r="H429" i="7"/>
  <c r="H103" i="7"/>
  <c r="H419" i="7"/>
  <c r="H269" i="7"/>
  <c r="H463" i="7"/>
  <c r="H153" i="7"/>
  <c r="H709" i="7"/>
  <c r="H666" i="7"/>
  <c r="H514" i="7"/>
  <c r="H127" i="7"/>
  <c r="H237" i="7"/>
  <c r="H408" i="7"/>
  <c r="H941" i="7"/>
  <c r="H356" i="7"/>
  <c r="H853" i="7"/>
  <c r="H675" i="7"/>
  <c r="H472" i="7"/>
  <c r="H978" i="7"/>
  <c r="H322" i="7"/>
  <c r="H655" i="7"/>
  <c r="H582" i="7"/>
  <c r="H999" i="7"/>
  <c r="H843" i="7"/>
  <c r="H73" i="7"/>
  <c r="H33" i="7"/>
  <c r="H774" i="7"/>
  <c r="H87" i="7"/>
  <c r="H628" i="7"/>
  <c r="H684" i="7"/>
  <c r="H949" i="7"/>
  <c r="H973" i="7"/>
  <c r="H809" i="7"/>
  <c r="H305" i="7"/>
  <c r="H229" i="7"/>
  <c r="H310" i="7"/>
  <c r="H979" i="7"/>
  <c r="H814" i="7"/>
  <c r="H694" i="7"/>
  <c r="H581" i="7"/>
  <c r="H731" i="7"/>
  <c r="H859" i="7"/>
  <c r="H358" i="7"/>
  <c r="H801" i="7"/>
  <c r="H931" i="7"/>
  <c r="H715" i="7"/>
  <c r="H759" i="7"/>
  <c r="H552" i="7"/>
  <c r="H927" i="7"/>
  <c r="H749" i="7"/>
  <c r="H1029" i="7"/>
  <c r="H1015" i="7"/>
  <c r="H149" i="7"/>
  <c r="H572" i="7"/>
  <c r="H1050" i="7"/>
  <c r="H627" i="7"/>
  <c r="H221" i="7"/>
  <c r="H95" i="7"/>
  <c r="H543" i="7"/>
  <c r="H188" i="7"/>
  <c r="H319" i="7"/>
  <c r="H558" i="7"/>
  <c r="H996" i="7"/>
  <c r="H873" i="7"/>
  <c r="H304" i="7"/>
  <c r="H930" i="7"/>
  <c r="H990" i="7"/>
  <c r="H91" i="7"/>
  <c r="H777" i="7"/>
  <c r="H271" i="7"/>
  <c r="H574" i="7"/>
  <c r="H82" i="7"/>
  <c r="H168" i="7"/>
  <c r="H231" i="7"/>
  <c r="H837" i="7"/>
  <c r="H770" i="7"/>
  <c r="H839" i="7"/>
  <c r="H155" i="7"/>
  <c r="H510" i="7"/>
  <c r="H94" i="7"/>
  <c r="H68" i="7"/>
  <c r="H485" i="7"/>
  <c r="H71" i="7"/>
  <c r="H649" i="7"/>
  <c r="H79" i="7"/>
  <c r="H345" i="7"/>
  <c r="H257" i="7"/>
  <c r="H48" i="7"/>
  <c r="H797" i="7"/>
  <c r="H639" i="7"/>
  <c r="H875" i="7"/>
  <c r="H876" i="7"/>
  <c r="H1005" i="7"/>
  <c r="H488" i="7"/>
  <c r="H906" i="7"/>
  <c r="H516" i="7"/>
  <c r="H893" i="7"/>
  <c r="H1036" i="7"/>
  <c r="H1034" i="7"/>
  <c r="H532" i="7"/>
  <c r="H748" i="7"/>
  <c r="H1038" i="7"/>
  <c r="H84" i="7"/>
  <c r="H559" i="7"/>
  <c r="H500" i="7"/>
  <c r="H539" i="7"/>
  <c r="H609" i="7"/>
  <c r="H987" i="7"/>
  <c r="H411" i="7"/>
  <c r="H90" i="7"/>
  <c r="H270" i="7"/>
  <c r="H234" i="7"/>
  <c r="H718" i="7"/>
  <c r="H804" i="7"/>
  <c r="H936" i="7"/>
  <c r="H471" i="7"/>
  <c r="H272" i="7"/>
  <c r="H444" i="7"/>
  <c r="H617" i="7"/>
  <c r="H682" i="7"/>
  <c r="H803" i="7"/>
  <c r="H399" i="7"/>
  <c r="H732" i="7"/>
  <c r="H137" i="7"/>
  <c r="H557" i="7"/>
  <c r="H525" i="7"/>
  <c r="H173" i="7"/>
  <c r="H626" i="7"/>
  <c r="H677" i="7"/>
  <c r="H97" i="7"/>
  <c r="H913" i="7"/>
  <c r="H404" i="7"/>
  <c r="H177" i="7"/>
  <c r="H402" i="7"/>
  <c r="H413" i="7"/>
  <c r="H792" i="7"/>
  <c r="H303" i="7"/>
  <c r="H836" i="7"/>
  <c r="H1053" i="7"/>
  <c r="H537" i="7"/>
  <c r="H897" i="7"/>
  <c r="H536" i="7"/>
  <c r="H828" i="7"/>
  <c r="H602" i="7"/>
  <c r="H461" i="7"/>
  <c r="H771" i="7"/>
  <c r="H357" i="7"/>
  <c r="H747" i="7"/>
  <c r="H373" i="7"/>
  <c r="H520" i="7"/>
  <c r="H334" i="7"/>
  <c r="H406" i="7"/>
  <c r="H414" i="7"/>
  <c r="H114" i="7"/>
  <c r="H445" i="7"/>
  <c r="H62" i="7"/>
  <c r="H887" i="7"/>
  <c r="H523" i="7"/>
  <c r="H727" i="7"/>
  <c r="H418" i="7"/>
  <c r="AA67" i="74"/>
  <c r="AA67" i="71"/>
  <c r="H22" i="7"/>
  <c r="H170" i="7"/>
  <c r="H1026" i="7"/>
  <c r="H29" i="7"/>
  <c r="H380" i="7"/>
  <c r="H612" i="7"/>
  <c r="H1039" i="7"/>
  <c r="H690" i="7"/>
  <c r="H144" i="7"/>
  <c r="H160" i="7"/>
  <c r="H533" i="7"/>
  <c r="H481" i="7"/>
  <c r="H802" i="7"/>
  <c r="H211" i="7"/>
  <c r="H652" i="7"/>
  <c r="H407" i="7"/>
  <c r="H432" i="7"/>
  <c r="H349" i="7"/>
  <c r="AA2" i="82"/>
  <c r="AA2" i="80"/>
  <c r="AA2" i="76"/>
  <c r="AA67" i="70"/>
  <c r="AA2" i="71"/>
  <c r="AA2" i="67"/>
  <c r="AA67" i="76"/>
  <c r="AA2" i="75"/>
  <c r="AA2" i="77"/>
  <c r="AA2" i="69"/>
  <c r="AA2" i="4"/>
  <c r="AA2" i="78"/>
  <c r="AA67" i="75"/>
  <c r="AA2" i="1"/>
  <c r="AA2" i="10"/>
  <c r="AA2" i="20"/>
  <c r="AA67" i="73"/>
  <c r="AA2" i="70"/>
  <c r="AA2" i="73"/>
  <c r="J10" i="7"/>
  <c r="L22" i="2"/>
  <c r="H854" i="7"/>
  <c r="AA2" i="65"/>
  <c r="AA2" i="68"/>
  <c r="H104" i="7"/>
  <c r="H350" i="7"/>
  <c r="H145" i="7"/>
  <c r="H182" i="7"/>
  <c r="H113" i="7"/>
  <c r="H916" i="7"/>
  <c r="H912" i="7"/>
  <c r="H21" i="7"/>
  <c r="H375" i="7"/>
  <c r="H947" i="7"/>
  <c r="H855" i="7"/>
  <c r="H815" i="7"/>
  <c r="H360" i="7"/>
  <c r="H264" i="7"/>
  <c r="H36" i="7"/>
  <c r="H585" i="7"/>
  <c r="H367" i="7"/>
  <c r="H946" i="7"/>
  <c r="AF8" i="4"/>
  <c r="C8" i="4"/>
  <c r="Q8" i="4"/>
  <c r="Q26" i="4"/>
  <c r="AF26" i="4"/>
  <c r="B82" i="73"/>
  <c r="B82" i="71"/>
  <c r="B82" i="70"/>
  <c r="B11" i="81"/>
  <c r="B11" i="75"/>
  <c r="C63" i="4"/>
  <c r="AF75" i="4"/>
  <c r="B82" i="75"/>
  <c r="C25" i="65"/>
  <c r="M10" i="7"/>
  <c r="AA22" i="20"/>
  <c r="B11" i="78"/>
  <c r="C75" i="4"/>
  <c r="C86" i="4"/>
  <c r="B82" i="76"/>
  <c r="Q17" i="65"/>
  <c r="B11" i="1"/>
  <c r="B11" i="66"/>
  <c r="B11" i="70"/>
  <c r="AM20" i="10"/>
  <c r="B11" i="73"/>
  <c r="B11" i="67"/>
  <c r="B11" i="69"/>
  <c r="B11" i="68"/>
  <c r="B11" i="80"/>
  <c r="AF44" i="4"/>
  <c r="Q75" i="4"/>
  <c r="Q94" i="4"/>
  <c r="AF25" i="65"/>
  <c r="B8" i="69"/>
  <c r="B8" i="68"/>
  <c r="B8" i="66"/>
  <c r="D10" i="7"/>
  <c r="B8" i="71"/>
  <c r="B13" i="2"/>
  <c r="B6" i="66"/>
  <c r="B6" i="67"/>
  <c r="B6" i="69"/>
  <c r="B6" i="70"/>
  <c r="AF56" i="4"/>
  <c r="AF48" i="4"/>
  <c r="AF20" i="4"/>
  <c r="AT12" i="4"/>
  <c r="AF12" i="4"/>
  <c r="Q30" i="4"/>
  <c r="Q12" i="4"/>
  <c r="C12" i="4"/>
  <c r="AF30" i="4"/>
  <c r="AF21" i="65"/>
  <c r="Q29" i="65"/>
  <c r="Q21" i="65"/>
  <c r="AF29" i="65"/>
  <c r="AF13" i="65"/>
  <c r="C13" i="65"/>
  <c r="C21" i="65"/>
  <c r="B84" i="70"/>
  <c r="B84" i="73"/>
  <c r="B6" i="1"/>
  <c r="H840" i="7"/>
  <c r="H542" i="7"/>
  <c r="H918" i="7"/>
  <c r="H474" i="7"/>
  <c r="H860" i="7"/>
  <c r="H98" i="7"/>
  <c r="H653" i="7"/>
  <c r="H634" i="7"/>
  <c r="H528" i="7"/>
  <c r="H268" i="7"/>
  <c r="H1003" i="7"/>
  <c r="H917" i="7"/>
  <c r="H24" i="7"/>
  <c r="H605" i="7"/>
  <c r="H135" i="7"/>
  <c r="H244" i="7"/>
  <c r="H290" i="7"/>
  <c r="H538" i="7"/>
  <c r="H696" i="7"/>
  <c r="H18" i="7"/>
  <c r="H339" i="7"/>
  <c r="H55" i="7"/>
  <c r="H633" i="7"/>
  <c r="H937" i="7"/>
  <c r="H885" i="7"/>
  <c r="H148" i="7"/>
  <c r="H371" i="7"/>
  <c r="H57" i="7"/>
  <c r="H314" i="7"/>
  <c r="H280" i="7"/>
  <c r="H241" i="7"/>
  <c r="H909" i="7"/>
  <c r="H1011" i="7"/>
  <c r="H473" i="7"/>
  <c r="H332" i="7"/>
  <c r="H813" i="7"/>
  <c r="H692" i="7"/>
  <c r="H772" i="7"/>
  <c r="H646" i="7"/>
  <c r="H66" i="7"/>
  <c r="H603" i="7"/>
  <c r="H985" i="7"/>
  <c r="H67" i="7"/>
  <c r="H336" i="7"/>
  <c r="H886" i="7"/>
  <c r="H983" i="7"/>
  <c r="H370" i="7"/>
  <c r="H972" i="7"/>
  <c r="H74" i="7"/>
  <c r="H672" i="7"/>
  <c r="H16" i="7"/>
  <c r="H46" i="7"/>
  <c r="H89" i="7"/>
  <c r="H521" i="7"/>
  <c r="H768" i="7"/>
  <c r="H123" i="7"/>
  <c r="H597" i="7"/>
  <c r="H578" i="7"/>
  <c r="H689" i="7"/>
  <c r="H352" i="7"/>
  <c r="H313" i="7"/>
  <c r="H981" i="7"/>
  <c r="H157" i="7"/>
  <c r="H799" i="7"/>
  <c r="H776" i="7"/>
  <c r="H755" i="7"/>
  <c r="H425" i="7"/>
  <c r="H308" i="7"/>
  <c r="H43" i="7"/>
  <c r="H954" i="7"/>
  <c r="H743" i="7"/>
  <c r="H719" i="7"/>
  <c r="H203" i="7"/>
  <c r="H1010" i="7"/>
  <c r="H239" i="7"/>
  <c r="H386" i="7"/>
  <c r="H1045" i="7"/>
  <c r="H214" i="7"/>
  <c r="H644" i="7"/>
  <c r="H56" i="7"/>
  <c r="H132" i="7"/>
  <c r="H968" i="7"/>
  <c r="H894" i="7"/>
  <c r="H11" i="7"/>
  <c r="H484" i="7"/>
  <c r="H164" i="7"/>
  <c r="H1001" i="7"/>
  <c r="H662" i="7"/>
  <c r="H232" i="7"/>
  <c r="H410" i="7"/>
  <c r="H903" i="7"/>
  <c r="H466" i="7"/>
  <c r="H436" i="7"/>
  <c r="H508" i="7"/>
  <c r="H495" i="7"/>
  <c r="H1022" i="7"/>
  <c r="H133" i="7"/>
  <c r="H970" i="7"/>
  <c r="H590" i="7"/>
  <c r="H107" i="7"/>
  <c r="H822" i="7"/>
  <c r="H534" i="7"/>
  <c r="H1032" i="7"/>
  <c r="H265" i="7"/>
  <c r="H899" i="7"/>
  <c r="H167" i="7"/>
  <c r="H492" i="7"/>
  <c r="H549" i="7"/>
  <c r="H988" i="7"/>
  <c r="H344" i="7"/>
  <c r="H96" i="7"/>
  <c r="H944" i="7"/>
  <c r="H369" i="7"/>
  <c r="H250" i="7"/>
  <c r="H896" i="7"/>
  <c r="H435" i="7"/>
  <c r="H796" i="7"/>
  <c r="H724" i="7"/>
  <c r="H699" i="7"/>
  <c r="H351" i="7"/>
  <c r="H872" i="7"/>
  <c r="H838" i="7"/>
  <c r="H823" i="7"/>
  <c r="H919" i="7"/>
  <c r="H216" i="7"/>
  <c r="H507" i="7"/>
  <c r="H213" i="7"/>
  <c r="H900" i="7"/>
  <c r="H908" i="7"/>
  <c r="H233" i="7"/>
  <c r="H1035" i="7"/>
  <c r="H19" i="7"/>
  <c r="H890" i="7"/>
  <c r="H664" i="7"/>
  <c r="H1040" i="7"/>
  <c r="H291" i="7"/>
  <c r="H695" i="7"/>
  <c r="H12" i="7"/>
  <c r="H720" i="7"/>
  <c r="H953" i="7"/>
  <c r="H933" i="7"/>
  <c r="H654" i="7"/>
  <c r="H331" i="7"/>
  <c r="H111" i="7"/>
  <c r="H569" i="7"/>
  <c r="H99" i="7"/>
  <c r="H106" i="7"/>
  <c r="H477" i="7"/>
  <c r="H807" i="7"/>
  <c r="H441" i="7"/>
  <c r="H1044" i="7"/>
  <c r="H278" i="7"/>
  <c r="H292" i="7"/>
  <c r="H381" i="7"/>
  <c r="H723" i="7"/>
  <c r="H15" i="7"/>
  <c r="H433" i="7"/>
  <c r="H23" i="7"/>
  <c r="H928" i="7"/>
  <c r="H848" i="7"/>
  <c r="H35" i="7"/>
  <c r="H883" i="7"/>
  <c r="H327" i="7"/>
  <c r="H641" i="7"/>
  <c r="H591" i="7"/>
  <c r="H179" i="7"/>
  <c r="H975" i="7"/>
  <c r="H1007" i="7"/>
  <c r="H637" i="7"/>
  <c r="B18" i="20"/>
  <c r="B12" i="2"/>
  <c r="AO2" i="80"/>
  <c r="AO2" i="65"/>
  <c r="H22" i="1"/>
  <c r="H30" i="66"/>
  <c r="H28" i="70"/>
  <c r="H22" i="71"/>
  <c r="H19" i="67"/>
  <c r="H22" i="70"/>
  <c r="H28" i="69"/>
  <c r="B10" i="69"/>
  <c r="AF20" i="65"/>
  <c r="Q12" i="65"/>
  <c r="N83" i="70"/>
  <c r="N83" i="74"/>
  <c r="O6" i="4"/>
  <c r="B4" i="68"/>
  <c r="B4" i="73"/>
  <c r="B69" i="73" s="1"/>
  <c r="B4" i="78"/>
  <c r="B4" i="77"/>
  <c r="B4" i="70"/>
  <c r="B69" i="70" s="1"/>
  <c r="AR6" i="4"/>
  <c r="B4" i="67"/>
  <c r="B4" i="71"/>
  <c r="B69" i="71" s="1"/>
  <c r="B4" i="75"/>
  <c r="B69" i="75" s="1"/>
  <c r="AD6" i="4"/>
  <c r="B4" i="1"/>
  <c r="B4" i="69"/>
  <c r="B4" i="76"/>
  <c r="B69" i="76" s="1"/>
  <c r="B4" i="80"/>
  <c r="BF6" i="4"/>
  <c r="B4" i="66"/>
  <c r="B4" i="74"/>
  <c r="B69" i="74" s="1"/>
  <c r="B4" i="81"/>
  <c r="AU103" i="76"/>
  <c r="AV32" i="1"/>
  <c r="BE32" i="77"/>
  <c r="BF37" i="76"/>
  <c r="BF53" i="80"/>
  <c r="BF41" i="68"/>
  <c r="BE66" i="77"/>
  <c r="BE98" i="67"/>
  <c r="BF97" i="67"/>
  <c r="BE86" i="67"/>
  <c r="AW25" i="76"/>
  <c r="BE52" i="76"/>
  <c r="BF42" i="74"/>
  <c r="BF116" i="66"/>
  <c r="AW64" i="67"/>
  <c r="BF114" i="1"/>
  <c r="AW56" i="71"/>
  <c r="BE92" i="68"/>
  <c r="AV73" i="74"/>
  <c r="BF25" i="73"/>
  <c r="AV32" i="69"/>
  <c r="BF59" i="71"/>
  <c r="BE36" i="68"/>
  <c r="BF41" i="73"/>
  <c r="AW57" i="74"/>
  <c r="BF96" i="70"/>
  <c r="AW30" i="74"/>
  <c r="AV25" i="75"/>
  <c r="AW38" i="80"/>
  <c r="AV51" i="66"/>
  <c r="AW34" i="73"/>
  <c r="BF21" i="82"/>
  <c r="AW49" i="75"/>
  <c r="BE46" i="71"/>
  <c r="AV61" i="71"/>
  <c r="BE95" i="66"/>
  <c r="AW27" i="68"/>
  <c r="AW42" i="78"/>
  <c r="AW32" i="74"/>
  <c r="AV44" i="80"/>
  <c r="AV73" i="70"/>
  <c r="BF65" i="70"/>
  <c r="BF46" i="66"/>
  <c r="BF79" i="70"/>
  <c r="BE81" i="78"/>
  <c r="BE68" i="71"/>
  <c r="AW31" i="74"/>
  <c r="AW89" i="75"/>
  <c r="AV32" i="81"/>
  <c r="BF67" i="80"/>
  <c r="AW46" i="71"/>
  <c r="AW39" i="67"/>
  <c r="AV18" i="76"/>
  <c r="AV34" i="70"/>
  <c r="AV58" i="70"/>
  <c r="BF102" i="70"/>
  <c r="AW48" i="76"/>
  <c r="BF78" i="75"/>
  <c r="BF96" i="78"/>
  <c r="BF51" i="76"/>
  <c r="AV61" i="66"/>
  <c r="BE71" i="81"/>
  <c r="BF68" i="71"/>
  <c r="BF63" i="78"/>
  <c r="AW38" i="82"/>
  <c r="BE97" i="74"/>
  <c r="AV71" i="1"/>
  <c r="BE104" i="1"/>
  <c r="BE46" i="74"/>
  <c r="BF68" i="78"/>
  <c r="BE49" i="77"/>
  <c r="BE96" i="67"/>
  <c r="BE50" i="80"/>
  <c r="BF89" i="76"/>
  <c r="AW27" i="81"/>
  <c r="BF61" i="73"/>
  <c r="BF74" i="78"/>
  <c r="BE71" i="68"/>
  <c r="BF102" i="71"/>
  <c r="BF57" i="73"/>
  <c r="AV34" i="80"/>
  <c r="BE25" i="76"/>
  <c r="BE110" i="74"/>
  <c r="BF92" i="73"/>
  <c r="AV68" i="67"/>
  <c r="AV89" i="75"/>
  <c r="BE80" i="67"/>
  <c r="AW18" i="69"/>
  <c r="BF61" i="69"/>
  <c r="BF98" i="71"/>
  <c r="AV31" i="76"/>
  <c r="AV55" i="73"/>
  <c r="BE97" i="70"/>
  <c r="AW67" i="73"/>
  <c r="BE72" i="81"/>
  <c r="BF61" i="82"/>
  <c r="BE100" i="78"/>
  <c r="AV45" i="71"/>
  <c r="AV45" i="76"/>
  <c r="BF45" i="77"/>
  <c r="AV45" i="69"/>
  <c r="AW64" i="66"/>
  <c r="AV41" i="70"/>
  <c r="BE99" i="67"/>
  <c r="AV45" i="68"/>
  <c r="AV56" i="73"/>
  <c r="AV60" i="1"/>
  <c r="BE48" i="81"/>
  <c r="BE44" i="70"/>
  <c r="AV38" i="73"/>
  <c r="BF68" i="69"/>
  <c r="BF75" i="74"/>
  <c r="BE64" i="80"/>
  <c r="BE109" i="71"/>
  <c r="AW56" i="74"/>
  <c r="BE121" i="1"/>
  <c r="AW35" i="71"/>
  <c r="BE79" i="73"/>
  <c r="BE73" i="73"/>
  <c r="AW51" i="67"/>
  <c r="BF85" i="68"/>
  <c r="AW61" i="67"/>
  <c r="BF72" i="78"/>
  <c r="BE115" i="67"/>
  <c r="BF39" i="73"/>
  <c r="BF38" i="74"/>
  <c r="AW46" i="78"/>
  <c r="AW71" i="70"/>
  <c r="BF95" i="73"/>
  <c r="BF50" i="1"/>
  <c r="AV15" i="69"/>
  <c r="BE80" i="73"/>
  <c r="BE92" i="66"/>
  <c r="BF113" i="1"/>
  <c r="BF100" i="70"/>
  <c r="AW17" i="76"/>
  <c r="AV64" i="71"/>
  <c r="AV30" i="70"/>
  <c r="AW27" i="71"/>
  <c r="AV24" i="77"/>
  <c r="BE108" i="75"/>
  <c r="BF94" i="73"/>
  <c r="BF92" i="75"/>
  <c r="BF60" i="78"/>
  <c r="AV28" i="69"/>
  <c r="AV42" i="76"/>
  <c r="BF121" i="67"/>
  <c r="BE31" i="82"/>
  <c r="BE88" i="70"/>
  <c r="BF110" i="71"/>
  <c r="BF41" i="82"/>
  <c r="AV27" i="69"/>
  <c r="BE44" i="69"/>
  <c r="BF54" i="73"/>
  <c r="AW59" i="75"/>
  <c r="BF31" i="75"/>
  <c r="BE77" i="81"/>
  <c r="BE57" i="67"/>
  <c r="BE82" i="73"/>
  <c r="BE25" i="69"/>
  <c r="BF92" i="74"/>
  <c r="BE43" i="68"/>
  <c r="AV60" i="75"/>
  <c r="BF78" i="74"/>
  <c r="AW36" i="67"/>
  <c r="BE66" i="70"/>
  <c r="BE38" i="76"/>
  <c r="BF62" i="76"/>
  <c r="BE55" i="67"/>
  <c r="BE25" i="67"/>
  <c r="BF64" i="75"/>
  <c r="AW13" i="75"/>
  <c r="BF96" i="66"/>
  <c r="BE104" i="70"/>
  <c r="BF69" i="69"/>
  <c r="BE40" i="69"/>
  <c r="BF78" i="76"/>
  <c r="BE72" i="80"/>
  <c r="BF74" i="76"/>
  <c r="BF54" i="75"/>
  <c r="BF108" i="1"/>
  <c r="BH25" i="80"/>
  <c r="BH27" i="78"/>
  <c r="AU98" i="75"/>
  <c r="AU99" i="75" s="1"/>
  <c r="AY111" i="76"/>
  <c r="BH111" i="76" s="1"/>
  <c r="AY137" i="73"/>
  <c r="BH137" i="73" s="1"/>
  <c r="BH7" i="73"/>
  <c r="BH18" i="71"/>
  <c r="BH119" i="71"/>
  <c r="AU100" i="71"/>
  <c r="AU101" i="71" s="1"/>
  <c r="BH109" i="71"/>
  <c r="BH13" i="71"/>
  <c r="BH68" i="71"/>
  <c r="BH63" i="71"/>
  <c r="BH130" i="71"/>
  <c r="AY137" i="70"/>
  <c r="BH137" i="70" s="1"/>
  <c r="BH66" i="66"/>
  <c r="AY131" i="1"/>
  <c r="BH131" i="1" s="1"/>
  <c r="BH19" i="1"/>
  <c r="AY127" i="1"/>
  <c r="BH127" i="1" s="1"/>
  <c r="BH106" i="1"/>
  <c r="BH110" i="1"/>
  <c r="BE32" i="68"/>
  <c r="BE110" i="73"/>
  <c r="AV19" i="69"/>
  <c r="AV21" i="76"/>
  <c r="AW45" i="81"/>
  <c r="AW40" i="69"/>
  <c r="AW30" i="67"/>
  <c r="BF21" i="69"/>
  <c r="BF88" i="1"/>
  <c r="BE123" i="74"/>
  <c r="BF71" i="75"/>
  <c r="AV30" i="77"/>
  <c r="BF82" i="69"/>
  <c r="AV56" i="69"/>
  <c r="AW21" i="69"/>
  <c r="AW36" i="77"/>
  <c r="BF52" i="67"/>
  <c r="BE56" i="82"/>
  <c r="AW72" i="70"/>
  <c r="BF83" i="66"/>
  <c r="AW58" i="68"/>
  <c r="AV47" i="76"/>
  <c r="AV36" i="75"/>
  <c r="AV76" i="66"/>
  <c r="BF56" i="67"/>
  <c r="AV48" i="66"/>
  <c r="BE92" i="76"/>
  <c r="BE48" i="67"/>
  <c r="BE110" i="1"/>
  <c r="BE114" i="73"/>
  <c r="AW69" i="74"/>
  <c r="BF90" i="67"/>
  <c r="BF61" i="67"/>
  <c r="BE74" i="75"/>
  <c r="BE59" i="1"/>
  <c r="AW62" i="69"/>
  <c r="BE55" i="77"/>
  <c r="AV38" i="1"/>
  <c r="AW30" i="1"/>
  <c r="AV67" i="74"/>
  <c r="BE56" i="71"/>
  <c r="AW76" i="71"/>
  <c r="AW54" i="67"/>
  <c r="AV37" i="80"/>
  <c r="BE83" i="1"/>
  <c r="BE73" i="68"/>
  <c r="BE22" i="68"/>
  <c r="AV49" i="69"/>
  <c r="AW24" i="69"/>
  <c r="BF111" i="74"/>
  <c r="BF42" i="67"/>
  <c r="BF63" i="71"/>
  <c r="AV44" i="67"/>
  <c r="AW42" i="74"/>
  <c r="AW29" i="80"/>
  <c r="BE98" i="66"/>
  <c r="BE51" i="74"/>
  <c r="BE100" i="67"/>
  <c r="BE56" i="73"/>
  <c r="AV20" i="77"/>
  <c r="BF72" i="66"/>
  <c r="BE123" i="71"/>
  <c r="BE114" i="66"/>
  <c r="BF49" i="66"/>
  <c r="BE54" i="68"/>
  <c r="BE66" i="81"/>
  <c r="BE78" i="70"/>
  <c r="BE72" i="71"/>
  <c r="AW29" i="70"/>
  <c r="AW21" i="68"/>
  <c r="AV29" i="67"/>
  <c r="BF76" i="73"/>
  <c r="AV52" i="68"/>
  <c r="AV91" i="74"/>
  <c r="BF48" i="70"/>
  <c r="BE24" i="77"/>
  <c r="BE49" i="81"/>
  <c r="BE38" i="77"/>
  <c r="BE78" i="67"/>
  <c r="BE90" i="78"/>
  <c r="BE39" i="76"/>
  <c r="BE77" i="76"/>
  <c r="AW32" i="80"/>
  <c r="BE40" i="66"/>
  <c r="BF81" i="76"/>
  <c r="AV69" i="71"/>
  <c r="AW42" i="73"/>
  <c r="AV55" i="78"/>
  <c r="BF65" i="69"/>
  <c r="BE94" i="73"/>
  <c r="BF47" i="77"/>
  <c r="AV36" i="69"/>
  <c r="AW76" i="70"/>
  <c r="BE69" i="73"/>
  <c r="BF69" i="73"/>
  <c r="BE47" i="69"/>
  <c r="BF47" i="69"/>
  <c r="BE66" i="78"/>
  <c r="BF66" i="78"/>
  <c r="BF45" i="73"/>
  <c r="BE45" i="67"/>
  <c r="BF45" i="67"/>
  <c r="BF88" i="68"/>
  <c r="BE88" i="68"/>
  <c r="AW74" i="1"/>
  <c r="AV74" i="1"/>
  <c r="BE99" i="66"/>
  <c r="BF99" i="66"/>
  <c r="AV60" i="66"/>
  <c r="AW60" i="66"/>
  <c r="AW48" i="68"/>
  <c r="AV48" i="68"/>
  <c r="AV44" i="76"/>
  <c r="AW44" i="76"/>
  <c r="AV15" i="77"/>
  <c r="AW15" i="77"/>
  <c r="BF38" i="73"/>
  <c r="BE38" i="73"/>
  <c r="AW25" i="74"/>
  <c r="AV25" i="74"/>
  <c r="BF41" i="1"/>
  <c r="BE25" i="71"/>
  <c r="BF97" i="75"/>
  <c r="BE97" i="75"/>
  <c r="BF88" i="76"/>
  <c r="BE88" i="76"/>
  <c r="AW58" i="75"/>
  <c r="AV58" i="75"/>
  <c r="BE77" i="68"/>
  <c r="BE78" i="80"/>
  <c r="AV48" i="74"/>
  <c r="AW48" i="74"/>
  <c r="BF62" i="75"/>
  <c r="BE62" i="75"/>
  <c r="AW36" i="76"/>
  <c r="AV36" i="76"/>
  <c r="BE53" i="75"/>
  <c r="BF53" i="75"/>
  <c r="BE67" i="70"/>
  <c r="AV34" i="68"/>
  <c r="AW34" i="68"/>
  <c r="AW38" i="66"/>
  <c r="AV38" i="66"/>
  <c r="BF42" i="76"/>
  <c r="BE42" i="76"/>
  <c r="BF52" i="71"/>
  <c r="BE52" i="71"/>
  <c r="BE48" i="66"/>
  <c r="BF48" i="66"/>
  <c r="AW27" i="66"/>
  <c r="AV27" i="66"/>
  <c r="BE15" i="77"/>
  <c r="BF15" i="77"/>
  <c r="BE68" i="75"/>
  <c r="BF68" i="75"/>
  <c r="BF23" i="82"/>
  <c r="BE23" i="82"/>
  <c r="BE23" i="69"/>
  <c r="BF23" i="69"/>
  <c r="AW72" i="73"/>
  <c r="AV72" i="73"/>
  <c r="BE27" i="82"/>
  <c r="BF27" i="82"/>
  <c r="BF94" i="70"/>
  <c r="BE94" i="70"/>
  <c r="AW59" i="73"/>
  <c r="AV59" i="73"/>
  <c r="BE81" i="73"/>
  <c r="BF81" i="73"/>
  <c r="BE87" i="78"/>
  <c r="BF46" i="77"/>
  <c r="BE46" i="77"/>
  <c r="BF93" i="71"/>
  <c r="BE93" i="71"/>
  <c r="BF67" i="69"/>
  <c r="BE67" i="69"/>
  <c r="BF85" i="73"/>
  <c r="BE85" i="73"/>
  <c r="AW39" i="68"/>
  <c r="AV39" i="68"/>
  <c r="BE49" i="69"/>
  <c r="BF49" i="69"/>
  <c r="AW31" i="82"/>
  <c r="AV31" i="82"/>
  <c r="AW41" i="73"/>
  <c r="AV41" i="73"/>
  <c r="BF47" i="74"/>
  <c r="BE47" i="74"/>
  <c r="AV35" i="80"/>
  <c r="AW35" i="80"/>
  <c r="AV33" i="1"/>
  <c r="AW33" i="1"/>
  <c r="AW33" i="73"/>
  <c r="AV33" i="73"/>
  <c r="AW29" i="73"/>
  <c r="AV29" i="73"/>
  <c r="AV26" i="73"/>
  <c r="AW26" i="73"/>
  <c r="AV46" i="68"/>
  <c r="BF49" i="1"/>
  <c r="BE49" i="1"/>
  <c r="BF96" i="68"/>
  <c r="BE96" i="68"/>
  <c r="BE117" i="70"/>
  <c r="BF117" i="70"/>
  <c r="BF82" i="75"/>
  <c r="BE82" i="75"/>
  <c r="BF38" i="67"/>
  <c r="BE38" i="67"/>
  <c r="BE43" i="81"/>
  <c r="BF43" i="81"/>
  <c r="AW56" i="75"/>
  <c r="BF54" i="77"/>
  <c r="BE54" i="77"/>
  <c r="AW55" i="76"/>
  <c r="AV55" i="76"/>
  <c r="AW37" i="82"/>
  <c r="AV37" i="82"/>
  <c r="BF76" i="71"/>
  <c r="BE76" i="71"/>
  <c r="AW31" i="69"/>
  <c r="AV65" i="70"/>
  <c r="BE76" i="70"/>
  <c r="BE98" i="1"/>
  <c r="BE103" i="70"/>
  <c r="BF58" i="74"/>
  <c r="AW61" i="1"/>
  <c r="BE98" i="68"/>
  <c r="AW76" i="67"/>
  <c r="BE49" i="80"/>
  <c r="AV44" i="73"/>
  <c r="AW59" i="1"/>
  <c r="BF52" i="1"/>
  <c r="BF72" i="69"/>
  <c r="AW32" i="71"/>
  <c r="BF47" i="76"/>
  <c r="BF44" i="73"/>
  <c r="BE44" i="73"/>
  <c r="BF43" i="69"/>
  <c r="BE43" i="69"/>
  <c r="AV17" i="77"/>
  <c r="AW17" i="77"/>
  <c r="BE74" i="66"/>
  <c r="BF74" i="66"/>
  <c r="AW31" i="75"/>
  <c r="AV31" i="75"/>
  <c r="BE53" i="67"/>
  <c r="BF53" i="67"/>
  <c r="BF39" i="69"/>
  <c r="BE39" i="69"/>
  <c r="BE73" i="75"/>
  <c r="BF73" i="75"/>
  <c r="BF78" i="68"/>
  <c r="AW15" i="82"/>
  <c r="BF25" i="66"/>
  <c r="AV36" i="68"/>
  <c r="BE44" i="67"/>
  <c r="BE61" i="78"/>
  <c r="AW60" i="68"/>
  <c r="AV76" i="73"/>
  <c r="BE52" i="70"/>
  <c r="BE72" i="1"/>
  <c r="BE86" i="78"/>
  <c r="BE114" i="67"/>
  <c r="BF65" i="75"/>
  <c r="AV44" i="66"/>
  <c r="BE27" i="69"/>
  <c r="AV26" i="68"/>
  <c r="AW32" i="82"/>
  <c r="AV32" i="82"/>
  <c r="AV62" i="68"/>
  <c r="AW62" i="68"/>
  <c r="BE123" i="66"/>
  <c r="BF123" i="66"/>
  <c r="BF78" i="81"/>
  <c r="BE78" i="81"/>
  <c r="BF76" i="76"/>
  <c r="BF51" i="77"/>
  <c r="BF98" i="74"/>
  <c r="BE98" i="74"/>
  <c r="AV40" i="76"/>
  <c r="AW40" i="76"/>
  <c r="BF85" i="75"/>
  <c r="BE76" i="67"/>
  <c r="BF121" i="70"/>
  <c r="BE37" i="1"/>
  <c r="BF37" i="1"/>
  <c r="BE48" i="69"/>
  <c r="BF48" i="69"/>
  <c r="BF42" i="70"/>
  <c r="BE42" i="70"/>
  <c r="BE22" i="77"/>
  <c r="BF22" i="77"/>
  <c r="BE62" i="68"/>
  <c r="BF62" i="68"/>
  <c r="BF46" i="70"/>
  <c r="BE46" i="70"/>
  <c r="BE54" i="70"/>
  <c r="BF54" i="70"/>
  <c r="AW35" i="70"/>
  <c r="AV35" i="70"/>
  <c r="AV27" i="76"/>
  <c r="AW27" i="76"/>
  <c r="BF37" i="73"/>
  <c r="BE37" i="73"/>
  <c r="BE95" i="78"/>
  <c r="BF95" i="78"/>
  <c r="BF65" i="81"/>
  <c r="BE65" i="81"/>
  <c r="AV45" i="80"/>
  <c r="AW45" i="80"/>
  <c r="BF44" i="82"/>
  <c r="BE44" i="82"/>
  <c r="AW37" i="78"/>
  <c r="AV37" i="78"/>
  <c r="BF45" i="78"/>
  <c r="BE45" i="78"/>
  <c r="BF92" i="78"/>
  <c r="BE92" i="78"/>
  <c r="AW41" i="81"/>
  <c r="AV37" i="81"/>
  <c r="AW37" i="81"/>
  <c r="BE39" i="81"/>
  <c r="BF39" i="81"/>
  <c r="AW73" i="73"/>
  <c r="AV73" i="73"/>
  <c r="BE92" i="69"/>
  <c r="BF92" i="69"/>
  <c r="AW72" i="74"/>
  <c r="AV72" i="74"/>
  <c r="AV55" i="68"/>
  <c r="AW55" i="68"/>
  <c r="BE72" i="67"/>
  <c r="BF72" i="67"/>
  <c r="BF67" i="66"/>
  <c r="BE67" i="66"/>
  <c r="BF67" i="73"/>
  <c r="BE67" i="73"/>
  <c r="BF52" i="74"/>
  <c r="BE52" i="74"/>
  <c r="BF57" i="78"/>
  <c r="BE57" i="78"/>
  <c r="BE85" i="67"/>
  <c r="BF85" i="67"/>
  <c r="BF75" i="75"/>
  <c r="BE75" i="75"/>
  <c r="BE55" i="75"/>
  <c r="BF55" i="75"/>
  <c r="BE62" i="81"/>
  <c r="BF62" i="81"/>
  <c r="BE62" i="78"/>
  <c r="BF62" i="78"/>
  <c r="AW46" i="74"/>
  <c r="AV46" i="74"/>
  <c r="BE60" i="75"/>
  <c r="BF60" i="75"/>
  <c r="BE113" i="70"/>
  <c r="BF113" i="70"/>
  <c r="BF113" i="71"/>
  <c r="BE113" i="71"/>
  <c r="BE109" i="67"/>
  <c r="BF109" i="67"/>
  <c r="BE42" i="66"/>
  <c r="AW37" i="77"/>
  <c r="AV58" i="76"/>
  <c r="BE118" i="70"/>
  <c r="BF123" i="1"/>
  <c r="BE85" i="76"/>
  <c r="BE40" i="68"/>
  <c r="AV72" i="66"/>
  <c r="AW72" i="66"/>
  <c r="BE40" i="1"/>
  <c r="BF40" i="1"/>
  <c r="BF94" i="1"/>
  <c r="BE94" i="1"/>
  <c r="AV76" i="1"/>
  <c r="AW76" i="1"/>
  <c r="BE89" i="68"/>
  <c r="BF89" i="68"/>
  <c r="BF88" i="75"/>
  <c r="BE88" i="75"/>
  <c r="BF72" i="75"/>
  <c r="BE72" i="75"/>
  <c r="BF90" i="74"/>
  <c r="BE90" i="74"/>
  <c r="BF90" i="70"/>
  <c r="BE90" i="70"/>
  <c r="AW47" i="69"/>
  <c r="AV47" i="69"/>
  <c r="AW59" i="71"/>
  <c r="AV59" i="71"/>
  <c r="BF65" i="76"/>
  <c r="BE65" i="76"/>
  <c r="BF83" i="73"/>
  <c r="BE83" i="73"/>
  <c r="BE81" i="71"/>
  <c r="BF81" i="71"/>
  <c r="AW71" i="74"/>
  <c r="AV71" i="74"/>
  <c r="BF70" i="1"/>
  <c r="BE70" i="1"/>
  <c r="BF63" i="67"/>
  <c r="BE63" i="67"/>
  <c r="BF47" i="66"/>
  <c r="BE47" i="66"/>
  <c r="BE39" i="71"/>
  <c r="BF39" i="71"/>
  <c r="AW26" i="71"/>
  <c r="AV26" i="71"/>
  <c r="AV67" i="67"/>
  <c r="AW67" i="67"/>
  <c r="BF80" i="78"/>
  <c r="AV69" i="73"/>
  <c r="AW69" i="73"/>
  <c r="AW59" i="67"/>
  <c r="AV59" i="67"/>
  <c r="BF76" i="1"/>
  <c r="BE76" i="1"/>
  <c r="BF80" i="74"/>
  <c r="BE80" i="74"/>
  <c r="BE111" i="1"/>
  <c r="BF111" i="1"/>
  <c r="BE85" i="69"/>
  <c r="BF85" i="69"/>
  <c r="BE86" i="68"/>
  <c r="BF86" i="68"/>
  <c r="BE93" i="67"/>
  <c r="BF93" i="67"/>
  <c r="BF97" i="66"/>
  <c r="BE97" i="66"/>
  <c r="AW58" i="1"/>
  <c r="AV58" i="1"/>
  <c r="BE115" i="71"/>
  <c r="BF115" i="71"/>
  <c r="BE54" i="80"/>
  <c r="BF54" i="80"/>
  <c r="BE56" i="68"/>
  <c r="BF56" i="68"/>
  <c r="AV30" i="81"/>
  <c r="AW30" i="81"/>
  <c r="BF74" i="67"/>
  <c r="BE74" i="67"/>
  <c r="AV39" i="66"/>
  <c r="AW39" i="66"/>
  <c r="BE82" i="67"/>
  <c r="BF82" i="67"/>
  <c r="AV24" i="75"/>
  <c r="AW24" i="75"/>
  <c r="BE78" i="73"/>
  <c r="BF24" i="76"/>
  <c r="BE42" i="75"/>
  <c r="BF42" i="75"/>
  <c r="BF109" i="1"/>
  <c r="AV33" i="68"/>
  <c r="AW73" i="71"/>
  <c r="AV73" i="71"/>
  <c r="BF83" i="68"/>
  <c r="BE83" i="68"/>
  <c r="BF87" i="74"/>
  <c r="BE87" i="74"/>
  <c r="BE107" i="67"/>
  <c r="BF107" i="67"/>
  <c r="BE44" i="74"/>
  <c r="BF44" i="74"/>
  <c r="BF40" i="73"/>
  <c r="BE40" i="73"/>
  <c r="AW52" i="78"/>
  <c r="BE105" i="75"/>
  <c r="AV34" i="76"/>
  <c r="BF99" i="70"/>
  <c r="AW69" i="1"/>
  <c r="AV34" i="75"/>
  <c r="BE44" i="1"/>
  <c r="BF56" i="74"/>
  <c r="BF56" i="66"/>
  <c r="BE60" i="81"/>
  <c r="BF81" i="74"/>
  <c r="BE37" i="81"/>
  <c r="BE56" i="76"/>
  <c r="BE89" i="66"/>
  <c r="BF60" i="80"/>
  <c r="BF41" i="81"/>
  <c r="AV72" i="67"/>
  <c r="AW13" i="82"/>
  <c r="AW59" i="74"/>
  <c r="BF71" i="69"/>
  <c r="AV33" i="76"/>
  <c r="BE123" i="70"/>
  <c r="BF40" i="67"/>
  <c r="BF69" i="68"/>
  <c r="BE34" i="69"/>
  <c r="BE52" i="66"/>
  <c r="BF72" i="74"/>
  <c r="AV47" i="75"/>
  <c r="BF118" i="73"/>
  <c r="AV17" i="75"/>
  <c r="BE94" i="66"/>
  <c r="AV42" i="1"/>
  <c r="AV16" i="75"/>
  <c r="AV52" i="69"/>
  <c r="AW88" i="75"/>
  <c r="AW48" i="70"/>
  <c r="AV47" i="73"/>
  <c r="BE42" i="68"/>
  <c r="BE107" i="73"/>
  <c r="BE28" i="77"/>
  <c r="BF94" i="78"/>
  <c r="BF69" i="78"/>
  <c r="BE94" i="74"/>
  <c r="BE82" i="71"/>
  <c r="BE98" i="78"/>
  <c r="AW59" i="70"/>
  <c r="BF53" i="69"/>
  <c r="AW35" i="81"/>
  <c r="BF60" i="81"/>
  <c r="BE39" i="74"/>
  <c r="BF82" i="68"/>
  <c r="BE52" i="75"/>
  <c r="AW65" i="71"/>
  <c r="AW33" i="75"/>
  <c r="BE48" i="71"/>
  <c r="BF40" i="74"/>
  <c r="AV26" i="81"/>
  <c r="AV27" i="67"/>
  <c r="BE58" i="76"/>
  <c r="AV48" i="73"/>
  <c r="AW48" i="67"/>
  <c r="AV69" i="67"/>
  <c r="BE114" i="74"/>
  <c r="AV44" i="77"/>
  <c r="AV17" i="82"/>
  <c r="AV44" i="74"/>
  <c r="BE59" i="67"/>
  <c r="BE64" i="69"/>
  <c r="BF94" i="71"/>
  <c r="BF38" i="69"/>
  <c r="AV41" i="74"/>
  <c r="BE53" i="69"/>
  <c r="BF67" i="1"/>
  <c r="BF81" i="67"/>
  <c r="BF83" i="67"/>
  <c r="AV27" i="1"/>
  <c r="AW44" i="71"/>
  <c r="AW38" i="70"/>
  <c r="AV38" i="71"/>
  <c r="BF76" i="74"/>
  <c r="BF90" i="1"/>
  <c r="AV59" i="68"/>
  <c r="AV33" i="75"/>
  <c r="BF74" i="1"/>
  <c r="BE34" i="75"/>
  <c r="BE39" i="68"/>
  <c r="BF56" i="70"/>
  <c r="AV28" i="82"/>
  <c r="BE67" i="67"/>
  <c r="BE86" i="1"/>
  <c r="BE81" i="75"/>
  <c r="BF118" i="67"/>
  <c r="BF70" i="81"/>
  <c r="BE83" i="71"/>
  <c r="BE114" i="71"/>
  <c r="BF66" i="73"/>
  <c r="BF113" i="74"/>
  <c r="AV46" i="80"/>
  <c r="BE67" i="1"/>
  <c r="AW46" i="69"/>
  <c r="AW52" i="73"/>
  <c r="BE50" i="82"/>
  <c r="AW69" i="70"/>
  <c r="BF48" i="73"/>
  <c r="BF76" i="75"/>
  <c r="AV35" i="78"/>
  <c r="BE48" i="1"/>
  <c r="BF48" i="1"/>
  <c r="AV26" i="75"/>
  <c r="AW26" i="75"/>
  <c r="BF45" i="74"/>
  <c r="BE45" i="74"/>
  <c r="BE62" i="77"/>
  <c r="BF62" i="77"/>
  <c r="BE117" i="74"/>
  <c r="BF117" i="74"/>
  <c r="AW74" i="73"/>
  <c r="AV74" i="73"/>
  <c r="AW74" i="70"/>
  <c r="AV74" i="70"/>
  <c r="BF95" i="67"/>
  <c r="BE95" i="67"/>
  <c r="BE74" i="68"/>
  <c r="BF74" i="68"/>
  <c r="BF95" i="74"/>
  <c r="BE95" i="74"/>
  <c r="AV24" i="68"/>
  <c r="AW24" i="68"/>
  <c r="BF53" i="77"/>
  <c r="BE53" i="77"/>
  <c r="BE25" i="77"/>
  <c r="BE91" i="78"/>
  <c r="AV51" i="74"/>
  <c r="BE87" i="66"/>
  <c r="BF47" i="75"/>
  <c r="BE32" i="69"/>
  <c r="AV60" i="74"/>
  <c r="AW60" i="74"/>
  <c r="BF107" i="74"/>
  <c r="BE107" i="74"/>
  <c r="AW31" i="77"/>
  <c r="AV31" i="77"/>
  <c r="BE75" i="71"/>
  <c r="BF75" i="71"/>
  <c r="AV47" i="71"/>
  <c r="AW47" i="71"/>
  <c r="AV39" i="69"/>
  <c r="AW39" i="69"/>
  <c r="BE56" i="69"/>
  <c r="BF56" i="69"/>
  <c r="BF56" i="75"/>
  <c r="BE56" i="75"/>
  <c r="BF66" i="74"/>
  <c r="BE66" i="74"/>
  <c r="BE56" i="81"/>
  <c r="BF56" i="81"/>
  <c r="BE50" i="68"/>
  <c r="BF50" i="68"/>
  <c r="AV47" i="78"/>
  <c r="AW47" i="78"/>
  <c r="BF59" i="70"/>
  <c r="BE59" i="70"/>
  <c r="BF59" i="74"/>
  <c r="BE59" i="74"/>
  <c r="BE55" i="1"/>
  <c r="BF55" i="1"/>
  <c r="BE41" i="75"/>
  <c r="BF41" i="75"/>
  <c r="BE38" i="68"/>
  <c r="BF38" i="68"/>
  <c r="BF40" i="81"/>
  <c r="BE40" i="81"/>
  <c r="BE47" i="1"/>
  <c r="BF47" i="1"/>
  <c r="BF47" i="73"/>
  <c r="BE47" i="73"/>
  <c r="AV36" i="66"/>
  <c r="AW36" i="66"/>
  <c r="AW29" i="1"/>
  <c r="AV29" i="1"/>
  <c r="BE34" i="76"/>
  <c r="BF34" i="76"/>
  <c r="AW14" i="69"/>
  <c r="AV14" i="69"/>
  <c r="BE89" i="74"/>
  <c r="BF89" i="74"/>
  <c r="AV46" i="67"/>
  <c r="AW46" i="67"/>
  <c r="BF49" i="74"/>
  <c r="BE49" i="74"/>
  <c r="AW39" i="70"/>
  <c r="AV39" i="70"/>
  <c r="AV44" i="69"/>
  <c r="AW44" i="69"/>
  <c r="AV33" i="71"/>
  <c r="AV46" i="75"/>
  <c r="AV59" i="76"/>
  <c r="BF53" i="66"/>
  <c r="AV31" i="68"/>
  <c r="BF69" i="75"/>
  <c r="AW70" i="67"/>
  <c r="AV70" i="70"/>
  <c r="BF67" i="74"/>
  <c r="BE67" i="74"/>
  <c r="BE98" i="70"/>
  <c r="BF98" i="70"/>
  <c r="BF98" i="73"/>
  <c r="BE98" i="73"/>
  <c r="BF76" i="69"/>
  <c r="BE76" i="69"/>
  <c r="BF86" i="70"/>
  <c r="BE86" i="70"/>
  <c r="AV28" i="77"/>
  <c r="AW28" i="77"/>
  <c r="AW40" i="75"/>
  <c r="AV40" i="75"/>
  <c r="BE68" i="80"/>
  <c r="BF68" i="80"/>
  <c r="BF52" i="73"/>
  <c r="BE52" i="73"/>
  <c r="BE38" i="75"/>
  <c r="BF38" i="75"/>
  <c r="BF48" i="74"/>
  <c r="BE48" i="74"/>
  <c r="AW27" i="70"/>
  <c r="AV27" i="70"/>
  <c r="BE72" i="76"/>
  <c r="BF72" i="76"/>
  <c r="BE134" i="74"/>
  <c r="BF134" i="74"/>
  <c r="BF23" i="76"/>
  <c r="BE23" i="76"/>
  <c r="BF118" i="71"/>
  <c r="BE118" i="71"/>
  <c r="BF63" i="77"/>
  <c r="BE63" i="77"/>
  <c r="AV72" i="1"/>
  <c r="AW72" i="1"/>
  <c r="BF27" i="75"/>
  <c r="BE27" i="75"/>
  <c r="BF90" i="66"/>
  <c r="BE90" i="66"/>
  <c r="AW47" i="68"/>
  <c r="AV47" i="68"/>
  <c r="BF108" i="67"/>
  <c r="BE108" i="67"/>
  <c r="AV59" i="69"/>
  <c r="AW59" i="69"/>
  <c r="BE61" i="74"/>
  <c r="BF61" i="74"/>
  <c r="BF70" i="78"/>
  <c r="BE70" i="78"/>
  <c r="BE69" i="70"/>
  <c r="BF69" i="70"/>
  <c r="BE91" i="69"/>
  <c r="BF91" i="69"/>
  <c r="AW44" i="68"/>
  <c r="AV44" i="68"/>
  <c r="BF25" i="77"/>
  <c r="AW90" i="75"/>
  <c r="AV40" i="1"/>
  <c r="BF42" i="77"/>
  <c r="BF63" i="68"/>
  <c r="AW71" i="66"/>
  <c r="BF58" i="69"/>
  <c r="BF83" i="70"/>
  <c r="BF87" i="75"/>
  <c r="AW53" i="69"/>
  <c r="AV56" i="66"/>
  <c r="BF70" i="68"/>
  <c r="BF55" i="69"/>
  <c r="AV30" i="66"/>
  <c r="BE89" i="70"/>
  <c r="BF89" i="70"/>
  <c r="BE70" i="70"/>
  <c r="BF70" i="70"/>
  <c r="AV68" i="73"/>
  <c r="AW68" i="73"/>
  <c r="AW68" i="70"/>
  <c r="AV68" i="70"/>
  <c r="BF50" i="73"/>
  <c r="BE50" i="73"/>
  <c r="BE61" i="75"/>
  <c r="BF61" i="75"/>
  <c r="AW53" i="78"/>
  <c r="AV53" i="78"/>
  <c r="AV25" i="68"/>
  <c r="AW25" i="68"/>
  <c r="BE91" i="1"/>
  <c r="BF91" i="1"/>
  <c r="BF51" i="1"/>
  <c r="BE51" i="1"/>
  <c r="AW57" i="66"/>
  <c r="BF66" i="67"/>
  <c r="BF42" i="69"/>
  <c r="AW46" i="76"/>
  <c r="AV21" i="75"/>
  <c r="AW38" i="67"/>
  <c r="AW42" i="70"/>
  <c r="BE103" i="74"/>
  <c r="BF118" i="74"/>
  <c r="AV27" i="74"/>
  <c r="BE52" i="81"/>
  <c r="BE47" i="70"/>
  <c r="BF57" i="68"/>
  <c r="BE59" i="81"/>
  <c r="BF56" i="80"/>
  <c r="BE123" i="73"/>
  <c r="BF123" i="73"/>
  <c r="AV69" i="66"/>
  <c r="AW69" i="66"/>
  <c r="AV27" i="75"/>
  <c r="BF29" i="69"/>
  <c r="BE29" i="69"/>
  <c r="BF29" i="75"/>
  <c r="BE29" i="75"/>
  <c r="BF109" i="66"/>
  <c r="BE109" i="66"/>
  <c r="AW70" i="71"/>
  <c r="AV70" i="71"/>
  <c r="BF104" i="71"/>
  <c r="BE104" i="71"/>
  <c r="BE95" i="71"/>
  <c r="BF95" i="71"/>
  <c r="AV60" i="67"/>
  <c r="AW60" i="67"/>
  <c r="BF82" i="74"/>
  <c r="BE82" i="74"/>
  <c r="BF82" i="70"/>
  <c r="BE82" i="70"/>
  <c r="AV32" i="67"/>
  <c r="AW32" i="67"/>
  <c r="BE32" i="76"/>
  <c r="BF32" i="76"/>
  <c r="AW25" i="73"/>
  <c r="AV25" i="73"/>
  <c r="BF25" i="70"/>
  <c r="BE25" i="70"/>
  <c r="BF103" i="71"/>
  <c r="BE103" i="71"/>
  <c r="BE53" i="76"/>
  <c r="BF53" i="76"/>
  <c r="BE66" i="71"/>
  <c r="BF66" i="71"/>
  <c r="BF45" i="76"/>
  <c r="BE45" i="76"/>
  <c r="BE41" i="76"/>
  <c r="BF41" i="76"/>
  <c r="BE34" i="82"/>
  <c r="BF34" i="82"/>
  <c r="AW25" i="1"/>
  <c r="AV25" i="1"/>
  <c r="AW52" i="67"/>
  <c r="AV52" i="67"/>
  <c r="BE45" i="68"/>
  <c r="BF45" i="68"/>
  <c r="BF54" i="1"/>
  <c r="BE54" i="1"/>
  <c r="BF39" i="82"/>
  <c r="BF63" i="73"/>
  <c r="BE35" i="82"/>
  <c r="BF118" i="1"/>
  <c r="BE54" i="67"/>
  <c r="BF50" i="66"/>
  <c r="AV52" i="71"/>
  <c r="BE35" i="68"/>
  <c r="AW30" i="75"/>
  <c r="BE76" i="76"/>
  <c r="AV64" i="73"/>
  <c r="AV13" i="76"/>
  <c r="AV16" i="77"/>
  <c r="BF51" i="67"/>
  <c r="BE63" i="66"/>
  <c r="AV47" i="74"/>
  <c r="BE67" i="76"/>
  <c r="AV30" i="69"/>
  <c r="BF62" i="74"/>
  <c r="BF62" i="80"/>
  <c r="BE62" i="80"/>
  <c r="BF76" i="68"/>
  <c r="BE76" i="68"/>
  <c r="AW57" i="69"/>
  <c r="AV57" i="69"/>
  <c r="AV47" i="1"/>
  <c r="AW47" i="1"/>
  <c r="BE46" i="82"/>
  <c r="BF46" i="82"/>
  <c r="BE32" i="75"/>
  <c r="BF32" i="75"/>
  <c r="AV68" i="71"/>
  <c r="AW68" i="71"/>
  <c r="BE75" i="1"/>
  <c r="BF75" i="1"/>
  <c r="AV40" i="66"/>
  <c r="AW40" i="66"/>
  <c r="BE37" i="68"/>
  <c r="BF37" i="68"/>
  <c r="AV41" i="78"/>
  <c r="AW41" i="78"/>
  <c r="BF61" i="76"/>
  <c r="BE61" i="70"/>
  <c r="BF83" i="80"/>
  <c r="AW48" i="78"/>
  <c r="AV27" i="73"/>
  <c r="AW34" i="69"/>
  <c r="BE51" i="77"/>
  <c r="AV41" i="77"/>
  <c r="AV52" i="75"/>
  <c r="BF93" i="68"/>
  <c r="AW26" i="82"/>
  <c r="BF55" i="71"/>
  <c r="AW26" i="66"/>
  <c r="AW13" i="69"/>
  <c r="BE103" i="67"/>
  <c r="BE41" i="77"/>
  <c r="AW58" i="67"/>
  <c r="BE48" i="76"/>
  <c r="AV17" i="69"/>
  <c r="AW17" i="69"/>
  <c r="BE88" i="69"/>
  <c r="BF88" i="69"/>
  <c r="AW32" i="77"/>
  <c r="AV32" i="77"/>
  <c r="BE45" i="1"/>
  <c r="BF45" i="1"/>
  <c r="AW64" i="70"/>
  <c r="AV14" i="75"/>
  <c r="AW14" i="75"/>
  <c r="BF111" i="67"/>
  <c r="BE111" i="67"/>
  <c r="AV63" i="74"/>
  <c r="AW63" i="74"/>
  <c r="AV51" i="70"/>
  <c r="AW51" i="70"/>
  <c r="AW55" i="70"/>
  <c r="AV55" i="70"/>
  <c r="AW38" i="78"/>
  <c r="AV38" i="78"/>
  <c r="BF131" i="67"/>
  <c r="BE131" i="67"/>
  <c r="BF130" i="73"/>
  <c r="BE130" i="73"/>
  <c r="BF76" i="81"/>
  <c r="BE76" i="81"/>
  <c r="AV57" i="78"/>
  <c r="AW57" i="78"/>
  <c r="BE91" i="75"/>
  <c r="BF91" i="75"/>
  <c r="BF79" i="74"/>
  <c r="AV49" i="68"/>
  <c r="BF42" i="81"/>
  <c r="BF71" i="78"/>
  <c r="AV36" i="78"/>
  <c r="BE49" i="75"/>
  <c r="BF26" i="69"/>
  <c r="BE26" i="69"/>
  <c r="BF29" i="76"/>
  <c r="BE29" i="76"/>
  <c r="BE121" i="66"/>
  <c r="BF121" i="66"/>
  <c r="BF121" i="71"/>
  <c r="BE121" i="71"/>
  <c r="BF117" i="1"/>
  <c r="BE117" i="1"/>
  <c r="BE109" i="73"/>
  <c r="BF109" i="73"/>
  <c r="BF109" i="74"/>
  <c r="BE109" i="74"/>
  <c r="AV70" i="1"/>
  <c r="AW70" i="1"/>
  <c r="AV70" i="66"/>
  <c r="AW70" i="66"/>
  <c r="BE104" i="74"/>
  <c r="BF104" i="74"/>
  <c r="BF48" i="77"/>
  <c r="BE48" i="77"/>
  <c r="BF91" i="66"/>
  <c r="BE91" i="66"/>
  <c r="AV60" i="70"/>
  <c r="AW60" i="70"/>
  <c r="AW24" i="76"/>
  <c r="AV24" i="76"/>
  <c r="BF42" i="71"/>
  <c r="BE42" i="71"/>
  <c r="BF37" i="67"/>
  <c r="BE37" i="67"/>
  <c r="BF75" i="78"/>
  <c r="BE75" i="78"/>
  <c r="BE91" i="70"/>
  <c r="BE79" i="78"/>
  <c r="BF75" i="69"/>
  <c r="AV36" i="81"/>
  <c r="BE93" i="70"/>
  <c r="BF93" i="70"/>
  <c r="BF80" i="1"/>
  <c r="BE80" i="1"/>
  <c r="AV42" i="75"/>
  <c r="AW42" i="75"/>
  <c r="AW42" i="68"/>
  <c r="AV42" i="68"/>
  <c r="AV52" i="66"/>
  <c r="AW52" i="66"/>
  <c r="BE75" i="70"/>
  <c r="BF75" i="70"/>
  <c r="BE75" i="67"/>
  <c r="BF75" i="67"/>
  <c r="BE53" i="68"/>
  <c r="BF53" i="68"/>
  <c r="BE36" i="77"/>
  <c r="BF36" i="77"/>
  <c r="BE33" i="77"/>
  <c r="BF33" i="77"/>
  <c r="AV33" i="69"/>
  <c r="AW33" i="69"/>
  <c r="BF46" i="68"/>
  <c r="BE46" i="68"/>
  <c r="BE59" i="73"/>
  <c r="BF59" i="73"/>
  <c r="BE41" i="69"/>
  <c r="BF41" i="69"/>
  <c r="BE37" i="75"/>
  <c r="BF37" i="75"/>
  <c r="BE51" i="70"/>
  <c r="BF51" i="70"/>
  <c r="BE111" i="66"/>
  <c r="BF111" i="66"/>
  <c r="BF115" i="1"/>
  <c r="BE115" i="1"/>
  <c r="BE57" i="1"/>
  <c r="AW45" i="78"/>
  <c r="AV45" i="78"/>
  <c r="BE60" i="69"/>
  <c r="BF60" i="69"/>
  <c r="AW38" i="76"/>
  <c r="AV38" i="76"/>
  <c r="BE74" i="74"/>
  <c r="BF74" i="74"/>
  <c r="BF35" i="77"/>
  <c r="BE35" i="77"/>
  <c r="BE57" i="74"/>
  <c r="BF57" i="74"/>
  <c r="BF49" i="73"/>
  <c r="BE49" i="73"/>
  <c r="BE54" i="81"/>
  <c r="BF54" i="81"/>
  <c r="BE82" i="78"/>
  <c r="BF82" i="78"/>
  <c r="BF55" i="76"/>
  <c r="BE55" i="76"/>
  <c r="BE69" i="67"/>
  <c r="BF69" i="67"/>
  <c r="BE69" i="74"/>
  <c r="BF69" i="74"/>
  <c r="AW39" i="73"/>
  <c r="AV39" i="73"/>
  <c r="BF53" i="70"/>
  <c r="BE53" i="70"/>
  <c r="BE53" i="1"/>
  <c r="BF53" i="1"/>
  <c r="BF58" i="70"/>
  <c r="BE58" i="70"/>
  <c r="AW39" i="75"/>
  <c r="AV39" i="75"/>
  <c r="BE62" i="70"/>
  <c r="BF62" i="70"/>
  <c r="BE62" i="1"/>
  <c r="BF62" i="1"/>
  <c r="BE54" i="71"/>
  <c r="BF54" i="71"/>
  <c r="AV35" i="67"/>
  <c r="AW35" i="67"/>
  <c r="AV23" i="75"/>
  <c r="AW23" i="75"/>
  <c r="BF31" i="69"/>
  <c r="BE31" i="69"/>
  <c r="BE85" i="74"/>
  <c r="BF85" i="74"/>
  <c r="BE115" i="70"/>
  <c r="BF115" i="70"/>
  <c r="BF28" i="82"/>
  <c r="BE28" i="82"/>
  <c r="BE81" i="80"/>
  <c r="BF81" i="80"/>
  <c r="BF33" i="82"/>
  <c r="BE33" i="82"/>
  <c r="AV63" i="73"/>
  <c r="BE80" i="78"/>
  <c r="AW50" i="78"/>
  <c r="BF42" i="82"/>
  <c r="BE47" i="81"/>
  <c r="BE44" i="81"/>
  <c r="BF123" i="67"/>
  <c r="BE123" i="67"/>
  <c r="BF72" i="73"/>
  <c r="BE72" i="73"/>
  <c r="AW30" i="76"/>
  <c r="AV30" i="76"/>
  <c r="BE81" i="66"/>
  <c r="BF81" i="66"/>
  <c r="AV59" i="66"/>
  <c r="AW59" i="66"/>
  <c r="BF90" i="73"/>
  <c r="BE90" i="73"/>
  <c r="BE27" i="76"/>
  <c r="BF27" i="76"/>
  <c r="BE60" i="82"/>
  <c r="BF60" i="82"/>
  <c r="BF68" i="76"/>
  <c r="BE68" i="76"/>
  <c r="BF86" i="73"/>
  <c r="BE86" i="73"/>
  <c r="BE83" i="74"/>
  <c r="BF83" i="74"/>
  <c r="BF66" i="68"/>
  <c r="BE66" i="68"/>
  <c r="BE81" i="70"/>
  <c r="BF81" i="70"/>
  <c r="BE81" i="1"/>
  <c r="BF81" i="1"/>
  <c r="BF93" i="78"/>
  <c r="BE80" i="81"/>
  <c r="BE119" i="74"/>
  <c r="BF119" i="74"/>
  <c r="AW30" i="71"/>
  <c r="AV30" i="71"/>
  <c r="BE79" i="80"/>
  <c r="BF79" i="80"/>
  <c r="BF73" i="80"/>
  <c r="BE73" i="80"/>
  <c r="AW47" i="80"/>
  <c r="AV47" i="80"/>
  <c r="AW44" i="81"/>
  <c r="AV44" i="81"/>
  <c r="AV29" i="82"/>
  <c r="AW29" i="82"/>
  <c r="AW30" i="80"/>
  <c r="AV30" i="80"/>
  <c r="BF37" i="80"/>
  <c r="BE37" i="80"/>
  <c r="BE25" i="82"/>
  <c r="BF25" i="82"/>
  <c r="BE76" i="80"/>
  <c r="BF76" i="80"/>
  <c r="AW42" i="81"/>
  <c r="AV42" i="81"/>
  <c r="BE63" i="81"/>
  <c r="BF63" i="81"/>
  <c r="BF36" i="82"/>
  <c r="BE36" i="82"/>
  <c r="AV39" i="78"/>
  <c r="AW39" i="78"/>
  <c r="AV54" i="1"/>
  <c r="AW54" i="1"/>
  <c r="AW60" i="69"/>
  <c r="AV60" i="69"/>
  <c r="BE79" i="68"/>
  <c r="BF79" i="68"/>
  <c r="BE61" i="77"/>
  <c r="BF61" i="77"/>
  <c r="BF108" i="73"/>
  <c r="BE108" i="73"/>
  <c r="AV67" i="70"/>
  <c r="AW67" i="70"/>
  <c r="BE78" i="69"/>
  <c r="BF78" i="69"/>
  <c r="BF26" i="76"/>
  <c r="BE26" i="76"/>
  <c r="BF93" i="76"/>
  <c r="BE93" i="76"/>
  <c r="BE90" i="69"/>
  <c r="BF90" i="69"/>
  <c r="AV15" i="75"/>
  <c r="AW15" i="75"/>
  <c r="AW74" i="71"/>
  <c r="AV74" i="71"/>
  <c r="BE100" i="73"/>
  <c r="BF100" i="73"/>
  <c r="BF24" i="69"/>
  <c r="BE24" i="69"/>
  <c r="BF24" i="75"/>
  <c r="BE24" i="75"/>
  <c r="BE113" i="73"/>
  <c r="BF113" i="73"/>
  <c r="BE110" i="67"/>
  <c r="BF110" i="67"/>
  <c r="BE88" i="71"/>
  <c r="AW57" i="70"/>
  <c r="AV57" i="70"/>
  <c r="AW68" i="66"/>
  <c r="AV68" i="66"/>
  <c r="AW136" i="73"/>
  <c r="AV136" i="73"/>
  <c r="BF101" i="69"/>
  <c r="BE101" i="69"/>
  <c r="BE130" i="1"/>
  <c r="BF95" i="75"/>
  <c r="BE95" i="75"/>
  <c r="BF91" i="76"/>
  <c r="BE91" i="76"/>
  <c r="BE117" i="73"/>
  <c r="BF117" i="73"/>
  <c r="BE117" i="66"/>
  <c r="BF117" i="66"/>
  <c r="BE113" i="66"/>
  <c r="BF113" i="66"/>
  <c r="AV74" i="74"/>
  <c r="AW74" i="74"/>
  <c r="BE104" i="67"/>
  <c r="BF104" i="67"/>
  <c r="AW65" i="1"/>
  <c r="AV65" i="1"/>
  <c r="AV65" i="74"/>
  <c r="AW65" i="74"/>
  <c r="BF99" i="73"/>
  <c r="BE99" i="73"/>
  <c r="BE99" i="74"/>
  <c r="BF99" i="74"/>
  <c r="BF73" i="69"/>
  <c r="BE73" i="69"/>
  <c r="BF91" i="67"/>
  <c r="BE91" i="67"/>
  <c r="BE91" i="71"/>
  <c r="BF91" i="71"/>
  <c r="BF87" i="73"/>
  <c r="BE87" i="73"/>
  <c r="AW33" i="77"/>
  <c r="AV33" i="77"/>
  <c r="AW60" i="73"/>
  <c r="AV60" i="73"/>
  <c r="AW48" i="75"/>
  <c r="AV48" i="75"/>
  <c r="AW56" i="1"/>
  <c r="AV56" i="1"/>
  <c r="BE106" i="75"/>
  <c r="BF106" i="75"/>
  <c r="BF97" i="73"/>
  <c r="BE97" i="73"/>
  <c r="BF93" i="66"/>
  <c r="BE93" i="66"/>
  <c r="BF85" i="70"/>
  <c r="BE85" i="70"/>
  <c r="AV52" i="70"/>
  <c r="AW52" i="70"/>
  <c r="BE75" i="66"/>
  <c r="BF75" i="66"/>
  <c r="BF75" i="73"/>
  <c r="BE75" i="73"/>
  <c r="AV47" i="70"/>
  <c r="AW47" i="70"/>
  <c r="AW39" i="76"/>
  <c r="AV39" i="76"/>
  <c r="BE53" i="82"/>
  <c r="BF53" i="82"/>
  <c r="BE83" i="78"/>
  <c r="BF83" i="78"/>
  <c r="BE66" i="66"/>
  <c r="BF66" i="66"/>
  <c r="BF49" i="82"/>
  <c r="BE49" i="82"/>
  <c r="BF49" i="76"/>
  <c r="BE49" i="76"/>
  <c r="AW40" i="80"/>
  <c r="AV40" i="80"/>
  <c r="AV41" i="71"/>
  <c r="AW41" i="71"/>
  <c r="BE59" i="66"/>
  <c r="BF59" i="66"/>
  <c r="BE45" i="69"/>
  <c r="BF45" i="69"/>
  <c r="BF55" i="66"/>
  <c r="BE55" i="66"/>
  <c r="BE55" i="73"/>
  <c r="BF55" i="73"/>
  <c r="BF55" i="74"/>
  <c r="BE55" i="74"/>
  <c r="BE27" i="77"/>
  <c r="BF27" i="77"/>
  <c r="BF64" i="78"/>
  <c r="BE64" i="78"/>
  <c r="BE47" i="71"/>
  <c r="BF47" i="71"/>
  <c r="AW36" i="1"/>
  <c r="AV36" i="1"/>
  <c r="AV36" i="71"/>
  <c r="AW36" i="71"/>
  <c r="AV36" i="73"/>
  <c r="AW36" i="73"/>
  <c r="AW36" i="70"/>
  <c r="AV36" i="70"/>
  <c r="AW29" i="81"/>
  <c r="AV29" i="81"/>
  <c r="AW33" i="70"/>
  <c r="AV33" i="70"/>
  <c r="AV25" i="81"/>
  <c r="AW25" i="81"/>
  <c r="BF39" i="1"/>
  <c r="BE39" i="1"/>
  <c r="BF39" i="66"/>
  <c r="AW26" i="74"/>
  <c r="AV26" i="74"/>
  <c r="BF112" i="1"/>
  <c r="BF80" i="66"/>
  <c r="BE80" i="66"/>
  <c r="BE60" i="77"/>
  <c r="BF60" i="77"/>
  <c r="BF111" i="71"/>
  <c r="BE111" i="71"/>
  <c r="BE72" i="68"/>
  <c r="BF72" i="68"/>
  <c r="BE97" i="71"/>
  <c r="BF97" i="71"/>
  <c r="BE28" i="76"/>
  <c r="BF28" i="76"/>
  <c r="BF111" i="70"/>
  <c r="BE111" i="70"/>
  <c r="BE89" i="69"/>
  <c r="BF89" i="69"/>
  <c r="BE93" i="69"/>
  <c r="BF93" i="69"/>
  <c r="BF71" i="76"/>
  <c r="BE71" i="76"/>
  <c r="BE89" i="75"/>
  <c r="BF89" i="75"/>
  <c r="BF53" i="71"/>
  <c r="BE53" i="71"/>
  <c r="BE50" i="81"/>
  <c r="BF50" i="81"/>
  <c r="AV34" i="66"/>
  <c r="AW34" i="66"/>
  <c r="AW38" i="69"/>
  <c r="AV38" i="69"/>
  <c r="BE46" i="81"/>
  <c r="BF46" i="81"/>
  <c r="BF52" i="82"/>
  <c r="BE52" i="82"/>
  <c r="AV46" i="73"/>
  <c r="AW46" i="73"/>
  <c r="AV46" i="66"/>
  <c r="AW46" i="66"/>
  <c r="AW38" i="75"/>
  <c r="AV38" i="75"/>
  <c r="BE61" i="68"/>
  <c r="BF61" i="68"/>
  <c r="BE51" i="75"/>
  <c r="BF51" i="75"/>
  <c r="BE61" i="71"/>
  <c r="BF61" i="71"/>
  <c r="BE48" i="68"/>
  <c r="BF48" i="68"/>
  <c r="BE57" i="70"/>
  <c r="BF57" i="70"/>
  <c r="BE35" i="69"/>
  <c r="BF35" i="69"/>
  <c r="BE49" i="70"/>
  <c r="BF49" i="70"/>
  <c r="AW26" i="69"/>
  <c r="AV26" i="69"/>
  <c r="AW34" i="71"/>
  <c r="AV34" i="71"/>
  <c r="AW46" i="1"/>
  <c r="AV46" i="1"/>
  <c r="AV24" i="82"/>
  <c r="AW24" i="82"/>
  <c r="BF32" i="82"/>
  <c r="BE32" i="82"/>
  <c r="AV39" i="74"/>
  <c r="AW39" i="74"/>
  <c r="BF53" i="73"/>
  <c r="BE53" i="73"/>
  <c r="BE53" i="74"/>
  <c r="BF53" i="74"/>
  <c r="AW30" i="68"/>
  <c r="AV30" i="68"/>
  <c r="BF65" i="78"/>
  <c r="BE65" i="78"/>
  <c r="AW62" i="76"/>
  <c r="AV62" i="76"/>
  <c r="BF97" i="69"/>
  <c r="BE97" i="69"/>
  <c r="AV76" i="74"/>
  <c r="AW76" i="74"/>
  <c r="BF114" i="70"/>
  <c r="BE114" i="70"/>
  <c r="BE103" i="1"/>
  <c r="BF103" i="1"/>
  <c r="BF81" i="69"/>
  <c r="BE81" i="69"/>
  <c r="BF64" i="82"/>
  <c r="BE64" i="82"/>
  <c r="BF74" i="81"/>
  <c r="BE74" i="81"/>
  <c r="BE94" i="67"/>
  <c r="BE74" i="80"/>
  <c r="BF74" i="80"/>
  <c r="BF78" i="1"/>
  <c r="BE78" i="1"/>
  <c r="AV40" i="68"/>
  <c r="AW40" i="68"/>
  <c r="BE76" i="66"/>
  <c r="BF76" i="66"/>
  <c r="AW48" i="71"/>
  <c r="AV48" i="71"/>
  <c r="BE72" i="70"/>
  <c r="BF72" i="70"/>
  <c r="BE59" i="68"/>
  <c r="BF59" i="68"/>
  <c r="BE58" i="75"/>
  <c r="BF58" i="75"/>
  <c r="AV44" i="1"/>
  <c r="AW44" i="1"/>
  <c r="AW44" i="70"/>
  <c r="AV44" i="70"/>
  <c r="BE67" i="71"/>
  <c r="AW38" i="81"/>
  <c r="AV38" i="81"/>
  <c r="AW42" i="67"/>
  <c r="AV42" i="67"/>
  <c r="AW34" i="81"/>
  <c r="AV34" i="81"/>
  <c r="AW38" i="74"/>
  <c r="AV38" i="74"/>
  <c r="BE57" i="80"/>
  <c r="BF57" i="80"/>
  <c r="BE45" i="81"/>
  <c r="BF45" i="81"/>
  <c r="BE95" i="76"/>
  <c r="BF95" i="76"/>
  <c r="BE50" i="74"/>
  <c r="BF50" i="74"/>
  <c r="AW47" i="67"/>
  <c r="AV47" i="67"/>
  <c r="BE48" i="75"/>
  <c r="BF48" i="75"/>
  <c r="BF62" i="66"/>
  <c r="BE62" i="66"/>
  <c r="AV42" i="69"/>
  <c r="AW42" i="69"/>
  <c r="AV32" i="68"/>
  <c r="AW32" i="68"/>
  <c r="AV32" i="75"/>
  <c r="AW32" i="75"/>
  <c r="BE40" i="76"/>
  <c r="BF40" i="76"/>
  <c r="BF50" i="71"/>
  <c r="BE50" i="71"/>
  <c r="AW23" i="68"/>
  <c r="AV23" i="68"/>
  <c r="BF41" i="74"/>
  <c r="BE41" i="74"/>
  <c r="BE41" i="67"/>
  <c r="BF41" i="67"/>
  <c r="BF104" i="76"/>
  <c r="BE104" i="76"/>
  <c r="BF26" i="82"/>
  <c r="BE26" i="82"/>
  <c r="BF88" i="78"/>
  <c r="BE88" i="78"/>
  <c r="AW48" i="80"/>
  <c r="AV48" i="80"/>
  <c r="BE77" i="78"/>
  <c r="BF77" i="78"/>
  <c r="BE63" i="80"/>
  <c r="BF63" i="80"/>
  <c r="BE37" i="82"/>
  <c r="BF37" i="82"/>
  <c r="AV31" i="80"/>
  <c r="AW31" i="80"/>
  <c r="BE77" i="80"/>
  <c r="BF77" i="80"/>
  <c r="AV40" i="81"/>
  <c r="AW40" i="81"/>
  <c r="AW30" i="82"/>
  <c r="AV30" i="82"/>
  <c r="BE48" i="80"/>
  <c r="BF48" i="80"/>
  <c r="BF63" i="82"/>
  <c r="BE63" i="82"/>
  <c r="BE23" i="75"/>
  <c r="BF23" i="75"/>
  <c r="AW62" i="75"/>
  <c r="AW35" i="74"/>
  <c r="BE87" i="69"/>
  <c r="BF87" i="69"/>
  <c r="BF113" i="67"/>
  <c r="BE113" i="67"/>
  <c r="AV68" i="1"/>
  <c r="BE26" i="75"/>
  <c r="BF26" i="75"/>
  <c r="AW38" i="68"/>
  <c r="AV38" i="68"/>
  <c r="BE38" i="70"/>
  <c r="BF38" i="70"/>
  <c r="BE21" i="75"/>
  <c r="BF21" i="75"/>
  <c r="AV26" i="1"/>
  <c r="AW26" i="1"/>
  <c r="BF58" i="66"/>
  <c r="BE58" i="66"/>
  <c r="BE84" i="76"/>
  <c r="BF84" i="76"/>
  <c r="BF93" i="1"/>
  <c r="BE93" i="1"/>
  <c r="AW55" i="66"/>
  <c r="AV55" i="66"/>
  <c r="AV32" i="76"/>
  <c r="AW32" i="76"/>
  <c r="BF26" i="77"/>
  <c r="BE26" i="77"/>
  <c r="AW40" i="77"/>
  <c r="AV40" i="77"/>
  <c r="AW61" i="73"/>
  <c r="AV61" i="73"/>
  <c r="AV45" i="75"/>
  <c r="AW45" i="75"/>
  <c r="AW51" i="73"/>
  <c r="AV51" i="73"/>
  <c r="BE50" i="67"/>
  <c r="BF50" i="67"/>
  <c r="BE99" i="71"/>
  <c r="BF99" i="71"/>
  <c r="BE74" i="69"/>
  <c r="BF74" i="69"/>
  <c r="BF70" i="75"/>
  <c r="BE70" i="75"/>
  <c r="AW31" i="70"/>
  <c r="AV31" i="70"/>
  <c r="AV73" i="1"/>
  <c r="AW73" i="1"/>
  <c r="AW42" i="77"/>
  <c r="AV42" i="77"/>
  <c r="BE62" i="73"/>
  <c r="BF62" i="73"/>
  <c r="BF63" i="1"/>
  <c r="BE63" i="1"/>
  <c r="BF90" i="71"/>
  <c r="BE90" i="71"/>
  <c r="BE82" i="80"/>
  <c r="BF82" i="80"/>
  <c r="AV64" i="1"/>
  <c r="AW64" i="1"/>
  <c r="AV18" i="75"/>
  <c r="AW18" i="75"/>
  <c r="BF80" i="76"/>
  <c r="BF89" i="80"/>
  <c r="AV116" i="75"/>
  <c r="AW134" i="73"/>
  <c r="BF40" i="77"/>
  <c r="BE43" i="75"/>
  <c r="AW34" i="67"/>
  <c r="BE80" i="70"/>
  <c r="BE21" i="76"/>
  <c r="BF65" i="67"/>
  <c r="BE87" i="71"/>
  <c r="AW37" i="76"/>
  <c r="AV50" i="67"/>
  <c r="AW52" i="76"/>
  <c r="AV52" i="76"/>
  <c r="AW33" i="74"/>
  <c r="AV33" i="74"/>
  <c r="BF39" i="67"/>
  <c r="BE39" i="67"/>
  <c r="AV26" i="70"/>
  <c r="AW26" i="70"/>
  <c r="AW45" i="66"/>
  <c r="AV70" i="73"/>
  <c r="AW70" i="73"/>
  <c r="BF104" i="66"/>
  <c r="BE104" i="66"/>
  <c r="BE82" i="76"/>
  <c r="BF82" i="76"/>
  <c r="BE91" i="73"/>
  <c r="BF91" i="73"/>
  <c r="BE82" i="66"/>
  <c r="BF82" i="66"/>
  <c r="AW32" i="66"/>
  <c r="AV32" i="66"/>
  <c r="BE42" i="73"/>
  <c r="BF42" i="73"/>
  <c r="BE92" i="70"/>
  <c r="BF70" i="69"/>
  <c r="AV40" i="74"/>
  <c r="AW40" i="74"/>
  <c r="BE40" i="75"/>
  <c r="BF40" i="75"/>
  <c r="BE46" i="67"/>
  <c r="BF46" i="67"/>
  <c r="AW31" i="66"/>
  <c r="AV31" i="66"/>
  <c r="AW31" i="73"/>
  <c r="AV31" i="73"/>
  <c r="BE41" i="66"/>
  <c r="BF41" i="66"/>
  <c r="BF41" i="70"/>
  <c r="BE41" i="70"/>
  <c r="BE37" i="74"/>
  <c r="BF37" i="74"/>
  <c r="AW16" i="82"/>
  <c r="AV16" i="82"/>
  <c r="BF84" i="80"/>
  <c r="BE84" i="80"/>
  <c r="BF80" i="80"/>
  <c r="BE80" i="80"/>
  <c r="AW39" i="82"/>
  <c r="AV39" i="82"/>
  <c r="AW43" i="81"/>
  <c r="AV43" i="81"/>
  <c r="BE55" i="80"/>
  <c r="BF55" i="80"/>
  <c r="AW31" i="81"/>
  <c r="AV31" i="81"/>
  <c r="AW28" i="81"/>
  <c r="AV28" i="81"/>
  <c r="BE73" i="81"/>
  <c r="BF73" i="81"/>
  <c r="BE75" i="80"/>
  <c r="BF75" i="80"/>
  <c r="BF38" i="81"/>
  <c r="BE38" i="81"/>
  <c r="BF55" i="82"/>
  <c r="BE55" i="82"/>
  <c r="AW36" i="82"/>
  <c r="AV36" i="82"/>
  <c r="AW19" i="82"/>
  <c r="AV19" i="82"/>
  <c r="AW51" i="78"/>
  <c r="AV51" i="78"/>
  <c r="BE59" i="78"/>
  <c r="BF59" i="78"/>
  <c r="BE92" i="1"/>
  <c r="BF92" i="1"/>
  <c r="BF90" i="68"/>
  <c r="BE90" i="68"/>
  <c r="BE61" i="1"/>
  <c r="BF61" i="1"/>
  <c r="BF96" i="1"/>
  <c r="BE96" i="1"/>
  <c r="BF100" i="66"/>
  <c r="BE100" i="66"/>
  <c r="BF108" i="70"/>
  <c r="BE108" i="70"/>
  <c r="BE106" i="73"/>
  <c r="BF106" i="73"/>
  <c r="AV51" i="76"/>
  <c r="AW51" i="76"/>
  <c r="BE112" i="66"/>
  <c r="BF112" i="66"/>
  <c r="AW19" i="76"/>
  <c r="AV19" i="76"/>
  <c r="AW51" i="68"/>
  <c r="BF25" i="75"/>
  <c r="BE25" i="75"/>
  <c r="BF100" i="74"/>
  <c r="BE100" i="74"/>
  <c r="BF120" i="71"/>
  <c r="BE120" i="71"/>
  <c r="BF87" i="76"/>
  <c r="BE87" i="76"/>
  <c r="BF135" i="74"/>
  <c r="BF51" i="66"/>
  <c r="AV67" i="1"/>
  <c r="BE140" i="74"/>
  <c r="AW86" i="81"/>
  <c r="BE49" i="67"/>
  <c r="BF85" i="1"/>
  <c r="AV34" i="74"/>
  <c r="BF62" i="69"/>
  <c r="AW26" i="77"/>
  <c r="BF76" i="78"/>
  <c r="BF23" i="77"/>
  <c r="BE23" i="77"/>
  <c r="BF38" i="1"/>
  <c r="BF36" i="69"/>
  <c r="BE36" i="69"/>
  <c r="AV52" i="1"/>
  <c r="AW52" i="1"/>
  <c r="BE49" i="68"/>
  <c r="BF49" i="68"/>
  <c r="BE58" i="73"/>
  <c r="BF58" i="73"/>
  <c r="BF70" i="73"/>
  <c r="BE70" i="73"/>
  <c r="AV40" i="71"/>
  <c r="AW40" i="71"/>
  <c r="BF136" i="71"/>
  <c r="AV85" i="81"/>
  <c r="BE102" i="69"/>
  <c r="BF31" i="77"/>
  <c r="BE35" i="76"/>
  <c r="BE115" i="73"/>
  <c r="BF61" i="66"/>
  <c r="BE74" i="70"/>
  <c r="BF37" i="70"/>
  <c r="BF110" i="70"/>
  <c r="BF86" i="74"/>
  <c r="BE86" i="74"/>
  <c r="AW53" i="75"/>
  <c r="BF96" i="74"/>
  <c r="AV18" i="77"/>
  <c r="AW27" i="77"/>
  <c r="AV27" i="77"/>
  <c r="BF52" i="69"/>
  <c r="BE52" i="69"/>
  <c r="BE63" i="74"/>
  <c r="BF63" i="74"/>
  <c r="BE50" i="77"/>
  <c r="BF50" i="77"/>
  <c r="BF115" i="66"/>
  <c r="BE115" i="66"/>
  <c r="BE74" i="71"/>
  <c r="BF74" i="71"/>
  <c r="BF121" i="73"/>
  <c r="BE121" i="73"/>
  <c r="AW31" i="67"/>
  <c r="AV30" i="73"/>
  <c r="BH11" i="69"/>
  <c r="AW41" i="66"/>
  <c r="AV41" i="66"/>
  <c r="BF51" i="71"/>
  <c r="BE51" i="71"/>
  <c r="BE69" i="1"/>
  <c r="BF69" i="1"/>
  <c r="AW73" i="67"/>
  <c r="AV73" i="67"/>
  <c r="AW65" i="67"/>
  <c r="AV65" i="67"/>
  <c r="BE87" i="67"/>
  <c r="BF87" i="67"/>
  <c r="BF97" i="76"/>
  <c r="BE97" i="76"/>
  <c r="BE107" i="1"/>
  <c r="BF107" i="1"/>
  <c r="AW72" i="71"/>
  <c r="AV72" i="71"/>
  <c r="BF58" i="77"/>
  <c r="BE58" i="77"/>
  <c r="AW56" i="68"/>
  <c r="AV56" i="68"/>
  <c r="AV56" i="76"/>
  <c r="AW56" i="76"/>
  <c r="BF104" i="73"/>
  <c r="BE104" i="73"/>
  <c r="AV53" i="68"/>
  <c r="AW53" i="68"/>
  <c r="BE77" i="69"/>
  <c r="BF77" i="69"/>
  <c r="BF95" i="70"/>
  <c r="BE95" i="70"/>
  <c r="BF73" i="76"/>
  <c r="BE73" i="76"/>
  <c r="BF44" i="77"/>
  <c r="BE44" i="77"/>
  <c r="BF91" i="74"/>
  <c r="BE91" i="74"/>
  <c r="AW32" i="70"/>
  <c r="AV32" i="70"/>
  <c r="AV32" i="73"/>
  <c r="AW32" i="73"/>
  <c r="AW25" i="70"/>
  <c r="AV25" i="70"/>
  <c r="BF25" i="74"/>
  <c r="BE25" i="74"/>
  <c r="BF58" i="71"/>
  <c r="BE58" i="71"/>
  <c r="BE70" i="67"/>
  <c r="BF70" i="67"/>
  <c r="BE33" i="68"/>
  <c r="BF33" i="68"/>
  <c r="BE42" i="1"/>
  <c r="BF42" i="1"/>
  <c r="BE70" i="74"/>
  <c r="BF70" i="74"/>
  <c r="AW68" i="74"/>
  <c r="AV68" i="74"/>
  <c r="AW63" i="1"/>
  <c r="AV63" i="1"/>
  <c r="AW22" i="77"/>
  <c r="AV22" i="77"/>
  <c r="BF54" i="74"/>
  <c r="BE54" i="74"/>
  <c r="BF54" i="66"/>
  <c r="BE54" i="66"/>
  <c r="BF36" i="76"/>
  <c r="BE36" i="76"/>
  <c r="AV35" i="66"/>
  <c r="AW35" i="66"/>
  <c r="AW31" i="71"/>
  <c r="AV31" i="71"/>
  <c r="AW23" i="76"/>
  <c r="AV23" i="76"/>
  <c r="AV31" i="1"/>
  <c r="BE41" i="71"/>
  <c r="BF41" i="71"/>
  <c r="BF31" i="76"/>
  <c r="BE31" i="76"/>
  <c r="AV18" i="82"/>
  <c r="AW18" i="82"/>
  <c r="BE24" i="82"/>
  <c r="BF24" i="82"/>
  <c r="BE66" i="82"/>
  <c r="BF66" i="82"/>
  <c r="BE62" i="82"/>
  <c r="BF62" i="82"/>
  <c r="BE68" i="81"/>
  <c r="AV47" i="81"/>
  <c r="AW47" i="81"/>
  <c r="AV35" i="82"/>
  <c r="AW35" i="82"/>
  <c r="BF47" i="82"/>
  <c r="BE47" i="82"/>
  <c r="BE55" i="81"/>
  <c r="BF55" i="81"/>
  <c r="BE67" i="78"/>
  <c r="BF67" i="78"/>
  <c r="BE52" i="80"/>
  <c r="BF52" i="80"/>
  <c r="AW25" i="82"/>
  <c r="AV25" i="82"/>
  <c r="AV22" i="82"/>
  <c r="AW22" i="82"/>
  <c r="BF59" i="82"/>
  <c r="BE59" i="82"/>
  <c r="BF57" i="82"/>
  <c r="BE57" i="82"/>
  <c r="AV39" i="80"/>
  <c r="AW39" i="80"/>
  <c r="AW91" i="75"/>
  <c r="AW86" i="75"/>
  <c r="AV86" i="75"/>
  <c r="BF55" i="70"/>
  <c r="BE55" i="70"/>
  <c r="BE51" i="73"/>
  <c r="BF51" i="73"/>
  <c r="BF47" i="67"/>
  <c r="BE47" i="67"/>
  <c r="AW28" i="75"/>
  <c r="AV28" i="75"/>
  <c r="AW28" i="76"/>
  <c r="AV28" i="76"/>
  <c r="AW23" i="82"/>
  <c r="AV23" i="82"/>
  <c r="AW33" i="66"/>
  <c r="AV33" i="66"/>
  <c r="AV25" i="69"/>
  <c r="AW25" i="69"/>
  <c r="AW29" i="74"/>
  <c r="AV29" i="74"/>
  <c r="BF39" i="70"/>
  <c r="BE39" i="70"/>
  <c r="AV26" i="67"/>
  <c r="AW26" i="67"/>
  <c r="AV63" i="70"/>
  <c r="AW63" i="70"/>
  <c r="BF80" i="71"/>
  <c r="BE80" i="71"/>
  <c r="AW14" i="76"/>
  <c r="AV14" i="76"/>
  <c r="BE111" i="73"/>
  <c r="BF111" i="73"/>
  <c r="BF102" i="73"/>
  <c r="BF49" i="71"/>
  <c r="BE49" i="71"/>
  <c r="AW21" i="77"/>
  <c r="AV21" i="77"/>
  <c r="AV40" i="78"/>
  <c r="AW39" i="71"/>
  <c r="AV39" i="71"/>
  <c r="AV46" i="70"/>
  <c r="AW46" i="70"/>
  <c r="BF107" i="75"/>
  <c r="BF104" i="75"/>
  <c r="BE104" i="75"/>
  <c r="AW53" i="76"/>
  <c r="BE116" i="1"/>
  <c r="BE56" i="1"/>
  <c r="BF56" i="1"/>
  <c r="BE118" i="66"/>
  <c r="BF118" i="66"/>
  <c r="BE59" i="77"/>
  <c r="BF59" i="77"/>
  <c r="AW58" i="69"/>
  <c r="AV58" i="69"/>
  <c r="AV55" i="69"/>
  <c r="AW55" i="69"/>
  <c r="AW55" i="75"/>
  <c r="AV55" i="75"/>
  <c r="BF103" i="73"/>
  <c r="BE103" i="73"/>
  <c r="BF103" i="66"/>
  <c r="BE103" i="66"/>
  <c r="AV64" i="74"/>
  <c r="AW64" i="74"/>
  <c r="BF68" i="81"/>
  <c r="BF46" i="73"/>
  <c r="BF97" i="78"/>
  <c r="BE97" i="78"/>
  <c r="BF75" i="81"/>
  <c r="BE75" i="81"/>
  <c r="BF29" i="82"/>
  <c r="BE29" i="82"/>
  <c r="BF47" i="80"/>
  <c r="BE47" i="80"/>
  <c r="BF91" i="68"/>
  <c r="BE91" i="68"/>
  <c r="BE57" i="77"/>
  <c r="BF57" i="77"/>
  <c r="BE100" i="71"/>
  <c r="BF100" i="71"/>
  <c r="BF110" i="66"/>
  <c r="BE110" i="66"/>
  <c r="BF88" i="73"/>
  <c r="BE88" i="73"/>
  <c r="AV55" i="74"/>
  <c r="AW55" i="74"/>
  <c r="BF97" i="1"/>
  <c r="BE97" i="1"/>
  <c r="BF75" i="68"/>
  <c r="BE75" i="68"/>
  <c r="BF96" i="71"/>
  <c r="BE96" i="71"/>
  <c r="BE39" i="75"/>
  <c r="BF39" i="75"/>
  <c r="BE93" i="73"/>
  <c r="BF93" i="73"/>
  <c r="BF70" i="77"/>
  <c r="BE70" i="77"/>
  <c r="BF130" i="1"/>
  <c r="BE141" i="74"/>
  <c r="BE103" i="68"/>
  <c r="AV57" i="71"/>
  <c r="BF92" i="71"/>
  <c r="AV33" i="80"/>
  <c r="BE84" i="69"/>
  <c r="AV73" i="66"/>
  <c r="AW58" i="73"/>
  <c r="AV58" i="73"/>
  <c r="BF59" i="80"/>
  <c r="BE59" i="80"/>
  <c r="AV58" i="71"/>
  <c r="AW58" i="71"/>
  <c r="BE62" i="71"/>
  <c r="BF62" i="71"/>
  <c r="BF44" i="76"/>
  <c r="BE44" i="76"/>
  <c r="BF46" i="1"/>
  <c r="BE46" i="1"/>
  <c r="AW15" i="76"/>
  <c r="AV15" i="76"/>
  <c r="BF58" i="82"/>
  <c r="BE58" i="82"/>
  <c r="BF51" i="82"/>
  <c r="BE51" i="82"/>
  <c r="BE95" i="69"/>
  <c r="BF95" i="69"/>
  <c r="BF117" i="67"/>
  <c r="BE117" i="67"/>
  <c r="BF108" i="66"/>
  <c r="BE108" i="66"/>
  <c r="AW61" i="74"/>
  <c r="AV61" i="74"/>
  <c r="BF36" i="75"/>
  <c r="BE36" i="75"/>
  <c r="BE92" i="67"/>
  <c r="BF92" i="67"/>
  <c r="BE79" i="67"/>
  <c r="BF79" i="67"/>
  <c r="BF64" i="66"/>
  <c r="BE64" i="66"/>
  <c r="BF35" i="75"/>
  <c r="BE35" i="75"/>
  <c r="AV70" i="77"/>
  <c r="AW70" i="77"/>
  <c r="BE88" i="67"/>
  <c r="BF28" i="69"/>
  <c r="AW70" i="74"/>
  <c r="BF58" i="1"/>
  <c r="BF129" i="1"/>
  <c r="AW89" i="80"/>
  <c r="BF70" i="76"/>
  <c r="BF108" i="71"/>
  <c r="AV57" i="67"/>
  <c r="BE25" i="81"/>
  <c r="AW50" i="1"/>
  <c r="BF121" i="74"/>
  <c r="BF94" i="75"/>
  <c r="BE112" i="67"/>
  <c r="BF69" i="81"/>
  <c r="BE69" i="81"/>
  <c r="BF88" i="67"/>
  <c r="BE55" i="68"/>
  <c r="BF95" i="1"/>
  <c r="AW54" i="78"/>
  <c r="BF74" i="73"/>
  <c r="BE69" i="76"/>
  <c r="BE85" i="78"/>
  <c r="BF79" i="81"/>
  <c r="BF73" i="66"/>
  <c r="AV19" i="75"/>
  <c r="AW19" i="75"/>
  <c r="BF51" i="80"/>
  <c r="AW47" i="66"/>
  <c r="AV47" i="66"/>
  <c r="BH105" i="76"/>
  <c r="BD65" i="68"/>
  <c r="BD82" i="1"/>
  <c r="AU43" i="80"/>
  <c r="AU44" i="75"/>
  <c r="AU56" i="70"/>
  <c r="AU34" i="82"/>
  <c r="AU60" i="71"/>
  <c r="AU46" i="81"/>
  <c r="D310" i="2"/>
  <c r="AU56" i="78"/>
  <c r="AU57" i="75"/>
  <c r="AU57" i="76"/>
  <c r="AU71" i="73"/>
  <c r="AU57" i="68"/>
  <c r="AU71" i="71"/>
  <c r="AU71" i="67"/>
  <c r="BD106" i="1"/>
  <c r="BD106" i="67"/>
  <c r="C341" i="2"/>
  <c r="BD106" i="74"/>
  <c r="E341" i="2"/>
  <c r="BD106" i="70"/>
  <c r="AU133" i="73"/>
  <c r="AU139" i="74"/>
  <c r="BD84" i="81"/>
  <c r="BD133" i="71"/>
  <c r="BD70" i="82"/>
  <c r="D361" i="2"/>
  <c r="C361" i="2"/>
  <c r="AU102" i="68"/>
  <c r="AU127" i="67"/>
  <c r="AU101" i="69"/>
  <c r="AU71" i="77"/>
  <c r="BD71" i="77"/>
  <c r="BD107" i="76"/>
  <c r="E361" i="2"/>
  <c r="BD133" i="70"/>
  <c r="BD133" i="73"/>
  <c r="BD127" i="67"/>
  <c r="BD113" i="75"/>
  <c r="L361" i="2"/>
  <c r="K361" i="2"/>
  <c r="AU137" i="70"/>
  <c r="AU111" i="76"/>
  <c r="AU117" i="75"/>
  <c r="D365" i="2"/>
  <c r="BD105" i="69"/>
  <c r="BD92" i="80"/>
  <c r="C365" i="2"/>
  <c r="BD108" i="78"/>
  <c r="BD88" i="81"/>
  <c r="BD137" i="71"/>
  <c r="BD74" i="82"/>
  <c r="E365" i="2"/>
  <c r="AU131" i="67"/>
  <c r="AU75" i="77"/>
  <c r="BD75" i="77"/>
  <c r="BD111" i="76"/>
  <c r="AU34" i="1"/>
  <c r="AU26" i="76"/>
  <c r="K248" i="2"/>
  <c r="L276" i="2"/>
  <c r="BD64" i="74"/>
  <c r="BD50" i="69"/>
  <c r="BD64" i="67"/>
  <c r="E276" i="2"/>
  <c r="BD64" i="1"/>
  <c r="BD50" i="76"/>
  <c r="BD64" i="73"/>
  <c r="BD50" i="75"/>
  <c r="BD64" i="70"/>
  <c r="BD51" i="68"/>
  <c r="C276" i="2"/>
  <c r="BD57" i="81"/>
  <c r="BD68" i="74"/>
  <c r="BD68" i="66"/>
  <c r="D280" i="2"/>
  <c r="BD69" i="80"/>
  <c r="BD68" i="73"/>
  <c r="BD68" i="67"/>
  <c r="BD68" i="1"/>
  <c r="K280" i="2"/>
  <c r="BD54" i="76"/>
  <c r="BD68" i="70"/>
  <c r="BD54" i="69"/>
  <c r="E280" i="2"/>
  <c r="L280" i="2"/>
  <c r="BD61" i="81"/>
  <c r="BD39" i="77"/>
  <c r="BD73" i="74"/>
  <c r="BD73" i="71"/>
  <c r="BD59" i="69"/>
  <c r="AU37" i="68"/>
  <c r="AU45" i="1"/>
  <c r="BD59" i="76"/>
  <c r="BD59" i="75"/>
  <c r="AU45" i="74"/>
  <c r="BD73" i="70"/>
  <c r="AU37" i="69"/>
  <c r="AU45" i="67"/>
  <c r="C285" i="2"/>
  <c r="BD73" i="1"/>
  <c r="AU25" i="77"/>
  <c r="AU37" i="75"/>
  <c r="AU45" i="73"/>
  <c r="AU45" i="70"/>
  <c r="BD60" i="68"/>
  <c r="BD73" i="67"/>
  <c r="D285" i="2"/>
  <c r="K289" i="2"/>
  <c r="L289" i="2"/>
  <c r="C289" i="2"/>
  <c r="AU50" i="74"/>
  <c r="AU50" i="73"/>
  <c r="K294" i="2"/>
  <c r="AU50" i="70"/>
  <c r="C294" i="2"/>
  <c r="D294" i="2"/>
  <c r="E294" i="2"/>
  <c r="AU113" i="75"/>
  <c r="L365" i="2"/>
  <c r="BD88" i="80"/>
  <c r="BD117" i="75"/>
  <c r="AU88" i="80"/>
  <c r="BF107" i="70"/>
  <c r="K347" i="2"/>
  <c r="BD86" i="76"/>
  <c r="BD112" i="74"/>
  <c r="D347" i="2"/>
  <c r="BD86" i="75"/>
  <c r="BD112" i="71"/>
  <c r="BD87" i="68"/>
  <c r="E347" i="2"/>
  <c r="BD112" i="73"/>
  <c r="BD112" i="70"/>
  <c r="BD86" i="69"/>
  <c r="L347" i="2"/>
  <c r="BD90" i="76"/>
  <c r="BD116" i="71"/>
  <c r="E351" i="2"/>
  <c r="BD116" i="67"/>
  <c r="BD90" i="75"/>
  <c r="BD116" i="70"/>
  <c r="BD116" i="73"/>
  <c r="BD120" i="66"/>
  <c r="BD120" i="73"/>
  <c r="BD120" i="70"/>
  <c r="BD95" i="68"/>
  <c r="BD94" i="76"/>
  <c r="BD120" i="74"/>
  <c r="BD120" i="67"/>
  <c r="BD120" i="1"/>
  <c r="BD106" i="68"/>
  <c r="N370" i="2"/>
  <c r="F370" i="2" s="1"/>
  <c r="N367" i="2"/>
  <c r="F367" i="2" s="1"/>
  <c r="AV90" i="74"/>
  <c r="BF111" i="75"/>
  <c r="AW92" i="75"/>
  <c r="AV40" i="67"/>
  <c r="K363" i="2"/>
  <c r="BD142" i="74"/>
  <c r="AV58" i="66"/>
  <c r="BE25" i="1"/>
  <c r="C68" i="2"/>
  <c r="K140" i="2"/>
  <c r="BD136" i="73"/>
  <c r="AU127" i="1"/>
  <c r="BD87" i="81"/>
  <c r="L140" i="2"/>
  <c r="K190" i="2"/>
  <c r="BF58" i="67"/>
  <c r="BE58" i="67"/>
  <c r="BF66" i="1"/>
  <c r="AW25" i="67"/>
  <c r="AV25" i="67"/>
  <c r="BF102" i="1"/>
  <c r="BE102" i="1"/>
  <c r="K68" i="2"/>
  <c r="AU74" i="82"/>
  <c r="AU106" i="78"/>
  <c r="AU107" i="76"/>
  <c r="AU129" i="71"/>
  <c r="AU104" i="68"/>
  <c r="BD72" i="82"/>
  <c r="BD104" i="78"/>
  <c r="BD143" i="74"/>
  <c r="BD135" i="71"/>
  <c r="BD102" i="68"/>
  <c r="BD131" i="66"/>
  <c r="BD131" i="1"/>
  <c r="K365" i="2"/>
  <c r="AU72" i="82"/>
  <c r="AU129" i="67"/>
  <c r="AU133" i="70"/>
  <c r="AU84" i="81"/>
  <c r="BD107" i="78"/>
  <c r="AU123" i="66"/>
  <c r="BD136" i="70"/>
  <c r="AU108" i="78"/>
  <c r="E68" i="2"/>
  <c r="C140" i="2"/>
  <c r="AU70" i="82"/>
  <c r="AU92" i="80"/>
  <c r="AU141" i="74"/>
  <c r="AU125" i="71"/>
  <c r="AU105" i="69"/>
  <c r="AU121" i="66"/>
  <c r="BD90" i="80"/>
  <c r="BD139" i="74"/>
  <c r="BD137" i="73"/>
  <c r="BD103" i="69"/>
  <c r="BD127" i="66"/>
  <c r="BD127" i="1"/>
  <c r="C363" i="2"/>
  <c r="AU115" i="75"/>
  <c r="AU119" i="66"/>
  <c r="AU137" i="73"/>
  <c r="AU88" i="81"/>
  <c r="L68" i="2"/>
  <c r="AU106" i="68"/>
  <c r="AU143" i="74"/>
  <c r="AU131" i="1"/>
  <c r="N24" i="81"/>
  <c r="BH71" i="82"/>
  <c r="AY26" i="80"/>
  <c r="AY15" i="1"/>
  <c r="AY20" i="81"/>
  <c r="AF27" i="4"/>
  <c r="B13" i="73"/>
  <c r="N18" i="67"/>
  <c r="AY16" i="67"/>
  <c r="N18" i="73"/>
  <c r="U2" i="78"/>
  <c r="B13" i="69"/>
  <c r="B13" i="81"/>
  <c r="B13" i="75"/>
  <c r="B13" i="68"/>
  <c r="B13" i="80"/>
  <c r="B13" i="78"/>
  <c r="B13" i="74"/>
  <c r="B13" i="67"/>
  <c r="AC14" i="10"/>
  <c r="Q10" i="2"/>
  <c r="AY19" i="71"/>
  <c r="AY24" i="80"/>
  <c r="AA6" i="2"/>
  <c r="AA7" i="2" s="1"/>
  <c r="AY16" i="81"/>
  <c r="AY30" i="78"/>
  <c r="AY23" i="80"/>
  <c r="AY27" i="80"/>
  <c r="AY23" i="74"/>
  <c r="AY17" i="1"/>
  <c r="AY16" i="66"/>
  <c r="AY21" i="1"/>
  <c r="AY23" i="1"/>
  <c r="AY20" i="74"/>
  <c r="AY22" i="81"/>
  <c r="AY33" i="78"/>
  <c r="AY25" i="80"/>
  <c r="AY18" i="81"/>
  <c r="AY22" i="80"/>
  <c r="AY28" i="78"/>
  <c r="AY21" i="81"/>
  <c r="AY13" i="68"/>
  <c r="AY15" i="67"/>
  <c r="AY17" i="68"/>
  <c r="AY17" i="67"/>
  <c r="AY20" i="70"/>
  <c r="BH89" i="80"/>
  <c r="N24" i="82"/>
  <c r="N26" i="77"/>
  <c r="U2" i="82"/>
  <c r="U67" i="76"/>
  <c r="AY19" i="66"/>
  <c r="AY22" i="66"/>
  <c r="AY26" i="78"/>
  <c r="AY17" i="81"/>
  <c r="AY23" i="81"/>
  <c r="AY19" i="81"/>
  <c r="AF34" i="4"/>
  <c r="AT9" i="4"/>
  <c r="C64" i="4"/>
  <c r="B13" i="70"/>
  <c r="B13" i="76"/>
  <c r="B7" i="66"/>
  <c r="U2" i="65"/>
  <c r="B4" i="65"/>
  <c r="U2" i="77"/>
  <c r="U2" i="76"/>
  <c r="U67" i="74"/>
  <c r="U2" i="70"/>
  <c r="U2" i="80"/>
  <c r="U2" i="75"/>
  <c r="U67" i="73"/>
  <c r="U2" i="66"/>
  <c r="U2" i="67"/>
  <c r="N18" i="76"/>
  <c r="N26" i="67"/>
  <c r="N26" i="70"/>
  <c r="N26" i="69"/>
  <c r="N18" i="82"/>
  <c r="N18" i="77"/>
  <c r="N24" i="80"/>
  <c r="N26" i="75"/>
  <c r="N18" i="70"/>
  <c r="N18" i="69"/>
  <c r="N18" i="80"/>
  <c r="N18" i="81"/>
  <c r="N26" i="74"/>
  <c r="N18" i="75"/>
  <c r="N18" i="1"/>
  <c r="N18" i="66"/>
  <c r="N26" i="66"/>
  <c r="N26" i="73"/>
  <c r="N26" i="68"/>
  <c r="N18" i="68"/>
  <c r="Q10" i="65"/>
  <c r="Q26" i="65"/>
  <c r="AF26" i="65"/>
  <c r="C18" i="65"/>
  <c r="AF10" i="65"/>
  <c r="C10" i="65"/>
  <c r="BH105" i="78"/>
  <c r="BH85" i="81"/>
  <c r="BH72" i="77"/>
  <c r="BH128" i="66"/>
  <c r="BH103" i="68"/>
  <c r="B7" i="70"/>
  <c r="B7" i="76"/>
  <c r="N18" i="74"/>
  <c r="N24" i="78"/>
  <c r="BH102" i="69"/>
  <c r="U2" i="74"/>
  <c r="AY22" i="67"/>
  <c r="AY16" i="1"/>
  <c r="AY25" i="78"/>
  <c r="AY32" i="78"/>
  <c r="AY29" i="78"/>
  <c r="C9" i="4"/>
  <c r="B13" i="77"/>
  <c r="AR86" i="76"/>
  <c r="B7" i="69"/>
  <c r="B13" i="71"/>
  <c r="B22" i="2"/>
  <c r="U2" i="20"/>
  <c r="B14" i="20"/>
  <c r="F5" i="2"/>
  <c r="B7" i="1"/>
  <c r="B7" i="82"/>
  <c r="U7" i="10"/>
  <c r="B7" i="67"/>
  <c r="B7" i="71"/>
  <c r="B7" i="77"/>
  <c r="Q95" i="4"/>
  <c r="AF16" i="4"/>
  <c r="Q86" i="4"/>
  <c r="AT95" i="4"/>
  <c r="AF76" i="4"/>
  <c r="AF35" i="4"/>
  <c r="AF9" i="4"/>
  <c r="Q9" i="4"/>
  <c r="AF53" i="4"/>
  <c r="AF45" i="4"/>
  <c r="AF17" i="4"/>
  <c r="C27" i="4"/>
  <c r="O82" i="76"/>
  <c r="O28" i="78"/>
  <c r="O28" i="81"/>
  <c r="B7" i="80"/>
  <c r="N18" i="78"/>
  <c r="T8" i="2"/>
  <c r="B150" i="2" s="1"/>
  <c r="AU64" i="68" s="1"/>
  <c r="AA10" i="2"/>
  <c r="U2" i="81"/>
  <c r="U2" i="69"/>
  <c r="AY19" i="68"/>
  <c r="AY22" i="1"/>
  <c r="AY27" i="78"/>
  <c r="AY21" i="80"/>
  <c r="AY31" i="78"/>
  <c r="O28" i="80"/>
  <c r="AT75" i="4"/>
  <c r="C76" i="4"/>
  <c r="AT76" i="4"/>
  <c r="B13" i="1"/>
  <c r="B13" i="82"/>
  <c r="Q27" i="4"/>
  <c r="N26" i="71"/>
  <c r="N18" i="71"/>
  <c r="B7" i="68"/>
  <c r="C2" i="7"/>
  <c r="B10" i="71"/>
  <c r="B8" i="20"/>
  <c r="C22" i="2"/>
  <c r="AM7" i="10"/>
  <c r="AF12" i="65"/>
  <c r="C12" i="65"/>
  <c r="N83" i="71"/>
  <c r="B10" i="73"/>
  <c r="B10" i="68"/>
  <c r="Q28" i="65"/>
  <c r="C20" i="65"/>
  <c r="Q20" i="65"/>
  <c r="I10" i="7"/>
  <c r="AL14" i="10"/>
  <c r="AR86" i="70"/>
  <c r="AU103" i="75"/>
  <c r="V87" i="75" s="1"/>
  <c r="AU103" i="74"/>
  <c r="V87" i="74" s="1"/>
  <c r="AR86" i="73"/>
  <c r="AR86" i="71"/>
  <c r="AK9" i="76"/>
  <c r="AK9" i="70"/>
  <c r="AK9" i="71"/>
  <c r="AK9" i="73"/>
  <c r="C29" i="65"/>
  <c r="Q18" i="65"/>
  <c r="AF18" i="65"/>
  <c r="AF21" i="4"/>
  <c r="M465" i="7"/>
  <c r="M323" i="7"/>
  <c r="M649" i="7"/>
  <c r="BJ61" i="73" s="1"/>
  <c r="BK61" i="73" s="1"/>
  <c r="M762" i="7"/>
  <c r="M341" i="7"/>
  <c r="M48" i="7"/>
  <c r="M680" i="7"/>
  <c r="M869" i="7"/>
  <c r="M634" i="7"/>
  <c r="M343" i="7"/>
  <c r="M1028" i="7"/>
  <c r="M436" i="7"/>
  <c r="M982" i="7"/>
  <c r="M355" i="7"/>
  <c r="M176" i="7"/>
  <c r="M891" i="7"/>
  <c r="M785" i="7"/>
  <c r="M909" i="7"/>
  <c r="M231" i="7"/>
  <c r="M328" i="7"/>
  <c r="M867" i="7"/>
  <c r="M447" i="7"/>
  <c r="M59" i="7"/>
  <c r="M215" i="7"/>
  <c r="M898" i="7"/>
  <c r="M752" i="7"/>
  <c r="M477" i="7"/>
  <c r="M279" i="7"/>
  <c r="M568" i="7"/>
  <c r="M517" i="7"/>
  <c r="M557" i="7"/>
  <c r="M633" i="7"/>
  <c r="M721" i="7"/>
  <c r="M506" i="7"/>
  <c r="M814" i="7"/>
  <c r="M751" i="7"/>
  <c r="M804" i="7"/>
  <c r="M548" i="7"/>
  <c r="M931" i="7"/>
  <c r="M778" i="7"/>
  <c r="M572" i="7"/>
  <c r="M300" i="7"/>
  <c r="M890" i="7"/>
  <c r="M551" i="7"/>
  <c r="M418" i="7"/>
  <c r="M711" i="7"/>
  <c r="M532" i="7"/>
  <c r="M127" i="7"/>
  <c r="M817" i="7"/>
  <c r="M563" i="7"/>
  <c r="M113" i="7"/>
  <c r="M681" i="7"/>
  <c r="M962" i="7"/>
  <c r="M43" i="7"/>
  <c r="M358" i="7"/>
  <c r="M908" i="7"/>
  <c r="M910" i="7"/>
  <c r="M651" i="7"/>
  <c r="M860" i="7"/>
  <c r="M133" i="7"/>
  <c r="M116" i="7"/>
  <c r="M722" i="7"/>
  <c r="M107" i="7"/>
  <c r="M826" i="7"/>
  <c r="M979" i="7"/>
  <c r="M985" i="7"/>
  <c r="M862" i="7"/>
  <c r="M463" i="7"/>
  <c r="M889" i="7"/>
  <c r="M612" i="7"/>
  <c r="M512" i="7"/>
  <c r="M95" i="7"/>
  <c r="M567" i="7"/>
  <c r="M934" i="7"/>
  <c r="M809" i="7"/>
  <c r="M143" i="7"/>
  <c r="M644" i="7"/>
  <c r="M371" i="7"/>
  <c r="M640" i="7"/>
  <c r="M577" i="7"/>
  <c r="M696" i="7"/>
  <c r="M367" i="7"/>
  <c r="M704" i="7"/>
  <c r="AM17" i="10"/>
  <c r="BH128" i="1"/>
  <c r="AA8" i="2"/>
  <c r="Q8" i="2"/>
  <c r="AO67" i="71"/>
  <c r="AO2" i="74"/>
  <c r="AO2" i="68"/>
  <c r="AO67" i="74"/>
  <c r="AO2" i="75"/>
  <c r="AO67" i="73"/>
  <c r="AO2" i="67"/>
  <c r="AO67" i="75"/>
  <c r="AO2" i="77"/>
  <c r="AO2" i="73"/>
  <c r="AO67" i="76"/>
  <c r="AO2" i="76"/>
  <c r="AO67" i="70"/>
  <c r="AO2" i="81"/>
  <c r="AO2" i="78"/>
  <c r="AO2" i="1"/>
  <c r="AO2" i="69"/>
  <c r="AO2" i="66"/>
  <c r="AO2" i="20"/>
  <c r="G2" i="69"/>
  <c r="G2" i="70"/>
  <c r="G2" i="4"/>
  <c r="G2" i="77"/>
  <c r="G2" i="68"/>
  <c r="G2" i="67"/>
  <c r="G67" i="74"/>
  <c r="G67" i="73"/>
  <c r="G2" i="1"/>
  <c r="G67" i="75"/>
  <c r="G67" i="71"/>
  <c r="G2" i="74"/>
  <c r="G2" i="78"/>
  <c r="G67" i="70"/>
  <c r="G2" i="75"/>
  <c r="G2" i="80"/>
  <c r="G2" i="20"/>
  <c r="G2" i="65"/>
  <c r="G2" i="82"/>
  <c r="G2" i="73"/>
  <c r="G2" i="10"/>
  <c r="G67" i="76"/>
  <c r="U14" i="10"/>
  <c r="O82" i="70"/>
  <c r="O82" i="73"/>
  <c r="O81" i="74"/>
  <c r="O82" i="71"/>
  <c r="M584" i="7"/>
  <c r="M479" i="7"/>
  <c r="M485" i="7"/>
  <c r="M250" i="7"/>
  <c r="M830" i="7"/>
  <c r="M78" i="7"/>
  <c r="M575" i="7"/>
  <c r="M675" i="7"/>
  <c r="M587" i="7"/>
  <c r="M702" i="7"/>
  <c r="M632" i="7"/>
  <c r="M754" i="7"/>
  <c r="M688" i="7"/>
  <c r="M126" i="7"/>
  <c r="M866" i="7"/>
  <c r="M919" i="7"/>
  <c r="M308" i="7"/>
  <c r="M565" i="7"/>
  <c r="M895" i="7"/>
  <c r="M265" i="7"/>
  <c r="M91" i="7"/>
  <c r="M29" i="7"/>
  <c r="M433" i="7"/>
  <c r="M966" i="7"/>
  <c r="M676" i="7"/>
  <c r="M282" i="7"/>
  <c r="M686" i="7"/>
  <c r="M690" i="7"/>
  <c r="M912" i="7"/>
  <c r="M763" i="7"/>
  <c r="M594" i="7"/>
  <c r="M623" i="7"/>
  <c r="M218" i="7"/>
  <c r="M14" i="7"/>
  <c r="M929" i="7"/>
  <c r="M245" i="7"/>
  <c r="M761" i="7"/>
  <c r="M760" i="7"/>
  <c r="M935" i="7"/>
  <c r="M927" i="7"/>
  <c r="AP14" i="10"/>
  <c r="H28" i="67"/>
  <c r="H19" i="66"/>
  <c r="H27" i="1"/>
  <c r="H20" i="71"/>
  <c r="H28" i="71"/>
  <c r="H22" i="73"/>
  <c r="H22" i="66"/>
  <c r="H28" i="66"/>
  <c r="H20" i="67"/>
  <c r="U2" i="10"/>
  <c r="H30" i="71"/>
  <c r="B8" i="67"/>
  <c r="AC82" i="75"/>
  <c r="H20" i="69"/>
  <c r="H19" i="73"/>
  <c r="H28" i="73"/>
  <c r="H20" i="66"/>
  <c r="H30" i="67"/>
  <c r="H30" i="1"/>
  <c r="H20" i="81"/>
  <c r="B8" i="70"/>
  <c r="B8" i="74"/>
  <c r="C31" i="4"/>
  <c r="U2" i="73"/>
  <c r="H22" i="69"/>
  <c r="H19" i="70"/>
  <c r="H27" i="67"/>
  <c r="H30" i="69"/>
  <c r="AU13" i="10"/>
  <c r="U67" i="70"/>
  <c r="U2" i="71"/>
  <c r="H27" i="70"/>
  <c r="H19" i="69"/>
  <c r="H20" i="70"/>
  <c r="H20" i="68"/>
  <c r="H22" i="68"/>
  <c r="H30" i="68"/>
  <c r="U2" i="4"/>
  <c r="H30" i="70"/>
  <c r="H27" i="69"/>
  <c r="H20" i="73"/>
  <c r="H19" i="71"/>
  <c r="H22" i="67"/>
  <c r="H19" i="68"/>
  <c r="H27" i="66"/>
  <c r="U2" i="1"/>
  <c r="U2" i="68"/>
  <c r="H28" i="1"/>
  <c r="U67" i="75"/>
  <c r="BH128" i="67"/>
  <c r="AI67" i="76"/>
  <c r="AI2" i="78"/>
  <c r="AI2" i="66"/>
  <c r="AI2" i="1"/>
  <c r="AI2" i="77"/>
  <c r="AI2" i="73"/>
  <c r="AI2" i="65"/>
  <c r="AI2" i="67"/>
  <c r="AI2" i="10"/>
  <c r="AI2" i="4"/>
  <c r="AI67" i="71"/>
  <c r="AI2" i="71"/>
  <c r="AI2" i="70"/>
  <c r="AI67" i="70"/>
  <c r="AI2" i="68"/>
  <c r="AI2" i="69"/>
  <c r="AI67" i="73"/>
  <c r="AI2" i="20"/>
  <c r="M839" i="7"/>
  <c r="M425" i="7"/>
  <c r="M130" i="7"/>
  <c r="AY17" i="66"/>
  <c r="AY19" i="1"/>
  <c r="AY16" i="70"/>
  <c r="AY19" i="74"/>
  <c r="AY22" i="73"/>
  <c r="AY22" i="71"/>
  <c r="AY20" i="1"/>
  <c r="AY22" i="70"/>
  <c r="AY16" i="71"/>
  <c r="AY18" i="68"/>
  <c r="AY18" i="66"/>
  <c r="AY18" i="71"/>
  <c r="AY21" i="73"/>
  <c r="AY20" i="73"/>
  <c r="AY11" i="77"/>
  <c r="AY18" i="67"/>
  <c r="AY14" i="68"/>
  <c r="AY19" i="67"/>
  <c r="AY18" i="73"/>
  <c r="AY18" i="74"/>
  <c r="AY20" i="71"/>
  <c r="AY16" i="73"/>
  <c r="AY12" i="77"/>
  <c r="AY15" i="68"/>
  <c r="AY17" i="74"/>
  <c r="AY15" i="70"/>
  <c r="AY19" i="70"/>
  <c r="AY17" i="71"/>
  <c r="AY13" i="77"/>
  <c r="AY20" i="66"/>
  <c r="AY16" i="74"/>
  <c r="AY21" i="70"/>
  <c r="AY18" i="1"/>
  <c r="AY23" i="67"/>
  <c r="AY16" i="68"/>
  <c r="AY15" i="74"/>
  <c r="AY23" i="70"/>
  <c r="AY15" i="73"/>
  <c r="AY19" i="73"/>
  <c r="AY23" i="73"/>
  <c r="AY20" i="67"/>
  <c r="AY21" i="66"/>
  <c r="AY21" i="67"/>
  <c r="AY22" i="74"/>
  <c r="AY21" i="74"/>
  <c r="AY21" i="71"/>
  <c r="AY17" i="73"/>
  <c r="AY17" i="70"/>
  <c r="AY18" i="70"/>
  <c r="M198" i="7"/>
  <c r="M956" i="7"/>
  <c r="M940" i="7"/>
  <c r="M466" i="7"/>
  <c r="M853" i="7"/>
  <c r="M718" i="7"/>
  <c r="M588" i="7"/>
  <c r="M60" i="7"/>
  <c r="M319" i="7"/>
  <c r="M382" i="7"/>
  <c r="M757" i="7"/>
  <c r="M629" i="7"/>
  <c r="M423" i="7"/>
  <c r="M816" i="7"/>
  <c r="M865" i="7"/>
  <c r="M377" i="7"/>
  <c r="M31" i="7"/>
  <c r="M872" i="7"/>
  <c r="M683" i="7"/>
  <c r="M945" i="7"/>
  <c r="M94" i="7"/>
  <c r="M304" i="7"/>
  <c r="M236" i="7"/>
  <c r="M843" i="7"/>
  <c r="M937" i="7"/>
  <c r="M554" i="7"/>
  <c r="M911" i="7"/>
  <c r="M428" i="7"/>
  <c r="M307" i="7"/>
  <c r="M819" i="7"/>
  <c r="M765" i="7"/>
  <c r="M398" i="7"/>
  <c r="M652" i="7"/>
  <c r="M996" i="7"/>
  <c r="M272" i="7"/>
  <c r="M402" i="7"/>
  <c r="M314" i="7"/>
  <c r="M393" i="7"/>
  <c r="M871" i="7"/>
  <c r="M21" i="7"/>
  <c r="M850" i="7"/>
  <c r="M815" i="7"/>
  <c r="M961" i="7"/>
  <c r="M812" i="7"/>
  <c r="M694" i="7"/>
  <c r="M627" i="7"/>
  <c r="M390" i="7"/>
  <c r="M525" i="7"/>
  <c r="M922" i="7"/>
  <c r="M916" i="7"/>
  <c r="M977" i="7"/>
  <c r="M153" i="7"/>
  <c r="M971" i="7"/>
  <c r="M429" i="7"/>
  <c r="M443" i="7"/>
  <c r="M625" i="7"/>
  <c r="M1018" i="7"/>
  <c r="M235" i="7"/>
  <c r="M326" i="7"/>
  <c r="M569" i="7"/>
  <c r="M162" i="7"/>
  <c r="M378" i="7"/>
  <c r="M67" i="7"/>
  <c r="M158" i="7"/>
  <c r="M923" i="7"/>
  <c r="M470" i="7"/>
  <c r="M1010" i="7"/>
  <c r="M616" i="7"/>
  <c r="M128" i="7"/>
  <c r="M741" i="7"/>
  <c r="M201" i="7"/>
  <c r="M331" i="7"/>
  <c r="M708" i="7"/>
  <c r="M296" i="7"/>
  <c r="M366" i="7"/>
  <c r="M918" i="7"/>
  <c r="M863" i="7"/>
  <c r="M92" i="7"/>
  <c r="M1004" i="7"/>
  <c r="M503" i="7"/>
  <c r="M294" i="7"/>
  <c r="M306" i="7"/>
  <c r="M558" i="7"/>
  <c r="M954" i="7"/>
  <c r="M648" i="7"/>
  <c r="M400" i="7"/>
  <c r="M255" i="7"/>
  <c r="M540" i="7"/>
  <c r="M52" i="7"/>
  <c r="M349" i="7"/>
  <c r="M783" i="7"/>
  <c r="M1002" i="7"/>
  <c r="Q25" i="65"/>
  <c r="C17" i="65"/>
  <c r="Q9" i="65"/>
  <c r="M742" i="7"/>
  <c r="M846" i="7"/>
  <c r="M978" i="7"/>
  <c r="M848" i="7"/>
  <c r="I6" i="7"/>
  <c r="AO28" i="10"/>
  <c r="K20" i="2"/>
  <c r="J6" i="7"/>
  <c r="AP28" i="10"/>
  <c r="B33" i="77"/>
  <c r="B33" i="73"/>
  <c r="B33" i="69"/>
  <c r="B33" i="74"/>
  <c r="B33" i="66"/>
  <c r="B33" i="76"/>
  <c r="B33" i="1"/>
  <c r="B33" i="70"/>
  <c r="B33" i="75"/>
  <c r="B33" i="67"/>
  <c r="B33" i="71"/>
  <c r="B33" i="68"/>
  <c r="B11" i="77"/>
  <c r="B11" i="71"/>
  <c r="G22" i="2"/>
  <c r="G10" i="7"/>
  <c r="B7" i="78"/>
  <c r="B7" i="75"/>
  <c r="B7" i="74"/>
  <c r="B7" i="73"/>
  <c r="C103" i="4"/>
  <c r="B32" i="75"/>
  <c r="B32" i="67"/>
  <c r="B32" i="73"/>
  <c r="B32" i="77"/>
  <c r="B27" i="78"/>
  <c r="B32" i="69"/>
  <c r="B27" i="82"/>
  <c r="B32" i="68"/>
  <c r="B32" i="76"/>
  <c r="B32" i="1"/>
  <c r="B32" i="70"/>
  <c r="B27" i="80"/>
  <c r="B32" i="74"/>
  <c r="B32" i="66"/>
  <c r="B27" i="81"/>
  <c r="B32" i="71"/>
  <c r="B34" i="69"/>
  <c r="B34" i="77"/>
  <c r="B34" i="74"/>
  <c r="B34" i="66"/>
  <c r="B34" i="71"/>
  <c r="B34" i="70"/>
  <c r="B34" i="75"/>
  <c r="B34" i="67"/>
  <c r="B34" i="73"/>
  <c r="B34" i="68"/>
  <c r="B34" i="76"/>
  <c r="B34" i="1"/>
  <c r="C26" i="4"/>
  <c r="AI17" i="75"/>
  <c r="AI17" i="67"/>
  <c r="AI17" i="74"/>
  <c r="AI17" i="66"/>
  <c r="AI17" i="76"/>
  <c r="AI17" i="70"/>
  <c r="AI17" i="69"/>
  <c r="AI17" i="68"/>
  <c r="AI17" i="1"/>
  <c r="AI17" i="73"/>
  <c r="AI17" i="77"/>
  <c r="AI17" i="71"/>
  <c r="AK9" i="74"/>
  <c r="N26" i="76"/>
  <c r="C26" i="65"/>
  <c r="AI25" i="1"/>
  <c r="AI25" i="66"/>
  <c r="AI25" i="67"/>
  <c r="AI25" i="68"/>
  <c r="AI25" i="77"/>
  <c r="AI25" i="76"/>
  <c r="AI25" i="74"/>
  <c r="AI25" i="75"/>
  <c r="AI25" i="69"/>
  <c r="AI25" i="70"/>
  <c r="AI25" i="71"/>
  <c r="AI25" i="73"/>
  <c r="AF39" i="4"/>
  <c r="BH86" i="80"/>
  <c r="AY48" i="77"/>
  <c r="AY80" i="73"/>
  <c r="AY80" i="1"/>
  <c r="AY67" i="68"/>
  <c r="AY66" i="69"/>
  <c r="AY51" i="81"/>
  <c r="AY66" i="76"/>
  <c r="AY80" i="74"/>
  <c r="AY80" i="67"/>
  <c r="AY80" i="66"/>
  <c r="AY62" i="78"/>
  <c r="M38" i="7" l="1"/>
  <c r="M663" i="7"/>
  <c r="BA39" i="75" s="1"/>
  <c r="BB39" i="75" s="1"/>
  <c r="M221" i="7"/>
  <c r="M72" i="7"/>
  <c r="M389" i="7"/>
  <c r="M539" i="7"/>
  <c r="M144" i="7"/>
  <c r="M351" i="7"/>
  <c r="M262" i="7"/>
  <c r="M698" i="7"/>
  <c r="BJ109" i="86" s="1"/>
  <c r="BK109" i="86" s="1"/>
  <c r="M464" i="7"/>
  <c r="G192" i="2" s="1"/>
  <c r="H192" i="2" s="1"/>
  <c r="M223" i="7"/>
  <c r="M407" i="7"/>
  <c r="M249" i="7"/>
  <c r="M801" i="7"/>
  <c r="M951" i="7"/>
  <c r="M441" i="7"/>
  <c r="M419" i="7"/>
  <c r="M932" i="7"/>
  <c r="M12" i="7"/>
  <c r="M856" i="7"/>
  <c r="M715" i="7"/>
  <c r="BA79" i="86" s="1"/>
  <c r="BB79" i="86" s="1"/>
  <c r="M164" i="7"/>
  <c r="M864" i="7"/>
  <c r="M138" i="7"/>
  <c r="M601" i="7"/>
  <c r="M780" i="7"/>
  <c r="M233" i="7"/>
  <c r="M498" i="7"/>
  <c r="M298" i="7"/>
  <c r="M740" i="7"/>
  <c r="M269" i="7"/>
  <c r="M1012" i="7"/>
  <c r="M791" i="7"/>
  <c r="M682" i="7"/>
  <c r="BA62" i="87" s="1"/>
  <c r="BB62" i="87" s="1"/>
  <c r="M286" i="7"/>
  <c r="M975" i="7"/>
  <c r="M653" i="7"/>
  <c r="M284" i="7"/>
  <c r="M448" i="7"/>
  <c r="M170" i="7"/>
  <c r="M141" i="7"/>
  <c r="M894" i="7"/>
  <c r="M726" i="7"/>
  <c r="M118" i="7"/>
  <c r="M312" i="7"/>
  <c r="M437" i="7"/>
  <c r="M953" i="7"/>
  <c r="M781" i="7"/>
  <c r="M98" i="7"/>
  <c r="M106" i="7"/>
  <c r="M333" i="7"/>
  <c r="M45" i="7"/>
  <c r="M729" i="7"/>
  <c r="BJ118" i="74" s="1"/>
  <c r="BK118" i="74" s="1"/>
  <c r="M134" i="7"/>
  <c r="M1040" i="7"/>
  <c r="M1032" i="7"/>
  <c r="M420" i="7"/>
  <c r="M1005" i="7"/>
  <c r="M824" i="7"/>
  <c r="M261" i="7"/>
  <c r="M936" i="7"/>
  <c r="M232" i="7"/>
  <c r="M289" i="7"/>
  <c r="M784" i="7"/>
  <c r="M292" i="7"/>
  <c r="M992" i="7"/>
  <c r="M786" i="7"/>
  <c r="M672" i="7"/>
  <c r="M372" i="7"/>
  <c r="M356" i="7"/>
  <c r="M353" i="7"/>
  <c r="M562" i="7"/>
  <c r="M197" i="7"/>
  <c r="M885" i="7"/>
  <c r="M638" i="7"/>
  <c r="M450" i="7"/>
  <c r="M571" i="7"/>
  <c r="BA15" i="82" s="1"/>
  <c r="BB15" i="82" s="1"/>
  <c r="M337" i="7"/>
  <c r="M212" i="7"/>
  <c r="M983" i="7"/>
  <c r="M77" i="7"/>
  <c r="M592" i="7"/>
  <c r="M607" i="7"/>
  <c r="BJ153" i="84" s="1"/>
  <c r="BK153" i="84" s="1"/>
  <c r="M613" i="7"/>
  <c r="M340" i="7"/>
  <c r="M459" i="7"/>
  <c r="M405" i="7"/>
  <c r="M403" i="7"/>
  <c r="M422" i="7"/>
  <c r="M570" i="7"/>
  <c r="G217" i="2" s="1"/>
  <c r="H217" i="2" s="1"/>
  <c r="M883" i="7"/>
  <c r="M187" i="7"/>
  <c r="M20" i="7"/>
  <c r="M875" i="7"/>
  <c r="M947" i="7"/>
  <c r="M413" i="7"/>
  <c r="M369" i="7"/>
  <c r="M408" i="7"/>
  <c r="M121" i="7"/>
  <c r="M802" i="7"/>
  <c r="M487" i="7"/>
  <c r="BJ145" i="86" s="1"/>
  <c r="BK145" i="86" s="1"/>
  <c r="M969" i="7"/>
  <c r="M759" i="7"/>
  <c r="M18" i="7"/>
  <c r="M449" i="7"/>
  <c r="M776" i="7"/>
  <c r="M994" i="7"/>
  <c r="M720" i="7"/>
  <c r="M361" i="7"/>
  <c r="M808" i="7"/>
  <c r="M646" i="7"/>
  <c r="M295" i="7"/>
  <c r="M490" i="7"/>
  <c r="M1024" i="7"/>
  <c r="M958" i="7"/>
  <c r="M426" i="7"/>
  <c r="M1013" i="7"/>
  <c r="M368" i="7"/>
  <c r="M589" i="7"/>
  <c r="M661" i="7"/>
  <c r="M887" i="7"/>
  <c r="M732" i="7"/>
  <c r="M458" i="7"/>
  <c r="M519" i="7"/>
  <c r="M16" i="7"/>
  <c r="M639" i="7"/>
  <c r="G263" i="2" s="1"/>
  <c r="H263" i="2" s="1"/>
  <c r="M574" i="7"/>
  <c r="BA18" i="75" s="1"/>
  <c r="BB18" i="75" s="1"/>
  <c r="M650" i="7"/>
  <c r="M254" i="7"/>
  <c r="M383" i="7"/>
  <c r="M793" i="7"/>
  <c r="M579" i="7"/>
  <c r="M416" i="7"/>
  <c r="M928" i="7"/>
  <c r="M522" i="7"/>
  <c r="M643" i="7"/>
  <c r="M438" i="7"/>
  <c r="M658" i="7"/>
  <c r="G282" i="2" s="1"/>
  <c r="H282" i="2" s="1"/>
  <c r="M338" i="7"/>
  <c r="M168" i="7"/>
  <c r="M399" i="7"/>
  <c r="M823" i="7"/>
  <c r="M933" i="7"/>
  <c r="M434" i="7"/>
  <c r="M42" i="7"/>
  <c r="M946" i="7"/>
  <c r="M365" i="7"/>
  <c r="M596" i="7"/>
  <c r="BA98" i="87" s="1"/>
  <c r="BB98" i="87" s="1"/>
  <c r="M855" i="7"/>
  <c r="M959" i="7"/>
  <c r="M336" i="7"/>
  <c r="M963" i="7"/>
  <c r="M401" i="7"/>
  <c r="M976" i="7"/>
  <c r="M582" i="7"/>
  <c r="BJ145" i="87" s="1"/>
  <c r="BK145" i="87" s="1"/>
  <c r="M805" i="7"/>
  <c r="M531" i="7"/>
  <c r="M496" i="7"/>
  <c r="M194" i="7"/>
  <c r="M904" i="7"/>
  <c r="M501" i="7"/>
  <c r="M156" i="7"/>
  <c r="M902" i="7"/>
  <c r="M359" i="7"/>
  <c r="M493" i="7"/>
  <c r="M628" i="7"/>
  <c r="BJ45" i="67" s="1"/>
  <c r="BK45" i="67" s="1"/>
  <c r="M486" i="7"/>
  <c r="M709" i="7"/>
  <c r="M547" i="7"/>
  <c r="M840" i="7"/>
  <c r="M967" i="7"/>
  <c r="M376" i="7"/>
  <c r="M412" i="7"/>
  <c r="M237" i="7"/>
  <c r="M267" i="7"/>
  <c r="M75" i="7"/>
  <c r="M746" i="7"/>
  <c r="M411" i="7"/>
  <c r="M318" i="7"/>
  <c r="M717" i="7"/>
  <c r="M1020" i="7"/>
  <c r="M335" i="7"/>
  <c r="M1017" i="7"/>
  <c r="M775" i="7"/>
  <c r="M494" i="7"/>
  <c r="M583" i="7"/>
  <c r="G226" i="2" s="1"/>
  <c r="H226" i="2" s="1"/>
  <c r="M68" i="7"/>
  <c r="M806" i="7"/>
  <c r="M112" i="7"/>
  <c r="M660" i="7"/>
  <c r="G284" i="2" s="1"/>
  <c r="H284" i="2" s="1"/>
  <c r="M510" i="7"/>
  <c r="M475" i="7"/>
  <c r="M132" i="7"/>
  <c r="M771" i="7"/>
  <c r="M550" i="7"/>
  <c r="M1029" i="7"/>
  <c r="M799" i="7"/>
  <c r="M1001" i="7"/>
  <c r="M90" i="7"/>
  <c r="M217" i="7"/>
  <c r="M260" i="7"/>
  <c r="M768" i="7"/>
  <c r="M635" i="7"/>
  <c r="BJ39" i="68" s="1"/>
  <c r="BK39" i="68" s="1"/>
  <c r="M256" i="7"/>
  <c r="M924" i="7"/>
  <c r="M948" i="7"/>
  <c r="M484" i="7"/>
  <c r="M972" i="7"/>
  <c r="M432" i="7"/>
  <c r="M274" i="7"/>
  <c r="M603" i="7"/>
  <c r="M446" i="7"/>
  <c r="M687" i="7"/>
  <c r="BA61" i="70" s="1"/>
  <c r="BB61" i="70" s="1"/>
  <c r="M213" i="7"/>
  <c r="M821" i="7"/>
  <c r="M997" i="7"/>
  <c r="M79" i="7"/>
  <c r="M544" i="7"/>
  <c r="M545" i="7"/>
  <c r="M461" i="7"/>
  <c r="M753" i="7"/>
  <c r="M1023" i="7"/>
  <c r="M230" i="7"/>
  <c r="M667" i="7"/>
  <c r="M406" i="7"/>
  <c r="M965" i="7"/>
  <c r="M710" i="7"/>
  <c r="BA74" i="85" s="1"/>
  <c r="BB74" i="85" s="1"/>
  <c r="M838" i="7"/>
  <c r="M65" i="7"/>
  <c r="M161" i="7"/>
  <c r="M845" i="7"/>
  <c r="M787" i="7"/>
  <c r="M724" i="7"/>
  <c r="BJ127" i="87" s="1"/>
  <c r="BK127" i="87" s="1"/>
  <c r="M631" i="7"/>
  <c r="BJ31" i="82" s="1"/>
  <c r="BK31" i="82" s="1"/>
  <c r="M40" i="7"/>
  <c r="M293" i="7"/>
  <c r="M585" i="7"/>
  <c r="M150" i="7"/>
  <c r="M679" i="7"/>
  <c r="M877" i="7"/>
  <c r="M847" i="7"/>
  <c r="M253" i="7"/>
  <c r="M828" i="7"/>
  <c r="M339" i="7"/>
  <c r="M385" i="7"/>
  <c r="M1047" i="7"/>
  <c r="M1046" i="7"/>
  <c r="M325" i="7"/>
  <c r="M944" i="7"/>
  <c r="M930" i="7"/>
  <c r="M914" i="7"/>
  <c r="M33" i="7"/>
  <c r="M1021" i="7"/>
  <c r="M122" i="7"/>
  <c r="M482" i="7"/>
  <c r="M259" i="7"/>
  <c r="M1030" i="7"/>
  <c r="M542" i="7"/>
  <c r="M1045" i="7"/>
  <c r="M145" i="7"/>
  <c r="M444" i="7"/>
  <c r="M674" i="7"/>
  <c r="BJ79" i="73" s="1"/>
  <c r="BK79" i="73" s="1"/>
  <c r="M155" i="7"/>
  <c r="M529" i="7"/>
  <c r="M549" i="7"/>
  <c r="M637" i="7"/>
  <c r="M755" i="7"/>
  <c r="M154" i="7"/>
  <c r="M195" i="7"/>
  <c r="M968" i="7"/>
  <c r="M995" i="7"/>
  <c r="M695" i="7"/>
  <c r="M199" i="7"/>
  <c r="M268" i="7"/>
  <c r="M73" i="7"/>
  <c r="M334" i="7"/>
  <c r="M905" i="7"/>
  <c r="M907" i="7"/>
  <c r="M527" i="7"/>
  <c r="M725" i="7"/>
  <c r="BJ59" i="77" s="1"/>
  <c r="BK59" i="77" s="1"/>
  <c r="M305" i="7"/>
  <c r="M363" i="7"/>
  <c r="M424" i="7"/>
  <c r="M80" i="7"/>
  <c r="M600" i="7"/>
  <c r="M943" i="7"/>
  <c r="M345" i="7"/>
  <c r="M23" i="7"/>
  <c r="M297" i="7"/>
  <c r="M999" i="7"/>
  <c r="M800" i="7"/>
  <c r="M386" i="7"/>
  <c r="M96" i="7"/>
  <c r="M820" i="7"/>
  <c r="M970" i="7"/>
  <c r="M566" i="7"/>
  <c r="M159" i="7"/>
  <c r="M149" i="7"/>
  <c r="M1034" i="7"/>
  <c r="M987" i="7"/>
  <c r="M858" i="7"/>
  <c r="M747" i="7"/>
  <c r="M81" i="7"/>
  <c r="M135" i="7"/>
  <c r="M797" i="7"/>
  <c r="M957" i="7"/>
  <c r="M58" i="7"/>
  <c r="M101" i="7"/>
  <c r="M370" i="7"/>
  <c r="M258" i="7"/>
  <c r="M179" i="7"/>
  <c r="M169" i="7"/>
  <c r="M988" i="7"/>
  <c r="M462" i="7"/>
  <c r="BJ38" i="87" s="1"/>
  <c r="BK38" i="87" s="1"/>
  <c r="M897" i="7"/>
  <c r="M140" i="7"/>
  <c r="M950" i="7"/>
  <c r="M938" i="7"/>
  <c r="M147" i="7"/>
  <c r="M276" i="7"/>
  <c r="M941" i="7"/>
  <c r="M659" i="7"/>
  <c r="M749" i="7"/>
  <c r="M310" i="7"/>
  <c r="M590" i="7"/>
  <c r="M364" i="7"/>
  <c r="M892" i="7"/>
  <c r="M795" i="7"/>
  <c r="M495" i="7"/>
  <c r="M825" i="7"/>
  <c r="M561" i="7"/>
  <c r="M182" i="7"/>
  <c r="M481" i="7"/>
  <c r="M290" i="7"/>
  <c r="M515" i="7"/>
  <c r="M119" i="7"/>
  <c r="M782" i="7"/>
  <c r="M939" i="7"/>
  <c r="M309" i="7"/>
  <c r="M878" i="7"/>
  <c r="M508" i="7"/>
  <c r="M346" i="7"/>
  <c r="M744" i="7"/>
  <c r="M723" i="7"/>
  <c r="BJ126" i="85" s="1"/>
  <c r="BK126" i="85" s="1"/>
  <c r="M716" i="7"/>
  <c r="BA80" i="87" s="1"/>
  <c r="BB80" i="87" s="1"/>
  <c r="M451" i="7"/>
  <c r="M97" i="7"/>
  <c r="M27" i="7"/>
  <c r="M469" i="7"/>
  <c r="M528" i="7"/>
  <c r="M868" i="7"/>
  <c r="M736" i="7"/>
  <c r="M414" i="7"/>
  <c r="M311" i="7"/>
  <c r="M220" i="7"/>
  <c r="M837" i="7"/>
  <c r="M974" i="7"/>
  <c r="M457" i="7"/>
  <c r="M467" i="7"/>
  <c r="M586" i="7"/>
  <c r="M689" i="7"/>
  <c r="M533" i="7"/>
  <c r="M832" i="7"/>
  <c r="M384" i="7"/>
  <c r="M670" i="7"/>
  <c r="BA56" i="83" s="1"/>
  <c r="BB56" i="83" s="1"/>
  <c r="M514" i="7"/>
  <c r="M618" i="7"/>
  <c r="M203" i="7"/>
  <c r="M882" i="7"/>
  <c r="M713" i="7"/>
  <c r="BA77" i="87" s="1"/>
  <c r="BB77" i="87" s="1"/>
  <c r="M396" i="7"/>
  <c r="M772" i="7"/>
  <c r="M455" i="7"/>
  <c r="M1031" i="7"/>
  <c r="M1051" i="7"/>
  <c r="M1009" i="7"/>
  <c r="M56" i="7"/>
  <c r="M202" i="7"/>
  <c r="M536" i="7"/>
  <c r="M1037" i="7"/>
  <c r="M196" i="7"/>
  <c r="M216" i="7"/>
  <c r="M692" i="7"/>
  <c r="BJ89" i="67" s="1"/>
  <c r="BK89" i="67" s="1"/>
  <c r="M456" i="7"/>
  <c r="M700" i="7"/>
  <c r="M178" i="7"/>
  <c r="M324" i="7"/>
  <c r="M137" i="7"/>
  <c r="M884" i="7"/>
  <c r="M509" i="7"/>
  <c r="M511" i="7"/>
  <c r="M981" i="7"/>
  <c r="M115" i="7"/>
  <c r="M998" i="7"/>
  <c r="M537" i="7"/>
  <c r="M184" i="7"/>
  <c r="M893" i="7"/>
  <c r="M707" i="7"/>
  <c r="BA71" i="83" s="1"/>
  <c r="BB71" i="83" s="1"/>
  <c r="M22" i="7"/>
  <c r="M668" i="7"/>
  <c r="M427" i="7"/>
  <c r="M229" i="7"/>
  <c r="M266" i="7"/>
  <c r="M303" i="7"/>
  <c r="M26" i="7"/>
  <c r="M491" i="7"/>
  <c r="M109" i="7"/>
  <c r="M813" i="7"/>
  <c r="M852" i="7"/>
  <c r="M578" i="7"/>
  <c r="M489" i="7"/>
  <c r="M917" i="7"/>
  <c r="M186" i="7"/>
  <c r="M792" i="7"/>
  <c r="M770" i="7"/>
  <c r="M662" i="7"/>
  <c r="BA52" i="83" s="1"/>
  <c r="BB52" i="83" s="1"/>
  <c r="M17" i="7"/>
  <c r="M900" i="7"/>
  <c r="M731" i="7"/>
  <c r="BJ120" i="1" s="1"/>
  <c r="BK120" i="1" s="1"/>
  <c r="M641" i="7"/>
  <c r="M949" i="7"/>
  <c r="M610" i="7"/>
  <c r="M19" i="7"/>
  <c r="M280" i="7"/>
  <c r="M188" i="7"/>
  <c r="M719" i="7"/>
  <c r="BJ122" i="84" s="1"/>
  <c r="BK122" i="84" s="1"/>
  <c r="M1011" i="7"/>
  <c r="M404" i="7"/>
  <c r="M560" i="7"/>
  <c r="M507" i="7"/>
  <c r="M597" i="7"/>
  <c r="M1050" i="7"/>
  <c r="M622" i="7"/>
  <c r="BA22" i="82" s="1"/>
  <c r="BB22" i="82" s="1"/>
  <c r="M876" i="7"/>
  <c r="M1049" i="7"/>
  <c r="M362" i="7"/>
  <c r="M471" i="7"/>
  <c r="M283" i="7"/>
  <c r="M888" i="7"/>
  <c r="M139" i="7"/>
  <c r="M705" i="7"/>
  <c r="BA69" i="87" s="1"/>
  <c r="BB69" i="87" s="1"/>
  <c r="M581" i="7"/>
  <c r="BA85" i="74" s="1"/>
  <c r="BB85" i="74" s="1"/>
  <c r="M123" i="7"/>
  <c r="M373" i="7"/>
  <c r="M706" i="7"/>
  <c r="M39" i="7"/>
  <c r="M30" i="7"/>
  <c r="M822" i="7"/>
  <c r="M63" i="7"/>
  <c r="M111" i="7"/>
  <c r="M435" i="7"/>
  <c r="M964" i="7"/>
  <c r="M452" i="7"/>
  <c r="M497" i="7"/>
  <c r="M630" i="7"/>
  <c r="BJ48" i="80" s="1"/>
  <c r="BK48" i="80" s="1"/>
  <c r="M693" i="7"/>
  <c r="M117" i="7"/>
  <c r="M51" i="7"/>
  <c r="M277" i="7"/>
  <c r="M473" i="7"/>
  <c r="M252" i="7"/>
  <c r="M886" i="7"/>
  <c r="M1036" i="7"/>
  <c r="M1052" i="7"/>
  <c r="BA110" i="85" s="1"/>
  <c r="M859" i="7"/>
  <c r="M11" i="7"/>
  <c r="M615" i="7"/>
  <c r="BJ54" i="84" s="1"/>
  <c r="BK54" i="84" s="1"/>
  <c r="M166" i="7"/>
  <c r="M973" i="7"/>
  <c r="M174" i="7"/>
  <c r="M321" i="7"/>
  <c r="M387" i="7"/>
  <c r="M835" i="7"/>
  <c r="M439" i="7"/>
  <c r="M62" i="7"/>
  <c r="M841" i="7"/>
  <c r="M301" i="7"/>
  <c r="M1053" i="7"/>
  <c r="BJ159" i="86" s="1"/>
  <c r="BK159" i="86" s="1"/>
  <c r="M415" i="7"/>
  <c r="M124" i="7"/>
  <c r="M657" i="7"/>
  <c r="BJ69" i="66" s="1"/>
  <c r="BK69" i="66" s="1"/>
  <c r="M598" i="7"/>
  <c r="M896" i="7"/>
  <c r="M1007" i="7"/>
  <c r="M28" i="7"/>
  <c r="M664" i="7"/>
  <c r="BJ90" i="83" s="1"/>
  <c r="BK90" i="83" s="1"/>
  <c r="M442" i="7"/>
  <c r="M105" i="7"/>
  <c r="M870" i="7"/>
  <c r="M410" i="7"/>
  <c r="M608" i="7"/>
  <c r="M834" i="7"/>
  <c r="M654" i="7"/>
  <c r="M986" i="7"/>
  <c r="M807" i="7"/>
  <c r="M391" i="7"/>
  <c r="M34" i="7"/>
  <c r="M192" i="7"/>
  <c r="M492" i="7"/>
  <c r="M521" i="7"/>
  <c r="M85" i="7"/>
  <c r="M454" i="7"/>
  <c r="M546" i="7"/>
  <c r="M952" i="7"/>
  <c r="M64" i="7"/>
  <c r="M611" i="7"/>
  <c r="M302" i="7"/>
  <c r="M1044" i="7"/>
  <c r="M87" i="7"/>
  <c r="M564" i="7"/>
  <c r="M417" i="7"/>
  <c r="M476" i="7"/>
  <c r="M330" i="7"/>
  <c r="M794" i="7"/>
  <c r="M541" i="7"/>
  <c r="M82" i="7"/>
  <c r="M264" i="7"/>
  <c r="M980" i="7"/>
  <c r="M573" i="7"/>
  <c r="M74" i="7"/>
  <c r="M240" i="7"/>
  <c r="M344" i="7"/>
  <c r="M851" i="7"/>
  <c r="M1048" i="7"/>
  <c r="M1033" i="7"/>
  <c r="M880" i="7"/>
  <c r="M591" i="7"/>
  <c r="M556" i="7"/>
  <c r="M538" i="7"/>
  <c r="M278" i="7"/>
  <c r="M857" i="7"/>
  <c r="M773" i="7"/>
  <c r="M244" i="7"/>
  <c r="BJ24" i="71" s="1"/>
  <c r="BK24" i="71" s="1"/>
  <c r="M247" i="7"/>
  <c r="M699" i="7"/>
  <c r="BJ96" i="66" s="1"/>
  <c r="BK96" i="66" s="1"/>
  <c r="M173" i="7"/>
  <c r="M478" i="7"/>
  <c r="M609" i="7"/>
  <c r="BA25" i="66" s="1"/>
  <c r="BB25" i="66" s="1"/>
  <c r="M1035" i="7"/>
  <c r="M352" i="7"/>
  <c r="M626" i="7"/>
  <c r="AV87" i="75"/>
  <c r="B108" i="2"/>
  <c r="B107" i="2"/>
  <c r="M172" i="7"/>
  <c r="M394" i="7"/>
  <c r="G150" i="2" s="1"/>
  <c r="H150" i="2" s="1"/>
  <c r="M242" i="7"/>
  <c r="M224" i="7"/>
  <c r="M206" i="7"/>
  <c r="M171" i="7"/>
  <c r="M180" i="7"/>
  <c r="M395" i="7"/>
  <c r="M243" i="7"/>
  <c r="M207" i="7"/>
  <c r="M163" i="7"/>
  <c r="M209" i="7"/>
  <c r="M191" i="7"/>
  <c r="M227" i="7"/>
  <c r="M189" i="7"/>
  <c r="M225" i="7"/>
  <c r="M226" i="7"/>
  <c r="M208" i="7"/>
  <c r="M190" i="7"/>
  <c r="M181" i="7"/>
  <c r="BJ37" i="66"/>
  <c r="BK37" i="66" s="1"/>
  <c r="BJ37" i="71"/>
  <c r="BK37" i="71" s="1"/>
  <c r="BJ44" i="66"/>
  <c r="BK44" i="66" s="1"/>
  <c r="BJ44" i="71"/>
  <c r="BK44" i="71" s="1"/>
  <c r="BJ107" i="66"/>
  <c r="BK107" i="66" s="1"/>
  <c r="BJ107" i="71"/>
  <c r="BK107" i="71" s="1"/>
  <c r="BA67" i="66"/>
  <c r="BB67" i="66" s="1"/>
  <c r="BA67" i="71"/>
  <c r="BB67" i="71" s="1"/>
  <c r="BJ106" i="71"/>
  <c r="BK106" i="71" s="1"/>
  <c r="BJ106" i="66"/>
  <c r="BK106" i="66" s="1"/>
  <c r="BJ86" i="66"/>
  <c r="BK86" i="66" s="1"/>
  <c r="BJ86" i="71"/>
  <c r="BK86" i="71" s="1"/>
  <c r="BA42" i="71"/>
  <c r="BB42" i="71" s="1"/>
  <c r="BA42" i="66"/>
  <c r="BB42" i="66" s="1"/>
  <c r="BJ85" i="71"/>
  <c r="BK85" i="71" s="1"/>
  <c r="BJ85" i="66"/>
  <c r="BK85" i="66" s="1"/>
  <c r="BJ38" i="71"/>
  <c r="BK38" i="71" s="1"/>
  <c r="BJ38" i="66"/>
  <c r="BK38" i="66" s="1"/>
  <c r="BA54" i="71"/>
  <c r="BB54" i="71" s="1"/>
  <c r="BA54" i="66"/>
  <c r="BB54" i="66" s="1"/>
  <c r="AW51" i="69"/>
  <c r="AV63" i="67"/>
  <c r="AW63" i="71"/>
  <c r="BE93" i="75"/>
  <c r="BF119" i="1"/>
  <c r="BF65" i="71"/>
  <c r="AV51" i="75"/>
  <c r="BE65" i="1"/>
  <c r="BE119" i="71"/>
  <c r="BF89" i="1"/>
  <c r="BE94" i="68"/>
  <c r="BF87" i="1"/>
  <c r="BF67" i="81"/>
  <c r="BE40" i="71"/>
  <c r="AV120" i="66"/>
  <c r="AV55" i="67"/>
  <c r="AW92" i="74"/>
  <c r="AW104" i="69"/>
  <c r="BE67" i="75"/>
  <c r="AV14" i="82"/>
  <c r="BE119" i="73"/>
  <c r="BE119" i="70"/>
  <c r="BF115" i="75"/>
  <c r="AV87" i="74"/>
  <c r="BF68" i="68"/>
  <c r="AV44" i="78"/>
  <c r="BF80" i="75"/>
  <c r="AW35" i="77"/>
  <c r="BF102" i="74"/>
  <c r="BE66" i="80"/>
  <c r="BF51" i="69"/>
  <c r="BF80" i="69"/>
  <c r="BE43" i="76"/>
  <c r="BE58" i="78"/>
  <c r="BF93" i="74"/>
  <c r="AV60" i="76"/>
  <c r="BE64" i="71"/>
  <c r="BF88" i="74"/>
  <c r="BE136" i="74"/>
  <c r="BF29" i="77"/>
  <c r="AW74" i="67"/>
  <c r="BE81" i="68"/>
  <c r="AW16" i="76"/>
  <c r="BF40" i="70"/>
  <c r="AV54" i="70"/>
  <c r="BE129" i="67"/>
  <c r="BF100" i="1"/>
  <c r="BF137" i="74"/>
  <c r="BE99" i="1"/>
  <c r="BF87" i="70"/>
  <c r="BF65" i="82"/>
  <c r="AV54" i="74"/>
  <c r="BE48" i="82"/>
  <c r="BF89" i="67"/>
  <c r="BE65" i="74"/>
  <c r="AU93" i="73"/>
  <c r="BH128" i="71"/>
  <c r="AY48" i="71"/>
  <c r="BF58" i="80"/>
  <c r="BE99" i="78"/>
  <c r="BF89" i="78"/>
  <c r="AW74" i="66"/>
  <c r="BF119" i="66"/>
  <c r="BF71" i="80"/>
  <c r="BE64" i="76"/>
  <c r="AV88" i="74"/>
  <c r="AV85" i="75"/>
  <c r="AV85" i="74"/>
  <c r="BF65" i="73"/>
  <c r="BE78" i="78"/>
  <c r="BF44" i="68"/>
  <c r="AV89" i="74"/>
  <c r="AW86" i="74"/>
  <c r="BF89" i="73"/>
  <c r="BE130" i="74"/>
  <c r="BF40" i="82"/>
  <c r="BE132" i="74"/>
  <c r="BF57" i="71"/>
  <c r="BE119" i="67"/>
  <c r="BH135" i="71"/>
  <c r="AR87" i="71"/>
  <c r="BE117" i="71"/>
  <c r="BE89" i="71"/>
  <c r="BE133" i="74"/>
  <c r="BF131" i="74"/>
  <c r="BF79" i="1"/>
  <c r="AW42" i="80"/>
  <c r="AW64" i="68"/>
  <c r="AV64" i="68"/>
  <c r="AV16" i="69"/>
  <c r="BF75" i="76"/>
  <c r="BH129" i="66"/>
  <c r="BE57" i="66"/>
  <c r="AW63" i="66"/>
  <c r="BE88" i="66"/>
  <c r="BE130" i="66"/>
  <c r="BF65" i="66"/>
  <c r="B91" i="2"/>
  <c r="B92" i="2"/>
  <c r="BF34" i="77"/>
  <c r="BE34" i="77"/>
  <c r="AW54" i="73"/>
  <c r="AV54" i="73"/>
  <c r="B81" i="2"/>
  <c r="B89" i="2"/>
  <c r="BE38" i="82"/>
  <c r="L150" i="2"/>
  <c r="C150" i="2"/>
  <c r="K150" i="2"/>
  <c r="D150" i="2"/>
  <c r="BF102" i="67"/>
  <c r="BE102" i="67"/>
  <c r="AW58" i="74"/>
  <c r="BF110" i="75"/>
  <c r="BF128" i="67"/>
  <c r="BE128" i="67"/>
  <c r="BF128" i="1"/>
  <c r="BE128" i="1"/>
  <c r="AV103" i="68"/>
  <c r="AW103" i="68"/>
  <c r="BF60" i="76"/>
  <c r="BF45" i="70"/>
  <c r="BE130" i="71"/>
  <c r="AW55" i="71"/>
  <c r="BF73" i="77"/>
  <c r="BE73" i="77"/>
  <c r="AW140" i="74"/>
  <c r="AV140" i="74"/>
  <c r="AW36" i="74"/>
  <c r="BF109" i="75"/>
  <c r="AV51" i="1"/>
  <c r="BF102" i="66"/>
  <c r="AV90" i="80"/>
  <c r="AW146" i="83"/>
  <c r="AV146" i="83"/>
  <c r="BF132" i="84"/>
  <c r="BE132" i="84"/>
  <c r="AW70" i="84"/>
  <c r="AV70" i="84"/>
  <c r="BF105" i="87"/>
  <c r="BE105" i="87"/>
  <c r="BF104" i="84"/>
  <c r="BE104" i="84"/>
  <c r="BF145" i="85"/>
  <c r="BE145" i="85"/>
  <c r="AW144" i="83"/>
  <c r="AV144" i="83"/>
  <c r="BF130" i="84"/>
  <c r="BE130" i="84"/>
  <c r="AW69" i="84"/>
  <c r="AV69" i="84"/>
  <c r="BE103" i="86"/>
  <c r="BF103" i="86"/>
  <c r="AW143" i="83"/>
  <c r="AV143" i="83"/>
  <c r="BF129" i="84"/>
  <c r="BE129" i="84"/>
  <c r="BE114" i="85"/>
  <c r="BF114" i="85"/>
  <c r="AV60" i="87"/>
  <c r="AW60" i="87"/>
  <c r="BF128" i="84"/>
  <c r="BE128" i="84"/>
  <c r="BE113" i="85"/>
  <c r="BF113" i="85"/>
  <c r="BE96" i="86"/>
  <c r="BF96" i="86"/>
  <c r="BF39" i="83"/>
  <c r="BE39" i="83"/>
  <c r="BF112" i="84"/>
  <c r="BE112" i="84"/>
  <c r="BE95" i="84"/>
  <c r="BF95" i="84"/>
  <c r="BE89" i="85"/>
  <c r="BF89" i="85"/>
  <c r="AW76" i="86"/>
  <c r="AV76" i="86"/>
  <c r="BE99" i="86"/>
  <c r="BF99" i="86"/>
  <c r="AV52" i="87"/>
  <c r="AW52" i="87"/>
  <c r="AW75" i="84"/>
  <c r="AV75" i="84"/>
  <c r="AW67" i="85"/>
  <c r="AV67" i="85"/>
  <c r="BF87" i="84"/>
  <c r="BE87" i="84"/>
  <c r="AV82" i="84"/>
  <c r="AW82" i="84"/>
  <c r="BE124" i="86"/>
  <c r="BF124" i="86"/>
  <c r="AV66" i="84"/>
  <c r="AW66" i="84"/>
  <c r="BF86" i="84"/>
  <c r="BE86" i="84"/>
  <c r="BF135" i="86"/>
  <c r="BE135" i="86"/>
  <c r="AV58" i="83"/>
  <c r="AW58" i="83"/>
  <c r="AW73" i="84"/>
  <c r="AV73" i="84"/>
  <c r="AW64" i="85"/>
  <c r="AV64" i="85"/>
  <c r="BF161" i="87"/>
  <c r="BE161" i="87"/>
  <c r="BF122" i="84"/>
  <c r="BE122" i="84"/>
  <c r="AW71" i="86"/>
  <c r="AV71" i="86"/>
  <c r="BF153" i="83"/>
  <c r="BE153" i="83"/>
  <c r="BE132" i="86"/>
  <c r="BF132" i="86"/>
  <c r="BE117" i="84"/>
  <c r="BF117" i="84"/>
  <c r="AV62" i="83"/>
  <c r="AW62" i="83"/>
  <c r="AW145" i="83"/>
  <c r="AV145" i="83"/>
  <c r="BF131" i="83"/>
  <c r="BE131" i="83"/>
  <c r="BF104" i="85"/>
  <c r="BE104" i="85"/>
  <c r="BE145" i="86"/>
  <c r="BF145" i="86"/>
  <c r="BF151" i="83"/>
  <c r="BE151" i="83"/>
  <c r="BF130" i="87"/>
  <c r="BE130" i="87"/>
  <c r="BF116" i="87"/>
  <c r="BE116" i="87"/>
  <c r="BE150" i="83"/>
  <c r="BF150" i="83"/>
  <c r="BE129" i="85"/>
  <c r="BF129" i="85"/>
  <c r="BF114" i="87"/>
  <c r="BE114" i="87"/>
  <c r="AW142" i="83"/>
  <c r="AV142" i="83"/>
  <c r="BE128" i="86"/>
  <c r="BF128" i="86"/>
  <c r="BF113" i="87"/>
  <c r="BE113" i="87"/>
  <c r="BE90" i="83"/>
  <c r="BF90" i="83"/>
  <c r="BF39" i="84"/>
  <c r="BE39" i="84"/>
  <c r="BF127" i="83"/>
  <c r="BE127" i="83"/>
  <c r="BF112" i="85"/>
  <c r="BE112" i="85"/>
  <c r="BE95" i="87"/>
  <c r="BF95" i="87"/>
  <c r="BE89" i="86"/>
  <c r="BF89" i="86"/>
  <c r="AV76" i="87"/>
  <c r="AW76" i="87"/>
  <c r="BF94" i="83"/>
  <c r="BE94" i="83"/>
  <c r="BF88" i="85"/>
  <c r="BE88" i="85"/>
  <c r="AV75" i="85"/>
  <c r="AW75" i="85"/>
  <c r="AW67" i="86"/>
  <c r="AV67" i="86"/>
  <c r="AV51" i="84"/>
  <c r="AW51" i="84"/>
  <c r="BE137" i="84"/>
  <c r="BF137" i="84"/>
  <c r="AW74" i="83"/>
  <c r="AV74" i="83"/>
  <c r="AW66" i="86"/>
  <c r="AV66" i="86"/>
  <c r="AV50" i="85"/>
  <c r="AW50" i="85"/>
  <c r="BE135" i="87"/>
  <c r="BF135" i="87"/>
  <c r="AV58" i="84"/>
  <c r="AW58" i="84"/>
  <c r="BE134" i="83"/>
  <c r="BF134" i="83"/>
  <c r="AV73" i="85"/>
  <c r="AW73" i="85"/>
  <c r="AW64" i="86"/>
  <c r="AV64" i="86"/>
  <c r="BE158" i="86"/>
  <c r="BF158" i="86"/>
  <c r="BE122" i="86"/>
  <c r="BF122" i="86"/>
  <c r="AW71" i="87"/>
  <c r="AV71" i="87"/>
  <c r="AW56" i="83"/>
  <c r="AV56" i="83"/>
  <c r="BF153" i="84"/>
  <c r="BE153" i="84"/>
  <c r="BF132" i="87"/>
  <c r="BE132" i="87"/>
  <c r="AW70" i="85"/>
  <c r="AV70" i="85"/>
  <c r="AW62" i="84"/>
  <c r="AV62" i="84"/>
  <c r="BF152" i="83"/>
  <c r="BE152" i="83"/>
  <c r="BE131" i="84"/>
  <c r="BF131" i="84"/>
  <c r="BF104" i="87"/>
  <c r="BE104" i="87"/>
  <c r="AW144" i="84"/>
  <c r="AV144" i="84"/>
  <c r="BE130" i="86"/>
  <c r="BF130" i="86"/>
  <c r="BE116" i="86"/>
  <c r="BF116" i="86"/>
  <c r="AV61" i="83"/>
  <c r="AW61" i="83"/>
  <c r="AV143" i="84"/>
  <c r="AW143" i="84"/>
  <c r="BF129" i="86"/>
  <c r="BE129" i="86"/>
  <c r="BF149" i="83"/>
  <c r="BE149" i="83"/>
  <c r="BF128" i="87"/>
  <c r="BE128" i="87"/>
  <c r="BF113" i="86"/>
  <c r="BE113" i="86"/>
  <c r="AW54" i="83"/>
  <c r="AV54" i="83"/>
  <c r="BF39" i="85"/>
  <c r="BE39" i="85"/>
  <c r="BF127" i="84"/>
  <c r="BE127" i="84"/>
  <c r="BE112" i="87"/>
  <c r="BF112" i="87"/>
  <c r="BF95" i="86"/>
  <c r="BE95" i="86"/>
  <c r="BF111" i="83"/>
  <c r="BE111" i="83"/>
  <c r="BE94" i="84"/>
  <c r="BF94" i="84"/>
  <c r="BE88" i="86"/>
  <c r="BF88" i="86"/>
  <c r="AW75" i="86"/>
  <c r="AV75" i="86"/>
  <c r="AW67" i="87"/>
  <c r="AV67" i="87"/>
  <c r="BF87" i="86"/>
  <c r="BE87" i="86"/>
  <c r="AV82" i="85"/>
  <c r="AW82" i="85"/>
  <c r="AW74" i="84"/>
  <c r="AV74" i="84"/>
  <c r="AV66" i="87"/>
  <c r="AW66" i="87"/>
  <c r="AV50" i="86"/>
  <c r="AW50" i="86"/>
  <c r="BE108" i="83"/>
  <c r="BF108" i="83"/>
  <c r="AW58" i="85"/>
  <c r="AV58" i="85"/>
  <c r="BF134" i="84"/>
  <c r="BE134" i="84"/>
  <c r="AW73" i="86"/>
  <c r="AV73" i="86"/>
  <c r="AW64" i="87"/>
  <c r="AV64" i="87"/>
  <c r="BF158" i="85"/>
  <c r="BE158" i="85"/>
  <c r="BE122" i="87"/>
  <c r="BF122" i="87"/>
  <c r="BF106" i="83"/>
  <c r="BE106" i="83"/>
  <c r="AW56" i="84"/>
  <c r="AV56" i="84"/>
  <c r="AV146" i="84"/>
  <c r="AW146" i="84"/>
  <c r="BE132" i="85"/>
  <c r="BF132" i="85"/>
  <c r="BF117" i="85"/>
  <c r="BE117" i="85"/>
  <c r="AV62" i="87"/>
  <c r="AW62" i="87"/>
  <c r="BF152" i="84"/>
  <c r="BE152" i="84"/>
  <c r="BF131" i="86"/>
  <c r="BE131" i="86"/>
  <c r="BE104" i="86"/>
  <c r="BF104" i="86"/>
  <c r="AW107" i="85"/>
  <c r="AV107" i="85"/>
  <c r="BE151" i="84"/>
  <c r="BF151" i="84"/>
  <c r="BF130" i="85"/>
  <c r="BE130" i="85"/>
  <c r="AV69" i="85"/>
  <c r="AW69" i="85"/>
  <c r="AW61" i="84"/>
  <c r="AV61" i="84"/>
  <c r="BE150" i="84"/>
  <c r="BF150" i="84"/>
  <c r="BE129" i="87"/>
  <c r="BF129" i="87"/>
  <c r="BE102" i="83"/>
  <c r="BF102" i="83"/>
  <c r="AW142" i="84"/>
  <c r="AV142" i="84"/>
  <c r="BF128" i="85"/>
  <c r="BE128" i="85"/>
  <c r="BF101" i="83"/>
  <c r="BE101" i="83"/>
  <c r="BF90" i="84"/>
  <c r="BE90" i="84"/>
  <c r="BE39" i="86"/>
  <c r="BF39" i="86"/>
  <c r="BE127" i="87"/>
  <c r="BF127" i="87"/>
  <c r="BF112" i="86"/>
  <c r="BE112" i="86"/>
  <c r="BE95" i="85"/>
  <c r="BF95" i="85"/>
  <c r="BE111" i="84"/>
  <c r="BF111" i="84"/>
  <c r="BE94" i="87"/>
  <c r="BF94" i="87"/>
  <c r="BF88" i="87"/>
  <c r="BE88" i="87"/>
  <c r="AW75" i="87"/>
  <c r="AV75" i="87"/>
  <c r="BE87" i="87"/>
  <c r="BF87" i="87"/>
  <c r="AV82" i="86"/>
  <c r="AW82" i="86"/>
  <c r="AW74" i="86"/>
  <c r="AV74" i="86"/>
  <c r="AV66" i="85"/>
  <c r="AW66" i="85"/>
  <c r="BE86" i="85"/>
  <c r="BF86" i="85"/>
  <c r="BF108" i="84"/>
  <c r="BE108" i="84"/>
  <c r="AV58" i="86"/>
  <c r="AW58" i="86"/>
  <c r="BF134" i="87"/>
  <c r="BE134" i="87"/>
  <c r="AW73" i="87"/>
  <c r="AV73" i="87"/>
  <c r="AV115" i="87"/>
  <c r="AW115" i="87"/>
  <c r="BF122" i="85"/>
  <c r="BE122" i="85"/>
  <c r="BE106" i="84"/>
  <c r="BF106" i="84"/>
  <c r="AW56" i="85"/>
  <c r="AV56" i="85"/>
  <c r="AW151" i="87"/>
  <c r="AV151" i="87"/>
  <c r="AW70" i="86"/>
  <c r="AV70" i="86"/>
  <c r="AV62" i="85"/>
  <c r="AW62" i="85"/>
  <c r="AW145" i="84"/>
  <c r="AV145" i="84"/>
  <c r="BF131" i="87"/>
  <c r="BE131" i="87"/>
  <c r="AW112" i="87"/>
  <c r="AV112" i="87"/>
  <c r="AW144" i="86"/>
  <c r="AV144" i="86"/>
  <c r="AV80" i="83"/>
  <c r="AW80" i="83"/>
  <c r="BE116" i="85"/>
  <c r="BF116" i="85"/>
  <c r="AV61" i="87"/>
  <c r="AW61" i="87"/>
  <c r="AW143" i="85"/>
  <c r="AV143" i="85"/>
  <c r="AW79" i="83"/>
  <c r="AV79" i="83"/>
  <c r="BF102" i="84"/>
  <c r="BE102" i="84"/>
  <c r="BF149" i="84"/>
  <c r="BE149" i="84"/>
  <c r="BE101" i="84"/>
  <c r="BF101" i="84"/>
  <c r="AW54" i="84"/>
  <c r="AV54" i="84"/>
  <c r="BF39" i="87"/>
  <c r="BE39" i="87"/>
  <c r="BF127" i="86"/>
  <c r="BE127" i="86"/>
  <c r="AW53" i="83"/>
  <c r="AV53" i="83"/>
  <c r="BE126" i="83"/>
  <c r="BF126" i="83"/>
  <c r="BF111" i="85"/>
  <c r="BE111" i="85"/>
  <c r="BE94" i="85"/>
  <c r="BF94" i="85"/>
  <c r="BE110" i="83"/>
  <c r="BF110" i="83"/>
  <c r="BE93" i="83"/>
  <c r="BF93" i="83"/>
  <c r="BF87" i="85"/>
  <c r="BE87" i="85"/>
  <c r="AW82" i="87"/>
  <c r="AV82" i="87"/>
  <c r="AW74" i="85"/>
  <c r="AV74" i="85"/>
  <c r="BF92" i="83"/>
  <c r="BE92" i="83"/>
  <c r="BF86" i="86"/>
  <c r="BE86" i="86"/>
  <c r="BF108" i="85"/>
  <c r="BE108" i="85"/>
  <c r="AW58" i="87"/>
  <c r="AV58" i="87"/>
  <c r="BE134" i="86"/>
  <c r="BF134" i="86"/>
  <c r="BF107" i="83"/>
  <c r="BE107" i="83"/>
  <c r="AW57" i="83"/>
  <c r="AV57" i="83"/>
  <c r="BE118" i="83"/>
  <c r="BF118" i="83"/>
  <c r="BF106" i="85"/>
  <c r="BE106" i="85"/>
  <c r="AV56" i="86"/>
  <c r="AW56" i="86"/>
  <c r="AW146" i="85"/>
  <c r="AV146" i="85"/>
  <c r="BF121" i="83"/>
  <c r="BE121" i="83"/>
  <c r="AV70" i="87"/>
  <c r="AW70" i="87"/>
  <c r="AV62" i="86"/>
  <c r="AW62" i="86"/>
  <c r="BF152" i="85"/>
  <c r="BE152" i="85"/>
  <c r="BE131" i="85"/>
  <c r="BF131" i="85"/>
  <c r="BF97" i="83"/>
  <c r="BE97" i="83"/>
  <c r="BF155" i="86"/>
  <c r="BE155" i="86"/>
  <c r="BF151" i="86"/>
  <c r="BE151" i="86"/>
  <c r="AW80" i="84"/>
  <c r="AV80" i="84"/>
  <c r="AV69" i="86"/>
  <c r="AW69" i="86"/>
  <c r="AW61" i="85"/>
  <c r="AV61" i="85"/>
  <c r="BE150" i="85"/>
  <c r="BF150" i="85"/>
  <c r="AV79" i="84"/>
  <c r="AW79" i="84"/>
  <c r="BF102" i="87"/>
  <c r="BE102" i="87"/>
  <c r="AV142" i="85"/>
  <c r="AW142" i="85"/>
  <c r="AW78" i="83"/>
  <c r="AV78" i="83"/>
  <c r="BE101" i="87"/>
  <c r="BF101" i="87"/>
  <c r="BF90" i="87"/>
  <c r="BE90" i="87"/>
  <c r="BE127" i="85"/>
  <c r="BF127" i="85"/>
  <c r="BE100" i="83"/>
  <c r="BF100" i="83"/>
  <c r="BF89" i="83"/>
  <c r="BE89" i="83"/>
  <c r="BF126" i="84"/>
  <c r="BE126" i="84"/>
  <c r="BF111" i="87"/>
  <c r="BE111" i="87"/>
  <c r="BF94" i="86"/>
  <c r="BE94" i="86"/>
  <c r="BF125" i="83"/>
  <c r="BE125" i="83"/>
  <c r="BE110" i="84"/>
  <c r="BF110" i="84"/>
  <c r="BE93" i="84"/>
  <c r="BF93" i="84"/>
  <c r="AW51" i="85"/>
  <c r="AV51" i="85"/>
  <c r="BF137" i="87"/>
  <c r="BE137" i="87"/>
  <c r="AW74" i="87"/>
  <c r="AV74" i="87"/>
  <c r="BF92" i="84"/>
  <c r="BE92" i="84"/>
  <c r="BE86" i="87"/>
  <c r="BF86" i="87"/>
  <c r="BE108" i="86"/>
  <c r="BF108" i="86"/>
  <c r="AW111" i="85"/>
  <c r="AV111" i="85"/>
  <c r="BE134" i="85"/>
  <c r="BF134" i="85"/>
  <c r="BE107" i="84"/>
  <c r="BF107" i="84"/>
  <c r="AW57" i="84"/>
  <c r="AV57" i="84"/>
  <c r="BF133" i="83"/>
  <c r="BE133" i="83"/>
  <c r="AV71" i="83"/>
  <c r="AW71" i="83"/>
  <c r="BF106" i="87"/>
  <c r="BE106" i="87"/>
  <c r="AV56" i="87"/>
  <c r="AW56" i="87"/>
  <c r="BE153" i="85"/>
  <c r="BF153" i="85"/>
  <c r="BE121" i="84"/>
  <c r="BF121" i="84"/>
  <c r="BE117" i="86"/>
  <c r="BF117" i="86"/>
  <c r="BF156" i="85"/>
  <c r="BE156" i="85"/>
  <c r="AW145" i="86"/>
  <c r="AV145" i="86"/>
  <c r="BE120" i="83"/>
  <c r="BF120" i="83"/>
  <c r="BF97" i="84"/>
  <c r="BE97" i="84"/>
  <c r="AW107" i="86"/>
  <c r="AV107" i="86"/>
  <c r="BF151" i="85"/>
  <c r="BE151" i="85"/>
  <c r="AW80" i="85"/>
  <c r="AV80" i="85"/>
  <c r="AW69" i="87"/>
  <c r="AV69" i="87"/>
  <c r="AV61" i="86"/>
  <c r="AW61" i="86"/>
  <c r="AV143" i="86"/>
  <c r="AW143" i="86"/>
  <c r="AV79" i="85"/>
  <c r="AW79" i="85"/>
  <c r="BF102" i="85"/>
  <c r="BE102" i="85"/>
  <c r="AV142" i="86"/>
  <c r="AW142" i="86"/>
  <c r="AW78" i="84"/>
  <c r="AV78" i="84"/>
  <c r="BF101" i="85"/>
  <c r="BE101" i="85"/>
  <c r="BF90" i="85"/>
  <c r="BE90" i="85"/>
  <c r="AV77" i="83"/>
  <c r="AW77" i="83"/>
  <c r="BE100" i="84"/>
  <c r="BF100" i="84"/>
  <c r="AV53" i="84"/>
  <c r="AW53" i="84"/>
  <c r="BE126" i="85"/>
  <c r="BF126" i="85"/>
  <c r="BE111" i="86"/>
  <c r="BF111" i="86"/>
  <c r="AW52" i="83"/>
  <c r="AV52" i="83"/>
  <c r="BF125" i="84"/>
  <c r="BE125" i="84"/>
  <c r="BE110" i="86"/>
  <c r="BF110" i="86"/>
  <c r="BE93" i="87"/>
  <c r="BF93" i="87"/>
  <c r="AV51" i="86"/>
  <c r="AW51" i="86"/>
  <c r="BE137" i="85"/>
  <c r="BF137" i="85"/>
  <c r="BE109" i="83"/>
  <c r="BF109" i="83"/>
  <c r="BF92" i="85"/>
  <c r="BE92" i="85"/>
  <c r="AV50" i="87"/>
  <c r="AW50" i="87"/>
  <c r="BF108" i="87"/>
  <c r="BE108" i="87"/>
  <c r="BE162" i="87"/>
  <c r="BF162" i="87"/>
  <c r="BE123" i="83"/>
  <c r="BF123" i="83"/>
  <c r="BE107" i="86"/>
  <c r="BF107" i="86"/>
  <c r="AW57" i="85"/>
  <c r="AV57" i="85"/>
  <c r="BE133" i="84"/>
  <c r="BF133" i="84"/>
  <c r="AV71" i="84"/>
  <c r="AW71" i="84"/>
  <c r="BE106" i="86"/>
  <c r="BF106" i="86"/>
  <c r="AW109" i="86"/>
  <c r="AV109" i="86"/>
  <c r="AW146" i="86"/>
  <c r="AV146" i="86"/>
  <c r="BE121" i="87"/>
  <c r="BF121" i="87"/>
  <c r="BE117" i="87"/>
  <c r="BF117" i="87"/>
  <c r="AW113" i="87"/>
  <c r="AV113" i="87"/>
  <c r="BF152" i="86"/>
  <c r="BE152" i="86"/>
  <c r="BE120" i="84"/>
  <c r="BF120" i="84"/>
  <c r="BF97" i="87"/>
  <c r="BE97" i="87"/>
  <c r="BF155" i="85"/>
  <c r="BE155" i="85"/>
  <c r="BF154" i="87"/>
  <c r="BE154" i="87"/>
  <c r="AW80" i="86"/>
  <c r="AV80" i="86"/>
  <c r="BF150" i="86"/>
  <c r="BE150" i="86"/>
  <c r="AV79" i="86"/>
  <c r="AW79" i="86"/>
  <c r="BE102" i="86"/>
  <c r="BF102" i="86"/>
  <c r="BF152" i="87"/>
  <c r="BE152" i="87"/>
  <c r="AV78" i="85"/>
  <c r="AW78" i="85"/>
  <c r="BE101" i="86"/>
  <c r="BF101" i="86"/>
  <c r="BE90" i="86"/>
  <c r="BF90" i="86"/>
  <c r="AV77" i="84"/>
  <c r="AW77" i="84"/>
  <c r="BF100" i="87"/>
  <c r="BE100" i="87"/>
  <c r="BE89" i="84"/>
  <c r="BF89" i="84"/>
  <c r="BE126" i="86"/>
  <c r="BF126" i="86"/>
  <c r="BF88" i="83"/>
  <c r="BE88" i="83"/>
  <c r="BE125" i="85"/>
  <c r="BF125" i="85"/>
  <c r="BE110" i="87"/>
  <c r="BF110" i="87"/>
  <c r="BE93" i="85"/>
  <c r="BF93" i="85"/>
  <c r="AV51" i="87"/>
  <c r="AW51" i="87"/>
  <c r="BE137" i="86"/>
  <c r="BF137" i="86"/>
  <c r="BF109" i="84"/>
  <c r="BE109" i="84"/>
  <c r="BF92" i="86"/>
  <c r="BE92" i="86"/>
  <c r="AW65" i="83"/>
  <c r="AV65" i="83"/>
  <c r="AV111" i="86"/>
  <c r="AW111" i="86"/>
  <c r="BF123" i="84"/>
  <c r="BE123" i="84"/>
  <c r="BE107" i="87"/>
  <c r="BF107" i="87"/>
  <c r="AV57" i="86"/>
  <c r="AW57" i="86"/>
  <c r="BE133" i="87"/>
  <c r="BF133" i="87"/>
  <c r="BF118" i="84"/>
  <c r="BE118" i="84"/>
  <c r="AW63" i="83"/>
  <c r="AV63" i="83"/>
  <c r="BE160" i="87"/>
  <c r="BF160" i="87"/>
  <c r="BF156" i="87"/>
  <c r="BE156" i="87"/>
  <c r="BF121" i="86"/>
  <c r="BE121" i="86"/>
  <c r="BF105" i="83"/>
  <c r="BE105" i="83"/>
  <c r="BE156" i="86"/>
  <c r="BF156" i="86"/>
  <c r="AW145" i="85"/>
  <c r="AV145" i="85"/>
  <c r="BE120" i="85"/>
  <c r="BF120" i="85"/>
  <c r="BE97" i="85"/>
  <c r="BF97" i="85"/>
  <c r="BF158" i="87"/>
  <c r="BE158" i="87"/>
  <c r="AV144" i="85"/>
  <c r="AW144" i="85"/>
  <c r="AV80" i="87"/>
  <c r="AW80" i="87"/>
  <c r="BF103" i="83"/>
  <c r="BE103" i="83"/>
  <c r="BE153" i="87"/>
  <c r="BF153" i="87"/>
  <c r="AW79" i="87"/>
  <c r="AV79" i="87"/>
  <c r="AW60" i="83"/>
  <c r="AV60" i="83"/>
  <c r="AV147" i="87"/>
  <c r="AW147" i="87"/>
  <c r="AV78" i="86"/>
  <c r="AW78" i="86"/>
  <c r="BF96" i="83"/>
  <c r="BE96" i="83"/>
  <c r="AW54" i="85"/>
  <c r="AV54" i="85"/>
  <c r="AV77" i="85"/>
  <c r="AW77" i="85"/>
  <c r="BE100" i="85"/>
  <c r="BF100" i="85"/>
  <c r="AW53" i="85"/>
  <c r="AV53" i="85"/>
  <c r="BE126" i="87"/>
  <c r="BF126" i="87"/>
  <c r="BE99" i="83"/>
  <c r="BF99" i="83"/>
  <c r="AV52" i="84"/>
  <c r="AW52" i="84"/>
  <c r="BF125" i="87"/>
  <c r="BE125" i="87"/>
  <c r="BF110" i="85"/>
  <c r="BE110" i="85"/>
  <c r="BF93" i="86"/>
  <c r="BE93" i="86"/>
  <c r="BE124" i="83"/>
  <c r="BF124" i="83"/>
  <c r="BF109" i="85"/>
  <c r="BE109" i="85"/>
  <c r="BE92" i="87"/>
  <c r="BF92" i="87"/>
  <c r="AV65" i="84"/>
  <c r="AW65" i="84"/>
  <c r="BE159" i="85"/>
  <c r="BF159" i="85"/>
  <c r="BE123" i="85"/>
  <c r="BF123" i="85"/>
  <c r="BE107" i="85"/>
  <c r="BF107" i="85"/>
  <c r="AV57" i="87"/>
  <c r="AW57" i="87"/>
  <c r="BF133" i="86"/>
  <c r="BE133" i="86"/>
  <c r="BE118" i="87"/>
  <c r="BF118" i="87"/>
  <c r="AW63" i="84"/>
  <c r="AV63" i="84"/>
  <c r="BF157" i="86"/>
  <c r="BE157" i="86"/>
  <c r="BF153" i="86"/>
  <c r="BE153" i="86"/>
  <c r="BF121" i="85"/>
  <c r="BE121" i="85"/>
  <c r="BE105" i="84"/>
  <c r="BF105" i="84"/>
  <c r="AV108" i="86"/>
  <c r="AW108" i="86"/>
  <c r="BF155" i="87"/>
  <c r="BE155" i="87"/>
  <c r="BE120" i="86"/>
  <c r="BF120" i="86"/>
  <c r="BF97" i="86"/>
  <c r="BE97" i="86"/>
  <c r="AW149" i="87"/>
  <c r="AV149" i="87"/>
  <c r="AW69" i="83"/>
  <c r="AV69" i="83"/>
  <c r="BF103" i="84"/>
  <c r="BE103" i="84"/>
  <c r="AW148" i="87"/>
  <c r="AV148" i="87"/>
  <c r="BE114" i="83"/>
  <c r="BF114" i="83"/>
  <c r="AW60" i="84"/>
  <c r="AV60" i="84"/>
  <c r="BE149" i="85"/>
  <c r="BF149" i="85"/>
  <c r="AW78" i="87"/>
  <c r="AV78" i="87"/>
  <c r="BE96" i="84"/>
  <c r="BF96" i="84"/>
  <c r="AV54" i="86"/>
  <c r="AW54" i="86"/>
  <c r="AV77" i="86"/>
  <c r="AW77" i="86"/>
  <c r="BF100" i="86"/>
  <c r="BE100" i="86"/>
  <c r="AV53" i="86"/>
  <c r="AW53" i="86"/>
  <c r="AW76" i="83"/>
  <c r="AV76" i="83"/>
  <c r="BF99" i="84"/>
  <c r="BE99" i="84"/>
  <c r="BE88" i="84"/>
  <c r="BF88" i="84"/>
  <c r="BF125" i="86"/>
  <c r="BE125" i="86"/>
  <c r="BF124" i="84"/>
  <c r="BE124" i="84"/>
  <c r="BF109" i="86"/>
  <c r="BE109" i="86"/>
  <c r="BE86" i="83"/>
  <c r="BF86" i="83"/>
  <c r="BE135" i="83"/>
  <c r="BF135" i="83"/>
  <c r="AW65" i="86"/>
  <c r="AV65" i="86"/>
  <c r="BF159" i="86"/>
  <c r="BE159" i="86"/>
  <c r="BF123" i="86"/>
  <c r="BE123" i="86"/>
  <c r="BE133" i="85"/>
  <c r="BF133" i="85"/>
  <c r="BE118" i="86"/>
  <c r="BF118" i="86"/>
  <c r="AW63" i="85"/>
  <c r="AV63" i="85"/>
  <c r="AV114" i="87"/>
  <c r="AW114" i="87"/>
  <c r="BF117" i="83"/>
  <c r="BE117" i="83"/>
  <c r="BF105" i="85"/>
  <c r="BE105" i="85"/>
  <c r="AV108" i="85"/>
  <c r="AW108" i="85"/>
  <c r="AW150" i="87"/>
  <c r="AV150" i="87"/>
  <c r="BE120" i="87"/>
  <c r="BF120" i="87"/>
  <c r="BE145" i="83"/>
  <c r="BF145" i="83"/>
  <c r="BF116" i="83"/>
  <c r="BE116" i="83"/>
  <c r="BF103" i="87"/>
  <c r="BE103" i="87"/>
  <c r="BF114" i="84"/>
  <c r="BE114" i="84"/>
  <c r="AV60" i="85"/>
  <c r="AW60" i="85"/>
  <c r="BF149" i="86"/>
  <c r="BE149" i="86"/>
  <c r="BE113" i="83"/>
  <c r="BF113" i="83"/>
  <c r="BF96" i="87"/>
  <c r="BE96" i="87"/>
  <c r="AV54" i="87"/>
  <c r="AW54" i="87"/>
  <c r="AV77" i="87"/>
  <c r="AW77" i="87"/>
  <c r="AV53" i="87"/>
  <c r="AW53" i="87"/>
  <c r="AW76" i="84"/>
  <c r="AV76" i="84"/>
  <c r="BF99" i="87"/>
  <c r="BE99" i="87"/>
  <c r="AW52" i="85"/>
  <c r="AV52" i="85"/>
  <c r="AW67" i="83"/>
  <c r="AV67" i="83"/>
  <c r="AV51" i="83"/>
  <c r="AW51" i="83"/>
  <c r="AV82" i="83"/>
  <c r="AW82" i="83"/>
  <c r="BF124" i="87"/>
  <c r="BE124" i="87"/>
  <c r="BE109" i="87"/>
  <c r="BF109" i="87"/>
  <c r="AW50" i="83"/>
  <c r="AV50" i="83"/>
  <c r="BF135" i="84"/>
  <c r="BE135" i="84"/>
  <c r="AW65" i="87"/>
  <c r="AV65" i="87"/>
  <c r="AW116" i="87"/>
  <c r="AV116" i="87"/>
  <c r="BF123" i="87"/>
  <c r="BE123" i="87"/>
  <c r="AW64" i="83"/>
  <c r="AV64" i="83"/>
  <c r="AW110" i="85"/>
  <c r="AV110" i="85"/>
  <c r="AV71" i="85"/>
  <c r="AW71" i="85"/>
  <c r="AW63" i="86"/>
  <c r="AV63" i="86"/>
  <c r="BF157" i="85"/>
  <c r="BE157" i="85"/>
  <c r="AY104" i="78"/>
  <c r="BH104" i="78" s="1"/>
  <c r="BF132" i="83"/>
  <c r="BE132" i="83"/>
  <c r="AW70" i="83"/>
  <c r="AV70" i="83"/>
  <c r="BE105" i="86"/>
  <c r="BF105" i="86"/>
  <c r="BF159" i="87"/>
  <c r="BE159" i="87"/>
  <c r="BE104" i="83"/>
  <c r="BF104" i="83"/>
  <c r="BE145" i="84"/>
  <c r="BF145" i="84"/>
  <c r="BF130" i="83"/>
  <c r="BE130" i="83"/>
  <c r="BF116" i="84"/>
  <c r="BE116" i="84"/>
  <c r="BF103" i="85"/>
  <c r="BE103" i="85"/>
  <c r="BF129" i="83"/>
  <c r="BE129" i="83"/>
  <c r="BE114" i="86"/>
  <c r="BF114" i="86"/>
  <c r="AV60" i="86"/>
  <c r="AW60" i="86"/>
  <c r="BE128" i="83"/>
  <c r="BF128" i="83"/>
  <c r="BE113" i="84"/>
  <c r="BF113" i="84"/>
  <c r="BE96" i="85"/>
  <c r="BF96" i="85"/>
  <c r="BE112" i="83"/>
  <c r="BF112" i="83"/>
  <c r="BF95" i="83"/>
  <c r="BE95" i="83"/>
  <c r="BF89" i="87"/>
  <c r="BE89" i="87"/>
  <c r="AV76" i="85"/>
  <c r="AW76" i="85"/>
  <c r="BE99" i="85"/>
  <c r="BF99" i="85"/>
  <c r="AV52" i="86"/>
  <c r="AW52" i="86"/>
  <c r="AV75" i="83"/>
  <c r="AW75" i="83"/>
  <c r="AW67" i="84"/>
  <c r="AV67" i="84"/>
  <c r="BE87" i="83"/>
  <c r="BF87" i="83"/>
  <c r="BE137" i="83"/>
  <c r="BF137" i="83"/>
  <c r="BE124" i="85"/>
  <c r="BF124" i="85"/>
  <c r="AV66" i="83"/>
  <c r="AW66" i="83"/>
  <c r="AW50" i="84"/>
  <c r="AV50" i="84"/>
  <c r="BE135" i="85"/>
  <c r="BF135" i="85"/>
  <c r="AW65" i="85"/>
  <c r="AV65" i="85"/>
  <c r="AV73" i="83"/>
  <c r="AW73" i="83"/>
  <c r="AW64" i="84"/>
  <c r="AV64" i="84"/>
  <c r="AW110" i="86"/>
  <c r="AV110" i="86"/>
  <c r="BF122" i="83"/>
  <c r="BE122" i="83"/>
  <c r="BE118" i="85"/>
  <c r="BF118" i="85"/>
  <c r="AV63" i="87"/>
  <c r="AW63" i="87"/>
  <c r="AW109" i="85"/>
  <c r="AV109" i="85"/>
  <c r="BJ28" i="82"/>
  <c r="BK28" i="82" s="1"/>
  <c r="BA18" i="76"/>
  <c r="BB18" i="76" s="1"/>
  <c r="BH139" i="83"/>
  <c r="BH139" i="84"/>
  <c r="BH139" i="86"/>
  <c r="BH139" i="87"/>
  <c r="BH139" i="85"/>
  <c r="BJ28" i="76"/>
  <c r="BK28" i="76" s="1"/>
  <c r="AW4" i="70"/>
  <c r="BI32" i="70" s="1"/>
  <c r="AA76" i="2" s="1"/>
  <c r="AW4" i="85"/>
  <c r="AZ84" i="85" s="1"/>
  <c r="AW4" i="86"/>
  <c r="AZ28" i="86" s="1"/>
  <c r="AW4" i="87"/>
  <c r="AW4" i="84"/>
  <c r="AZ29" i="84" s="1"/>
  <c r="AX79" i="2" s="1"/>
  <c r="AW4" i="83"/>
  <c r="BH141" i="74"/>
  <c r="BF147" i="87"/>
  <c r="BE147" i="87"/>
  <c r="AW91" i="87"/>
  <c r="AV91" i="87"/>
  <c r="BF144" i="87"/>
  <c r="BE144" i="87"/>
  <c r="AW92" i="87"/>
  <c r="AV92" i="87"/>
  <c r="AW97" i="87"/>
  <c r="AV97" i="87"/>
  <c r="BE145" i="87"/>
  <c r="BF145" i="87"/>
  <c r="BF150" i="87"/>
  <c r="BE150" i="87"/>
  <c r="AW93" i="87"/>
  <c r="AV93" i="87"/>
  <c r="AW96" i="87"/>
  <c r="AV96" i="87"/>
  <c r="BF146" i="87"/>
  <c r="BE146" i="87"/>
  <c r="BF149" i="87"/>
  <c r="BE149" i="87"/>
  <c r="AW95" i="87"/>
  <c r="AV95" i="87"/>
  <c r="BF148" i="87"/>
  <c r="BE148" i="87"/>
  <c r="AV94" i="87"/>
  <c r="AW94" i="87"/>
  <c r="K214" i="2"/>
  <c r="BD139" i="85"/>
  <c r="BJ139" i="85" s="1"/>
  <c r="BD139" i="86"/>
  <c r="BJ139" i="86" s="1"/>
  <c r="AU87" i="86"/>
  <c r="BA87" i="86" s="1"/>
  <c r="BB87" i="86" s="1"/>
  <c r="AU87" i="85"/>
  <c r="BA87" i="85" s="1"/>
  <c r="BB87" i="85" s="1"/>
  <c r="AU87" i="87"/>
  <c r="BA87" i="87" s="1"/>
  <c r="BB87" i="87" s="1"/>
  <c r="BD139" i="87"/>
  <c r="AU87" i="84"/>
  <c r="BD139" i="84"/>
  <c r="BA38" i="78"/>
  <c r="BB38" i="78" s="1"/>
  <c r="BA63" i="85"/>
  <c r="BB63" i="85" s="1"/>
  <c r="BA63" i="87"/>
  <c r="BB63" i="87" s="1"/>
  <c r="BA63" i="86"/>
  <c r="BB63" i="86" s="1"/>
  <c r="BA63" i="84"/>
  <c r="BB63" i="84" s="1"/>
  <c r="BA63" i="83"/>
  <c r="BB63" i="83" s="1"/>
  <c r="BA108" i="86"/>
  <c r="BB108" i="86" s="1"/>
  <c r="BJ159" i="87"/>
  <c r="BK159" i="87" s="1"/>
  <c r="BA108" i="85"/>
  <c r="BB108" i="85" s="1"/>
  <c r="BJ156" i="86"/>
  <c r="BK156" i="86" s="1"/>
  <c r="BA113" i="87"/>
  <c r="BB113" i="87" s="1"/>
  <c r="BJ156" i="85"/>
  <c r="BK156" i="85" s="1"/>
  <c r="BJ38" i="86"/>
  <c r="BK38" i="86" s="1"/>
  <c r="BJ38" i="84"/>
  <c r="BK38" i="84" s="1"/>
  <c r="BA60" i="85"/>
  <c r="BB60" i="85" s="1"/>
  <c r="BA60" i="86"/>
  <c r="BB60" i="86" s="1"/>
  <c r="BA60" i="87"/>
  <c r="BB60" i="87" s="1"/>
  <c r="BA60" i="84"/>
  <c r="BB60" i="84" s="1"/>
  <c r="BA60" i="83"/>
  <c r="BB60" i="83" s="1"/>
  <c r="BJ87" i="85"/>
  <c r="BK87" i="85" s="1"/>
  <c r="BA51" i="86"/>
  <c r="BB51" i="86" s="1"/>
  <c r="BJ87" i="86"/>
  <c r="BK87" i="86" s="1"/>
  <c r="BJ87" i="87"/>
  <c r="BK87" i="87" s="1"/>
  <c r="BJ87" i="84"/>
  <c r="BK87" i="84" s="1"/>
  <c r="BA51" i="85"/>
  <c r="BB51" i="85" s="1"/>
  <c r="BA51" i="87"/>
  <c r="BB51" i="87" s="1"/>
  <c r="BA51" i="84"/>
  <c r="BB51" i="84" s="1"/>
  <c r="BJ87" i="83"/>
  <c r="BK87" i="83" s="1"/>
  <c r="BA51" i="83"/>
  <c r="BB51" i="83" s="1"/>
  <c r="BJ135" i="86"/>
  <c r="BK135" i="86" s="1"/>
  <c r="BJ135" i="87"/>
  <c r="BK135" i="87" s="1"/>
  <c r="BJ135" i="85"/>
  <c r="BK135" i="85" s="1"/>
  <c r="BJ135" i="84"/>
  <c r="BK135" i="84" s="1"/>
  <c r="BJ135" i="83"/>
  <c r="BK135" i="83" s="1"/>
  <c r="BA32" i="66"/>
  <c r="BB32" i="66" s="1"/>
  <c r="BJ95" i="85"/>
  <c r="BK95" i="85" s="1"/>
  <c r="BJ95" i="86"/>
  <c r="BK95" i="86" s="1"/>
  <c r="BJ95" i="87"/>
  <c r="BK95" i="87" s="1"/>
  <c r="BJ95" i="84"/>
  <c r="BK95" i="84" s="1"/>
  <c r="BJ95" i="83"/>
  <c r="BK95" i="83" s="1"/>
  <c r="BA79" i="85"/>
  <c r="BB79" i="85" s="1"/>
  <c r="BA79" i="84"/>
  <c r="BB79" i="84" s="1"/>
  <c r="BA79" i="83"/>
  <c r="BB79" i="83" s="1"/>
  <c r="BA61" i="86"/>
  <c r="BB61" i="86" s="1"/>
  <c r="BA61" i="85"/>
  <c r="BB61" i="85" s="1"/>
  <c r="BA61" i="87"/>
  <c r="BB61" i="87" s="1"/>
  <c r="BA61" i="84"/>
  <c r="BB61" i="84" s="1"/>
  <c r="BA61" i="83"/>
  <c r="BB61" i="83" s="1"/>
  <c r="BA75" i="86"/>
  <c r="BB75" i="86" s="1"/>
  <c r="BA75" i="87"/>
  <c r="BB75" i="87" s="1"/>
  <c r="BA75" i="85"/>
  <c r="BB75" i="85" s="1"/>
  <c r="BA75" i="84"/>
  <c r="BB75" i="84" s="1"/>
  <c r="BA75" i="83"/>
  <c r="BB75" i="83" s="1"/>
  <c r="BJ145" i="84"/>
  <c r="BK145" i="84" s="1"/>
  <c r="BJ145" i="83"/>
  <c r="BK145" i="83" s="1"/>
  <c r="BA32" i="71"/>
  <c r="BB32" i="71" s="1"/>
  <c r="BA52" i="86"/>
  <c r="BB52" i="86" s="1"/>
  <c r="BA52" i="85"/>
  <c r="BB52" i="85" s="1"/>
  <c r="BJ88" i="85"/>
  <c r="BK88" i="85" s="1"/>
  <c r="BJ88" i="83"/>
  <c r="BK88" i="83" s="1"/>
  <c r="BJ155" i="85"/>
  <c r="BA107" i="85"/>
  <c r="BJ155" i="86"/>
  <c r="BK155" i="86" s="1"/>
  <c r="BA107" i="86"/>
  <c r="BB107" i="86" s="1"/>
  <c r="BJ158" i="87"/>
  <c r="BK158" i="87" s="1"/>
  <c r="BA112" i="87"/>
  <c r="BB112" i="87" s="1"/>
  <c r="BJ105" i="86"/>
  <c r="BK105" i="86" s="1"/>
  <c r="BJ105" i="87"/>
  <c r="BK105" i="87" s="1"/>
  <c r="BJ105" i="85"/>
  <c r="BK105" i="85" s="1"/>
  <c r="BJ105" i="84"/>
  <c r="BK105" i="84" s="1"/>
  <c r="BJ105" i="83"/>
  <c r="BK105" i="83" s="1"/>
  <c r="BA71" i="86"/>
  <c r="BB71" i="86" s="1"/>
  <c r="BJ118" i="85"/>
  <c r="BK118" i="85" s="1"/>
  <c r="BJ118" i="87"/>
  <c r="BK118" i="87" s="1"/>
  <c r="BJ118" i="86"/>
  <c r="BK118" i="86" s="1"/>
  <c r="BA71" i="87"/>
  <c r="BB71" i="87" s="1"/>
  <c r="BA71" i="85"/>
  <c r="BB71" i="85" s="1"/>
  <c r="BA71" i="84"/>
  <c r="BB71" i="84" s="1"/>
  <c r="BJ118" i="84"/>
  <c r="BK118" i="84" s="1"/>
  <c r="BJ118" i="83"/>
  <c r="BK118" i="83" s="1"/>
  <c r="BA31" i="80"/>
  <c r="BB31" i="80" s="1"/>
  <c r="BA58" i="86"/>
  <c r="BB58" i="86" s="1"/>
  <c r="BA58" i="85"/>
  <c r="BB58" i="85" s="1"/>
  <c r="BA58" i="87"/>
  <c r="BB58" i="87" s="1"/>
  <c r="BA58" i="84"/>
  <c r="BB58" i="84" s="1"/>
  <c r="BA58" i="83"/>
  <c r="BB58" i="83" s="1"/>
  <c r="BJ129" i="87"/>
  <c r="BK129" i="87" s="1"/>
  <c r="BJ129" i="86"/>
  <c r="BK129" i="86" s="1"/>
  <c r="BJ129" i="85"/>
  <c r="BK129" i="85" s="1"/>
  <c r="BJ129" i="84"/>
  <c r="BK129" i="84" s="1"/>
  <c r="BJ129" i="83"/>
  <c r="BK129" i="83" s="1"/>
  <c r="BJ87" i="78"/>
  <c r="BK87" i="78" s="1"/>
  <c r="BJ101" i="87"/>
  <c r="BK101" i="87" s="1"/>
  <c r="BJ101" i="85"/>
  <c r="BK101" i="85" s="1"/>
  <c r="BJ101" i="86"/>
  <c r="BK101" i="86" s="1"/>
  <c r="BJ101" i="84"/>
  <c r="BK101" i="84" s="1"/>
  <c r="BJ101" i="83"/>
  <c r="BK101" i="83" s="1"/>
  <c r="G246" i="2"/>
  <c r="H246" i="2" s="1"/>
  <c r="BJ132" i="85"/>
  <c r="BK132" i="85" s="1"/>
  <c r="BJ132" i="84"/>
  <c r="BK132" i="84" s="1"/>
  <c r="BJ104" i="86"/>
  <c r="BK104" i="86" s="1"/>
  <c r="BJ104" i="85"/>
  <c r="BK104" i="85" s="1"/>
  <c r="BJ104" i="87"/>
  <c r="BK104" i="87" s="1"/>
  <c r="BJ104" i="84"/>
  <c r="BK104" i="84" s="1"/>
  <c r="BJ104" i="83"/>
  <c r="BK104" i="83" s="1"/>
  <c r="BA110" i="86"/>
  <c r="BB110" i="86" s="1"/>
  <c r="BJ161" i="87"/>
  <c r="BK161" i="87" s="1"/>
  <c r="BJ158" i="85"/>
  <c r="BA115" i="87"/>
  <c r="BB115" i="87" s="1"/>
  <c r="BA32" i="73"/>
  <c r="BB32" i="73" s="1"/>
  <c r="BJ94" i="85"/>
  <c r="BK94" i="85" s="1"/>
  <c r="BJ94" i="87"/>
  <c r="BK94" i="87" s="1"/>
  <c r="BJ94" i="86"/>
  <c r="BK94" i="86" s="1"/>
  <c r="BJ94" i="84"/>
  <c r="BK94" i="84" s="1"/>
  <c r="BJ94" i="83"/>
  <c r="BK94" i="83" s="1"/>
  <c r="BJ147" i="87"/>
  <c r="BK147" i="87" s="1"/>
  <c r="BA94" i="87"/>
  <c r="BB94" i="87" s="1"/>
  <c r="BA85" i="87"/>
  <c r="BB85" i="87" s="1"/>
  <c r="BA85" i="86"/>
  <c r="BB85" i="86" s="1"/>
  <c r="BJ125" i="86"/>
  <c r="BK125" i="86" s="1"/>
  <c r="BJ125" i="85"/>
  <c r="BK125" i="85" s="1"/>
  <c r="BJ125" i="87"/>
  <c r="BK125" i="87" s="1"/>
  <c r="BJ125" i="84"/>
  <c r="BK125" i="84" s="1"/>
  <c r="BJ125" i="83"/>
  <c r="BK125" i="83" s="1"/>
  <c r="BJ38" i="85"/>
  <c r="BK38" i="85" s="1"/>
  <c r="BJ38" i="83"/>
  <c r="BK38" i="83" s="1"/>
  <c r="BJ111" i="87"/>
  <c r="BK111" i="87" s="1"/>
  <c r="BJ111" i="85"/>
  <c r="BK111" i="85" s="1"/>
  <c r="BJ111" i="86"/>
  <c r="BK111" i="86" s="1"/>
  <c r="BJ111" i="84"/>
  <c r="BK111" i="84" s="1"/>
  <c r="BJ111" i="83"/>
  <c r="BK111" i="83" s="1"/>
  <c r="BJ123" i="86"/>
  <c r="BK123" i="86" s="1"/>
  <c r="BJ123" i="85"/>
  <c r="BK123" i="85" s="1"/>
  <c r="BJ123" i="87"/>
  <c r="BK123" i="87" s="1"/>
  <c r="BJ123" i="84"/>
  <c r="BK123" i="84" s="1"/>
  <c r="BJ123" i="83"/>
  <c r="BK123" i="83" s="1"/>
  <c r="BJ75" i="1"/>
  <c r="BK75" i="1" s="1"/>
  <c r="BJ89" i="86"/>
  <c r="BK89" i="86" s="1"/>
  <c r="BJ89" i="87"/>
  <c r="BK89" i="87" s="1"/>
  <c r="BA53" i="86"/>
  <c r="BB53" i="86" s="1"/>
  <c r="BJ89" i="85"/>
  <c r="BK89" i="85" s="1"/>
  <c r="BA53" i="87"/>
  <c r="BB53" i="87" s="1"/>
  <c r="BA53" i="85"/>
  <c r="BB53" i="85" s="1"/>
  <c r="BA53" i="84"/>
  <c r="BB53" i="84" s="1"/>
  <c r="BJ89" i="84"/>
  <c r="BK89" i="84" s="1"/>
  <c r="BA53" i="83"/>
  <c r="BB53" i="83" s="1"/>
  <c r="BJ89" i="83"/>
  <c r="BK89" i="83" s="1"/>
  <c r="BA70" i="85"/>
  <c r="BB70" i="85" s="1"/>
  <c r="BA70" i="87"/>
  <c r="BB70" i="87" s="1"/>
  <c r="BJ117" i="86"/>
  <c r="BK117" i="86" s="1"/>
  <c r="BJ117" i="85"/>
  <c r="BK117" i="85" s="1"/>
  <c r="BA70" i="84"/>
  <c r="BB70" i="84" s="1"/>
  <c r="BJ117" i="87"/>
  <c r="BK117" i="87" s="1"/>
  <c r="BA70" i="86"/>
  <c r="BB70" i="86" s="1"/>
  <c r="BJ117" i="84"/>
  <c r="BK117" i="84" s="1"/>
  <c r="BA70" i="83"/>
  <c r="BB70" i="83" s="1"/>
  <c r="BJ117" i="83"/>
  <c r="BK117" i="83" s="1"/>
  <c r="BA28" i="81"/>
  <c r="BB28" i="81" s="1"/>
  <c r="BJ128" i="84"/>
  <c r="BK128" i="84" s="1"/>
  <c r="BJ128" i="83"/>
  <c r="BK128" i="83" s="1"/>
  <c r="BJ75" i="68"/>
  <c r="BK75" i="68" s="1"/>
  <c r="BJ110" i="85"/>
  <c r="BK110" i="85" s="1"/>
  <c r="BJ110" i="86"/>
  <c r="BK110" i="86" s="1"/>
  <c r="BJ110" i="87"/>
  <c r="BK110" i="87" s="1"/>
  <c r="BJ110" i="84"/>
  <c r="BK110" i="84" s="1"/>
  <c r="BJ110" i="83"/>
  <c r="BK110" i="83" s="1"/>
  <c r="G287" i="2"/>
  <c r="H287" i="2" s="1"/>
  <c r="BJ121" i="87"/>
  <c r="BK121" i="87" s="1"/>
  <c r="BJ121" i="86"/>
  <c r="BK121" i="86" s="1"/>
  <c r="BJ121" i="85"/>
  <c r="BK121" i="85" s="1"/>
  <c r="BJ121" i="84"/>
  <c r="BK121" i="84" s="1"/>
  <c r="BJ121" i="83"/>
  <c r="BK121" i="83" s="1"/>
  <c r="BA24" i="69"/>
  <c r="BB24" i="69" s="1"/>
  <c r="BJ126" i="86"/>
  <c r="BK126" i="86" s="1"/>
  <c r="BJ126" i="87"/>
  <c r="BK126" i="87" s="1"/>
  <c r="BJ126" i="83"/>
  <c r="BK126" i="83" s="1"/>
  <c r="BA142" i="85"/>
  <c r="BB142" i="85" s="1"/>
  <c r="BJ149" i="85"/>
  <c r="BK149" i="85" s="1"/>
  <c r="BJ152" i="87"/>
  <c r="BK152" i="87" s="1"/>
  <c r="BJ149" i="86"/>
  <c r="BK149" i="86" s="1"/>
  <c r="BA147" i="87"/>
  <c r="BB147" i="87" s="1"/>
  <c r="BA142" i="86"/>
  <c r="BB142" i="86" s="1"/>
  <c r="BA142" i="84"/>
  <c r="BB142" i="84" s="1"/>
  <c r="BJ149" i="84"/>
  <c r="BK149" i="84" s="1"/>
  <c r="BJ149" i="83"/>
  <c r="BK149" i="83" s="1"/>
  <c r="BA142" i="83"/>
  <c r="BB142" i="83" s="1"/>
  <c r="BA84" i="87"/>
  <c r="BB84" i="87" s="1"/>
  <c r="BA84" i="86"/>
  <c r="BB84" i="86" s="1"/>
  <c r="BA84" i="85"/>
  <c r="BB84" i="85" s="1"/>
  <c r="BJ127" i="85"/>
  <c r="BK127" i="85" s="1"/>
  <c r="BA73" i="86"/>
  <c r="BB73" i="86" s="1"/>
  <c r="BA73" i="85"/>
  <c r="BB73" i="85" s="1"/>
  <c r="BA73" i="87"/>
  <c r="BB73" i="87" s="1"/>
  <c r="BA73" i="84"/>
  <c r="BB73" i="84" s="1"/>
  <c r="BA73" i="83"/>
  <c r="BB73" i="83" s="1"/>
  <c r="BA32" i="67"/>
  <c r="BB32" i="67" s="1"/>
  <c r="BA48" i="75"/>
  <c r="BB48" i="75" s="1"/>
  <c r="BA66" i="85"/>
  <c r="BB66" i="85" s="1"/>
  <c r="BA66" i="86"/>
  <c r="BB66" i="86" s="1"/>
  <c r="BA66" i="87"/>
  <c r="BB66" i="87" s="1"/>
  <c r="BA66" i="84"/>
  <c r="BB66" i="84" s="1"/>
  <c r="BA66" i="83"/>
  <c r="BB66" i="83" s="1"/>
  <c r="BJ99" i="86"/>
  <c r="BK99" i="86" s="1"/>
  <c r="BJ99" i="84"/>
  <c r="BK99" i="84" s="1"/>
  <c r="BJ99" i="87"/>
  <c r="BK99" i="87" s="1"/>
  <c r="BJ99" i="85"/>
  <c r="BK99" i="85" s="1"/>
  <c r="BJ99" i="83"/>
  <c r="BK99" i="83" s="1"/>
  <c r="BJ22" i="68"/>
  <c r="BK22" i="68" s="1"/>
  <c r="BJ39" i="87"/>
  <c r="BK39" i="87" s="1"/>
  <c r="BJ39" i="86"/>
  <c r="BK39" i="86" s="1"/>
  <c r="BJ39" i="85"/>
  <c r="BK39" i="85" s="1"/>
  <c r="BJ39" i="84"/>
  <c r="BK39" i="84" s="1"/>
  <c r="BJ39" i="83"/>
  <c r="BK39" i="83" s="1"/>
  <c r="BJ61" i="1"/>
  <c r="BK61" i="1" s="1"/>
  <c r="BJ120" i="85"/>
  <c r="BK120" i="85" s="1"/>
  <c r="BJ120" i="86"/>
  <c r="BK120" i="86" s="1"/>
  <c r="BJ120" i="87"/>
  <c r="BK120" i="87" s="1"/>
  <c r="BJ120" i="84"/>
  <c r="BK120" i="84" s="1"/>
  <c r="BJ120" i="83"/>
  <c r="BK120" i="83" s="1"/>
  <c r="BA32" i="1"/>
  <c r="BB32" i="1" s="1"/>
  <c r="BJ47" i="75"/>
  <c r="BK47" i="75" s="1"/>
  <c r="BJ100" i="85"/>
  <c r="BK100" i="85" s="1"/>
  <c r="BJ100" i="87"/>
  <c r="BK100" i="87" s="1"/>
  <c r="BJ100" i="86"/>
  <c r="BK100" i="86" s="1"/>
  <c r="BJ100" i="84"/>
  <c r="BK100" i="84" s="1"/>
  <c r="BJ100" i="83"/>
  <c r="BK100" i="83" s="1"/>
  <c r="BA56" i="86"/>
  <c r="BB56" i="86" s="1"/>
  <c r="BA56" i="85"/>
  <c r="BB56" i="85" s="1"/>
  <c r="BA109" i="86"/>
  <c r="BB109" i="86" s="1"/>
  <c r="BJ157" i="86"/>
  <c r="BK157" i="86" s="1"/>
  <c r="BA114" i="87"/>
  <c r="BB114" i="87" s="1"/>
  <c r="BJ160" i="87"/>
  <c r="BK160" i="87" s="1"/>
  <c r="BA109" i="85"/>
  <c r="BB109" i="85" s="1"/>
  <c r="BJ157" i="85"/>
  <c r="BK157" i="85" s="1"/>
  <c r="BJ106" i="86"/>
  <c r="BK106" i="86" s="1"/>
  <c r="BJ106" i="87"/>
  <c r="BK106" i="87" s="1"/>
  <c r="BJ106" i="85"/>
  <c r="BK106" i="85" s="1"/>
  <c r="BJ106" i="84"/>
  <c r="BK106" i="84" s="1"/>
  <c r="BJ106" i="83"/>
  <c r="BK106" i="83" s="1"/>
  <c r="BJ149" i="87"/>
  <c r="BK149" i="87" s="1"/>
  <c r="BA96" i="87"/>
  <c r="BB96" i="87" s="1"/>
  <c r="BJ113" i="87"/>
  <c r="BK113" i="87" s="1"/>
  <c r="BJ113" i="86"/>
  <c r="BK113" i="86" s="1"/>
  <c r="BJ113" i="85"/>
  <c r="BK113" i="85" s="1"/>
  <c r="BJ113" i="84"/>
  <c r="BK113" i="84" s="1"/>
  <c r="BJ113" i="83"/>
  <c r="BK113" i="83" s="1"/>
  <c r="BJ107" i="87"/>
  <c r="BK107" i="87" s="1"/>
  <c r="BJ107" i="86"/>
  <c r="BK107" i="86" s="1"/>
  <c r="BJ107" i="85"/>
  <c r="BK107" i="85" s="1"/>
  <c r="BJ107" i="84"/>
  <c r="BK107" i="84" s="1"/>
  <c r="BJ107" i="83"/>
  <c r="BK107" i="83" s="1"/>
  <c r="BJ124" i="85"/>
  <c r="BK124" i="85" s="1"/>
  <c r="BJ124" i="86"/>
  <c r="BK124" i="86" s="1"/>
  <c r="BJ124" i="87"/>
  <c r="BK124" i="87" s="1"/>
  <c r="BJ124" i="84"/>
  <c r="BK124" i="84" s="1"/>
  <c r="BJ124" i="83"/>
  <c r="BK124" i="83" s="1"/>
  <c r="AW47" i="84"/>
  <c r="AV47" i="84"/>
  <c r="AW46" i="85"/>
  <c r="BA46" i="85"/>
  <c r="BB46" i="85" s="1"/>
  <c r="AV46" i="85"/>
  <c r="BF81" i="83"/>
  <c r="BE81" i="83"/>
  <c r="BF79" i="86"/>
  <c r="BE79" i="86"/>
  <c r="BJ79" i="86"/>
  <c r="BK79" i="86" s="1"/>
  <c r="BE77" i="86"/>
  <c r="BF77" i="86"/>
  <c r="BJ77" i="86"/>
  <c r="BK77" i="86" s="1"/>
  <c r="AW47" i="87"/>
  <c r="AV47" i="87"/>
  <c r="BA46" i="87"/>
  <c r="BB46" i="87" s="1"/>
  <c r="AV46" i="87"/>
  <c r="AW46" i="87"/>
  <c r="BF82" i="83"/>
  <c r="BE82" i="83"/>
  <c r="BE81" i="84"/>
  <c r="BF81" i="84"/>
  <c r="BF79" i="87"/>
  <c r="BJ79" i="87"/>
  <c r="BK79" i="87" s="1"/>
  <c r="BE79" i="87"/>
  <c r="AW47" i="86"/>
  <c r="AV47" i="86"/>
  <c r="BF83" i="83"/>
  <c r="BJ83" i="83"/>
  <c r="BK83" i="83" s="1"/>
  <c r="BE83" i="83"/>
  <c r="BF82" i="84"/>
  <c r="BE82" i="84"/>
  <c r="BF81" i="85"/>
  <c r="BE81" i="85"/>
  <c r="BF79" i="85"/>
  <c r="BJ79" i="85"/>
  <c r="BK79" i="85" s="1"/>
  <c r="BE79" i="85"/>
  <c r="BF76" i="83"/>
  <c r="BE76" i="83"/>
  <c r="BJ76" i="83"/>
  <c r="BK76" i="83" s="1"/>
  <c r="AV47" i="85"/>
  <c r="AW47" i="85"/>
  <c r="BF83" i="84"/>
  <c r="BJ83" i="84"/>
  <c r="BK83" i="84" s="1"/>
  <c r="BE83" i="84"/>
  <c r="BF82" i="86"/>
  <c r="BE82" i="86"/>
  <c r="BF81" i="87"/>
  <c r="BE81" i="87"/>
  <c r="BF78" i="83"/>
  <c r="BE78" i="83"/>
  <c r="BJ78" i="83"/>
  <c r="BK78" i="83" s="1"/>
  <c r="BJ76" i="84"/>
  <c r="BK76" i="84" s="1"/>
  <c r="BE76" i="84"/>
  <c r="BF76" i="84"/>
  <c r="BF84" i="83"/>
  <c r="BE84" i="83"/>
  <c r="BE83" i="85"/>
  <c r="BF83" i="85"/>
  <c r="BJ83" i="85"/>
  <c r="BK83" i="85" s="1"/>
  <c r="BF82" i="85"/>
  <c r="BE82" i="85"/>
  <c r="BF81" i="86"/>
  <c r="BE81" i="86"/>
  <c r="BJ78" i="84"/>
  <c r="BK78" i="84" s="1"/>
  <c r="BE78" i="84"/>
  <c r="BF78" i="84"/>
  <c r="BJ76" i="87"/>
  <c r="BK76" i="87" s="1"/>
  <c r="BE76" i="87"/>
  <c r="BF76" i="87"/>
  <c r="BE84" i="84"/>
  <c r="BF84" i="84"/>
  <c r="BJ83" i="87"/>
  <c r="BK83" i="87" s="1"/>
  <c r="BF83" i="87"/>
  <c r="BE83" i="87"/>
  <c r="BF82" i="87"/>
  <c r="BE82" i="87"/>
  <c r="BJ80" i="83"/>
  <c r="BK80" i="83" s="1"/>
  <c r="BE80" i="83"/>
  <c r="BF80" i="83"/>
  <c r="BF78" i="85"/>
  <c r="BJ78" i="85"/>
  <c r="BK78" i="85" s="1"/>
  <c r="BE78" i="85"/>
  <c r="BJ76" i="86"/>
  <c r="BK76" i="86" s="1"/>
  <c r="BF76" i="86"/>
  <c r="BE76" i="86"/>
  <c r="AV48" i="83"/>
  <c r="BA48" i="83"/>
  <c r="BB48" i="83" s="1"/>
  <c r="AW48" i="83"/>
  <c r="BF84" i="86"/>
  <c r="BE84" i="86"/>
  <c r="BE83" i="86"/>
  <c r="BF83" i="86"/>
  <c r="BJ83" i="86"/>
  <c r="BK83" i="86" s="1"/>
  <c r="AV44" i="83"/>
  <c r="AW44" i="83"/>
  <c r="BA44" i="83"/>
  <c r="BB44" i="83" s="1"/>
  <c r="BJ80" i="84"/>
  <c r="BK80" i="84" s="1"/>
  <c r="BF80" i="84"/>
  <c r="BE80" i="84"/>
  <c r="BF78" i="87"/>
  <c r="BJ78" i="87"/>
  <c r="BK78" i="87" s="1"/>
  <c r="BE78" i="87"/>
  <c r="BJ76" i="85"/>
  <c r="BK76" i="85" s="1"/>
  <c r="BF76" i="85"/>
  <c r="BE76" i="85"/>
  <c r="AW48" i="84"/>
  <c r="BA48" i="84"/>
  <c r="BB48" i="84" s="1"/>
  <c r="AV48" i="84"/>
  <c r="BF84" i="87"/>
  <c r="BE84" i="87"/>
  <c r="AW45" i="83"/>
  <c r="AV45" i="83"/>
  <c r="BA44" i="84"/>
  <c r="BB44" i="84" s="1"/>
  <c r="AV44" i="84"/>
  <c r="AW44" i="84"/>
  <c r="BF80" i="87"/>
  <c r="BJ80" i="87"/>
  <c r="BK80" i="87" s="1"/>
  <c r="BE80" i="87"/>
  <c r="BF78" i="86"/>
  <c r="BJ78" i="86"/>
  <c r="BK78" i="86" s="1"/>
  <c r="BE78" i="86"/>
  <c r="BF75" i="83"/>
  <c r="BE75" i="83"/>
  <c r="BJ75" i="83"/>
  <c r="BK75" i="83" s="1"/>
  <c r="AW48" i="85"/>
  <c r="BA48" i="85"/>
  <c r="BB48" i="85" s="1"/>
  <c r="AV48" i="85"/>
  <c r="BJ84" i="85"/>
  <c r="BK84" i="85" s="1"/>
  <c r="BE84" i="85"/>
  <c r="BF84" i="85"/>
  <c r="AV45" i="84"/>
  <c r="AW45" i="84"/>
  <c r="AW44" i="85"/>
  <c r="AV44" i="85"/>
  <c r="BA44" i="85"/>
  <c r="BB44" i="85" s="1"/>
  <c r="BF80" i="85"/>
  <c r="BE80" i="85"/>
  <c r="BJ80" i="85"/>
  <c r="BK80" i="85" s="1"/>
  <c r="BJ77" i="83"/>
  <c r="BK77" i="83" s="1"/>
  <c r="BF77" i="83"/>
  <c r="BE77" i="83"/>
  <c r="BE75" i="84"/>
  <c r="BF75" i="84"/>
  <c r="BJ75" i="84"/>
  <c r="BK75" i="84" s="1"/>
  <c r="BA48" i="87"/>
  <c r="BB48" i="87" s="1"/>
  <c r="AW48" i="87"/>
  <c r="AV48" i="87"/>
  <c r="BA46" i="83"/>
  <c r="BB46" i="83" s="1"/>
  <c r="AV46" i="83"/>
  <c r="AW46" i="83"/>
  <c r="AW45" i="86"/>
  <c r="AV45" i="86"/>
  <c r="AW44" i="87"/>
  <c r="BA44" i="87"/>
  <c r="BB44" i="87" s="1"/>
  <c r="AV44" i="87"/>
  <c r="BE80" i="86"/>
  <c r="BJ80" i="86"/>
  <c r="BK80" i="86" s="1"/>
  <c r="BF80" i="86"/>
  <c r="BF77" i="84"/>
  <c r="BE77" i="84"/>
  <c r="BJ77" i="84"/>
  <c r="BK77" i="84" s="1"/>
  <c r="BF75" i="86"/>
  <c r="BJ75" i="86"/>
  <c r="BK75" i="86" s="1"/>
  <c r="BE75" i="86"/>
  <c r="BA48" i="86"/>
  <c r="BB48" i="86" s="1"/>
  <c r="AV48" i="86"/>
  <c r="AW48" i="86"/>
  <c r="BA46" i="84"/>
  <c r="BB46" i="84" s="1"/>
  <c r="AV46" i="84"/>
  <c r="AW46" i="84"/>
  <c r="AW45" i="85"/>
  <c r="AV45" i="85"/>
  <c r="BA44" i="86"/>
  <c r="BB44" i="86" s="1"/>
  <c r="AW44" i="86"/>
  <c r="AV44" i="86"/>
  <c r="BE79" i="83"/>
  <c r="BF79" i="83"/>
  <c r="BJ79" i="83"/>
  <c r="BK79" i="83" s="1"/>
  <c r="BF77" i="85"/>
  <c r="BE77" i="85"/>
  <c r="BJ77" i="85"/>
  <c r="BK77" i="85" s="1"/>
  <c r="BJ75" i="87"/>
  <c r="BK75" i="87" s="1"/>
  <c r="BE75" i="87"/>
  <c r="BF75" i="87"/>
  <c r="AW47" i="83"/>
  <c r="AV47" i="83"/>
  <c r="BA46" i="86"/>
  <c r="BB46" i="86" s="1"/>
  <c r="AW46" i="86"/>
  <c r="AV46" i="86"/>
  <c r="AW45" i="87"/>
  <c r="AV45" i="87"/>
  <c r="BJ79" i="84"/>
  <c r="BK79" i="84" s="1"/>
  <c r="BE79" i="84"/>
  <c r="BF79" i="84"/>
  <c r="BJ77" i="87"/>
  <c r="BK77" i="87" s="1"/>
  <c r="BF77" i="87"/>
  <c r="BE77" i="87"/>
  <c r="BJ75" i="85"/>
  <c r="BK75" i="85" s="1"/>
  <c r="BF75" i="85"/>
  <c r="BE75" i="85"/>
  <c r="BJ52" i="85"/>
  <c r="BK52" i="85" s="1"/>
  <c r="BE52" i="85"/>
  <c r="BF52" i="85"/>
  <c r="AV32" i="84"/>
  <c r="BA32" i="84"/>
  <c r="BB32" i="84" s="1"/>
  <c r="AW32" i="84"/>
  <c r="BF56" i="86"/>
  <c r="BE56" i="86"/>
  <c r="BF51" i="83"/>
  <c r="BE51" i="83"/>
  <c r="BJ51" i="83"/>
  <c r="BK51" i="83" s="1"/>
  <c r="BA32" i="87"/>
  <c r="BB32" i="87" s="1"/>
  <c r="AW32" i="87"/>
  <c r="AV32" i="87"/>
  <c r="BE56" i="87"/>
  <c r="BF56" i="87"/>
  <c r="BJ51" i="84"/>
  <c r="BK51" i="84" s="1"/>
  <c r="BE51" i="84"/>
  <c r="BF51" i="84"/>
  <c r="BA32" i="86"/>
  <c r="BB32" i="86" s="1"/>
  <c r="AW32" i="86"/>
  <c r="AV32" i="86"/>
  <c r="BF55" i="83"/>
  <c r="BJ55" i="83"/>
  <c r="BK55" i="83" s="1"/>
  <c r="BE55" i="83"/>
  <c r="BE53" i="83"/>
  <c r="BF53" i="83"/>
  <c r="BJ51" i="86"/>
  <c r="BK51" i="86" s="1"/>
  <c r="BF51" i="86"/>
  <c r="BE51" i="86"/>
  <c r="AW32" i="85"/>
  <c r="AV32" i="85"/>
  <c r="BA32" i="85"/>
  <c r="BB32" i="85" s="1"/>
  <c r="BJ55" i="84"/>
  <c r="BK55" i="84" s="1"/>
  <c r="BF55" i="84"/>
  <c r="BE55" i="84"/>
  <c r="BF53" i="84"/>
  <c r="BE53" i="84"/>
  <c r="BJ51" i="85"/>
  <c r="BK51" i="85" s="1"/>
  <c r="BF51" i="85"/>
  <c r="BE51" i="85"/>
  <c r="AW31" i="83"/>
  <c r="AV31" i="83"/>
  <c r="BJ55" i="87"/>
  <c r="BK55" i="87" s="1"/>
  <c r="BF55" i="87"/>
  <c r="BE55" i="87"/>
  <c r="BF53" i="86"/>
  <c r="BE53" i="86"/>
  <c r="BJ51" i="87"/>
  <c r="BK51" i="87" s="1"/>
  <c r="BF51" i="87"/>
  <c r="BE51" i="87"/>
  <c r="AW31" i="84"/>
  <c r="AV31" i="84"/>
  <c r="BE55" i="86"/>
  <c r="BF55" i="86"/>
  <c r="BJ55" i="86"/>
  <c r="BK55" i="86" s="1"/>
  <c r="BF53" i="85"/>
  <c r="BE53" i="85"/>
  <c r="BA33" i="83"/>
  <c r="BB33" i="83" s="1"/>
  <c r="AW33" i="83"/>
  <c r="AV33" i="83"/>
  <c r="AW31" i="87"/>
  <c r="AV31" i="87"/>
  <c r="BJ55" i="85"/>
  <c r="BK55" i="85" s="1"/>
  <c r="BE55" i="85"/>
  <c r="BF55" i="85"/>
  <c r="BF53" i="87"/>
  <c r="BE53" i="87"/>
  <c r="BA33" i="84"/>
  <c r="BB33" i="84" s="1"/>
  <c r="AW33" i="84"/>
  <c r="AV33" i="84"/>
  <c r="AV31" i="86"/>
  <c r="AW31" i="86"/>
  <c r="BF54" i="83"/>
  <c r="BE54" i="83"/>
  <c r="BF52" i="83"/>
  <c r="BJ52" i="83"/>
  <c r="BK52" i="83" s="1"/>
  <c r="BE52" i="83"/>
  <c r="BA33" i="85"/>
  <c r="BB33" i="85" s="1"/>
  <c r="AV33" i="85"/>
  <c r="AW33" i="85"/>
  <c r="AW31" i="85"/>
  <c r="AV31" i="85"/>
  <c r="BF54" i="84"/>
  <c r="BE54" i="84"/>
  <c r="BJ52" i="84"/>
  <c r="BK52" i="84" s="1"/>
  <c r="BE52" i="84"/>
  <c r="BF52" i="84"/>
  <c r="BA33" i="86"/>
  <c r="BB33" i="86" s="1"/>
  <c r="AW33" i="86"/>
  <c r="AV33" i="86"/>
  <c r="BF56" i="83"/>
  <c r="BE56" i="83"/>
  <c r="BE54" i="86"/>
  <c r="BF54" i="86"/>
  <c r="BJ52" i="87"/>
  <c r="BK52" i="87" s="1"/>
  <c r="BE52" i="87"/>
  <c r="BF52" i="87"/>
  <c r="BA33" i="87"/>
  <c r="BB33" i="87" s="1"/>
  <c r="AW33" i="87"/>
  <c r="AV33" i="87"/>
  <c r="BF56" i="84"/>
  <c r="BE56" i="84"/>
  <c r="BE54" i="85"/>
  <c r="BF54" i="85"/>
  <c r="BE52" i="86"/>
  <c r="BJ52" i="86"/>
  <c r="BK52" i="86" s="1"/>
  <c r="BF52" i="86"/>
  <c r="AW32" i="83"/>
  <c r="BA32" i="83"/>
  <c r="BB32" i="83" s="1"/>
  <c r="AV32" i="83"/>
  <c r="BF56" i="85"/>
  <c r="BE56" i="85"/>
  <c r="BE54" i="87"/>
  <c r="BF54" i="87"/>
  <c r="BE68" i="85"/>
  <c r="BJ68" i="85"/>
  <c r="BK68" i="85" s="1"/>
  <c r="BF68" i="85"/>
  <c r="BA42" i="84"/>
  <c r="BB42" i="84" s="1"/>
  <c r="AV42" i="84"/>
  <c r="AW42" i="84"/>
  <c r="AW41" i="85"/>
  <c r="BA41" i="85"/>
  <c r="BB41" i="85" s="1"/>
  <c r="AV41" i="85"/>
  <c r="BE65" i="87"/>
  <c r="BJ65" i="87"/>
  <c r="BK65" i="87" s="1"/>
  <c r="BF65" i="87"/>
  <c r="BE64" i="84"/>
  <c r="BF64" i="84"/>
  <c r="BJ64" i="84"/>
  <c r="BK64" i="84" s="1"/>
  <c r="BE72" i="86"/>
  <c r="BF72" i="86"/>
  <c r="BJ72" i="86"/>
  <c r="BK72" i="86" s="1"/>
  <c r="AW36" i="83"/>
  <c r="AV36" i="83"/>
  <c r="BF62" i="84"/>
  <c r="BE62" i="84"/>
  <c r="BF61" i="86"/>
  <c r="BE61" i="86"/>
  <c r="BF69" i="83"/>
  <c r="BJ69" i="83"/>
  <c r="BK69" i="83" s="1"/>
  <c r="BE69" i="83"/>
  <c r="BJ58" i="83"/>
  <c r="BK58" i="83" s="1"/>
  <c r="BE58" i="83"/>
  <c r="BF58" i="83"/>
  <c r="BA42" i="87"/>
  <c r="BB42" i="87" s="1"/>
  <c r="AW42" i="87"/>
  <c r="AV42" i="87"/>
  <c r="BA41" i="86"/>
  <c r="BB41" i="86" s="1"/>
  <c r="AV41" i="86"/>
  <c r="AW41" i="86"/>
  <c r="AW39" i="83"/>
  <c r="BA39" i="83"/>
  <c r="BB39" i="83" s="1"/>
  <c r="AV39" i="83"/>
  <c r="BJ64" i="86"/>
  <c r="BK64" i="86" s="1"/>
  <c r="BE64" i="86"/>
  <c r="BF64" i="86"/>
  <c r="BF72" i="85"/>
  <c r="BE72" i="85"/>
  <c r="BJ72" i="85"/>
  <c r="BK72" i="85" s="1"/>
  <c r="AW36" i="84"/>
  <c r="AV36" i="84"/>
  <c r="BF62" i="87"/>
  <c r="BE62" i="87"/>
  <c r="BF61" i="87"/>
  <c r="BE61" i="87"/>
  <c r="BJ69" i="84"/>
  <c r="BK69" i="84" s="1"/>
  <c r="BE69" i="84"/>
  <c r="BF69" i="84"/>
  <c r="BJ58" i="84"/>
  <c r="BK58" i="84" s="1"/>
  <c r="BE58" i="84"/>
  <c r="BF58" i="84"/>
  <c r="BA42" i="85"/>
  <c r="BB42" i="85" s="1"/>
  <c r="AV42" i="85"/>
  <c r="AW42" i="85"/>
  <c r="AW41" i="87"/>
  <c r="BA41" i="87"/>
  <c r="BB41" i="87" s="1"/>
  <c r="AV41" i="87"/>
  <c r="AW39" i="84"/>
  <c r="AV39" i="84"/>
  <c r="BA39" i="84"/>
  <c r="BB39" i="84" s="1"/>
  <c r="BJ64" i="85"/>
  <c r="BK64" i="85" s="1"/>
  <c r="BF64" i="85"/>
  <c r="BE64" i="85"/>
  <c r="BF63" i="83"/>
  <c r="BE63" i="83"/>
  <c r="BJ63" i="83"/>
  <c r="BK63" i="83" s="1"/>
  <c r="AV36" i="86"/>
  <c r="AW36" i="86"/>
  <c r="BJ62" i="85"/>
  <c r="BK62" i="85" s="1"/>
  <c r="BF62" i="85"/>
  <c r="BE62" i="85"/>
  <c r="BF70" i="83"/>
  <c r="BE70" i="83"/>
  <c r="BJ69" i="85"/>
  <c r="BK69" i="85" s="1"/>
  <c r="BE69" i="85"/>
  <c r="BF69" i="85"/>
  <c r="BJ58" i="86"/>
  <c r="BK58" i="86" s="1"/>
  <c r="BF58" i="86"/>
  <c r="BE58" i="86"/>
  <c r="BA42" i="86"/>
  <c r="BB42" i="86" s="1"/>
  <c r="AW42" i="86"/>
  <c r="AV42" i="86"/>
  <c r="AW40" i="83"/>
  <c r="AV40" i="83"/>
  <c r="BA39" i="86"/>
  <c r="BB39" i="86" s="1"/>
  <c r="AV39" i="86"/>
  <c r="AW39" i="86"/>
  <c r="BF64" i="87"/>
  <c r="BE64" i="87"/>
  <c r="BJ64" i="87"/>
  <c r="BK64" i="87" s="1"/>
  <c r="BJ63" i="84"/>
  <c r="BK63" i="84" s="1"/>
  <c r="BF63" i="84"/>
  <c r="BE63" i="84"/>
  <c r="AV36" i="87"/>
  <c r="AW36" i="87"/>
  <c r="BE62" i="86"/>
  <c r="BJ62" i="86"/>
  <c r="BK62" i="86" s="1"/>
  <c r="BF62" i="86"/>
  <c r="BF70" i="84"/>
  <c r="BE70" i="84"/>
  <c r="BF69" i="86"/>
  <c r="BJ69" i="86"/>
  <c r="BK69" i="86" s="1"/>
  <c r="BE69" i="86"/>
  <c r="BF58" i="87"/>
  <c r="BE58" i="87"/>
  <c r="BJ58" i="87"/>
  <c r="BK58" i="87" s="1"/>
  <c r="AW40" i="84"/>
  <c r="AV40" i="84"/>
  <c r="AW39" i="87"/>
  <c r="BA39" i="87"/>
  <c r="BB39" i="87" s="1"/>
  <c r="AV39" i="87"/>
  <c r="AV38" i="83"/>
  <c r="BA38" i="83"/>
  <c r="BB38" i="83" s="1"/>
  <c r="AW38" i="83"/>
  <c r="BJ63" i="85"/>
  <c r="BK63" i="85" s="1"/>
  <c r="BE63" i="85"/>
  <c r="BF63" i="85"/>
  <c r="AW36" i="85"/>
  <c r="AV36" i="85"/>
  <c r="AW35" i="83"/>
  <c r="AV35" i="83"/>
  <c r="BE70" i="86"/>
  <c r="BF70" i="86"/>
  <c r="BJ69" i="87"/>
  <c r="BK69" i="87" s="1"/>
  <c r="BE69" i="87"/>
  <c r="BF69" i="87"/>
  <c r="BJ58" i="85"/>
  <c r="BK58" i="85" s="1"/>
  <c r="BF58" i="85"/>
  <c r="BE58" i="85"/>
  <c r="BE66" i="83"/>
  <c r="BF66" i="83"/>
  <c r="AW40" i="86"/>
  <c r="AV40" i="86"/>
  <c r="BA39" i="85"/>
  <c r="BB39" i="85" s="1"/>
  <c r="AV39" i="85"/>
  <c r="AW39" i="85"/>
  <c r="AV38" i="84"/>
  <c r="BA38" i="84"/>
  <c r="BB38" i="84" s="1"/>
  <c r="AW38" i="84"/>
  <c r="BF63" i="87"/>
  <c r="BE63" i="87"/>
  <c r="BJ63" i="87"/>
  <c r="BK63" i="87" s="1"/>
  <c r="AV35" i="84"/>
  <c r="AW35" i="84"/>
  <c r="BE70" i="85"/>
  <c r="BF70" i="85"/>
  <c r="BE67" i="83"/>
  <c r="BF67" i="83"/>
  <c r="BF66" i="84"/>
  <c r="BE66" i="84"/>
  <c r="AW40" i="87"/>
  <c r="AV40" i="87"/>
  <c r="BF73" i="83"/>
  <c r="BE73" i="83"/>
  <c r="BA38" i="87"/>
  <c r="BB38" i="87" s="1"/>
  <c r="AW38" i="87"/>
  <c r="AV38" i="87"/>
  <c r="BE63" i="86"/>
  <c r="BF63" i="86"/>
  <c r="BJ63" i="86"/>
  <c r="BK63" i="86" s="1"/>
  <c r="BF71" i="83"/>
  <c r="BE71" i="83"/>
  <c r="BJ71" i="83"/>
  <c r="BK71" i="83" s="1"/>
  <c r="AW35" i="87"/>
  <c r="AV35" i="87"/>
  <c r="BE70" i="87"/>
  <c r="BF70" i="87"/>
  <c r="BF59" i="83"/>
  <c r="BE59" i="83"/>
  <c r="BF67" i="84"/>
  <c r="BE67" i="84"/>
  <c r="BE66" i="87"/>
  <c r="BF66" i="87"/>
  <c r="AV40" i="85"/>
  <c r="AW40" i="85"/>
  <c r="BF73" i="84"/>
  <c r="BE73" i="84"/>
  <c r="AV38" i="85"/>
  <c r="AW38" i="85"/>
  <c r="BA38" i="85"/>
  <c r="BB38" i="85" s="1"/>
  <c r="AW37" i="83"/>
  <c r="AV37" i="83"/>
  <c r="BE71" i="84"/>
  <c r="BJ71" i="84"/>
  <c r="BK71" i="84" s="1"/>
  <c r="BF71" i="84"/>
  <c r="AW35" i="85"/>
  <c r="AV35" i="85"/>
  <c r="BF60" i="83"/>
  <c r="BE60" i="83"/>
  <c r="BJ60" i="83"/>
  <c r="BK60" i="83" s="1"/>
  <c r="BE59" i="84"/>
  <c r="BF59" i="84"/>
  <c r="BE68" i="83"/>
  <c r="BJ68" i="83"/>
  <c r="BK68" i="83" s="1"/>
  <c r="BF68" i="83"/>
  <c r="BF67" i="86"/>
  <c r="BE67" i="86"/>
  <c r="BF66" i="86"/>
  <c r="BE66" i="86"/>
  <c r="BF65" i="83"/>
  <c r="BE65" i="83"/>
  <c r="BJ65" i="83"/>
  <c r="BK65" i="83" s="1"/>
  <c r="BF73" i="85"/>
  <c r="BE73" i="85"/>
  <c r="BA38" i="86"/>
  <c r="BB38" i="86" s="1"/>
  <c r="AV38" i="86"/>
  <c r="AW38" i="86"/>
  <c r="AV37" i="84"/>
  <c r="AW37" i="84"/>
  <c r="BF71" i="86"/>
  <c r="BE71" i="86"/>
  <c r="BJ71" i="86"/>
  <c r="BK71" i="86" s="1"/>
  <c r="AW35" i="86"/>
  <c r="AV35" i="86"/>
  <c r="BJ60" i="84"/>
  <c r="BK60" i="84" s="1"/>
  <c r="BE60" i="84"/>
  <c r="BF60" i="84"/>
  <c r="BE59" i="87"/>
  <c r="BF59" i="87"/>
  <c r="BE68" i="84"/>
  <c r="BJ68" i="84"/>
  <c r="BK68" i="84" s="1"/>
  <c r="BF68" i="84"/>
  <c r="BE67" i="85"/>
  <c r="BF67" i="85"/>
  <c r="BF66" i="85"/>
  <c r="BE66" i="85"/>
  <c r="BF65" i="84"/>
  <c r="BJ65" i="84"/>
  <c r="BK65" i="84" s="1"/>
  <c r="BE65" i="84"/>
  <c r="BF73" i="87"/>
  <c r="BE73" i="87"/>
  <c r="BE72" i="83"/>
  <c r="BJ72" i="83"/>
  <c r="BK72" i="83" s="1"/>
  <c r="BF72" i="83"/>
  <c r="AV37" i="86"/>
  <c r="AW37" i="86"/>
  <c r="BJ71" i="85"/>
  <c r="BK71" i="85" s="1"/>
  <c r="BF71" i="85"/>
  <c r="BE71" i="85"/>
  <c r="BF61" i="83"/>
  <c r="BE61" i="83"/>
  <c r="BJ60" i="87"/>
  <c r="BK60" i="87" s="1"/>
  <c r="BE60" i="87"/>
  <c r="BF60" i="87"/>
  <c r="BF59" i="85"/>
  <c r="BE59" i="85"/>
  <c r="BF68" i="87"/>
  <c r="BJ68" i="87"/>
  <c r="BK68" i="87" s="1"/>
  <c r="BE68" i="87"/>
  <c r="BE67" i="87"/>
  <c r="BF67" i="87"/>
  <c r="AV41" i="83"/>
  <c r="AW41" i="83"/>
  <c r="BA41" i="83"/>
  <c r="BB41" i="83" s="1"/>
  <c r="BJ65" i="86"/>
  <c r="BK65" i="86" s="1"/>
  <c r="BE65" i="86"/>
  <c r="BF65" i="86"/>
  <c r="BF73" i="86"/>
  <c r="BE73" i="86"/>
  <c r="BJ72" i="84"/>
  <c r="BK72" i="84" s="1"/>
  <c r="BF72" i="84"/>
  <c r="BE72" i="84"/>
  <c r="AV37" i="87"/>
  <c r="AW37" i="87"/>
  <c r="BF71" i="87"/>
  <c r="BJ71" i="87"/>
  <c r="BK71" i="87" s="1"/>
  <c r="BE71" i="87"/>
  <c r="BE61" i="84"/>
  <c r="BF61" i="84"/>
  <c r="BJ60" i="85"/>
  <c r="BK60" i="85" s="1"/>
  <c r="BF60" i="85"/>
  <c r="BE60" i="85"/>
  <c r="BF59" i="86"/>
  <c r="BE59" i="86"/>
  <c r="BE68" i="86"/>
  <c r="BJ68" i="86"/>
  <c r="BK68" i="86" s="1"/>
  <c r="BF68" i="86"/>
  <c r="AW42" i="83"/>
  <c r="BA42" i="83"/>
  <c r="BB42" i="83" s="1"/>
  <c r="AV42" i="83"/>
  <c r="AW41" i="84"/>
  <c r="BA41" i="84"/>
  <c r="BB41" i="84" s="1"/>
  <c r="AV41" i="84"/>
  <c r="BE65" i="85"/>
  <c r="BF65" i="85"/>
  <c r="BJ65" i="85"/>
  <c r="BK65" i="85" s="1"/>
  <c r="BF64" i="83"/>
  <c r="BE64" i="83"/>
  <c r="BJ64" i="83"/>
  <c r="BK64" i="83" s="1"/>
  <c r="BF72" i="87"/>
  <c r="BJ72" i="87"/>
  <c r="BK72" i="87" s="1"/>
  <c r="BE72" i="87"/>
  <c r="AV37" i="85"/>
  <c r="AW37" i="85"/>
  <c r="BJ62" i="83"/>
  <c r="BK62" i="83" s="1"/>
  <c r="BF62" i="83"/>
  <c r="BE62" i="83"/>
  <c r="BF61" i="85"/>
  <c r="BE61" i="85"/>
  <c r="BE60" i="86"/>
  <c r="BF60" i="86"/>
  <c r="BJ60" i="86"/>
  <c r="BK60" i="86" s="1"/>
  <c r="BH109" i="76"/>
  <c r="BH72" i="82"/>
  <c r="BH90" i="80"/>
  <c r="BH133" i="73"/>
  <c r="BH135" i="73"/>
  <c r="BH103" i="69"/>
  <c r="BH104" i="68"/>
  <c r="BH129" i="1"/>
  <c r="BH73" i="77"/>
  <c r="BH86" i="81"/>
  <c r="AY88" i="80"/>
  <c r="BH88" i="80" s="1"/>
  <c r="BH115" i="75"/>
  <c r="BH135" i="70"/>
  <c r="BH129" i="67"/>
  <c r="BH106" i="78"/>
  <c r="BD125" i="1"/>
  <c r="BJ125" i="1" s="1"/>
  <c r="AU80" i="70"/>
  <c r="AV80" i="70" s="1"/>
  <c r="AU53" i="80"/>
  <c r="AW53" i="80" s="1"/>
  <c r="BD125" i="74"/>
  <c r="BE125" i="74" s="1"/>
  <c r="AU80" i="1"/>
  <c r="AV80" i="1" s="1"/>
  <c r="AU67" i="68"/>
  <c r="AV67" i="68" s="1"/>
  <c r="BD102" i="78"/>
  <c r="BE102" i="78" s="1"/>
  <c r="BD99" i="76"/>
  <c r="BJ99" i="76" s="1"/>
  <c r="BD125" i="73"/>
  <c r="BJ125" i="73" s="1"/>
  <c r="AU80" i="67"/>
  <c r="AW80" i="67" s="1"/>
  <c r="BD125" i="67"/>
  <c r="BJ125" i="67" s="1"/>
  <c r="AU48" i="77"/>
  <c r="AV48" i="77" s="1"/>
  <c r="AU66" i="69"/>
  <c r="AV66" i="69" s="1"/>
  <c r="BD99" i="69"/>
  <c r="BF99" i="69" s="1"/>
  <c r="AU51" i="81"/>
  <c r="AW51" i="81" s="1"/>
  <c r="C214" i="2"/>
  <c r="E214" i="2"/>
  <c r="BD125" i="70"/>
  <c r="BF125" i="70" s="1"/>
  <c r="AU80" i="73"/>
  <c r="AW80" i="73" s="1"/>
  <c r="BD82" i="81"/>
  <c r="BE82" i="81" s="1"/>
  <c r="G214" i="2"/>
  <c r="H214" i="2" s="1"/>
  <c r="L214" i="2"/>
  <c r="AU43" i="82"/>
  <c r="AV43" i="82" s="1"/>
  <c r="BD99" i="75"/>
  <c r="BF99" i="75" s="1"/>
  <c r="BD125" i="71"/>
  <c r="BF125" i="71" s="1"/>
  <c r="BD125" i="66"/>
  <c r="BJ125" i="66" s="1"/>
  <c r="AU66" i="75"/>
  <c r="AV66" i="75" s="1"/>
  <c r="AU80" i="74"/>
  <c r="AV80" i="74" s="1"/>
  <c r="BD68" i="77"/>
  <c r="BF68" i="77" s="1"/>
  <c r="AU62" i="78"/>
  <c r="AW62" i="78" s="1"/>
  <c r="BD86" i="80"/>
  <c r="BF86" i="80" s="1"/>
  <c r="BD100" i="68"/>
  <c r="BE100" i="68" s="1"/>
  <c r="AU80" i="71"/>
  <c r="AV80" i="71" s="1"/>
  <c r="AU80" i="66"/>
  <c r="AW80" i="66" s="1"/>
  <c r="BD68" i="82"/>
  <c r="BJ68" i="82" s="1"/>
  <c r="BK68" i="82" s="1"/>
  <c r="D214" i="2"/>
  <c r="AU87" i="83"/>
  <c r="BD139" i="83"/>
  <c r="BJ74" i="69"/>
  <c r="BK74" i="69" s="1"/>
  <c r="BJ86" i="74"/>
  <c r="BK86" i="74" s="1"/>
  <c r="BJ66" i="81"/>
  <c r="BK66" i="81" s="1"/>
  <c r="M530" i="7"/>
  <c r="M49" i="7"/>
  <c r="M299" i="7"/>
  <c r="M175" i="7"/>
  <c r="M714" i="7"/>
  <c r="M685" i="7"/>
  <c r="M915" i="7"/>
  <c r="M1019" i="7"/>
  <c r="M831" i="7"/>
  <c r="M281" i="7"/>
  <c r="M315" i="7"/>
  <c r="M727" i="7"/>
  <c r="BJ116" i="73" s="1"/>
  <c r="BK116" i="73" s="1"/>
  <c r="M136" i="7"/>
  <c r="M185" i="7"/>
  <c r="M881" i="7"/>
  <c r="M288" i="7"/>
  <c r="M183" i="7"/>
  <c r="M37" i="7"/>
  <c r="M108" i="7"/>
  <c r="M1026" i="7"/>
  <c r="M678" i="7"/>
  <c r="M273" i="7"/>
  <c r="M504" i="7"/>
  <c r="M580" i="7"/>
  <c r="M774" i="7"/>
  <c r="M285" i="7"/>
  <c r="M605" i="7"/>
  <c r="BA104" i="68" s="1"/>
  <c r="BB104" i="68" s="1"/>
  <c r="M767" i="7"/>
  <c r="M66" i="7"/>
  <c r="M920" i="7"/>
  <c r="M291" i="7"/>
  <c r="M874" i="7"/>
  <c r="M645" i="7"/>
  <c r="BA45" i="87" s="1"/>
  <c r="BB45" i="87" s="1"/>
  <c r="M151" i="7"/>
  <c r="M360" i="7"/>
  <c r="M287" i="7"/>
  <c r="M380" i="7"/>
  <c r="M524" i="7"/>
  <c r="M777" i="7"/>
  <c r="M89" i="7"/>
  <c r="M617" i="7"/>
  <c r="BJ56" i="87" s="1"/>
  <c r="BK56" i="87" s="1"/>
  <c r="M1027" i="7"/>
  <c r="M666" i="7"/>
  <c r="M238" i="7"/>
  <c r="M322" i="7"/>
  <c r="M636" i="7"/>
  <c r="BJ67" i="84" s="1"/>
  <c r="BK67" i="84" s="1"/>
  <c r="M61" i="7"/>
  <c r="M993" i="7"/>
  <c r="M624" i="7"/>
  <c r="BA40" i="86" s="1"/>
  <c r="BB40" i="86" s="1"/>
  <c r="M24" i="7"/>
  <c r="M513" i="7"/>
  <c r="M733" i="7"/>
  <c r="M468" i="7"/>
  <c r="M44" i="7"/>
  <c r="M129" i="7"/>
  <c r="M691" i="7"/>
  <c r="M348" i="7"/>
  <c r="M177" i="7"/>
  <c r="M271" i="7"/>
  <c r="M925" i="7"/>
  <c r="M647" i="7"/>
  <c r="BA47" i="84" s="1"/>
  <c r="BB47" i="84" s="1"/>
  <c r="M47" i="7"/>
  <c r="M347" i="7"/>
  <c r="M104" i="7"/>
  <c r="M903" i="7"/>
  <c r="M829" i="7"/>
  <c r="M553" i="7"/>
  <c r="M499" i="7"/>
  <c r="M811" i="7"/>
  <c r="M1042" i="7"/>
  <c r="M110" i="7"/>
  <c r="M576" i="7"/>
  <c r="M921" i="7"/>
  <c r="M798" i="7"/>
  <c r="M327" i="7"/>
  <c r="M779" i="7"/>
  <c r="M440" i="7"/>
  <c r="M211" i="7"/>
  <c r="M750" i="7"/>
  <c r="M102" i="7"/>
  <c r="M655" i="7"/>
  <c r="BJ81" i="87" s="1"/>
  <c r="BK81" i="87" s="1"/>
  <c r="M53" i="7"/>
  <c r="M555" i="7"/>
  <c r="M474" i="7"/>
  <c r="M901" i="7"/>
  <c r="M818" i="7"/>
  <c r="M671" i="7"/>
  <c r="M758" i="7"/>
  <c r="M214" i="7"/>
  <c r="M559" i="7"/>
  <c r="M606" i="7"/>
  <c r="BJ142" i="74" s="1"/>
  <c r="BK142" i="74" s="1"/>
  <c r="M701" i="7"/>
  <c r="M388" i="7"/>
  <c r="M849" i="7"/>
  <c r="M70" i="7"/>
  <c r="M88" i="7"/>
  <c r="M165" i="7"/>
  <c r="M460" i="7"/>
  <c r="M1000" i="7"/>
  <c r="M222" i="7"/>
  <c r="M41" i="7"/>
  <c r="M1008" i="7"/>
  <c r="M810" i="7"/>
  <c r="M739" i="7"/>
  <c r="M160" i="7"/>
  <c r="M142" i="7"/>
  <c r="M114" i="7"/>
  <c r="M836" i="7"/>
  <c r="M263" i="7"/>
  <c r="M409" i="7"/>
  <c r="M483" i="7"/>
  <c r="M219" i="7"/>
  <c r="M1041" i="7"/>
  <c r="M1014" i="7"/>
  <c r="M520" i="7"/>
  <c r="M942" i="7"/>
  <c r="M619" i="7"/>
  <c r="M984" i="7"/>
  <c r="M738" i="7"/>
  <c r="M84" i="7"/>
  <c r="M789" i="7"/>
  <c r="M1043" i="7"/>
  <c r="M354" i="7"/>
  <c r="M906" i="7"/>
  <c r="M879" i="7"/>
  <c r="M745" i="7"/>
  <c r="M543" i="7"/>
  <c r="M728" i="7"/>
  <c r="M743" i="7"/>
  <c r="M120" i="7"/>
  <c r="M621" i="7"/>
  <c r="BA37" i="84" s="1"/>
  <c r="BB37" i="84" s="1"/>
  <c r="M766" i="7"/>
  <c r="M669" i="7"/>
  <c r="M275" i="7"/>
  <c r="M210" i="7"/>
  <c r="M926" i="7"/>
  <c r="M239" i="7"/>
  <c r="M32" i="7"/>
  <c r="M697" i="7"/>
  <c r="M251" i="7"/>
  <c r="M241" i="7"/>
  <c r="M534" i="7"/>
  <c r="M200" i="7"/>
  <c r="M76" i="7"/>
  <c r="M25" i="7"/>
  <c r="M57" i="7"/>
  <c r="M990" i="7"/>
  <c r="M913" i="7"/>
  <c r="M392" i="7"/>
  <c r="M518" i="7"/>
  <c r="M167" i="7"/>
  <c r="M861" i="7"/>
  <c r="M614" i="7"/>
  <c r="BJ53" i="84" s="1"/>
  <c r="BK53" i="84" s="1"/>
  <c r="M756" i="7"/>
  <c r="M1038" i="7"/>
  <c r="M131" i="7"/>
  <c r="M46" i="7"/>
  <c r="M737" i="7"/>
  <c r="M593" i="7"/>
  <c r="M35" i="7"/>
  <c r="M620" i="7"/>
  <c r="BA36" i="87" s="1"/>
  <c r="BB36" i="87" s="1"/>
  <c r="M374" i="7"/>
  <c r="M228" i="7"/>
  <c r="M535" i="7"/>
  <c r="M205" i="7"/>
  <c r="M844" i="7"/>
  <c r="M665" i="7"/>
  <c r="G289" i="2" s="1"/>
  <c r="H289" i="2" s="1"/>
  <c r="M15" i="7"/>
  <c r="M248" i="7"/>
  <c r="M125" i="7"/>
  <c r="M157" i="7"/>
  <c r="M1025" i="7"/>
  <c r="M703" i="7"/>
  <c r="M1003" i="7"/>
  <c r="M873" i="7"/>
  <c r="M602" i="7"/>
  <c r="M842" i="7"/>
  <c r="M526" i="7"/>
  <c r="M796" i="7"/>
  <c r="M516" i="7"/>
  <c r="M748" i="7"/>
  <c r="M523" i="7"/>
  <c r="M397" i="7"/>
  <c r="BA65" i="68" s="1"/>
  <c r="M899" i="7"/>
  <c r="M320" i="7"/>
  <c r="M788" i="7"/>
  <c r="M684" i="7"/>
  <c r="M552" i="7"/>
  <c r="M329" i="7"/>
  <c r="M734" i="7"/>
  <c r="M712" i="7"/>
  <c r="M656" i="7"/>
  <c r="BJ82" i="83" s="1"/>
  <c r="BK82" i="83" s="1"/>
  <c r="M54" i="7"/>
  <c r="M642" i="7"/>
  <c r="BJ73" i="86" s="1"/>
  <c r="BK73" i="86" s="1"/>
  <c r="M100" i="7"/>
  <c r="M803" i="7"/>
  <c r="M769" i="7"/>
  <c r="M430" i="7"/>
  <c r="M234" i="7"/>
  <c r="M480" i="7"/>
  <c r="M99" i="7"/>
  <c r="M488" i="7"/>
  <c r="M421" i="7"/>
  <c r="M71" i="7"/>
  <c r="M854" i="7"/>
  <c r="M1016" i="7"/>
  <c r="M316" i="7"/>
  <c r="M677" i="7"/>
  <c r="M1015" i="7"/>
  <c r="M103" i="7"/>
  <c r="M790" i="7"/>
  <c r="M431" i="7"/>
  <c r="M604" i="7"/>
  <c r="M991" i="7"/>
  <c r="M472" i="7"/>
  <c r="M505" i="7"/>
  <c r="M36" i="7"/>
  <c r="M730" i="7"/>
  <c r="M1039" i="7"/>
  <c r="M500" i="7"/>
  <c r="M379" i="7"/>
  <c r="M350" i="7"/>
  <c r="M1006" i="7"/>
  <c r="M313" i="7"/>
  <c r="M55" i="7"/>
  <c r="M332" i="7"/>
  <c r="M357" i="7"/>
  <c r="M827" i="7"/>
  <c r="M86" i="7"/>
  <c r="M833" i="7"/>
  <c r="M453" i="7"/>
  <c r="M204" i="7"/>
  <c r="M595" i="7"/>
  <c r="M342" i="7"/>
  <c r="M960" i="7"/>
  <c r="M381" i="7"/>
  <c r="M735" i="7"/>
  <c r="M257" i="7"/>
  <c r="M764" i="7"/>
  <c r="M955" i="7"/>
  <c r="M989" i="7"/>
  <c r="M152" i="7"/>
  <c r="M502" i="7"/>
  <c r="M1022" i="7"/>
  <c r="M375" i="7"/>
  <c r="M445" i="7"/>
  <c r="M270" i="7"/>
  <c r="M246" i="7"/>
  <c r="M13" i="7"/>
  <c r="M83" i="7"/>
  <c r="M673" i="7"/>
  <c r="M148" i="7"/>
  <c r="M599" i="7"/>
  <c r="M69" i="7"/>
  <c r="M146" i="7"/>
  <c r="M93" i="7"/>
  <c r="M317" i="7"/>
  <c r="BA47" i="67"/>
  <c r="BB47" i="67" s="1"/>
  <c r="BJ75" i="74"/>
  <c r="BK75" i="74" s="1"/>
  <c r="BA18" i="82"/>
  <c r="BB18" i="82" s="1"/>
  <c r="G273" i="2"/>
  <c r="H273" i="2" s="1"/>
  <c r="BJ44" i="82"/>
  <c r="BK44" i="82" s="1"/>
  <c r="BH133" i="71"/>
  <c r="I370" i="2"/>
  <c r="F371" i="2"/>
  <c r="I371" i="2" s="1"/>
  <c r="BF120" i="74"/>
  <c r="BE120" i="74"/>
  <c r="BE120" i="73"/>
  <c r="BF120" i="73"/>
  <c r="BF116" i="70"/>
  <c r="BE116" i="70"/>
  <c r="BE116" i="71"/>
  <c r="BF116" i="71"/>
  <c r="BE86" i="75"/>
  <c r="BF86" i="75"/>
  <c r="BE86" i="76"/>
  <c r="BF86" i="76"/>
  <c r="BE73" i="67"/>
  <c r="BF73" i="67"/>
  <c r="AV37" i="75"/>
  <c r="AW37" i="75"/>
  <c r="AV45" i="74"/>
  <c r="AW45" i="74"/>
  <c r="AW37" i="68"/>
  <c r="AV37" i="68"/>
  <c r="BF39" i="77"/>
  <c r="BE39" i="77"/>
  <c r="BF54" i="69"/>
  <c r="BE54" i="69"/>
  <c r="BE68" i="1"/>
  <c r="BF68" i="1"/>
  <c r="BF69" i="80"/>
  <c r="BE69" i="80"/>
  <c r="BF57" i="81"/>
  <c r="BE57" i="81"/>
  <c r="BF50" i="75"/>
  <c r="BE50" i="75"/>
  <c r="BF64" i="1"/>
  <c r="BE64" i="1"/>
  <c r="BE64" i="67"/>
  <c r="BF64" i="67"/>
  <c r="BF111" i="76"/>
  <c r="BE111" i="76"/>
  <c r="BF108" i="78"/>
  <c r="BE108" i="78"/>
  <c r="BE133" i="73"/>
  <c r="BF133" i="73"/>
  <c r="BE71" i="77"/>
  <c r="BF71" i="77"/>
  <c r="AV102" i="68"/>
  <c r="AW102" i="68"/>
  <c r="BF133" i="71"/>
  <c r="BE133" i="71"/>
  <c r="AW57" i="68"/>
  <c r="AV57" i="68"/>
  <c r="AW56" i="78"/>
  <c r="AV56" i="78"/>
  <c r="AV34" i="82"/>
  <c r="AW34" i="82"/>
  <c r="BF82" i="1"/>
  <c r="BE82" i="1"/>
  <c r="BE106" i="68"/>
  <c r="BF106" i="68"/>
  <c r="BE94" i="76"/>
  <c r="BF94" i="76"/>
  <c r="BF90" i="75"/>
  <c r="BE90" i="75"/>
  <c r="BE90" i="76"/>
  <c r="BF90" i="76"/>
  <c r="BE86" i="69"/>
  <c r="BF86" i="69"/>
  <c r="AW88" i="80"/>
  <c r="AV88" i="80"/>
  <c r="AW113" i="75"/>
  <c r="AV113" i="75"/>
  <c r="AV50" i="73"/>
  <c r="AW50" i="73"/>
  <c r="BF60" i="68"/>
  <c r="BE60" i="68"/>
  <c r="AW25" i="77"/>
  <c r="AV25" i="77"/>
  <c r="AV45" i="67"/>
  <c r="AW45" i="67"/>
  <c r="BE59" i="75"/>
  <c r="BF59" i="75"/>
  <c r="BE59" i="69"/>
  <c r="BF59" i="69"/>
  <c r="BF61" i="81"/>
  <c r="BE61" i="81"/>
  <c r="BE68" i="70"/>
  <c r="BF68" i="70"/>
  <c r="BF50" i="69"/>
  <c r="BE50" i="69"/>
  <c r="AW26" i="76"/>
  <c r="AV26" i="76"/>
  <c r="BF75" i="77"/>
  <c r="BE75" i="77"/>
  <c r="BF74" i="82"/>
  <c r="BE74" i="82"/>
  <c r="AW117" i="75"/>
  <c r="AV117" i="75"/>
  <c r="BE133" i="70"/>
  <c r="BF133" i="70"/>
  <c r="AW71" i="77"/>
  <c r="AV71" i="77"/>
  <c r="BF84" i="81"/>
  <c r="BE84" i="81"/>
  <c r="BF106" i="70"/>
  <c r="BE106" i="70"/>
  <c r="BE106" i="67"/>
  <c r="BF106" i="67"/>
  <c r="AW71" i="73"/>
  <c r="AV71" i="73"/>
  <c r="AW56" i="70"/>
  <c r="AV56" i="70"/>
  <c r="BF65" i="68"/>
  <c r="BE65" i="68"/>
  <c r="BF120" i="1"/>
  <c r="BE120" i="1"/>
  <c r="BE95" i="68"/>
  <c r="BF95" i="68"/>
  <c r="BF120" i="66"/>
  <c r="BE120" i="66"/>
  <c r="BF116" i="67"/>
  <c r="BE116" i="67"/>
  <c r="BF112" i="70"/>
  <c r="BE112" i="70"/>
  <c r="BF87" i="68"/>
  <c r="BE87" i="68"/>
  <c r="BF117" i="75"/>
  <c r="BE117" i="75"/>
  <c r="AW50" i="70"/>
  <c r="AV50" i="70"/>
  <c r="AV45" i="70"/>
  <c r="AW45" i="70"/>
  <c r="BE73" i="1"/>
  <c r="BF73" i="1"/>
  <c r="AW37" i="69"/>
  <c r="AV37" i="69"/>
  <c r="BE59" i="76"/>
  <c r="BF59" i="76"/>
  <c r="BF73" i="71"/>
  <c r="BE73" i="71"/>
  <c r="BE54" i="76"/>
  <c r="BF54" i="76"/>
  <c r="BF68" i="67"/>
  <c r="BE68" i="67"/>
  <c r="BF68" i="66"/>
  <c r="BE68" i="66"/>
  <c r="BF51" i="68"/>
  <c r="BE51" i="68"/>
  <c r="BE64" i="73"/>
  <c r="BF64" i="73"/>
  <c r="BF64" i="74"/>
  <c r="BE64" i="74"/>
  <c r="AV34" i="1"/>
  <c r="AW34" i="1"/>
  <c r="AW75" i="77"/>
  <c r="AV75" i="77"/>
  <c r="BF137" i="71"/>
  <c r="BE137" i="71"/>
  <c r="BF92" i="80"/>
  <c r="BE92" i="80"/>
  <c r="AW111" i="76"/>
  <c r="AV111" i="76"/>
  <c r="BF113" i="75"/>
  <c r="BE113" i="75"/>
  <c r="AW101" i="69"/>
  <c r="AV101" i="69"/>
  <c r="AW139" i="74"/>
  <c r="AV139" i="74"/>
  <c r="BF106" i="1"/>
  <c r="BE106" i="1"/>
  <c r="AW71" i="67"/>
  <c r="AV71" i="67"/>
  <c r="AV57" i="76"/>
  <c r="AW57" i="76"/>
  <c r="AV46" i="81"/>
  <c r="AW46" i="81"/>
  <c r="AV44" i="75"/>
  <c r="AW44" i="75"/>
  <c r="F369" i="2"/>
  <c r="I369" i="2" s="1"/>
  <c r="I367" i="2"/>
  <c r="F368" i="2"/>
  <c r="I368" i="2" s="1"/>
  <c r="BE120" i="67"/>
  <c r="BF120" i="67"/>
  <c r="BF120" i="70"/>
  <c r="BE120" i="70"/>
  <c r="BE116" i="73"/>
  <c r="BF116" i="73"/>
  <c r="BE112" i="73"/>
  <c r="BF112" i="73"/>
  <c r="BF112" i="71"/>
  <c r="BE112" i="71"/>
  <c r="BF112" i="74"/>
  <c r="BE112" i="74"/>
  <c r="BE88" i="80"/>
  <c r="BF88" i="80"/>
  <c r="AW50" i="74"/>
  <c r="AV50" i="74"/>
  <c r="AW45" i="73"/>
  <c r="AV45" i="73"/>
  <c r="BF73" i="70"/>
  <c r="BE73" i="70"/>
  <c r="AV45" i="1"/>
  <c r="AW45" i="1"/>
  <c r="BE73" i="74"/>
  <c r="BF73" i="74"/>
  <c r="BE68" i="73"/>
  <c r="BF68" i="73"/>
  <c r="BE68" i="74"/>
  <c r="BF68" i="74"/>
  <c r="BF64" i="70"/>
  <c r="BE64" i="70"/>
  <c r="BE50" i="76"/>
  <c r="BF50" i="76"/>
  <c r="AW131" i="67"/>
  <c r="AV131" i="67"/>
  <c r="BF88" i="81"/>
  <c r="BE88" i="81"/>
  <c r="BE105" i="69"/>
  <c r="BF105" i="69"/>
  <c r="AW137" i="70"/>
  <c r="AV137" i="70"/>
  <c r="BF127" i="67"/>
  <c r="BE127" i="67"/>
  <c r="BF107" i="76"/>
  <c r="BE107" i="76"/>
  <c r="AW127" i="67"/>
  <c r="AV127" i="67"/>
  <c r="BF70" i="82"/>
  <c r="BE70" i="82"/>
  <c r="AW133" i="73"/>
  <c r="AV133" i="73"/>
  <c r="BE106" i="74"/>
  <c r="BF106" i="74"/>
  <c r="AW71" i="71"/>
  <c r="AV71" i="71"/>
  <c r="AV57" i="75"/>
  <c r="AW57" i="75"/>
  <c r="AW60" i="71"/>
  <c r="AV60" i="71"/>
  <c r="AW43" i="80"/>
  <c r="AV43" i="80"/>
  <c r="AV127" i="1"/>
  <c r="AW127" i="1"/>
  <c r="BF136" i="73"/>
  <c r="BE136" i="73"/>
  <c r="BF142" i="74"/>
  <c r="BE142" i="74"/>
  <c r="BF87" i="81"/>
  <c r="BE87" i="81"/>
  <c r="AW106" i="68"/>
  <c r="AV106" i="68"/>
  <c r="AV119" i="66"/>
  <c r="AW119" i="66"/>
  <c r="BF127" i="66"/>
  <c r="BE127" i="66"/>
  <c r="BF90" i="80"/>
  <c r="BE90" i="80"/>
  <c r="AV141" i="74"/>
  <c r="AW141" i="74"/>
  <c r="BF107" i="78"/>
  <c r="BE107" i="78"/>
  <c r="AV72" i="82"/>
  <c r="AW72" i="82"/>
  <c r="BF102" i="68"/>
  <c r="BE102" i="68"/>
  <c r="BF72" i="82"/>
  <c r="BE72" i="82"/>
  <c r="AW106" i="78"/>
  <c r="AV106" i="78"/>
  <c r="AV115" i="75"/>
  <c r="AW115" i="75"/>
  <c r="BE103" i="69"/>
  <c r="BF103" i="69"/>
  <c r="AV121" i="66"/>
  <c r="AW121" i="66"/>
  <c r="AW92" i="80"/>
  <c r="AV92" i="80"/>
  <c r="AV108" i="78"/>
  <c r="AW108" i="78"/>
  <c r="AW84" i="81"/>
  <c r="AV84" i="81"/>
  <c r="BF135" i="71"/>
  <c r="BE135" i="71"/>
  <c r="AV104" i="68"/>
  <c r="AW104" i="68"/>
  <c r="AW74" i="82"/>
  <c r="AV74" i="82"/>
  <c r="AW131" i="1"/>
  <c r="AV131" i="1"/>
  <c r="AW88" i="81"/>
  <c r="AV88" i="81"/>
  <c r="BE137" i="73"/>
  <c r="BF137" i="73"/>
  <c r="AV105" i="69"/>
  <c r="AW105" i="69"/>
  <c r="AW70" i="82"/>
  <c r="AV70" i="82"/>
  <c r="BF136" i="70"/>
  <c r="BE136" i="70"/>
  <c r="AV133" i="70"/>
  <c r="AW133" i="70"/>
  <c r="BE131" i="1"/>
  <c r="BF131" i="1"/>
  <c r="BE143" i="74"/>
  <c r="BF143" i="74"/>
  <c r="AW129" i="71"/>
  <c r="AV129" i="71"/>
  <c r="AW143" i="74"/>
  <c r="AV143" i="74"/>
  <c r="AV137" i="73"/>
  <c r="AW137" i="73"/>
  <c r="BF127" i="1"/>
  <c r="BE127" i="1"/>
  <c r="BF139" i="74"/>
  <c r="BE139" i="74"/>
  <c r="AV125" i="71"/>
  <c r="AW125" i="71"/>
  <c r="AV123" i="66"/>
  <c r="AW123" i="66"/>
  <c r="AV129" i="67"/>
  <c r="AW129" i="67"/>
  <c r="BF131" i="66"/>
  <c r="BE131" i="66"/>
  <c r="BF104" i="78"/>
  <c r="BE104" i="78"/>
  <c r="AW107" i="76"/>
  <c r="AV107" i="76"/>
  <c r="B72" i="2"/>
  <c r="AU16" i="73" s="1"/>
  <c r="B73" i="2"/>
  <c r="BD29" i="74" s="1"/>
  <c r="AW4" i="74"/>
  <c r="AZ19" i="74" s="1"/>
  <c r="AH75" i="2" s="1"/>
  <c r="BJ76" i="67"/>
  <c r="BK76" i="67" s="1"/>
  <c r="BJ67" i="81"/>
  <c r="BK67" i="81" s="1"/>
  <c r="BA48" i="67"/>
  <c r="BB48" i="67" s="1"/>
  <c r="B191" i="2"/>
  <c r="AU85" i="84" s="1"/>
  <c r="BA85" i="84" s="1"/>
  <c r="BB85" i="84" s="1"/>
  <c r="B110" i="2"/>
  <c r="AU50" i="80" s="1"/>
  <c r="BA50" i="80" s="1"/>
  <c r="BB50" i="80" s="1"/>
  <c r="B166" i="2"/>
  <c r="B141" i="2"/>
  <c r="AU85" i="83" s="1"/>
  <c r="B37" i="2"/>
  <c r="AU46" i="77" s="1"/>
  <c r="B69" i="2"/>
  <c r="BA48" i="68"/>
  <c r="BB48" i="68" s="1"/>
  <c r="BJ118" i="67"/>
  <c r="BK118" i="67" s="1"/>
  <c r="BJ86" i="67"/>
  <c r="BK86" i="67" s="1"/>
  <c r="G27" i="2"/>
  <c r="H27" i="2" s="1"/>
  <c r="BJ25" i="70"/>
  <c r="BK25" i="70" s="1"/>
  <c r="BJ86" i="78"/>
  <c r="BK86" i="78" s="1"/>
  <c r="BJ15" i="77"/>
  <c r="BK15" i="77" s="1"/>
  <c r="BJ86" i="70"/>
  <c r="BK86" i="70" s="1"/>
  <c r="BJ86" i="73"/>
  <c r="BK86" i="73" s="1"/>
  <c r="BJ86" i="1"/>
  <c r="BK86" i="1" s="1"/>
  <c r="BA49" i="69"/>
  <c r="BB49" i="69" s="1"/>
  <c r="BA38" i="76"/>
  <c r="BB38" i="76" s="1"/>
  <c r="BA46" i="70"/>
  <c r="BB46" i="70" s="1"/>
  <c r="BA46" i="71"/>
  <c r="BB46" i="71" s="1"/>
  <c r="G286" i="2"/>
  <c r="H286" i="2" s="1"/>
  <c r="BJ40" i="77"/>
  <c r="BK40" i="77" s="1"/>
  <c r="BA38" i="68"/>
  <c r="BB38" i="68" s="1"/>
  <c r="BA46" i="66"/>
  <c r="BB46" i="66" s="1"/>
  <c r="BA46" i="67"/>
  <c r="BB46" i="67" s="1"/>
  <c r="BJ74" i="67"/>
  <c r="BK74" i="67" s="1"/>
  <c r="BA46" i="1"/>
  <c r="BB46" i="1" s="1"/>
  <c r="BA38" i="69"/>
  <c r="BB38" i="69" s="1"/>
  <c r="BA38" i="75"/>
  <c r="BB38" i="75" s="1"/>
  <c r="BJ74" i="70"/>
  <c r="BK74" i="70" s="1"/>
  <c r="G236" i="2"/>
  <c r="H236" i="2" s="1"/>
  <c r="BJ37" i="74"/>
  <c r="BK37" i="74" s="1"/>
  <c r="BJ37" i="70"/>
  <c r="BK37" i="70" s="1"/>
  <c r="BJ37" i="73"/>
  <c r="BK37" i="73" s="1"/>
  <c r="BJ37" i="67"/>
  <c r="BK37" i="67" s="1"/>
  <c r="BJ37" i="1"/>
  <c r="BK37" i="1" s="1"/>
  <c r="BJ58" i="70"/>
  <c r="BK58" i="70" s="1"/>
  <c r="BJ58" i="66"/>
  <c r="BK58" i="66" s="1"/>
  <c r="BJ44" i="76"/>
  <c r="BK44" i="76" s="1"/>
  <c r="BJ51" i="81"/>
  <c r="BK51" i="81" s="1"/>
  <c r="BJ41" i="82"/>
  <c r="BK41" i="82" s="1"/>
  <c r="BJ58" i="1"/>
  <c r="BK58" i="1" s="1"/>
  <c r="BJ44" i="69"/>
  <c r="BK44" i="69" s="1"/>
  <c r="G265" i="2"/>
  <c r="H265" i="2" s="1"/>
  <c r="BJ59" i="80"/>
  <c r="BK59" i="80" s="1"/>
  <c r="BJ58" i="71"/>
  <c r="BK58" i="71" s="1"/>
  <c r="BJ45" i="68"/>
  <c r="BK45" i="68" s="1"/>
  <c r="BJ58" i="73"/>
  <c r="BK58" i="73" s="1"/>
  <c r="BJ58" i="67"/>
  <c r="BK58" i="67" s="1"/>
  <c r="BJ44" i="75"/>
  <c r="BK44" i="75" s="1"/>
  <c r="BJ71" i="78"/>
  <c r="BK71" i="78" s="1"/>
  <c r="BJ58" i="74"/>
  <c r="BK58" i="74" s="1"/>
  <c r="G275" i="2"/>
  <c r="H275" i="2" s="1"/>
  <c r="BJ63" i="1"/>
  <c r="BK63" i="1" s="1"/>
  <c r="BJ63" i="67"/>
  <c r="BK63" i="67" s="1"/>
  <c r="BJ49" i="75"/>
  <c r="BK49" i="75" s="1"/>
  <c r="BJ56" i="81"/>
  <c r="BK56" i="81" s="1"/>
  <c r="BJ46" i="82"/>
  <c r="BK46" i="82" s="1"/>
  <c r="BJ63" i="73"/>
  <c r="BK63" i="73" s="1"/>
  <c r="BJ50" i="68"/>
  <c r="BK50" i="68" s="1"/>
  <c r="BJ49" i="69"/>
  <c r="BK49" i="69" s="1"/>
  <c r="BJ63" i="70"/>
  <c r="BK63" i="70" s="1"/>
  <c r="BJ64" i="80"/>
  <c r="BK64" i="80" s="1"/>
  <c r="BJ49" i="76"/>
  <c r="BK49" i="76" s="1"/>
  <c r="BJ76" i="78"/>
  <c r="BK76" i="78" s="1"/>
  <c r="BJ63" i="66"/>
  <c r="BK63" i="66" s="1"/>
  <c r="BJ63" i="71"/>
  <c r="BK63" i="71" s="1"/>
  <c r="BA55" i="76"/>
  <c r="BB55" i="76" s="1"/>
  <c r="BA69" i="73"/>
  <c r="BB69" i="73" s="1"/>
  <c r="BA69" i="67"/>
  <c r="BB69" i="67" s="1"/>
  <c r="BA55" i="68"/>
  <c r="BB55" i="68" s="1"/>
  <c r="BA69" i="1"/>
  <c r="BB69" i="1" s="1"/>
  <c r="BA55" i="75"/>
  <c r="BB55" i="75" s="1"/>
  <c r="BA69" i="70"/>
  <c r="BB69" i="70" s="1"/>
  <c r="BA69" i="66"/>
  <c r="BB69" i="66" s="1"/>
  <c r="BA55" i="69"/>
  <c r="BB55" i="69" s="1"/>
  <c r="G335" i="2"/>
  <c r="H335" i="2" s="1"/>
  <c r="BA69" i="74"/>
  <c r="BB69" i="74" s="1"/>
  <c r="G368" i="2"/>
  <c r="H368" i="2" s="1"/>
  <c r="BJ113" i="71"/>
  <c r="BK113" i="71" s="1"/>
  <c r="BJ113" i="70"/>
  <c r="BK113" i="70" s="1"/>
  <c r="BJ87" i="75"/>
  <c r="BK87" i="75" s="1"/>
  <c r="BJ87" i="69"/>
  <c r="BK87" i="69" s="1"/>
  <c r="BJ113" i="1"/>
  <c r="BK113" i="1" s="1"/>
  <c r="BJ87" i="66"/>
  <c r="BK87" i="66" s="1"/>
  <c r="BJ74" i="66"/>
  <c r="BK74" i="66" s="1"/>
  <c r="BA64" i="75"/>
  <c r="BB64" i="75" s="1"/>
  <c r="BJ20" i="75"/>
  <c r="BK20" i="75" s="1"/>
  <c r="BA64" i="76"/>
  <c r="BB64" i="76" s="1"/>
  <c r="BJ111" i="66"/>
  <c r="BK111" i="66" s="1"/>
  <c r="BJ111" i="70"/>
  <c r="BK111" i="70" s="1"/>
  <c r="BJ111" i="74"/>
  <c r="BK111" i="74" s="1"/>
  <c r="BJ111" i="1"/>
  <c r="BK111" i="1" s="1"/>
  <c r="BJ85" i="76"/>
  <c r="BK85" i="76" s="1"/>
  <c r="BJ111" i="67"/>
  <c r="BK111" i="67" s="1"/>
  <c r="G346" i="2"/>
  <c r="H346" i="2" s="1"/>
  <c r="BJ85" i="69"/>
  <c r="BK85" i="69" s="1"/>
  <c r="BJ111" i="73"/>
  <c r="BK111" i="73" s="1"/>
  <c r="BJ111" i="71"/>
  <c r="BK111" i="71" s="1"/>
  <c r="BJ86" i="68"/>
  <c r="BK86" i="68" s="1"/>
  <c r="BJ85" i="75"/>
  <c r="BK85" i="75" s="1"/>
  <c r="BA48" i="71"/>
  <c r="BJ76" i="71"/>
  <c r="BA48" i="70"/>
  <c r="BB48" i="70" s="1"/>
  <c r="BJ36" i="75"/>
  <c r="BK36" i="75" s="1"/>
  <c r="BJ50" i="70"/>
  <c r="BK50" i="70" s="1"/>
  <c r="BJ50" i="67"/>
  <c r="BK50" i="67" s="1"/>
  <c r="BJ50" i="66"/>
  <c r="BK50" i="66" s="1"/>
  <c r="G257" i="2"/>
  <c r="H257" i="2" s="1"/>
  <c r="BJ37" i="68"/>
  <c r="BK37" i="68" s="1"/>
  <c r="BJ51" i="80"/>
  <c r="BK51" i="80" s="1"/>
  <c r="BJ36" i="76"/>
  <c r="BK36" i="76" s="1"/>
  <c r="BJ50" i="71"/>
  <c r="BK50" i="71" s="1"/>
  <c r="BJ50" i="74"/>
  <c r="BK50" i="74" s="1"/>
  <c r="BJ36" i="69"/>
  <c r="BK36" i="69" s="1"/>
  <c r="BJ63" i="78"/>
  <c r="BK63" i="78" s="1"/>
  <c r="BJ50" i="1"/>
  <c r="BK50" i="1" s="1"/>
  <c r="BJ43" i="81"/>
  <c r="BK43" i="81" s="1"/>
  <c r="BJ22" i="77"/>
  <c r="BK22" i="77" s="1"/>
  <c r="BJ33" i="82"/>
  <c r="BK33" i="82" s="1"/>
  <c r="BJ50" i="73"/>
  <c r="BK50" i="73" s="1"/>
  <c r="G140" i="2"/>
  <c r="H140" i="2" s="1"/>
  <c r="BJ24" i="73"/>
  <c r="BK24" i="73" s="1"/>
  <c r="BJ87" i="71"/>
  <c r="BK87" i="71" s="1"/>
  <c r="BA26" i="77"/>
  <c r="BB26" i="77" s="1"/>
  <c r="BJ57" i="74"/>
  <c r="BK57" i="74" s="1"/>
  <c r="BJ43" i="69"/>
  <c r="BK43" i="69" s="1"/>
  <c r="BJ57" i="70"/>
  <c r="BK57" i="70" s="1"/>
  <c r="BJ57" i="1"/>
  <c r="BK57" i="1" s="1"/>
  <c r="BJ57" i="66"/>
  <c r="BK57" i="66" s="1"/>
  <c r="BJ58" i="80"/>
  <c r="BK58" i="80" s="1"/>
  <c r="BJ57" i="73"/>
  <c r="BK57" i="73" s="1"/>
  <c r="BJ70" i="78"/>
  <c r="BK70" i="78" s="1"/>
  <c r="G264" i="2"/>
  <c r="H264" i="2" s="1"/>
  <c r="BJ43" i="75"/>
  <c r="BK43" i="75" s="1"/>
  <c r="BJ29" i="77"/>
  <c r="BK29" i="77" s="1"/>
  <c r="BJ43" i="76"/>
  <c r="BK43" i="76" s="1"/>
  <c r="BJ44" i="68"/>
  <c r="BK44" i="68" s="1"/>
  <c r="BJ50" i="81"/>
  <c r="BK50" i="81" s="1"/>
  <c r="BJ40" i="82"/>
  <c r="BK40" i="82" s="1"/>
  <c r="BJ57" i="67"/>
  <c r="BK57" i="67" s="1"/>
  <c r="BJ57" i="71"/>
  <c r="BK57" i="71" s="1"/>
  <c r="BA92" i="74"/>
  <c r="BB92" i="74" s="1"/>
  <c r="BA92" i="75"/>
  <c r="BB92" i="75" s="1"/>
  <c r="BJ111" i="75"/>
  <c r="BK111" i="75" s="1"/>
  <c r="G313" i="2"/>
  <c r="H313" i="2" s="1"/>
  <c r="G294" i="2"/>
  <c r="H294" i="2" s="1"/>
  <c r="BA50" i="67"/>
  <c r="BB50" i="67" s="1"/>
  <c r="BA50" i="78"/>
  <c r="BB50" i="78" s="1"/>
  <c r="BA54" i="1"/>
  <c r="BB54" i="1" s="1"/>
  <c r="BA40" i="81"/>
  <c r="BB40" i="81" s="1"/>
  <c r="BA54" i="70"/>
  <c r="BB54" i="70" s="1"/>
  <c r="BA54" i="74"/>
  <c r="BB54" i="74" s="1"/>
  <c r="BA54" i="73"/>
  <c r="BB54" i="73" s="1"/>
  <c r="G304" i="2"/>
  <c r="H304" i="2" s="1"/>
  <c r="BA54" i="67"/>
  <c r="BB54" i="67" s="1"/>
  <c r="G369" i="2"/>
  <c r="H369" i="2" s="1"/>
  <c r="BJ102" i="68"/>
  <c r="BK102" i="68" s="1"/>
  <c r="BJ101" i="69"/>
  <c r="BK101" i="69" s="1"/>
  <c r="BA107" i="76"/>
  <c r="BB107" i="76" s="1"/>
  <c r="BJ139" i="74"/>
  <c r="BK139" i="74" s="1"/>
  <c r="BA125" i="71"/>
  <c r="BB125" i="71" s="1"/>
  <c r="BA139" i="74"/>
  <c r="BB139" i="74" s="1"/>
  <c r="BJ70" i="82"/>
  <c r="BK70" i="82" s="1"/>
  <c r="BJ84" i="81"/>
  <c r="BK84" i="81" s="1"/>
  <c r="BA119" i="66"/>
  <c r="BB119" i="66" s="1"/>
  <c r="BA127" i="67"/>
  <c r="BB127" i="67" s="1"/>
  <c r="BA102" i="68"/>
  <c r="BB102" i="68" s="1"/>
  <c r="BA71" i="77"/>
  <c r="BB71" i="77" s="1"/>
  <c r="BA104" i="78"/>
  <c r="BA101" i="69"/>
  <c r="BB101" i="69" s="1"/>
  <c r="BA88" i="80"/>
  <c r="BB88" i="80" s="1"/>
  <c r="BJ71" i="77"/>
  <c r="BK71" i="77" s="1"/>
  <c r="BA127" i="1"/>
  <c r="BB127" i="1" s="1"/>
  <c r="BJ107" i="76"/>
  <c r="BK107" i="76" s="1"/>
  <c r="BJ113" i="75"/>
  <c r="BK113" i="75" s="1"/>
  <c r="G361" i="2"/>
  <c r="H361" i="2" s="1"/>
  <c r="BJ133" i="73"/>
  <c r="BA84" i="81"/>
  <c r="BB84" i="81" s="1"/>
  <c r="BJ127" i="1"/>
  <c r="BK127" i="1" s="1"/>
  <c r="BJ88" i="80"/>
  <c r="BA133" i="73"/>
  <c r="BB133" i="73" s="1"/>
  <c r="BJ127" i="66"/>
  <c r="BK127" i="66" s="1"/>
  <c r="BA70" i="82"/>
  <c r="BB70" i="82" s="1"/>
  <c r="BJ127" i="67"/>
  <c r="BK127" i="67" s="1"/>
  <c r="BJ133" i="71"/>
  <c r="BJ133" i="70"/>
  <c r="BK133" i="70" s="1"/>
  <c r="BJ104" i="78"/>
  <c r="BA133" i="70"/>
  <c r="BB133" i="70" s="1"/>
  <c r="BA113" i="75"/>
  <c r="BB113" i="75" s="1"/>
  <c r="BA26" i="70"/>
  <c r="BB26" i="70" s="1"/>
  <c r="BA26" i="66"/>
  <c r="BB26" i="66" s="1"/>
  <c r="BA26" i="71"/>
  <c r="BB26" i="71" s="1"/>
  <c r="BA26" i="73"/>
  <c r="BB26" i="73" s="1"/>
  <c r="BA26" i="1"/>
  <c r="BB26" i="1" s="1"/>
  <c r="G234" i="2"/>
  <c r="H234" i="2" s="1"/>
  <c r="BA26" i="74"/>
  <c r="BB26" i="74" s="1"/>
  <c r="BA26" i="67"/>
  <c r="BB26" i="67" s="1"/>
  <c r="BA55" i="70"/>
  <c r="BB55" i="70" s="1"/>
  <c r="BA41" i="81"/>
  <c r="BB41" i="81" s="1"/>
  <c r="BA55" i="66"/>
  <c r="BB55" i="66" s="1"/>
  <c r="BA55" i="67"/>
  <c r="BB55" i="67" s="1"/>
  <c r="BA55" i="1"/>
  <c r="BB55" i="1" s="1"/>
  <c r="BA55" i="73"/>
  <c r="BB55" i="73" s="1"/>
  <c r="BA55" i="71"/>
  <c r="BB55" i="71" s="1"/>
  <c r="BA51" i="78"/>
  <c r="BB51" i="78" s="1"/>
  <c r="BA55" i="74"/>
  <c r="BB55" i="74" s="1"/>
  <c r="BA42" i="80"/>
  <c r="BB42" i="80" s="1"/>
  <c r="G305" i="2"/>
  <c r="H305" i="2" s="1"/>
  <c r="BJ108" i="66"/>
  <c r="BK108" i="66" s="1"/>
  <c r="BJ87" i="73"/>
  <c r="BK87" i="73" s="1"/>
  <c r="BJ60" i="76"/>
  <c r="BK60" i="76" s="1"/>
  <c r="BA30" i="68"/>
  <c r="BB30" i="68" s="1"/>
  <c r="BA44" i="78"/>
  <c r="BB44" i="78" s="1"/>
  <c r="BA38" i="74"/>
  <c r="BB38" i="74" s="1"/>
  <c r="BA30" i="75"/>
  <c r="BB30" i="75" s="1"/>
  <c r="BA38" i="1"/>
  <c r="BB38" i="1" s="1"/>
  <c r="BA38" i="67"/>
  <c r="BB38" i="67" s="1"/>
  <c r="BA37" i="80"/>
  <c r="BB37" i="80" s="1"/>
  <c r="BA20" i="77"/>
  <c r="BB20" i="77" s="1"/>
  <c r="BA28" i="82"/>
  <c r="BB28" i="82" s="1"/>
  <c r="BA38" i="71"/>
  <c r="BB38" i="71" s="1"/>
  <c r="G268" i="2"/>
  <c r="H268" i="2" s="1"/>
  <c r="BA38" i="73"/>
  <c r="BB38" i="73" s="1"/>
  <c r="BA30" i="69"/>
  <c r="BB30" i="69" s="1"/>
  <c r="BA38" i="66"/>
  <c r="BB38" i="66" s="1"/>
  <c r="BA30" i="76"/>
  <c r="BB30" i="76" s="1"/>
  <c r="BA34" i="81"/>
  <c r="BB34" i="81" s="1"/>
  <c r="BA38" i="70"/>
  <c r="BB38" i="70" s="1"/>
  <c r="BJ73" i="69"/>
  <c r="BK73" i="69" s="1"/>
  <c r="G322" i="2"/>
  <c r="H322" i="2" s="1"/>
  <c r="BJ95" i="74"/>
  <c r="BK95" i="74" s="1"/>
  <c r="BJ73" i="76"/>
  <c r="BK73" i="76" s="1"/>
  <c r="BJ95" i="67"/>
  <c r="BK95" i="67" s="1"/>
  <c r="BJ95" i="66"/>
  <c r="BK95" i="66" s="1"/>
  <c r="BJ95" i="71"/>
  <c r="BK95" i="71" s="1"/>
  <c r="BJ79" i="80"/>
  <c r="BK79" i="80" s="1"/>
  <c r="BJ75" i="81"/>
  <c r="BK75" i="81" s="1"/>
  <c r="BJ61" i="82"/>
  <c r="BK61" i="82" s="1"/>
  <c r="BJ48" i="77"/>
  <c r="BK48" i="77" s="1"/>
  <c r="BJ95" i="70"/>
  <c r="BK95" i="70" s="1"/>
  <c r="BJ73" i="75"/>
  <c r="BK73" i="75" s="1"/>
  <c r="BJ74" i="68"/>
  <c r="BK74" i="68" s="1"/>
  <c r="BJ95" i="78"/>
  <c r="BK95" i="78" s="1"/>
  <c r="BJ26" i="69"/>
  <c r="BK26" i="69" s="1"/>
  <c r="BA16" i="76"/>
  <c r="BB16" i="76" s="1"/>
  <c r="BJ26" i="76"/>
  <c r="BK26" i="76" s="1"/>
  <c r="BA16" i="82"/>
  <c r="BB16" i="82" s="1"/>
  <c r="BA16" i="75"/>
  <c r="BB16" i="75" s="1"/>
  <c r="BA16" i="69"/>
  <c r="BB16" i="69" s="1"/>
  <c r="G219" i="2"/>
  <c r="H219" i="2" s="1"/>
  <c r="BJ26" i="75"/>
  <c r="BK26" i="75" s="1"/>
  <c r="BJ26" i="82"/>
  <c r="BK26" i="82" s="1"/>
  <c r="BJ60" i="69"/>
  <c r="BK60" i="69" s="1"/>
  <c r="BA73" i="71"/>
  <c r="BB73" i="71" s="1"/>
  <c r="G339" i="2"/>
  <c r="H339" i="2" s="1"/>
  <c r="BA73" i="67"/>
  <c r="BB73" i="67" s="1"/>
  <c r="BA73" i="1"/>
  <c r="BB73" i="1" s="1"/>
  <c r="BA73" i="74"/>
  <c r="BB73" i="74" s="1"/>
  <c r="BA59" i="75"/>
  <c r="BB59" i="75" s="1"/>
  <c r="BA42" i="77"/>
  <c r="BB42" i="77" s="1"/>
  <c r="BA73" i="73"/>
  <c r="BB73" i="73" s="1"/>
  <c r="BA73" i="70"/>
  <c r="BB73" i="70" s="1"/>
  <c r="BA59" i="76"/>
  <c r="BB59" i="76" s="1"/>
  <c r="BA73" i="66"/>
  <c r="BB73" i="66" s="1"/>
  <c r="BA59" i="69"/>
  <c r="BB59" i="69" s="1"/>
  <c r="BA59" i="68"/>
  <c r="BB59" i="68" s="1"/>
  <c r="G291" i="2"/>
  <c r="H291" i="2" s="1"/>
  <c r="BA78" i="70"/>
  <c r="BB78" i="70" s="1"/>
  <c r="BA32" i="70"/>
  <c r="BB32" i="70" s="1"/>
  <c r="BA24" i="76"/>
  <c r="BB24" i="76" s="1"/>
  <c r="BA24" i="75"/>
  <c r="BB24" i="75" s="1"/>
  <c r="BA24" i="68"/>
  <c r="BB24" i="68" s="1"/>
  <c r="BA32" i="74"/>
  <c r="BB32" i="74" s="1"/>
  <c r="BA15" i="77"/>
  <c r="BB15" i="77" s="1"/>
  <c r="G367" i="2"/>
  <c r="H367" i="2" s="1"/>
  <c r="BJ34" i="76"/>
  <c r="BK34" i="76" s="1"/>
  <c r="G255" i="2"/>
  <c r="H255" i="2" s="1"/>
  <c r="BJ33" i="77"/>
  <c r="BK33" i="77" s="1"/>
  <c r="BJ61" i="68"/>
  <c r="BK61" i="68" s="1"/>
  <c r="BJ63" i="74"/>
  <c r="BK63" i="74" s="1"/>
  <c r="BA46" i="73"/>
  <c r="BB46" i="73" s="1"/>
  <c r="BA46" i="74"/>
  <c r="BB46" i="74" s="1"/>
  <c r="BJ69" i="70"/>
  <c r="BK69" i="70" s="1"/>
  <c r="BJ55" i="75"/>
  <c r="BK55" i="75" s="1"/>
  <c r="BJ52" i="82"/>
  <c r="BK52" i="82" s="1"/>
  <c r="BJ82" i="78"/>
  <c r="BK82" i="78" s="1"/>
  <c r="BJ55" i="69"/>
  <c r="BK55" i="69" s="1"/>
  <c r="BJ69" i="74"/>
  <c r="BK69" i="74" s="1"/>
  <c r="BJ55" i="76"/>
  <c r="BK55" i="76" s="1"/>
  <c r="G281" i="2"/>
  <c r="H281" i="2" s="1"/>
  <c r="BJ56" i="68"/>
  <c r="BK56" i="68" s="1"/>
  <c r="BJ69" i="73"/>
  <c r="BK69" i="73" s="1"/>
  <c r="BJ69" i="67"/>
  <c r="BK69" i="67" s="1"/>
  <c r="BJ62" i="81"/>
  <c r="BK62" i="81" s="1"/>
  <c r="BJ69" i="1"/>
  <c r="BK69" i="1" s="1"/>
  <c r="BJ92" i="76"/>
  <c r="BK92" i="76" s="1"/>
  <c r="BJ92" i="75"/>
  <c r="BK92" i="75" s="1"/>
  <c r="BJ118" i="71"/>
  <c r="BK118" i="71" s="1"/>
  <c r="G353" i="2"/>
  <c r="H353" i="2" s="1"/>
  <c r="BJ52" i="69"/>
  <c r="BK52" i="69" s="1"/>
  <c r="BJ36" i="77"/>
  <c r="BK36" i="77" s="1"/>
  <c r="BJ66" i="73"/>
  <c r="BK66" i="73" s="1"/>
  <c r="BJ52" i="75"/>
  <c r="BK52" i="75" s="1"/>
  <c r="BJ53" i="68"/>
  <c r="BK53" i="68" s="1"/>
  <c r="BJ67" i="80"/>
  <c r="BK67" i="80" s="1"/>
  <c r="BJ66" i="74"/>
  <c r="BK66" i="74" s="1"/>
  <c r="BJ49" i="82"/>
  <c r="BK49" i="82" s="1"/>
  <c r="BJ79" i="78"/>
  <c r="BK79" i="78" s="1"/>
  <c r="BJ66" i="66"/>
  <c r="BK66" i="66" s="1"/>
  <c r="BJ59" i="81"/>
  <c r="BK59" i="81" s="1"/>
  <c r="G278" i="2"/>
  <c r="H278" i="2" s="1"/>
  <c r="BJ66" i="1"/>
  <c r="BK66" i="1" s="1"/>
  <c r="BJ66" i="71"/>
  <c r="BK66" i="71" s="1"/>
  <c r="BJ66" i="70"/>
  <c r="BK66" i="70" s="1"/>
  <c r="BJ66" i="67"/>
  <c r="BK66" i="67" s="1"/>
  <c r="BJ52" i="76"/>
  <c r="BK52" i="76" s="1"/>
  <c r="BJ74" i="74"/>
  <c r="BK74" i="74" s="1"/>
  <c r="BJ74" i="73"/>
  <c r="BK74" i="73" s="1"/>
  <c r="BJ38" i="70"/>
  <c r="BK38" i="70" s="1"/>
  <c r="G237" i="2"/>
  <c r="H237" i="2" s="1"/>
  <c r="BJ38" i="73"/>
  <c r="BK38" i="73" s="1"/>
  <c r="BJ38" i="74"/>
  <c r="BK38" i="74" s="1"/>
  <c r="BJ38" i="1"/>
  <c r="BK38" i="1" s="1"/>
  <c r="BJ38" i="67"/>
  <c r="BK38" i="67" s="1"/>
  <c r="BJ24" i="69"/>
  <c r="BK24" i="69" s="1"/>
  <c r="BJ74" i="1"/>
  <c r="BK74" i="1" s="1"/>
  <c r="BA69" i="71"/>
  <c r="BB69" i="71" s="1"/>
  <c r="BJ60" i="75"/>
  <c r="BK60" i="75" s="1"/>
  <c r="BJ74" i="71"/>
  <c r="BK74" i="71" s="1"/>
  <c r="BJ93" i="66"/>
  <c r="BK93" i="66" s="1"/>
  <c r="BJ93" i="73"/>
  <c r="BK93" i="73" s="1"/>
  <c r="BJ71" i="75"/>
  <c r="BK71" i="75" s="1"/>
  <c r="BJ73" i="81"/>
  <c r="BK73" i="81" s="1"/>
  <c r="BJ59" i="82"/>
  <c r="BK59" i="82" s="1"/>
  <c r="BJ71" i="76"/>
  <c r="BK71" i="76" s="1"/>
  <c r="BJ93" i="1"/>
  <c r="BK93" i="1" s="1"/>
  <c r="BJ93" i="78"/>
  <c r="BK93" i="78" s="1"/>
  <c r="BJ93" i="74"/>
  <c r="BK93" i="74" s="1"/>
  <c r="BJ71" i="69"/>
  <c r="BK71" i="69" s="1"/>
  <c r="BJ46" i="77"/>
  <c r="BK46" i="77" s="1"/>
  <c r="BJ77" i="80"/>
  <c r="BK77" i="80" s="1"/>
  <c r="G320" i="2"/>
  <c r="H320" i="2" s="1"/>
  <c r="BJ72" i="68"/>
  <c r="BK72" i="68" s="1"/>
  <c r="BJ93" i="71"/>
  <c r="BK93" i="71" s="1"/>
  <c r="BJ93" i="67"/>
  <c r="BK93" i="67" s="1"/>
  <c r="BJ93" i="70"/>
  <c r="BK93" i="70" s="1"/>
  <c r="BA17" i="69"/>
  <c r="BB17" i="69" s="1"/>
  <c r="BA17" i="76"/>
  <c r="BB17" i="76" s="1"/>
  <c r="BJ27" i="69"/>
  <c r="BK27" i="69" s="1"/>
  <c r="BJ27" i="75"/>
  <c r="BK27" i="75" s="1"/>
  <c r="BJ27" i="76"/>
  <c r="BK27" i="76" s="1"/>
  <c r="G220" i="2"/>
  <c r="H220" i="2" s="1"/>
  <c r="BA17" i="82"/>
  <c r="BB17" i="82" s="1"/>
  <c r="BJ27" i="82"/>
  <c r="BK27" i="82" s="1"/>
  <c r="BA17" i="75"/>
  <c r="BB17" i="75" s="1"/>
  <c r="BJ59" i="69"/>
  <c r="BK59" i="69" s="1"/>
  <c r="BA45" i="66"/>
  <c r="BB45" i="66" s="1"/>
  <c r="BJ73" i="70"/>
  <c r="BK73" i="70" s="1"/>
  <c r="BA25" i="77"/>
  <c r="BB25" i="77" s="1"/>
  <c r="BJ73" i="66"/>
  <c r="BK73" i="66" s="1"/>
  <c r="G285" i="2"/>
  <c r="H285" i="2" s="1"/>
  <c r="BA45" i="73"/>
  <c r="BB45" i="73" s="1"/>
  <c r="BA37" i="76"/>
  <c r="BB37" i="76" s="1"/>
  <c r="BJ39" i="77"/>
  <c r="BK39" i="77" s="1"/>
  <c r="BA45" i="74"/>
  <c r="BB45" i="74" s="1"/>
  <c r="BJ73" i="67"/>
  <c r="BK73" i="67" s="1"/>
  <c r="BA45" i="1"/>
  <c r="BB45" i="1" s="1"/>
  <c r="BJ73" i="74"/>
  <c r="BK73" i="74" s="1"/>
  <c r="BJ60" i="68"/>
  <c r="BK60" i="68" s="1"/>
  <c r="BJ73" i="71"/>
  <c r="BK73" i="71" s="1"/>
  <c r="BJ59" i="75"/>
  <c r="BK59" i="75" s="1"/>
  <c r="BA37" i="75"/>
  <c r="BB37" i="75" s="1"/>
  <c r="BA37" i="68"/>
  <c r="BB37" i="68" s="1"/>
  <c r="BJ73" i="73"/>
  <c r="BK73" i="73" s="1"/>
  <c r="BA37" i="69"/>
  <c r="BB37" i="69" s="1"/>
  <c r="BA45" i="67"/>
  <c r="BB45" i="67" s="1"/>
  <c r="BJ59" i="76"/>
  <c r="BK59" i="76" s="1"/>
  <c r="BA45" i="71"/>
  <c r="BB45" i="71" s="1"/>
  <c r="BJ73" i="1"/>
  <c r="BK73" i="1" s="1"/>
  <c r="BA45" i="70"/>
  <c r="BB45" i="70" s="1"/>
  <c r="G356" i="2"/>
  <c r="H356" i="2" s="1"/>
  <c r="BJ121" i="74"/>
  <c r="BK121" i="74" s="1"/>
  <c r="BJ121" i="73"/>
  <c r="BK121" i="73" s="1"/>
  <c r="BJ121" i="1"/>
  <c r="BK121" i="1" s="1"/>
  <c r="BJ121" i="66"/>
  <c r="BK121" i="66" s="1"/>
  <c r="BJ95" i="69"/>
  <c r="BK95" i="69" s="1"/>
  <c r="BJ95" i="75"/>
  <c r="BK95" i="75" s="1"/>
  <c r="BJ121" i="71"/>
  <c r="BK121" i="71" s="1"/>
  <c r="BJ96" i="68"/>
  <c r="BK96" i="68" s="1"/>
  <c r="BJ121" i="67"/>
  <c r="BK121" i="67" s="1"/>
  <c r="BJ95" i="76"/>
  <c r="BK95" i="76" s="1"/>
  <c r="BJ121" i="70"/>
  <c r="BK121" i="70" s="1"/>
  <c r="BJ84" i="75"/>
  <c r="BK84" i="75" s="1"/>
  <c r="BJ85" i="68"/>
  <c r="BK85" i="68" s="1"/>
  <c r="BJ110" i="66"/>
  <c r="BK110" i="66" s="1"/>
  <c r="BJ84" i="69"/>
  <c r="BK84" i="69" s="1"/>
  <c r="G345" i="2"/>
  <c r="H345" i="2" s="1"/>
  <c r="BJ84" i="76"/>
  <c r="BK84" i="76" s="1"/>
  <c r="BJ110" i="74"/>
  <c r="BK110" i="74" s="1"/>
  <c r="BJ110" i="70"/>
  <c r="BK110" i="70" s="1"/>
  <c r="BJ110" i="67"/>
  <c r="BK110" i="67" s="1"/>
  <c r="BJ110" i="71"/>
  <c r="BK110" i="71" s="1"/>
  <c r="BJ110" i="73"/>
  <c r="BK110" i="73" s="1"/>
  <c r="BJ110" i="1"/>
  <c r="BK110" i="1" s="1"/>
  <c r="G109" i="2"/>
  <c r="H109" i="2" s="1"/>
  <c r="BJ74" i="75"/>
  <c r="BK74" i="75" s="1"/>
  <c r="BJ96" i="78"/>
  <c r="BK96" i="78" s="1"/>
  <c r="BJ76" i="81"/>
  <c r="BK76" i="81" s="1"/>
  <c r="BJ96" i="71"/>
  <c r="BK96" i="71" s="1"/>
  <c r="BJ96" i="1"/>
  <c r="BK96" i="1" s="1"/>
  <c r="G323" i="2"/>
  <c r="H323" i="2" s="1"/>
  <c r="BJ96" i="73"/>
  <c r="BK96" i="73" s="1"/>
  <c r="BJ80" i="80"/>
  <c r="BK80" i="80" s="1"/>
  <c r="BJ62" i="82"/>
  <c r="BK62" i="82" s="1"/>
  <c r="BJ49" i="77"/>
  <c r="BK49" i="77" s="1"/>
  <c r="BJ96" i="74"/>
  <c r="BK96" i="74" s="1"/>
  <c r="BJ96" i="67"/>
  <c r="BK96" i="67" s="1"/>
  <c r="BJ96" i="70"/>
  <c r="BK96" i="70" s="1"/>
  <c r="BJ74" i="76"/>
  <c r="BK74" i="76" s="1"/>
  <c r="BJ56" i="70"/>
  <c r="BK56" i="70" s="1"/>
  <c r="BJ43" i="68"/>
  <c r="BK43" i="68" s="1"/>
  <c r="BJ56" i="1"/>
  <c r="BK56" i="1" s="1"/>
  <c r="BJ51" i="70"/>
  <c r="BK51" i="70" s="1"/>
  <c r="BJ51" i="74"/>
  <c r="BK51" i="74" s="1"/>
  <c r="G258" i="2"/>
  <c r="H258" i="2" s="1"/>
  <c r="BJ37" i="69"/>
  <c r="BK37" i="69" s="1"/>
  <c r="BJ37" i="76"/>
  <c r="BK37" i="76" s="1"/>
  <c r="BJ51" i="67"/>
  <c r="BK51" i="67" s="1"/>
  <c r="BJ51" i="1"/>
  <c r="BK51" i="1" s="1"/>
  <c r="BJ51" i="71"/>
  <c r="BK51" i="71" s="1"/>
  <c r="BJ64" i="78"/>
  <c r="BK64" i="78" s="1"/>
  <c r="BJ51" i="66"/>
  <c r="BK51" i="66" s="1"/>
  <c r="BJ23" i="77"/>
  <c r="BK23" i="77" s="1"/>
  <c r="BJ38" i="68"/>
  <c r="BK38" i="68" s="1"/>
  <c r="BJ34" i="82"/>
  <c r="BK34" i="82" s="1"/>
  <c r="BJ52" i="80"/>
  <c r="BK52" i="80" s="1"/>
  <c r="BJ37" i="75"/>
  <c r="BK37" i="75" s="1"/>
  <c r="BJ51" i="73"/>
  <c r="BK51" i="73" s="1"/>
  <c r="BJ44" i="81"/>
  <c r="BK44" i="81" s="1"/>
  <c r="G250" i="2"/>
  <c r="H250" i="2" s="1"/>
  <c r="BA28" i="68"/>
  <c r="BB28" i="68" s="1"/>
  <c r="BA36" i="73"/>
  <c r="BB36" i="73" s="1"/>
  <c r="BA36" i="70"/>
  <c r="BB36" i="70" s="1"/>
  <c r="BA28" i="69"/>
  <c r="BB28" i="69" s="1"/>
  <c r="BA36" i="67"/>
  <c r="BB36" i="67" s="1"/>
  <c r="BA36" i="1"/>
  <c r="BB36" i="1" s="1"/>
  <c r="BA28" i="76"/>
  <c r="BB28" i="76" s="1"/>
  <c r="BA36" i="66"/>
  <c r="BB36" i="66" s="1"/>
  <c r="BA26" i="82"/>
  <c r="BB26" i="82" s="1"/>
  <c r="BA28" i="75"/>
  <c r="BB28" i="75" s="1"/>
  <c r="BA36" i="71"/>
  <c r="BB36" i="71" s="1"/>
  <c r="BA36" i="74"/>
  <c r="BB36" i="74" s="1"/>
  <c r="BA32" i="81"/>
  <c r="BB32" i="81" s="1"/>
  <c r="BA35" i="80"/>
  <c r="BB35" i="80" s="1"/>
  <c r="BA42" i="78"/>
  <c r="BB42" i="78" s="1"/>
  <c r="G221" i="2"/>
  <c r="H221" i="2" s="1"/>
  <c r="BA18" i="69"/>
  <c r="BB18" i="69" s="1"/>
  <c r="BJ28" i="75"/>
  <c r="BK28" i="75" s="1"/>
  <c r="BJ28" i="69"/>
  <c r="BK28" i="69" s="1"/>
  <c r="BJ61" i="67"/>
  <c r="BK61" i="67" s="1"/>
  <c r="BJ54" i="81"/>
  <c r="BK54" i="81" s="1"/>
  <c r="BJ47" i="69"/>
  <c r="BK47" i="69" s="1"/>
  <c r="BJ62" i="80"/>
  <c r="BK62" i="80" s="1"/>
  <c r="BJ74" i="78"/>
  <c r="BK74" i="78" s="1"/>
  <c r="BJ61" i="71"/>
  <c r="BK61" i="71" s="1"/>
  <c r="BJ61" i="74"/>
  <c r="BK61" i="74" s="1"/>
  <c r="BJ31" i="77"/>
  <c r="BK31" i="77" s="1"/>
  <c r="BJ47" i="76"/>
  <c r="BK47" i="76" s="1"/>
  <c r="BJ48" i="68"/>
  <c r="BK48" i="68" s="1"/>
  <c r="BJ61" i="66"/>
  <c r="BK61" i="66" s="1"/>
  <c r="BJ61" i="70"/>
  <c r="BK61" i="70" s="1"/>
  <c r="B75" i="2"/>
  <c r="B71" i="2"/>
  <c r="B183" i="2"/>
  <c r="B138" i="2"/>
  <c r="BD32" i="85" s="1"/>
  <c r="B147" i="2"/>
  <c r="G147" i="2" s="1"/>
  <c r="H147" i="2" s="1"/>
  <c r="B155" i="2"/>
  <c r="B58" i="2"/>
  <c r="B41" i="2"/>
  <c r="B156" i="2"/>
  <c r="B210" i="2"/>
  <c r="B25" i="2"/>
  <c r="B102" i="2"/>
  <c r="B143" i="2"/>
  <c r="B194" i="2"/>
  <c r="B146" i="2"/>
  <c r="B53" i="2"/>
  <c r="B134" i="2"/>
  <c r="BD28" i="85" s="1"/>
  <c r="B120" i="2"/>
  <c r="B93" i="2"/>
  <c r="B189" i="2"/>
  <c r="B98" i="2"/>
  <c r="B54" i="2"/>
  <c r="B30" i="2"/>
  <c r="B128" i="2"/>
  <c r="B204" i="2"/>
  <c r="B200" i="2"/>
  <c r="AU93" i="85" s="1"/>
  <c r="B31" i="2"/>
  <c r="B117" i="2"/>
  <c r="AU16" i="85" s="1"/>
  <c r="B43" i="2"/>
  <c r="B42" i="2"/>
  <c r="B65" i="2"/>
  <c r="B164" i="2"/>
  <c r="B33" i="2"/>
  <c r="B178" i="2"/>
  <c r="B51" i="2"/>
  <c r="B122" i="2"/>
  <c r="B44" i="2"/>
  <c r="B60" i="2"/>
  <c r="B184" i="2"/>
  <c r="B148" i="2"/>
  <c r="B144" i="2"/>
  <c r="B199" i="2"/>
  <c r="B188" i="2"/>
  <c r="B130" i="2"/>
  <c r="B125" i="2"/>
  <c r="G125" i="2" s="1"/>
  <c r="H125" i="2" s="1"/>
  <c r="B153" i="2"/>
  <c r="B135" i="2"/>
  <c r="B133" i="2"/>
  <c r="B56" i="2"/>
  <c r="B55" i="2"/>
  <c r="B36" i="2"/>
  <c r="B176" i="2"/>
  <c r="B24" i="2"/>
  <c r="B123" i="2"/>
  <c r="B101" i="2"/>
  <c r="B158" i="2"/>
  <c r="B157" i="2"/>
  <c r="B132" i="2"/>
  <c r="B45" i="2"/>
  <c r="B57" i="2"/>
  <c r="B212" i="2"/>
  <c r="B82" i="2"/>
  <c r="B159" i="2"/>
  <c r="B34" i="2"/>
  <c r="G34" i="2" s="1"/>
  <c r="H34" i="2" s="1"/>
  <c r="B149" i="2"/>
  <c r="B94" i="2"/>
  <c r="B83" i="2"/>
  <c r="B173" i="2"/>
  <c r="B206" i="2"/>
  <c r="B46" i="2"/>
  <c r="B171" i="2"/>
  <c r="B201" i="2"/>
  <c r="B169" i="2"/>
  <c r="G169" i="2" s="1"/>
  <c r="H169" i="2" s="1"/>
  <c r="B205" i="2"/>
  <c r="B152" i="2"/>
  <c r="B106" i="2"/>
  <c r="B174" i="2"/>
  <c r="B84" i="2"/>
  <c r="G84" i="2" s="1"/>
  <c r="H84" i="2" s="1"/>
  <c r="B187" i="2"/>
  <c r="B170" i="2"/>
  <c r="B85" i="2"/>
  <c r="B104" i="2"/>
  <c r="B103" i="2"/>
  <c r="B124" i="2"/>
  <c r="G124" i="2" s="1"/>
  <c r="H124" i="2" s="1"/>
  <c r="B195" i="2"/>
  <c r="B139" i="2"/>
  <c r="B66" i="2"/>
  <c r="B186" i="2"/>
  <c r="B118" i="2"/>
  <c r="AU17" i="85" s="1"/>
  <c r="B47" i="2"/>
  <c r="B99" i="2"/>
  <c r="B129" i="2"/>
  <c r="B114" i="2"/>
  <c r="B26" i="2"/>
  <c r="B95" i="2"/>
  <c r="B126" i="2"/>
  <c r="B50" i="2"/>
  <c r="B86" i="2"/>
  <c r="B63" i="2"/>
  <c r="B162" i="2"/>
  <c r="B88" i="2"/>
  <c r="B160" i="2"/>
  <c r="B161" i="2"/>
  <c r="B180" i="2"/>
  <c r="B67" i="2"/>
  <c r="B35" i="2"/>
  <c r="B211" i="2"/>
  <c r="B119" i="2"/>
  <c r="AU18" i="85" s="1"/>
  <c r="B127" i="2"/>
  <c r="B29" i="2"/>
  <c r="B154" i="2"/>
  <c r="B87" i="2"/>
  <c r="B113" i="2"/>
  <c r="B115" i="2"/>
  <c r="B61" i="2"/>
  <c r="B137" i="2"/>
  <c r="B52" i="2"/>
  <c r="B23" i="2"/>
  <c r="B97" i="2"/>
  <c r="B131" i="2"/>
  <c r="B181" i="2"/>
  <c r="B112" i="2"/>
  <c r="B136" i="2"/>
  <c r="B208" i="2"/>
  <c r="B198" i="2"/>
  <c r="B182" i="2"/>
  <c r="B105" i="2"/>
  <c r="B168" i="2"/>
  <c r="G168" i="2" s="1"/>
  <c r="H168" i="2" s="1"/>
  <c r="B96" i="2"/>
  <c r="B196" i="2"/>
  <c r="B100" i="2"/>
  <c r="G100" i="2" s="1"/>
  <c r="H100" i="2" s="1"/>
  <c r="B185" i="2"/>
  <c r="B145" i="2"/>
  <c r="B40" i="2"/>
  <c r="B39" i="2"/>
  <c r="B172" i="2"/>
  <c r="B32" i="2"/>
  <c r="G32" i="2" s="1"/>
  <c r="H32" i="2" s="1"/>
  <c r="B179" i="2"/>
  <c r="B116" i="2"/>
  <c r="B59" i="2"/>
  <c r="B64" i="2"/>
  <c r="B177" i="2"/>
  <c r="B62" i="2"/>
  <c r="B165" i="2"/>
  <c r="B163" i="2"/>
  <c r="B74" i="2"/>
  <c r="B78" i="2"/>
  <c r="B79" i="2"/>
  <c r="B77" i="2"/>
  <c r="B76" i="2"/>
  <c r="BJ87" i="67"/>
  <c r="BK87" i="67" s="1"/>
  <c r="BJ87" i="74"/>
  <c r="BK87" i="74" s="1"/>
  <c r="G314" i="2"/>
  <c r="H314" i="2" s="1"/>
  <c r="BJ71" i="80"/>
  <c r="BK71" i="80" s="1"/>
  <c r="BJ87" i="70"/>
  <c r="BK87" i="70" s="1"/>
  <c r="BJ87" i="1"/>
  <c r="BK87" i="1" s="1"/>
  <c r="BJ86" i="69"/>
  <c r="BK86" i="69" s="1"/>
  <c r="BJ112" i="73"/>
  <c r="BK112" i="73" s="1"/>
  <c r="BJ86" i="75"/>
  <c r="BK86" i="75" s="1"/>
  <c r="BJ112" i="1"/>
  <c r="BK112" i="1" s="1"/>
  <c r="BJ86" i="76"/>
  <c r="BK86" i="76" s="1"/>
  <c r="BJ112" i="74"/>
  <c r="BK112" i="74" s="1"/>
  <c r="G347" i="2"/>
  <c r="H347" i="2" s="1"/>
  <c r="BJ87" i="68"/>
  <c r="BK87" i="68" s="1"/>
  <c r="BJ112" i="71"/>
  <c r="BK112" i="71" s="1"/>
  <c r="BJ57" i="77"/>
  <c r="BK57" i="77" s="1"/>
  <c r="BJ112" i="66"/>
  <c r="BK112" i="66" s="1"/>
  <c r="BJ112" i="67"/>
  <c r="BK112" i="67" s="1"/>
  <c r="BJ112" i="70"/>
  <c r="BK112" i="70" s="1"/>
  <c r="G222" i="2"/>
  <c r="H222" i="2" s="1"/>
  <c r="BJ29" i="69"/>
  <c r="BK29" i="69" s="1"/>
  <c r="BJ29" i="75"/>
  <c r="BK29" i="75" s="1"/>
  <c r="BJ29" i="76"/>
  <c r="BK29" i="76" s="1"/>
  <c r="BA19" i="82"/>
  <c r="BB19" i="82" s="1"/>
  <c r="BA19" i="75"/>
  <c r="BB19" i="75" s="1"/>
  <c r="BA19" i="76"/>
  <c r="BB19" i="76" s="1"/>
  <c r="BJ29" i="82"/>
  <c r="BK29" i="82" s="1"/>
  <c r="BA19" i="69"/>
  <c r="BB19" i="69" s="1"/>
  <c r="BA21" i="69"/>
  <c r="BB21" i="69" s="1"/>
  <c r="G235" i="2"/>
  <c r="H235" i="2" s="1"/>
  <c r="BA27" i="67"/>
  <c r="BB27" i="67" s="1"/>
  <c r="BA27" i="70"/>
  <c r="BB27" i="70" s="1"/>
  <c r="BA21" i="76"/>
  <c r="BB21" i="76" s="1"/>
  <c r="BA21" i="75"/>
  <c r="BB21" i="75" s="1"/>
  <c r="BA27" i="74"/>
  <c r="BB27" i="74" s="1"/>
  <c r="BA27" i="73"/>
  <c r="BB27" i="73" s="1"/>
  <c r="BA27" i="66"/>
  <c r="BB27" i="66" s="1"/>
  <c r="BA27" i="71"/>
  <c r="BB27" i="71" s="1"/>
  <c r="BA21" i="68"/>
  <c r="BB21" i="68" s="1"/>
  <c r="BA27" i="1"/>
  <c r="BB27" i="1" s="1"/>
  <c r="G218" i="2"/>
  <c r="H218" i="2" s="1"/>
  <c r="BA15" i="75"/>
  <c r="BB15" i="75" s="1"/>
  <c r="BJ109" i="1"/>
  <c r="BK109" i="1" s="1"/>
  <c r="G344" i="2"/>
  <c r="H344" i="2" s="1"/>
  <c r="BJ109" i="73"/>
  <c r="BK109" i="73" s="1"/>
  <c r="BJ109" i="67"/>
  <c r="BK109" i="67" s="1"/>
  <c r="BJ109" i="66"/>
  <c r="BK109" i="66" s="1"/>
  <c r="BJ109" i="74"/>
  <c r="BK109" i="74" s="1"/>
  <c r="BJ109" i="71"/>
  <c r="BK109" i="71" s="1"/>
  <c r="BJ109" i="70"/>
  <c r="BK109" i="70" s="1"/>
  <c r="BA40" i="67"/>
  <c r="BB40" i="67" s="1"/>
  <c r="BA39" i="80"/>
  <c r="BB39" i="80" s="1"/>
  <c r="BA32" i="68"/>
  <c r="BB32" i="68" s="1"/>
  <c r="BA36" i="81"/>
  <c r="BB36" i="81" s="1"/>
  <c r="BA40" i="74"/>
  <c r="BB40" i="74" s="1"/>
  <c r="BA40" i="73"/>
  <c r="BB40" i="73" s="1"/>
  <c r="BA40" i="66"/>
  <c r="BB40" i="66" s="1"/>
  <c r="G270" i="2"/>
  <c r="H270" i="2" s="1"/>
  <c r="BA32" i="76"/>
  <c r="BB32" i="76" s="1"/>
  <c r="BA32" i="75"/>
  <c r="BB32" i="75" s="1"/>
  <c r="BA40" i="70"/>
  <c r="BB40" i="70" s="1"/>
  <c r="BA30" i="82"/>
  <c r="BB30" i="82" s="1"/>
  <c r="BA46" i="78"/>
  <c r="BB46" i="78" s="1"/>
  <c r="BA40" i="71"/>
  <c r="BB40" i="71" s="1"/>
  <c r="BA22" i="77"/>
  <c r="BB22" i="77" s="1"/>
  <c r="BA40" i="1"/>
  <c r="BB40" i="1" s="1"/>
  <c r="BA32" i="69"/>
  <c r="BB32" i="69" s="1"/>
  <c r="BJ109" i="75"/>
  <c r="BK109" i="75" s="1"/>
  <c r="BJ135" i="74"/>
  <c r="BK135" i="74" s="1"/>
  <c r="BA90" i="75"/>
  <c r="BB90" i="75" s="1"/>
  <c r="G229" i="2"/>
  <c r="H229" i="2" s="1"/>
  <c r="BA90" i="74"/>
  <c r="BB90" i="74" s="1"/>
  <c r="BJ99" i="71"/>
  <c r="BK99" i="71" s="1"/>
  <c r="G326" i="2"/>
  <c r="H326" i="2" s="1"/>
  <c r="BJ77" i="75"/>
  <c r="BK77" i="75" s="1"/>
  <c r="BJ99" i="73"/>
  <c r="BK99" i="73" s="1"/>
  <c r="BJ77" i="69"/>
  <c r="BK77" i="69" s="1"/>
  <c r="BJ99" i="78"/>
  <c r="BK99" i="78" s="1"/>
  <c r="BJ99" i="1"/>
  <c r="BK99" i="1" s="1"/>
  <c r="BJ65" i="82"/>
  <c r="BK65" i="82" s="1"/>
  <c r="BJ77" i="76"/>
  <c r="BK77" i="76" s="1"/>
  <c r="BJ79" i="81"/>
  <c r="BK79" i="81" s="1"/>
  <c r="BJ99" i="70"/>
  <c r="BK99" i="70" s="1"/>
  <c r="BJ99" i="74"/>
  <c r="BK99" i="74" s="1"/>
  <c r="BJ99" i="66"/>
  <c r="BK99" i="66" s="1"/>
  <c r="BJ78" i="68"/>
  <c r="BK78" i="68" s="1"/>
  <c r="BJ99" i="67"/>
  <c r="BK99" i="67" s="1"/>
  <c r="BJ83" i="80"/>
  <c r="BK83" i="80" s="1"/>
  <c r="BA33" i="73"/>
  <c r="BB33" i="73" s="1"/>
  <c r="BA25" i="69"/>
  <c r="BB25" i="69" s="1"/>
  <c r="G247" i="2"/>
  <c r="H247" i="2" s="1"/>
  <c r="BA25" i="76"/>
  <c r="BB25" i="76" s="1"/>
  <c r="BA23" i="82"/>
  <c r="BB23" i="82" s="1"/>
  <c r="BA33" i="67"/>
  <c r="BB33" i="67" s="1"/>
  <c r="BA25" i="75"/>
  <c r="BB25" i="75" s="1"/>
  <c r="BA33" i="74"/>
  <c r="BB33" i="74" s="1"/>
  <c r="BA16" i="77"/>
  <c r="BB16" i="77" s="1"/>
  <c r="BA33" i="66"/>
  <c r="BB33" i="66" s="1"/>
  <c r="BA33" i="1"/>
  <c r="BB33" i="1" s="1"/>
  <c r="BA25" i="68"/>
  <c r="BB25" i="68" s="1"/>
  <c r="BA39" i="78"/>
  <c r="BB39" i="78" s="1"/>
  <c r="BA33" i="70"/>
  <c r="BB33" i="70" s="1"/>
  <c r="BA29" i="81"/>
  <c r="BB29" i="81" s="1"/>
  <c r="BA32" i="80"/>
  <c r="BB32" i="80" s="1"/>
  <c r="BA33" i="71"/>
  <c r="BB33" i="71" s="1"/>
  <c r="BJ81" i="74"/>
  <c r="BK81" i="74" s="1"/>
  <c r="BJ81" i="66"/>
  <c r="BK81" i="66" s="1"/>
  <c r="BJ81" i="1"/>
  <c r="BK81" i="1" s="1"/>
  <c r="G300" i="2"/>
  <c r="H300" i="2" s="1"/>
  <c r="BJ81" i="73"/>
  <c r="BK81" i="73" s="1"/>
  <c r="BJ81" i="67"/>
  <c r="BK81" i="67" s="1"/>
  <c r="BJ81" i="71"/>
  <c r="BK81" i="71" s="1"/>
  <c r="BJ81" i="70"/>
  <c r="BK81" i="70" s="1"/>
  <c r="BA74" i="74"/>
  <c r="BB74" i="74" s="1"/>
  <c r="BA74" i="73"/>
  <c r="BB74" i="73" s="1"/>
  <c r="BA60" i="75"/>
  <c r="BB60" i="75" s="1"/>
  <c r="BA74" i="70"/>
  <c r="BB74" i="70" s="1"/>
  <c r="BA74" i="66"/>
  <c r="BB74" i="66" s="1"/>
  <c r="BA74" i="71"/>
  <c r="BB74" i="71" s="1"/>
  <c r="G340" i="2"/>
  <c r="H340" i="2" s="1"/>
  <c r="BA60" i="76"/>
  <c r="BB60" i="76" s="1"/>
  <c r="BA74" i="1"/>
  <c r="BB74" i="1" s="1"/>
  <c r="BA74" i="67"/>
  <c r="BB74" i="67" s="1"/>
  <c r="BJ49" i="71"/>
  <c r="BK49" i="71" s="1"/>
  <c r="BJ36" i="68"/>
  <c r="BK36" i="68" s="1"/>
  <c r="BJ49" i="66"/>
  <c r="BK49" i="66" s="1"/>
  <c r="BJ62" i="78"/>
  <c r="BK62" i="78" s="1"/>
  <c r="BJ49" i="1"/>
  <c r="BK49" i="1" s="1"/>
  <c r="BJ49" i="70"/>
  <c r="BK49" i="70" s="1"/>
  <c r="BJ35" i="76"/>
  <c r="BK35" i="76" s="1"/>
  <c r="BJ49" i="74"/>
  <c r="BK49" i="74" s="1"/>
  <c r="BJ35" i="75"/>
  <c r="BK35" i="75" s="1"/>
  <c r="BJ49" i="67"/>
  <c r="BK49" i="67" s="1"/>
  <c r="BJ35" i="69"/>
  <c r="BK35" i="69" s="1"/>
  <c r="BJ32" i="82"/>
  <c r="BK32" i="82" s="1"/>
  <c r="BJ50" i="80"/>
  <c r="BK50" i="80" s="1"/>
  <c r="BJ49" i="73"/>
  <c r="BK49" i="73" s="1"/>
  <c r="G256" i="2"/>
  <c r="H256" i="2" s="1"/>
  <c r="BJ42" i="81"/>
  <c r="BK42" i="81" s="1"/>
  <c r="BA78" i="71"/>
  <c r="BB78" i="71" s="1"/>
  <c r="BA60" i="1"/>
  <c r="BB60" i="1" s="1"/>
  <c r="BA60" i="70"/>
  <c r="BB60" i="70" s="1"/>
  <c r="BA56" i="78"/>
  <c r="BB56" i="78" s="1"/>
  <c r="BA47" i="80"/>
  <c r="BB47" i="80" s="1"/>
  <c r="BA60" i="66"/>
  <c r="BB60" i="66" s="1"/>
  <c r="BA33" i="77"/>
  <c r="BB33" i="77" s="1"/>
  <c r="BA38" i="82"/>
  <c r="BB38" i="82" s="1"/>
  <c r="BA60" i="67"/>
  <c r="BB60" i="67" s="1"/>
  <c r="BA48" i="76"/>
  <c r="BB48" i="76" s="1"/>
  <c r="BA46" i="81"/>
  <c r="BB46" i="81" s="1"/>
  <c r="BA60" i="74"/>
  <c r="BB60" i="74" s="1"/>
  <c r="BA60" i="73"/>
  <c r="BB60" i="73" s="1"/>
  <c r="G310" i="2"/>
  <c r="H310" i="2" s="1"/>
  <c r="BA60" i="71"/>
  <c r="BB60" i="71" s="1"/>
  <c r="BA48" i="69"/>
  <c r="BB48" i="69" s="1"/>
  <c r="BJ85" i="67"/>
  <c r="BK85" i="67" s="1"/>
  <c r="BJ85" i="1"/>
  <c r="BK85" i="1" s="1"/>
  <c r="BJ85" i="74"/>
  <c r="BK85" i="74" s="1"/>
  <c r="BJ85" i="73"/>
  <c r="BK85" i="73" s="1"/>
  <c r="BJ85" i="78"/>
  <c r="BK85" i="78" s="1"/>
  <c r="G312" i="2"/>
  <c r="H312" i="2" s="1"/>
  <c r="BJ65" i="81"/>
  <c r="BK65" i="81" s="1"/>
  <c r="BJ85" i="70"/>
  <c r="BK85" i="70" s="1"/>
  <c r="BJ80" i="73"/>
  <c r="BK80" i="73" s="1"/>
  <c r="G299" i="2"/>
  <c r="H299" i="2" s="1"/>
  <c r="BJ80" i="71"/>
  <c r="BK80" i="71" s="1"/>
  <c r="BJ80" i="1"/>
  <c r="BK80" i="1" s="1"/>
  <c r="BJ80" i="66"/>
  <c r="BK80" i="66" s="1"/>
  <c r="BJ80" i="70"/>
  <c r="BK80" i="70" s="1"/>
  <c r="BJ80" i="67"/>
  <c r="BK80" i="67" s="1"/>
  <c r="BJ80" i="74"/>
  <c r="BK80" i="74" s="1"/>
  <c r="BJ25" i="74"/>
  <c r="BK25" i="74" s="1"/>
  <c r="BJ45" i="78"/>
  <c r="BK45" i="78" s="1"/>
  <c r="BJ25" i="66"/>
  <c r="BK25" i="66" s="1"/>
  <c r="BJ21" i="82"/>
  <c r="BK21" i="82" s="1"/>
  <c r="BJ21" i="76"/>
  <c r="BK21" i="76" s="1"/>
  <c r="BJ25" i="1"/>
  <c r="BK25" i="1" s="1"/>
  <c r="BJ25" i="71"/>
  <c r="BK25" i="71" s="1"/>
  <c r="G48" i="2"/>
  <c r="H48" i="2" s="1"/>
  <c r="BJ25" i="67"/>
  <c r="BK25" i="67" s="1"/>
  <c r="BJ25" i="81"/>
  <c r="BK25" i="81" s="1"/>
  <c r="BJ25" i="73"/>
  <c r="BK25" i="73" s="1"/>
  <c r="BJ21" i="75"/>
  <c r="BK21" i="75" s="1"/>
  <c r="BJ37" i="80"/>
  <c r="BK37" i="80" s="1"/>
  <c r="BJ21" i="69"/>
  <c r="BK21" i="69" s="1"/>
  <c r="G227" i="2"/>
  <c r="H227" i="2" s="1"/>
  <c r="BA88" i="75"/>
  <c r="BB88" i="75" s="1"/>
  <c r="BJ107" i="75"/>
  <c r="BK107" i="75" s="1"/>
  <c r="BJ133" i="74"/>
  <c r="BK133" i="74" s="1"/>
  <c r="BA88" i="74"/>
  <c r="BB88" i="74" s="1"/>
  <c r="BA47" i="66"/>
  <c r="BB47" i="66" s="1"/>
  <c r="BA39" i="76"/>
  <c r="BB39" i="76" s="1"/>
  <c r="BA47" i="70"/>
  <c r="BB47" i="70" s="1"/>
  <c r="BJ62" i="68"/>
  <c r="BK62" i="68" s="1"/>
  <c r="BJ75" i="71"/>
  <c r="BK75" i="71" s="1"/>
  <c r="BJ75" i="73"/>
  <c r="BK75" i="73" s="1"/>
  <c r="BJ75" i="70"/>
  <c r="BK75" i="70" s="1"/>
  <c r="BA39" i="68"/>
  <c r="BB39" i="68" s="1"/>
  <c r="BA39" i="69"/>
  <c r="BB39" i="69" s="1"/>
  <c r="BA47" i="74"/>
  <c r="BB47" i="74" s="1"/>
  <c r="BJ75" i="66"/>
  <c r="BK75" i="66" s="1"/>
  <c r="BA47" i="71"/>
  <c r="BB47" i="71" s="1"/>
  <c r="BJ61" i="75"/>
  <c r="BK61" i="75" s="1"/>
  <c r="BJ75" i="67"/>
  <c r="BK75" i="67" s="1"/>
  <c r="BA47" i="1"/>
  <c r="BB47" i="1" s="1"/>
  <c r="BJ41" i="77"/>
  <c r="BK41" i="77" s="1"/>
  <c r="BA27" i="77"/>
  <c r="BB27" i="77" s="1"/>
  <c r="BJ61" i="69"/>
  <c r="BK61" i="69" s="1"/>
  <c r="BA47" i="73"/>
  <c r="BB47" i="73" s="1"/>
  <c r="BJ61" i="76"/>
  <c r="BK61" i="76" s="1"/>
  <c r="AW4" i="68"/>
  <c r="AZ16" i="68" s="1"/>
  <c r="V76" i="2" s="1"/>
  <c r="AW4" i="75"/>
  <c r="AW4" i="67"/>
  <c r="AZ78" i="67" s="1"/>
  <c r="T141" i="2" s="1"/>
  <c r="W23" i="10"/>
  <c r="AW4" i="73"/>
  <c r="AZ17" i="73" s="1"/>
  <c r="AD73" i="2" s="1"/>
  <c r="AW4" i="71"/>
  <c r="AW4" i="77"/>
  <c r="AZ12" i="77" s="1"/>
  <c r="AL76" i="2" s="1"/>
  <c r="AW4" i="69"/>
  <c r="AZ66" i="69" s="1"/>
  <c r="X214" i="2" s="1"/>
  <c r="AW4" i="76"/>
  <c r="AZ66" i="76" s="1"/>
  <c r="AF214" i="2" s="1"/>
  <c r="AW4" i="1"/>
  <c r="AZ19" i="1" s="1"/>
  <c r="P75" i="2" s="1"/>
  <c r="AW4" i="80"/>
  <c r="BI86" i="80" s="1"/>
  <c r="AQ214" i="2" s="1"/>
  <c r="AW4" i="78"/>
  <c r="AZ62" i="78" s="1"/>
  <c r="AN214" i="2" s="1"/>
  <c r="AW4" i="81"/>
  <c r="AZ51" i="81" s="1"/>
  <c r="AR214" i="2" s="1"/>
  <c r="AW4" i="82"/>
  <c r="AW4" i="66"/>
  <c r="BJ114" i="70"/>
  <c r="BK114" i="70" s="1"/>
  <c r="BJ114" i="67"/>
  <c r="BK114" i="67" s="1"/>
  <c r="BJ88" i="76"/>
  <c r="BK88" i="76" s="1"/>
  <c r="BJ114" i="73"/>
  <c r="BK114" i="73" s="1"/>
  <c r="BJ89" i="68"/>
  <c r="BK89" i="68" s="1"/>
  <c r="BJ88" i="75"/>
  <c r="BK88" i="75" s="1"/>
  <c r="BJ106" i="74"/>
  <c r="BK106" i="74" s="1"/>
  <c r="G341" i="2"/>
  <c r="H341" i="2" s="1"/>
  <c r="BJ106" i="70"/>
  <c r="BK106" i="70" s="1"/>
  <c r="BJ106" i="73"/>
  <c r="BK106" i="73" s="1"/>
  <c r="BJ106" i="67"/>
  <c r="BK106" i="67" s="1"/>
  <c r="BJ106" i="1"/>
  <c r="BK106" i="1" s="1"/>
  <c r="BJ106" i="75"/>
  <c r="BK106" i="75" s="1"/>
  <c r="G331" i="2"/>
  <c r="H331" i="2" s="1"/>
  <c r="BJ104" i="67"/>
  <c r="BK104" i="67" s="1"/>
  <c r="BA65" i="74"/>
  <c r="BB65" i="74" s="1"/>
  <c r="BJ82" i="76"/>
  <c r="BK82" i="76" s="1"/>
  <c r="BJ104" i="74"/>
  <c r="BK104" i="74" s="1"/>
  <c r="BA53" i="75"/>
  <c r="BB53" i="75" s="1"/>
  <c r="BJ104" i="70"/>
  <c r="BK104" i="70" s="1"/>
  <c r="BJ82" i="75"/>
  <c r="BK82" i="75" s="1"/>
  <c r="BJ104" i="71"/>
  <c r="BK104" i="71" s="1"/>
  <c r="BA53" i="76"/>
  <c r="BB53" i="76" s="1"/>
  <c r="BA53" i="68"/>
  <c r="BB53" i="68" s="1"/>
  <c r="BA53" i="69"/>
  <c r="BB53" i="69" s="1"/>
  <c r="BA65" i="71"/>
  <c r="BB65" i="71" s="1"/>
  <c r="BA65" i="66"/>
  <c r="BB65" i="66" s="1"/>
  <c r="BA65" i="67"/>
  <c r="BB65" i="67" s="1"/>
  <c r="BJ104" i="66"/>
  <c r="BK104" i="66" s="1"/>
  <c r="BJ104" i="73"/>
  <c r="BK104" i="73" s="1"/>
  <c r="BA65" i="73"/>
  <c r="BB65" i="73" s="1"/>
  <c r="BA65" i="1"/>
  <c r="BB65" i="1" s="1"/>
  <c r="BJ83" i="68"/>
  <c r="BK83" i="68" s="1"/>
  <c r="BJ104" i="1"/>
  <c r="BK104" i="1" s="1"/>
  <c r="BA37" i="77"/>
  <c r="BB37" i="77" s="1"/>
  <c r="BJ82" i="69"/>
  <c r="BK82" i="69" s="1"/>
  <c r="BA65" i="70"/>
  <c r="BB65" i="70" s="1"/>
  <c r="BJ55" i="77"/>
  <c r="BK55" i="77" s="1"/>
  <c r="BJ60" i="77"/>
  <c r="BK60" i="77" s="1"/>
  <c r="BJ115" i="1"/>
  <c r="BK115" i="1" s="1"/>
  <c r="BJ115" i="74"/>
  <c r="BK115" i="74" s="1"/>
  <c r="BJ115" i="71"/>
  <c r="BK115" i="71" s="1"/>
  <c r="BJ115" i="70"/>
  <c r="BK115" i="70" s="1"/>
  <c r="BJ90" i="68"/>
  <c r="BK90" i="68" s="1"/>
  <c r="G350" i="2"/>
  <c r="H350" i="2" s="1"/>
  <c r="BJ89" i="69"/>
  <c r="BK89" i="69" s="1"/>
  <c r="BJ115" i="66"/>
  <c r="BK115" i="66" s="1"/>
  <c r="BJ115" i="73"/>
  <c r="BK115" i="73" s="1"/>
  <c r="BJ89" i="76"/>
  <c r="BK89" i="76" s="1"/>
  <c r="BJ115" i="67"/>
  <c r="BK115" i="67" s="1"/>
  <c r="BJ89" i="75"/>
  <c r="BK89" i="75" s="1"/>
  <c r="BJ103" i="71"/>
  <c r="BK103" i="71" s="1"/>
  <c r="BA64" i="67"/>
  <c r="BB64" i="67" s="1"/>
  <c r="BJ82" i="68"/>
  <c r="BK82" i="68" s="1"/>
  <c r="BJ81" i="76"/>
  <c r="BK81" i="76" s="1"/>
  <c r="BA52" i="69"/>
  <c r="BB52" i="69" s="1"/>
  <c r="BA52" i="75"/>
  <c r="BB52" i="75" s="1"/>
  <c r="G330" i="2"/>
  <c r="H330" i="2" s="1"/>
  <c r="BJ103" i="70"/>
  <c r="BK103" i="70" s="1"/>
  <c r="BA64" i="66"/>
  <c r="BB64" i="66" s="1"/>
  <c r="BA52" i="76"/>
  <c r="BB52" i="76" s="1"/>
  <c r="BA36" i="77"/>
  <c r="BB36" i="77" s="1"/>
  <c r="BA64" i="73"/>
  <c r="BB64" i="73" s="1"/>
  <c r="BA64" i="70"/>
  <c r="BB64" i="70" s="1"/>
  <c r="BJ81" i="69"/>
  <c r="BK81" i="69" s="1"/>
  <c r="BA64" i="1"/>
  <c r="BB64" i="1" s="1"/>
  <c r="BJ54" i="77"/>
  <c r="BK54" i="77" s="1"/>
  <c r="BJ103" i="73"/>
  <c r="BK103" i="73" s="1"/>
  <c r="BJ103" i="1"/>
  <c r="BK103" i="1" s="1"/>
  <c r="BA52" i="68"/>
  <c r="BB52" i="68" s="1"/>
  <c r="BA64" i="71"/>
  <c r="BB64" i="71" s="1"/>
  <c r="BJ103" i="66"/>
  <c r="BK103" i="66" s="1"/>
  <c r="BA64" i="74"/>
  <c r="BB64" i="74" s="1"/>
  <c r="BJ103" i="74"/>
  <c r="BK103" i="74" s="1"/>
  <c r="BJ103" i="67"/>
  <c r="BK103" i="67" s="1"/>
  <c r="BJ81" i="75"/>
  <c r="BK81" i="75" s="1"/>
  <c r="G319" i="2"/>
  <c r="H319" i="2" s="1"/>
  <c r="BJ45" i="77"/>
  <c r="BK45" i="77" s="1"/>
  <c r="BJ92" i="73"/>
  <c r="BK92" i="73" s="1"/>
  <c r="BJ58" i="82"/>
  <c r="BK58" i="82" s="1"/>
  <c r="BJ92" i="1"/>
  <c r="BK92" i="1" s="1"/>
  <c r="BJ92" i="74"/>
  <c r="BK92" i="74" s="1"/>
  <c r="BJ71" i="68"/>
  <c r="BK71" i="68" s="1"/>
  <c r="BJ70" i="69"/>
  <c r="BK70" i="69" s="1"/>
  <c r="BJ76" i="80"/>
  <c r="BK76" i="80" s="1"/>
  <c r="BJ92" i="66"/>
  <c r="BK92" i="66" s="1"/>
  <c r="BJ92" i="78"/>
  <c r="BK92" i="78" s="1"/>
  <c r="BJ92" i="71"/>
  <c r="BK92" i="71" s="1"/>
  <c r="BJ92" i="67"/>
  <c r="BK92" i="67" s="1"/>
  <c r="BJ70" i="75"/>
  <c r="BK70" i="75" s="1"/>
  <c r="BJ72" i="81"/>
  <c r="BK72" i="81" s="1"/>
  <c r="BJ70" i="76"/>
  <c r="BK70" i="76" s="1"/>
  <c r="BJ92" i="70"/>
  <c r="BK92" i="70" s="1"/>
  <c r="BJ41" i="76"/>
  <c r="BK41" i="76" s="1"/>
  <c r="BJ27" i="77"/>
  <c r="BK27" i="77" s="1"/>
  <c r="BJ56" i="80"/>
  <c r="BK56" i="80" s="1"/>
  <c r="BJ55" i="70"/>
  <c r="BK55" i="70" s="1"/>
  <c r="BJ48" i="81"/>
  <c r="BK48" i="81" s="1"/>
  <c r="BJ42" i="68"/>
  <c r="BK42" i="68" s="1"/>
  <c r="BJ41" i="69"/>
  <c r="BK41" i="69" s="1"/>
  <c r="BJ38" i="82"/>
  <c r="BK38" i="82" s="1"/>
  <c r="BJ55" i="74"/>
  <c r="BK55" i="74" s="1"/>
  <c r="BJ41" i="75"/>
  <c r="BK41" i="75" s="1"/>
  <c r="G262" i="2"/>
  <c r="H262" i="2" s="1"/>
  <c r="BJ55" i="73"/>
  <c r="BK55" i="73" s="1"/>
  <c r="BJ55" i="1"/>
  <c r="BK55" i="1" s="1"/>
  <c r="BJ55" i="67"/>
  <c r="BK55" i="67" s="1"/>
  <c r="BJ55" i="71"/>
  <c r="BK55" i="71" s="1"/>
  <c r="BJ68" i="78"/>
  <c r="BK68" i="78" s="1"/>
  <c r="BJ55" i="66"/>
  <c r="BK55" i="66" s="1"/>
  <c r="G190" i="2"/>
  <c r="H190" i="2" s="1"/>
  <c r="BJ20" i="76"/>
  <c r="BK20" i="76" s="1"/>
  <c r="G296" i="2"/>
  <c r="H296" i="2" s="1"/>
  <c r="BA42" i="69"/>
  <c r="BB42" i="69" s="1"/>
  <c r="BA42" i="76"/>
  <c r="BB42" i="76" s="1"/>
  <c r="BA52" i="67"/>
  <c r="BB52" i="67" s="1"/>
  <c r="BA42" i="75"/>
  <c r="BB42" i="75" s="1"/>
  <c r="BA52" i="1"/>
  <c r="BB52" i="1" s="1"/>
  <c r="BA52" i="74"/>
  <c r="BB52" i="74" s="1"/>
  <c r="BA52" i="70"/>
  <c r="BB52" i="70" s="1"/>
  <c r="BA52" i="66"/>
  <c r="BB52" i="66" s="1"/>
  <c r="BA42" i="68"/>
  <c r="BB42" i="68" s="1"/>
  <c r="BA52" i="73"/>
  <c r="BB52" i="73" s="1"/>
  <c r="BA52" i="71"/>
  <c r="BB52" i="71" s="1"/>
  <c r="BJ44" i="70"/>
  <c r="BK44" i="70" s="1"/>
  <c r="BJ44" i="1"/>
  <c r="BK44" i="1" s="1"/>
  <c r="BJ57" i="78"/>
  <c r="BK57" i="78" s="1"/>
  <c r="BJ44" i="74"/>
  <c r="BK44" i="74" s="1"/>
  <c r="BJ44" i="73"/>
  <c r="BK44" i="73" s="1"/>
  <c r="G251" i="2"/>
  <c r="H251" i="2" s="1"/>
  <c r="BJ37" i="81"/>
  <c r="BK37" i="81" s="1"/>
  <c r="BJ44" i="67"/>
  <c r="BK44" i="67" s="1"/>
  <c r="G342" i="2"/>
  <c r="H342" i="2" s="1"/>
  <c r="BJ107" i="70"/>
  <c r="BK107" i="70" s="1"/>
  <c r="BJ107" i="74"/>
  <c r="BK107" i="74" s="1"/>
  <c r="BJ107" i="1"/>
  <c r="BK107" i="1" s="1"/>
  <c r="BJ107" i="73"/>
  <c r="BK107" i="73" s="1"/>
  <c r="BJ107" i="67"/>
  <c r="BK107" i="67" s="1"/>
  <c r="BJ130" i="70"/>
  <c r="BK130" i="70" s="1"/>
  <c r="BA35" i="82"/>
  <c r="BB35" i="82" s="1"/>
  <c r="BA57" i="67"/>
  <c r="BB57" i="67" s="1"/>
  <c r="BA57" i="70"/>
  <c r="BB57" i="70" s="1"/>
  <c r="BA44" i="80"/>
  <c r="BB44" i="80" s="1"/>
  <c r="BA45" i="75"/>
  <c r="BB45" i="75" s="1"/>
  <c r="BA57" i="1"/>
  <c r="BB57" i="1" s="1"/>
  <c r="BA45" i="76"/>
  <c r="BB45" i="76" s="1"/>
  <c r="BA57" i="74"/>
  <c r="BB57" i="74" s="1"/>
  <c r="BA53" i="78"/>
  <c r="BB53" i="78" s="1"/>
  <c r="G307" i="2"/>
  <c r="H307" i="2" s="1"/>
  <c r="BA57" i="71"/>
  <c r="BB57" i="71" s="1"/>
  <c r="BA30" i="77"/>
  <c r="BB30" i="77" s="1"/>
  <c r="BA43" i="81"/>
  <c r="BB43" i="81" s="1"/>
  <c r="BA45" i="69"/>
  <c r="BB45" i="69" s="1"/>
  <c r="BA57" i="66"/>
  <c r="BB57" i="66" s="1"/>
  <c r="BA57" i="73"/>
  <c r="BB57" i="73" s="1"/>
  <c r="BA45" i="68"/>
  <c r="BB45" i="68" s="1"/>
  <c r="G240" i="2"/>
  <c r="H240" i="2" s="1"/>
  <c r="BJ41" i="67"/>
  <c r="BK41" i="67" s="1"/>
  <c r="BJ31" i="75"/>
  <c r="BK31" i="75" s="1"/>
  <c r="BJ41" i="66"/>
  <c r="BK41" i="66" s="1"/>
  <c r="BJ41" i="71"/>
  <c r="BK41" i="71" s="1"/>
  <c r="BJ31" i="76"/>
  <c r="BK31" i="76" s="1"/>
  <c r="BJ31" i="69"/>
  <c r="BK31" i="69" s="1"/>
  <c r="BJ41" i="70"/>
  <c r="BK41" i="70" s="1"/>
  <c r="BJ41" i="74"/>
  <c r="BK41" i="74" s="1"/>
  <c r="BJ41" i="73"/>
  <c r="BK41" i="73" s="1"/>
  <c r="BJ32" i="68"/>
  <c r="BK32" i="68" s="1"/>
  <c r="BJ41" i="1"/>
  <c r="BK41" i="1" s="1"/>
  <c r="BA13" i="69"/>
  <c r="BB13" i="69" s="1"/>
  <c r="G216" i="2"/>
  <c r="H216" i="2" s="1"/>
  <c r="BJ23" i="75"/>
  <c r="BK23" i="75" s="1"/>
  <c r="BA13" i="76"/>
  <c r="BB13" i="76" s="1"/>
  <c r="BJ23" i="82"/>
  <c r="BK23" i="82" s="1"/>
  <c r="BJ23" i="76"/>
  <c r="BK23" i="76" s="1"/>
  <c r="BA13" i="82"/>
  <c r="BB13" i="82" s="1"/>
  <c r="BA13" i="75"/>
  <c r="BB13" i="75" s="1"/>
  <c r="BJ23" i="69"/>
  <c r="BK23" i="69" s="1"/>
  <c r="BJ77" i="81"/>
  <c r="BK77" i="81" s="1"/>
  <c r="BJ97" i="78"/>
  <c r="BK97" i="78" s="1"/>
  <c r="BJ76" i="68"/>
  <c r="BK76" i="68" s="1"/>
  <c r="BJ97" i="67"/>
  <c r="BK97" i="67" s="1"/>
  <c r="G324" i="2"/>
  <c r="H324" i="2" s="1"/>
  <c r="BJ63" i="82"/>
  <c r="BK63" i="82" s="1"/>
  <c r="BJ75" i="76"/>
  <c r="BK75" i="76" s="1"/>
  <c r="BJ97" i="71"/>
  <c r="BK97" i="71" s="1"/>
  <c r="BJ97" i="1"/>
  <c r="BK97" i="1" s="1"/>
  <c r="BJ97" i="66"/>
  <c r="BK97" i="66" s="1"/>
  <c r="BJ75" i="69"/>
  <c r="BK75" i="69" s="1"/>
  <c r="BJ97" i="70"/>
  <c r="BK97" i="70" s="1"/>
  <c r="BJ81" i="80"/>
  <c r="BK81" i="80" s="1"/>
  <c r="BJ50" i="77"/>
  <c r="BK50" i="77" s="1"/>
  <c r="BJ75" i="75"/>
  <c r="BK75" i="75" s="1"/>
  <c r="BJ97" i="73"/>
  <c r="BK97" i="73" s="1"/>
  <c r="BJ97" i="74"/>
  <c r="BK97" i="74" s="1"/>
  <c r="BJ46" i="73"/>
  <c r="BK46" i="73" s="1"/>
  <c r="G253" i="2"/>
  <c r="H253" i="2" s="1"/>
  <c r="BJ46" i="66"/>
  <c r="BK46" i="66" s="1"/>
  <c r="BJ46" i="71"/>
  <c r="BK46" i="71" s="1"/>
  <c r="BJ39" i="81"/>
  <c r="BK39" i="81" s="1"/>
  <c r="BJ46" i="1"/>
  <c r="BK46" i="1" s="1"/>
  <c r="BJ46" i="67"/>
  <c r="BK46" i="67" s="1"/>
  <c r="BJ47" i="80"/>
  <c r="BK47" i="80" s="1"/>
  <c r="BJ59" i="78"/>
  <c r="BK59" i="78" s="1"/>
  <c r="BJ46" i="70"/>
  <c r="BK46" i="70" s="1"/>
  <c r="BJ46" i="74"/>
  <c r="BK46" i="74" s="1"/>
  <c r="BJ90" i="71"/>
  <c r="BK90" i="71" s="1"/>
  <c r="BJ90" i="74"/>
  <c r="BK90" i="74" s="1"/>
  <c r="BJ90" i="78"/>
  <c r="BK90" i="78" s="1"/>
  <c r="BJ90" i="66"/>
  <c r="BK90" i="66" s="1"/>
  <c r="BJ90" i="67"/>
  <c r="BK90" i="67" s="1"/>
  <c r="BJ56" i="82"/>
  <c r="BK56" i="82" s="1"/>
  <c r="BJ68" i="75"/>
  <c r="BK68" i="75" s="1"/>
  <c r="BJ90" i="70"/>
  <c r="BK90" i="70" s="1"/>
  <c r="BJ68" i="76"/>
  <c r="BK68" i="76" s="1"/>
  <c r="BJ70" i="81"/>
  <c r="BK70" i="81" s="1"/>
  <c r="BJ90" i="73"/>
  <c r="BK90" i="73" s="1"/>
  <c r="BJ69" i="68"/>
  <c r="BK69" i="68" s="1"/>
  <c r="BJ90" i="1"/>
  <c r="BK90" i="1" s="1"/>
  <c r="BJ74" i="80"/>
  <c r="BK74" i="80" s="1"/>
  <c r="BJ68" i="69"/>
  <c r="BK68" i="69" s="1"/>
  <c r="G317" i="2"/>
  <c r="H317" i="2" s="1"/>
  <c r="G370" i="2"/>
  <c r="H370" i="2" s="1"/>
  <c r="AZ73" i="70"/>
  <c r="Z339" i="2" s="1"/>
  <c r="AZ13" i="70"/>
  <c r="Z47" i="2" s="1"/>
  <c r="BI112" i="70"/>
  <c r="AA347" i="2" s="1"/>
  <c r="AZ68" i="70"/>
  <c r="Z334" i="2" s="1"/>
  <c r="BI63" i="70"/>
  <c r="AA275" i="2" s="1"/>
  <c r="BI10" i="70"/>
  <c r="AA55" i="2" s="1"/>
  <c r="BJ62" i="74"/>
  <c r="BK62" i="74" s="1"/>
  <c r="BJ62" i="71"/>
  <c r="BK62" i="71" s="1"/>
  <c r="BJ55" i="81"/>
  <c r="BK55" i="81" s="1"/>
  <c r="BJ32" i="77"/>
  <c r="BK32" i="77" s="1"/>
  <c r="BJ62" i="67"/>
  <c r="BK62" i="67" s="1"/>
  <c r="BJ62" i="70"/>
  <c r="BK62" i="70" s="1"/>
  <c r="BJ48" i="69"/>
  <c r="BK48" i="69" s="1"/>
  <c r="BJ49" i="68"/>
  <c r="BK49" i="68" s="1"/>
  <c r="BJ63" i="80"/>
  <c r="BK63" i="80" s="1"/>
  <c r="BJ75" i="78"/>
  <c r="BK75" i="78" s="1"/>
  <c r="BJ45" i="82"/>
  <c r="BK45" i="82" s="1"/>
  <c r="G274" i="2"/>
  <c r="H274" i="2" s="1"/>
  <c r="BJ62" i="1"/>
  <c r="BK62" i="1" s="1"/>
  <c r="BJ48" i="75"/>
  <c r="BK48" i="75" s="1"/>
  <c r="BJ48" i="76"/>
  <c r="BK48" i="76" s="1"/>
  <c r="BJ62" i="73"/>
  <c r="BK62" i="73" s="1"/>
  <c r="BJ62" i="66"/>
  <c r="BK62" i="66" s="1"/>
  <c r="BJ64" i="67"/>
  <c r="BK64" i="67" s="1"/>
  <c r="BJ64" i="71"/>
  <c r="BK64" i="71" s="1"/>
  <c r="BJ64" i="1"/>
  <c r="BK64" i="1" s="1"/>
  <c r="BJ64" i="66"/>
  <c r="BK64" i="66" s="1"/>
  <c r="BJ57" i="81"/>
  <c r="BK57" i="81" s="1"/>
  <c r="BJ50" i="75"/>
  <c r="BK50" i="75" s="1"/>
  <c r="G276" i="2"/>
  <c r="H276" i="2" s="1"/>
  <c r="BJ64" i="74"/>
  <c r="BK64" i="74" s="1"/>
  <c r="BJ50" i="69"/>
  <c r="BK50" i="69" s="1"/>
  <c r="BJ34" i="77"/>
  <c r="BK34" i="77" s="1"/>
  <c r="BJ65" i="80"/>
  <c r="BK65" i="80" s="1"/>
  <c r="BJ64" i="70"/>
  <c r="BK64" i="70" s="1"/>
  <c r="BJ47" i="82"/>
  <c r="BK47" i="82" s="1"/>
  <c r="BJ50" i="76"/>
  <c r="BK50" i="76" s="1"/>
  <c r="BJ77" i="78"/>
  <c r="BK77" i="78" s="1"/>
  <c r="BJ51" i="68"/>
  <c r="BK51" i="68" s="1"/>
  <c r="BJ64" i="73"/>
  <c r="BK64" i="73" s="1"/>
  <c r="BJ70" i="67"/>
  <c r="BK70" i="67" s="1"/>
  <c r="BJ56" i="69"/>
  <c r="BK56" i="69" s="1"/>
  <c r="BJ78" i="78"/>
  <c r="BK78" i="78" s="1"/>
  <c r="BJ51" i="75"/>
  <c r="BK51" i="75" s="1"/>
  <c r="BJ48" i="82"/>
  <c r="BK48" i="82" s="1"/>
  <c r="BJ65" i="74"/>
  <c r="BK65" i="74" s="1"/>
  <c r="BJ66" i="80"/>
  <c r="BK66" i="80" s="1"/>
  <c r="BJ65" i="73"/>
  <c r="BK65" i="73" s="1"/>
  <c r="BJ65" i="67"/>
  <c r="BK65" i="67" s="1"/>
  <c r="G277" i="2"/>
  <c r="H277" i="2" s="1"/>
  <c r="BJ51" i="76"/>
  <c r="BK51" i="76" s="1"/>
  <c r="BJ65" i="71"/>
  <c r="BK65" i="71" s="1"/>
  <c r="BJ51" i="69"/>
  <c r="BK51" i="69" s="1"/>
  <c r="BJ35" i="77"/>
  <c r="BK35" i="77" s="1"/>
  <c r="BJ52" i="68"/>
  <c r="BK52" i="68" s="1"/>
  <c r="BJ65" i="1"/>
  <c r="BK65" i="1" s="1"/>
  <c r="BJ58" i="81"/>
  <c r="BK58" i="81" s="1"/>
  <c r="BJ65" i="70"/>
  <c r="BK65" i="70" s="1"/>
  <c r="BJ65" i="66"/>
  <c r="BK65" i="66" s="1"/>
  <c r="BJ54" i="1"/>
  <c r="BK54" i="1" s="1"/>
  <c r="BJ55" i="80"/>
  <c r="BK55" i="80" s="1"/>
  <c r="G261" i="2"/>
  <c r="H261" i="2" s="1"/>
  <c r="BJ54" i="67"/>
  <c r="BK54" i="67" s="1"/>
  <c r="BJ54" i="71"/>
  <c r="BK54" i="71" s="1"/>
  <c r="BJ54" i="70"/>
  <c r="BK54" i="70" s="1"/>
  <c r="BJ47" i="81"/>
  <c r="BK47" i="81" s="1"/>
  <c r="BJ54" i="66"/>
  <c r="BK54" i="66" s="1"/>
  <c r="BJ54" i="73"/>
  <c r="BK54" i="73" s="1"/>
  <c r="BJ26" i="77"/>
  <c r="BK26" i="77" s="1"/>
  <c r="BJ37" i="82"/>
  <c r="BK37" i="82" s="1"/>
  <c r="BJ40" i="76"/>
  <c r="BK40" i="76" s="1"/>
  <c r="BJ40" i="69"/>
  <c r="BK40" i="69" s="1"/>
  <c r="BJ40" i="75"/>
  <c r="BK40" i="75" s="1"/>
  <c r="BJ67" i="78"/>
  <c r="BK67" i="78" s="1"/>
  <c r="BJ41" i="68"/>
  <c r="BK41" i="68" s="1"/>
  <c r="BJ54" i="74"/>
  <c r="BK54" i="74" s="1"/>
  <c r="BA63" i="1"/>
  <c r="BB63" i="1" s="1"/>
  <c r="BJ102" i="73"/>
  <c r="BK102" i="73" s="1"/>
  <c r="BA51" i="69"/>
  <c r="BB51" i="69" s="1"/>
  <c r="BJ80" i="75"/>
  <c r="BK80" i="75" s="1"/>
  <c r="BJ80" i="69"/>
  <c r="BK80" i="69" s="1"/>
  <c r="BA51" i="75"/>
  <c r="BB51" i="75" s="1"/>
  <c r="BA63" i="66"/>
  <c r="BB63" i="66" s="1"/>
  <c r="BA63" i="71"/>
  <c r="BB63" i="71" s="1"/>
  <c r="BJ102" i="67"/>
  <c r="BK102" i="67" s="1"/>
  <c r="BA35" i="77"/>
  <c r="BB35" i="77" s="1"/>
  <c r="BA63" i="74"/>
  <c r="BB63" i="74" s="1"/>
  <c r="BA63" i="70"/>
  <c r="BB63" i="70" s="1"/>
  <c r="BJ102" i="71"/>
  <c r="BK102" i="71" s="1"/>
  <c r="BA51" i="76"/>
  <c r="BB51" i="76" s="1"/>
  <c r="BJ81" i="68"/>
  <c r="BK81" i="68" s="1"/>
  <c r="BJ102" i="70"/>
  <c r="BK102" i="70" s="1"/>
  <c r="BJ80" i="76"/>
  <c r="BK80" i="76" s="1"/>
  <c r="BA63" i="67"/>
  <c r="BB63" i="67" s="1"/>
  <c r="BJ102" i="66"/>
  <c r="BK102" i="66" s="1"/>
  <c r="G329" i="2"/>
  <c r="H329" i="2" s="1"/>
  <c r="BA51" i="68"/>
  <c r="BB51" i="68" s="1"/>
  <c r="BJ102" i="1"/>
  <c r="BK102" i="1" s="1"/>
  <c r="BJ102" i="74"/>
  <c r="BK102" i="74" s="1"/>
  <c r="BJ53" i="77"/>
  <c r="BK53" i="77" s="1"/>
  <c r="BA63" i="73"/>
  <c r="BB63" i="73" s="1"/>
  <c r="BA42" i="70"/>
  <c r="BB42" i="70" s="1"/>
  <c r="BA42" i="67"/>
  <c r="BB42" i="67" s="1"/>
  <c r="BA34" i="68"/>
  <c r="BB34" i="68" s="1"/>
  <c r="BA34" i="76"/>
  <c r="BB34" i="76" s="1"/>
  <c r="BA34" i="75"/>
  <c r="BB34" i="75" s="1"/>
  <c r="G272" i="2"/>
  <c r="H272" i="2" s="1"/>
  <c r="BA34" i="69"/>
  <c r="BB34" i="69" s="1"/>
  <c r="BA38" i="81"/>
  <c r="BB38" i="81" s="1"/>
  <c r="BA42" i="73"/>
  <c r="BB42" i="73" s="1"/>
  <c r="BA32" i="82"/>
  <c r="BB32" i="82" s="1"/>
  <c r="BA48" i="78"/>
  <c r="BB48" i="78" s="1"/>
  <c r="BA42" i="74"/>
  <c r="BB42" i="74" s="1"/>
  <c r="BA42" i="1"/>
  <c r="BB42" i="1" s="1"/>
  <c r="G249" i="2"/>
  <c r="H249" i="2" s="1"/>
  <c r="BA18" i="77"/>
  <c r="BB18" i="77" s="1"/>
  <c r="BA25" i="82"/>
  <c r="BB25" i="82" s="1"/>
  <c r="BA34" i="80"/>
  <c r="BB34" i="80" s="1"/>
  <c r="BA27" i="68"/>
  <c r="BB27" i="68" s="1"/>
  <c r="BA27" i="76"/>
  <c r="BB27" i="76" s="1"/>
  <c r="BA27" i="69"/>
  <c r="BB27" i="69" s="1"/>
  <c r="BA41" i="78"/>
  <c r="BB41" i="78" s="1"/>
  <c r="BA27" i="75"/>
  <c r="BB27" i="75" s="1"/>
  <c r="BA35" i="70"/>
  <c r="BB35" i="70" s="1"/>
  <c r="BA31" i="81"/>
  <c r="BB31" i="81" s="1"/>
  <c r="BA35" i="71"/>
  <c r="BB35" i="71" s="1"/>
  <c r="BA35" i="74"/>
  <c r="BB35" i="74" s="1"/>
  <c r="BA35" i="73"/>
  <c r="BB35" i="73" s="1"/>
  <c r="BA35" i="67"/>
  <c r="BB35" i="67" s="1"/>
  <c r="BA35" i="1"/>
  <c r="BB35" i="1" s="1"/>
  <c r="BA35" i="66"/>
  <c r="BB35" i="66" s="1"/>
  <c r="G318" i="2"/>
  <c r="H318" i="2" s="1"/>
  <c r="BJ91" i="67"/>
  <c r="BK91" i="67" s="1"/>
  <c r="BJ57" i="82"/>
  <c r="BK57" i="82" s="1"/>
  <c r="BJ69" i="76"/>
  <c r="BK69" i="76" s="1"/>
  <c r="BJ71" i="81"/>
  <c r="BK71" i="81" s="1"/>
  <c r="BJ91" i="1"/>
  <c r="BK91" i="1" s="1"/>
  <c r="BJ44" i="77"/>
  <c r="BK44" i="77" s="1"/>
  <c r="BJ75" i="80"/>
  <c r="BK75" i="80" s="1"/>
  <c r="BJ91" i="71"/>
  <c r="BK91" i="71" s="1"/>
  <c r="BJ91" i="73"/>
  <c r="BK91" i="73" s="1"/>
  <c r="BJ70" i="68"/>
  <c r="BK70" i="68" s="1"/>
  <c r="BJ91" i="74"/>
  <c r="BK91" i="74" s="1"/>
  <c r="BJ69" i="69"/>
  <c r="BK69" i="69" s="1"/>
  <c r="BJ69" i="75"/>
  <c r="BK69" i="75" s="1"/>
  <c r="BJ91" i="66"/>
  <c r="BK91" i="66" s="1"/>
  <c r="BJ91" i="70"/>
  <c r="BK91" i="70" s="1"/>
  <c r="BJ91" i="78"/>
  <c r="BK91" i="78" s="1"/>
  <c r="BA67" i="70"/>
  <c r="BB67" i="70" s="1"/>
  <c r="G333" i="2"/>
  <c r="H333" i="2" s="1"/>
  <c r="BA67" i="73"/>
  <c r="BB67" i="73" s="1"/>
  <c r="BA67" i="74"/>
  <c r="BB67" i="74" s="1"/>
  <c r="BA67" i="67"/>
  <c r="BB67" i="67" s="1"/>
  <c r="BA67" i="1"/>
  <c r="BB67" i="1" s="1"/>
  <c r="G292" i="2"/>
  <c r="H292" i="2" s="1"/>
  <c r="BH125" i="74"/>
  <c r="BH125" i="73"/>
  <c r="BH102" i="78"/>
  <c r="BH99" i="76"/>
  <c r="BH100" i="68"/>
  <c r="BE68" i="77"/>
  <c r="BH68" i="77"/>
  <c r="BH125" i="70"/>
  <c r="BH125" i="66"/>
  <c r="BH82" i="81"/>
  <c r="BH125" i="1"/>
  <c r="BA66" i="76"/>
  <c r="BB66" i="76" s="1"/>
  <c r="AV66" i="76"/>
  <c r="AW66" i="76"/>
  <c r="BH125" i="67"/>
  <c r="BH99" i="69"/>
  <c r="BA50" i="71" l="1"/>
  <c r="BB50" i="71" s="1"/>
  <c r="BJ103" i="83"/>
  <c r="BK103" i="83" s="1"/>
  <c r="BJ61" i="86"/>
  <c r="BK61" i="86" s="1"/>
  <c r="BF100" i="68"/>
  <c r="BJ120" i="70"/>
  <c r="BK120" i="70" s="1"/>
  <c r="G225" i="2"/>
  <c r="H225" i="2" s="1"/>
  <c r="BJ59" i="83"/>
  <c r="BK59" i="83" s="1"/>
  <c r="BJ134" i="83"/>
  <c r="BK134" i="83" s="1"/>
  <c r="BJ40" i="70"/>
  <c r="BK40" i="70" s="1"/>
  <c r="BA68" i="71"/>
  <c r="BB68" i="71" s="1"/>
  <c r="BJ88" i="81"/>
  <c r="BK88" i="81" s="1"/>
  <c r="BA74" i="84"/>
  <c r="BB74" i="84" s="1"/>
  <c r="BJ90" i="87"/>
  <c r="BK90" i="87" s="1"/>
  <c r="BJ120" i="74"/>
  <c r="BK120" i="74" s="1"/>
  <c r="AV80" i="67"/>
  <c r="G143" i="2"/>
  <c r="H143" i="2" s="1"/>
  <c r="BA143" i="74"/>
  <c r="BB143" i="74" s="1"/>
  <c r="BJ66" i="83"/>
  <c r="BK66" i="83" s="1"/>
  <c r="BJ70" i="66"/>
  <c r="BK70" i="66" s="1"/>
  <c r="AZ139" i="74"/>
  <c r="AH361" i="2" s="1"/>
  <c r="AZ46" i="74"/>
  <c r="AH286" i="2" s="1"/>
  <c r="BJ89" i="73"/>
  <c r="BK89" i="73" s="1"/>
  <c r="BA131" i="67"/>
  <c r="BB131" i="67" s="1"/>
  <c r="BJ67" i="75"/>
  <c r="BK67" i="75" s="1"/>
  <c r="BJ47" i="71"/>
  <c r="BK47" i="71" s="1"/>
  <c r="BJ106" i="68"/>
  <c r="BK106" i="68" s="1"/>
  <c r="BJ61" i="87"/>
  <c r="BK61" i="87" s="1"/>
  <c r="BJ73" i="80"/>
  <c r="BK73" i="80" s="1"/>
  <c r="BJ47" i="66"/>
  <c r="BK47" i="66" s="1"/>
  <c r="BJ38" i="76"/>
  <c r="BK38" i="76" s="1"/>
  <c r="BJ131" i="1"/>
  <c r="BK131" i="1" s="1"/>
  <c r="BA129" i="71"/>
  <c r="BI134" i="74"/>
  <c r="AI228" i="2" s="1"/>
  <c r="BJ52" i="70"/>
  <c r="BK52" i="70" s="1"/>
  <c r="BJ58" i="69"/>
  <c r="BK58" i="69" s="1"/>
  <c r="BJ122" i="86"/>
  <c r="BK122" i="86" s="1"/>
  <c r="BJ153" i="85"/>
  <c r="BK153" i="85" s="1"/>
  <c r="BA44" i="70"/>
  <c r="BB44" i="70" s="1"/>
  <c r="G156" i="2"/>
  <c r="H156" i="2" s="1"/>
  <c r="G311" i="2"/>
  <c r="H311" i="2" s="1"/>
  <c r="BA62" i="86"/>
  <c r="BB62" i="86" s="1"/>
  <c r="BA56" i="70"/>
  <c r="BB56" i="70" s="1"/>
  <c r="BJ95" i="73"/>
  <c r="BK95" i="73" s="1"/>
  <c r="BA67" i="83"/>
  <c r="BB67" i="83" s="1"/>
  <c r="BJ109" i="83"/>
  <c r="BK109" i="83" s="1"/>
  <c r="BA79" i="87"/>
  <c r="BB79" i="87" s="1"/>
  <c r="BA62" i="85"/>
  <c r="BB62" i="85" s="1"/>
  <c r="BJ38" i="81"/>
  <c r="BK38" i="81" s="1"/>
  <c r="BA44" i="69"/>
  <c r="BB44" i="69" s="1"/>
  <c r="BJ86" i="85"/>
  <c r="BK86" i="85" s="1"/>
  <c r="BJ109" i="84"/>
  <c r="BK109" i="84" s="1"/>
  <c r="BA56" i="73"/>
  <c r="BB56" i="73" s="1"/>
  <c r="BJ109" i="85"/>
  <c r="BK109" i="85" s="1"/>
  <c r="BJ109" i="87"/>
  <c r="BK109" i="87" s="1"/>
  <c r="BA56" i="71"/>
  <c r="BB56" i="71" s="1"/>
  <c r="BA56" i="74"/>
  <c r="BB56" i="74" s="1"/>
  <c r="BJ95" i="1"/>
  <c r="BK95" i="1" s="1"/>
  <c r="BJ69" i="71"/>
  <c r="BK69" i="71" s="1"/>
  <c r="BA61" i="73"/>
  <c r="BB61" i="73" s="1"/>
  <c r="BJ59" i="84"/>
  <c r="BK59" i="84" s="1"/>
  <c r="BJ72" i="73"/>
  <c r="BK72" i="73" s="1"/>
  <c r="BA61" i="74"/>
  <c r="BB61" i="74" s="1"/>
  <c r="BJ116" i="84"/>
  <c r="BK116" i="84" s="1"/>
  <c r="BJ72" i="66"/>
  <c r="BK72" i="66" s="1"/>
  <c r="G23" i="2"/>
  <c r="H23" i="2" s="1"/>
  <c r="BA71" i="70"/>
  <c r="BB71" i="70" s="1"/>
  <c r="BA61" i="67"/>
  <c r="BB61" i="67" s="1"/>
  <c r="BA69" i="86"/>
  <c r="BB69" i="86" s="1"/>
  <c r="BJ52" i="71"/>
  <c r="BK52" i="71" s="1"/>
  <c r="BJ56" i="67"/>
  <c r="BK56" i="67" s="1"/>
  <c r="BJ48" i="71"/>
  <c r="BK48" i="71" s="1"/>
  <c r="BJ61" i="83"/>
  <c r="BK61" i="83" s="1"/>
  <c r="BA93" i="87"/>
  <c r="BB93" i="87" s="1"/>
  <c r="BA54" i="87"/>
  <c r="BB54" i="87" s="1"/>
  <c r="BJ55" i="82"/>
  <c r="BK55" i="82" s="1"/>
  <c r="G306" i="2"/>
  <c r="H306" i="2" s="1"/>
  <c r="BA44" i="66"/>
  <c r="BB44" i="66" s="1"/>
  <c r="BJ25" i="82"/>
  <c r="BK25" i="82" s="1"/>
  <c r="BJ34" i="75"/>
  <c r="BK34" i="75" s="1"/>
  <c r="BA68" i="66"/>
  <c r="BB68" i="66" s="1"/>
  <c r="BJ66" i="87"/>
  <c r="BK66" i="87" s="1"/>
  <c r="BJ70" i="83"/>
  <c r="BK70" i="83" s="1"/>
  <c r="BJ54" i="87"/>
  <c r="BK54" i="87" s="1"/>
  <c r="BJ146" i="87"/>
  <c r="BK146" i="87" s="1"/>
  <c r="BJ128" i="87"/>
  <c r="BK128" i="87" s="1"/>
  <c r="BJ122" i="85"/>
  <c r="BK122" i="85" s="1"/>
  <c r="BJ90" i="85"/>
  <c r="BK90" i="85" s="1"/>
  <c r="BJ153" i="86"/>
  <c r="BK153" i="86" s="1"/>
  <c r="BJ70" i="74"/>
  <c r="BK70" i="74" s="1"/>
  <c r="BJ24" i="76"/>
  <c r="BK24" i="76" s="1"/>
  <c r="BJ105" i="69"/>
  <c r="BK105" i="69" s="1"/>
  <c r="BA105" i="69"/>
  <c r="BB105" i="69" s="1"/>
  <c r="BJ48" i="73"/>
  <c r="BK48" i="73" s="1"/>
  <c r="BJ95" i="68"/>
  <c r="BK95" i="68" s="1"/>
  <c r="BJ108" i="73"/>
  <c r="BK108" i="73" s="1"/>
  <c r="BA86" i="75"/>
  <c r="BB86" i="75" s="1"/>
  <c r="BJ76" i="73"/>
  <c r="BK76" i="73" s="1"/>
  <c r="BJ84" i="84"/>
  <c r="BK84" i="84" s="1"/>
  <c r="BJ134" i="84"/>
  <c r="BK134" i="84" s="1"/>
  <c r="BJ39" i="82"/>
  <c r="BK39" i="82" s="1"/>
  <c r="BJ143" i="74"/>
  <c r="BK143" i="74" s="1"/>
  <c r="BJ118" i="1"/>
  <c r="BK118" i="1" s="1"/>
  <c r="BJ120" i="67"/>
  <c r="BK120" i="67" s="1"/>
  <c r="BJ108" i="1"/>
  <c r="BK108" i="1" s="1"/>
  <c r="BJ58" i="77"/>
  <c r="BK58" i="77" s="1"/>
  <c r="BJ61" i="85"/>
  <c r="BK61" i="85" s="1"/>
  <c r="BJ134" i="87"/>
  <c r="BK134" i="87" s="1"/>
  <c r="BJ89" i="71"/>
  <c r="BK89" i="71" s="1"/>
  <c r="BA52" i="78"/>
  <c r="BB52" i="78" s="1"/>
  <c r="BJ47" i="67"/>
  <c r="BK47" i="67" s="1"/>
  <c r="BJ72" i="71"/>
  <c r="BK72" i="71" s="1"/>
  <c r="BJ58" i="75"/>
  <c r="BK58" i="75" s="1"/>
  <c r="BJ114" i="74"/>
  <c r="BK114" i="74" s="1"/>
  <c r="BJ114" i="66"/>
  <c r="BK114" i="66" s="1"/>
  <c r="BJ24" i="77"/>
  <c r="BK24" i="77" s="1"/>
  <c r="BA15" i="76"/>
  <c r="BB15" i="76" s="1"/>
  <c r="BJ42" i="76"/>
  <c r="BK42" i="76" s="1"/>
  <c r="BA14" i="75"/>
  <c r="BB14" i="75" s="1"/>
  <c r="BA131" i="1"/>
  <c r="BB131" i="1" s="1"/>
  <c r="BA92" i="80"/>
  <c r="BB92" i="80" s="1"/>
  <c r="BJ118" i="73"/>
  <c r="BK118" i="73" s="1"/>
  <c r="BJ48" i="74"/>
  <c r="BK48" i="74" s="1"/>
  <c r="BJ48" i="67"/>
  <c r="BK48" i="67" s="1"/>
  <c r="BJ94" i="75"/>
  <c r="BK94" i="75" s="1"/>
  <c r="BJ108" i="71"/>
  <c r="BK108" i="71" s="1"/>
  <c r="BA50" i="73"/>
  <c r="BB50" i="73" s="1"/>
  <c r="G288" i="2"/>
  <c r="H288" i="2" s="1"/>
  <c r="BJ113" i="73"/>
  <c r="BK113" i="73" s="1"/>
  <c r="BA68" i="67"/>
  <c r="BB68" i="67" s="1"/>
  <c r="BA40" i="76"/>
  <c r="BB40" i="76" s="1"/>
  <c r="BJ66" i="84"/>
  <c r="BK66" i="84" s="1"/>
  <c r="BJ62" i="84"/>
  <c r="BK62" i="84" s="1"/>
  <c r="BJ84" i="83"/>
  <c r="BK84" i="83" s="1"/>
  <c r="BJ134" i="86"/>
  <c r="BK134" i="86" s="1"/>
  <c r="BA56" i="84"/>
  <c r="BB56" i="84" s="1"/>
  <c r="BJ128" i="86"/>
  <c r="BK128" i="86" s="1"/>
  <c r="BJ144" i="87"/>
  <c r="BK144" i="87" s="1"/>
  <c r="BJ116" i="86"/>
  <c r="BK116" i="86" s="1"/>
  <c r="BA54" i="86"/>
  <c r="BB54" i="86" s="1"/>
  <c r="BA146" i="86"/>
  <c r="BB146" i="86" s="1"/>
  <c r="BJ56" i="76"/>
  <c r="BK56" i="76" s="1"/>
  <c r="BJ89" i="74"/>
  <c r="BK89" i="74" s="1"/>
  <c r="G254" i="2"/>
  <c r="H254" i="2" s="1"/>
  <c r="BA40" i="69"/>
  <c r="BB40" i="69" s="1"/>
  <c r="BJ54" i="85"/>
  <c r="BK54" i="85" s="1"/>
  <c r="BJ122" i="87"/>
  <c r="BK122" i="87" s="1"/>
  <c r="BA151" i="87"/>
  <c r="BB151" i="87" s="1"/>
  <c r="BJ45" i="73"/>
  <c r="BK45" i="73" s="1"/>
  <c r="BJ70" i="1"/>
  <c r="BK70" i="1" s="1"/>
  <c r="BJ45" i="81"/>
  <c r="BK45" i="81" s="1"/>
  <c r="G163" i="2"/>
  <c r="H163" i="2" s="1"/>
  <c r="BJ24" i="82"/>
  <c r="BK24" i="82" s="1"/>
  <c r="BJ74" i="82"/>
  <c r="BK74" i="82" s="1"/>
  <c r="BJ48" i="66"/>
  <c r="BK48" i="66" s="1"/>
  <c r="BJ105" i="75"/>
  <c r="BK105" i="75" s="1"/>
  <c r="BJ76" i="1"/>
  <c r="BK76" i="1" s="1"/>
  <c r="BA48" i="66"/>
  <c r="BB48" i="66" s="1"/>
  <c r="BA56" i="87"/>
  <c r="BB56" i="87" s="1"/>
  <c r="BJ45" i="74"/>
  <c r="BK45" i="74" s="1"/>
  <c r="BJ70" i="73"/>
  <c r="BK70" i="73" s="1"/>
  <c r="BI59" i="70"/>
  <c r="AA266" i="2" s="1"/>
  <c r="BJ89" i="66"/>
  <c r="BK89" i="66" s="1"/>
  <c r="G252" i="2"/>
  <c r="H252" i="2" s="1"/>
  <c r="BJ63" i="81"/>
  <c r="BK63" i="81" s="1"/>
  <c r="BI96" i="70"/>
  <c r="AA323" i="2" s="1"/>
  <c r="BJ89" i="1"/>
  <c r="BK89" i="1" s="1"/>
  <c r="BJ67" i="76"/>
  <c r="BK67" i="76" s="1"/>
  <c r="BA42" i="81"/>
  <c r="BB42" i="81" s="1"/>
  <c r="BJ47" i="1"/>
  <c r="BK47" i="1" s="1"/>
  <c r="BA36" i="75"/>
  <c r="BB36" i="75" s="1"/>
  <c r="BA87" i="74"/>
  <c r="BB87" i="74" s="1"/>
  <c r="BJ114" i="71"/>
  <c r="BK114" i="71" s="1"/>
  <c r="BJ40" i="66"/>
  <c r="BK40" i="66" s="1"/>
  <c r="BJ52" i="1"/>
  <c r="BK52" i="1" s="1"/>
  <c r="BJ25" i="69"/>
  <c r="BK25" i="69" s="1"/>
  <c r="BJ56" i="74"/>
  <c r="BK56" i="74" s="1"/>
  <c r="BJ28" i="77"/>
  <c r="BK28" i="77" s="1"/>
  <c r="BA14" i="69"/>
  <c r="BB14" i="69" s="1"/>
  <c r="BJ137" i="70"/>
  <c r="BK137" i="70" s="1"/>
  <c r="BA106" i="68"/>
  <c r="BB106" i="68" s="1"/>
  <c r="BA88" i="81"/>
  <c r="BB88" i="81" s="1"/>
  <c r="BJ92" i="69"/>
  <c r="BK92" i="69" s="1"/>
  <c r="BJ61" i="78"/>
  <c r="BK61" i="78" s="1"/>
  <c r="BJ48" i="70"/>
  <c r="BK48" i="70" s="1"/>
  <c r="BJ120" i="66"/>
  <c r="BK120" i="66" s="1"/>
  <c r="G343" i="2"/>
  <c r="H343" i="2" s="1"/>
  <c r="BA50" i="1"/>
  <c r="BB50" i="1" s="1"/>
  <c r="BA28" i="77"/>
  <c r="BB28" i="77" s="1"/>
  <c r="BJ113" i="67"/>
  <c r="BK113" i="67" s="1"/>
  <c r="BA68" i="1"/>
  <c r="BB68" i="1" s="1"/>
  <c r="BJ66" i="85"/>
  <c r="BK66" i="85" s="1"/>
  <c r="BJ84" i="86"/>
  <c r="BK84" i="86" s="1"/>
  <c r="BJ134" i="85"/>
  <c r="BK134" i="85" s="1"/>
  <c r="BA74" i="83"/>
  <c r="BB74" i="83" s="1"/>
  <c r="BJ128" i="85"/>
  <c r="BK128" i="85" s="1"/>
  <c r="BJ132" i="83"/>
  <c r="BK132" i="83" s="1"/>
  <c r="BA146" i="85"/>
  <c r="BB146" i="85" s="1"/>
  <c r="BJ70" i="71"/>
  <c r="BK70" i="71" s="1"/>
  <c r="BJ69" i="81"/>
  <c r="BK69" i="81" s="1"/>
  <c r="G239" i="2"/>
  <c r="H239" i="2" s="1"/>
  <c r="BJ38" i="69"/>
  <c r="BK38" i="69" s="1"/>
  <c r="BJ56" i="71"/>
  <c r="BK56" i="71" s="1"/>
  <c r="BA14" i="76"/>
  <c r="BB14" i="76" s="1"/>
  <c r="BA48" i="74"/>
  <c r="BB48" i="74" s="1"/>
  <c r="G334" i="2"/>
  <c r="H334" i="2" s="1"/>
  <c r="BJ103" i="84"/>
  <c r="BK103" i="84" s="1"/>
  <c r="BJ68" i="77"/>
  <c r="BK68" i="77" s="1"/>
  <c r="BJ57" i="68"/>
  <c r="BK57" i="68" s="1"/>
  <c r="BJ79" i="74"/>
  <c r="BK79" i="74" s="1"/>
  <c r="BJ132" i="74"/>
  <c r="BK132" i="74" s="1"/>
  <c r="BJ40" i="71"/>
  <c r="BK40" i="71" s="1"/>
  <c r="BJ53" i="80"/>
  <c r="BK53" i="80" s="1"/>
  <c r="BJ57" i="80"/>
  <c r="BK57" i="80" s="1"/>
  <c r="BA14" i="82"/>
  <c r="BB14" i="82" s="1"/>
  <c r="BJ111" i="76"/>
  <c r="BK111" i="76" s="1"/>
  <c r="BJ41" i="81"/>
  <c r="BK41" i="81" s="1"/>
  <c r="BJ94" i="69"/>
  <c r="BK94" i="69" s="1"/>
  <c r="BJ62" i="76"/>
  <c r="BK62" i="76" s="1"/>
  <c r="BA50" i="66"/>
  <c r="BB50" i="66" s="1"/>
  <c r="AZ22" i="70"/>
  <c r="Z78" i="2" s="1"/>
  <c r="BJ79" i="1"/>
  <c r="BK79" i="1" s="1"/>
  <c r="BJ104" i="76"/>
  <c r="BK104" i="76" s="1"/>
  <c r="BA44" i="74"/>
  <c r="BB44" i="74" s="1"/>
  <c r="BA87" i="75"/>
  <c r="BB87" i="75" s="1"/>
  <c r="BJ114" i="1"/>
  <c r="BK114" i="1" s="1"/>
  <c r="BJ52" i="74"/>
  <c r="BK52" i="74" s="1"/>
  <c r="BJ52" i="73"/>
  <c r="BK52" i="73" s="1"/>
  <c r="BA15" i="69"/>
  <c r="BB15" i="69" s="1"/>
  <c r="BJ56" i="66"/>
  <c r="BK56" i="66" s="1"/>
  <c r="BJ49" i="81"/>
  <c r="BK49" i="81" s="1"/>
  <c r="BA71" i="67"/>
  <c r="BB71" i="67" s="1"/>
  <c r="BJ24" i="75"/>
  <c r="BK24" i="75" s="1"/>
  <c r="G365" i="2"/>
  <c r="H365" i="2" s="1"/>
  <c r="BJ131" i="66"/>
  <c r="BK131" i="66" s="1"/>
  <c r="BJ117" i="75"/>
  <c r="BK117" i="75" s="1"/>
  <c r="BJ118" i="70"/>
  <c r="BK118" i="70" s="1"/>
  <c r="BJ48" i="1"/>
  <c r="BK48" i="1" s="1"/>
  <c r="G355" i="2"/>
  <c r="H355" i="2" s="1"/>
  <c r="BJ108" i="70"/>
  <c r="BK108" i="70" s="1"/>
  <c r="BA50" i="70"/>
  <c r="BB50" i="70" s="1"/>
  <c r="BJ76" i="74"/>
  <c r="BK76" i="74" s="1"/>
  <c r="BJ87" i="76"/>
  <c r="BK87" i="76" s="1"/>
  <c r="BA68" i="73"/>
  <c r="BB68" i="73" s="1"/>
  <c r="BJ42" i="77"/>
  <c r="BK42" i="77" s="1"/>
  <c r="BI135" i="70"/>
  <c r="AA363" i="2" s="1"/>
  <c r="BJ84" i="87"/>
  <c r="BK84" i="87" s="1"/>
  <c r="BJ127" i="83"/>
  <c r="BK127" i="83" s="1"/>
  <c r="BA74" i="87"/>
  <c r="BB74" i="87" s="1"/>
  <c r="BJ132" i="87"/>
  <c r="BK132" i="87" s="1"/>
  <c r="BA54" i="84"/>
  <c r="BB54" i="84" s="1"/>
  <c r="BJ145" i="85"/>
  <c r="BK145" i="85" s="1"/>
  <c r="BJ153" i="83"/>
  <c r="BK153" i="83" s="1"/>
  <c r="BJ103" i="87"/>
  <c r="BK103" i="87" s="1"/>
  <c r="BJ67" i="69"/>
  <c r="BK67" i="69" s="1"/>
  <c r="BJ47" i="74"/>
  <c r="BK47" i="74" s="1"/>
  <c r="BA137" i="73"/>
  <c r="BB137" i="73" s="1"/>
  <c r="BJ76" i="70"/>
  <c r="BK76" i="70" s="1"/>
  <c r="BJ62" i="75"/>
  <c r="BK62" i="75" s="1"/>
  <c r="BJ89" i="70"/>
  <c r="BK89" i="70" s="1"/>
  <c r="BA34" i="82"/>
  <c r="BB34" i="82" s="1"/>
  <c r="BA44" i="1"/>
  <c r="BB44" i="1" s="1"/>
  <c r="BJ42" i="75"/>
  <c r="BK42" i="75" s="1"/>
  <c r="BJ108" i="78"/>
  <c r="BK108" i="78" s="1"/>
  <c r="BA50" i="74"/>
  <c r="BB50" i="74" s="1"/>
  <c r="BJ63" i="68"/>
  <c r="BK63" i="68" s="1"/>
  <c r="BA146" i="83"/>
  <c r="BB146" i="83" s="1"/>
  <c r="BA44" i="76"/>
  <c r="BB44" i="76" s="1"/>
  <c r="BJ60" i="78"/>
  <c r="BK60" i="78" s="1"/>
  <c r="BI99" i="76"/>
  <c r="AG214" i="2" s="1"/>
  <c r="BJ56" i="75"/>
  <c r="BK56" i="75" s="1"/>
  <c r="BJ68" i="68"/>
  <c r="BK68" i="68" s="1"/>
  <c r="BA43" i="80"/>
  <c r="BB43" i="80" s="1"/>
  <c r="BA44" i="68"/>
  <c r="BB44" i="68" s="1"/>
  <c r="G203" i="2"/>
  <c r="H203" i="2" s="1"/>
  <c r="BJ47" i="70"/>
  <c r="BK47" i="70" s="1"/>
  <c r="BA44" i="73"/>
  <c r="BB44" i="73" s="1"/>
  <c r="BJ88" i="69"/>
  <c r="BK88" i="69" s="1"/>
  <c r="BJ40" i="74"/>
  <c r="BK40" i="74" s="1"/>
  <c r="BJ52" i="67"/>
  <c r="BK52" i="67" s="1"/>
  <c r="BJ38" i="75"/>
  <c r="BK38" i="75" s="1"/>
  <c r="BJ25" i="76"/>
  <c r="BK25" i="76" s="1"/>
  <c r="BJ56" i="73"/>
  <c r="BK56" i="73" s="1"/>
  <c r="BA71" i="74"/>
  <c r="BB71" i="74" s="1"/>
  <c r="BA111" i="76"/>
  <c r="BB111" i="76" s="1"/>
  <c r="BJ92" i="80"/>
  <c r="BK92" i="80" s="1"/>
  <c r="BJ137" i="71"/>
  <c r="BJ63" i="77"/>
  <c r="BK63" i="77" s="1"/>
  <c r="BJ49" i="80"/>
  <c r="BK49" i="80" s="1"/>
  <c r="BJ120" i="71"/>
  <c r="BK120" i="71" s="1"/>
  <c r="BJ76" i="66"/>
  <c r="BK76" i="66" s="1"/>
  <c r="BJ113" i="66"/>
  <c r="BK113" i="66" s="1"/>
  <c r="BA68" i="70"/>
  <c r="BB68" i="70" s="1"/>
  <c r="BA40" i="75"/>
  <c r="BB40" i="75" s="1"/>
  <c r="BJ61" i="84"/>
  <c r="BK61" i="84" s="1"/>
  <c r="BJ70" i="85"/>
  <c r="BK70" i="85" s="1"/>
  <c r="BJ70" i="84"/>
  <c r="BK70" i="84" s="1"/>
  <c r="BJ54" i="83"/>
  <c r="BK54" i="83" s="1"/>
  <c r="BJ127" i="84"/>
  <c r="BK127" i="84" s="1"/>
  <c r="BJ118" i="66"/>
  <c r="BK118" i="66" s="1"/>
  <c r="BJ90" i="84"/>
  <c r="BK90" i="84" s="1"/>
  <c r="BA62" i="83"/>
  <c r="BB62" i="83" s="1"/>
  <c r="BA146" i="84"/>
  <c r="BB146" i="84" s="1"/>
  <c r="BJ103" i="86"/>
  <c r="BK103" i="86" s="1"/>
  <c r="BA137" i="70"/>
  <c r="BB137" i="70" s="1"/>
  <c r="BJ34" i="69"/>
  <c r="BK34" i="69" s="1"/>
  <c r="BJ108" i="67"/>
  <c r="BK108" i="67" s="1"/>
  <c r="BA68" i="74"/>
  <c r="BB68" i="74" s="1"/>
  <c r="BA54" i="83"/>
  <c r="BB54" i="83" s="1"/>
  <c r="BJ70" i="70"/>
  <c r="BK70" i="70" s="1"/>
  <c r="BJ89" i="78"/>
  <c r="BK89" i="78" s="1"/>
  <c r="BJ40" i="1"/>
  <c r="BK40" i="1" s="1"/>
  <c r="G316" i="2"/>
  <c r="H316" i="2" s="1"/>
  <c r="BA56" i="67"/>
  <c r="BB56" i="67" s="1"/>
  <c r="BA56" i="66"/>
  <c r="BB56" i="66" s="1"/>
  <c r="BJ130" i="73"/>
  <c r="BK130" i="73" s="1"/>
  <c r="BJ40" i="81"/>
  <c r="BK40" i="81" s="1"/>
  <c r="BJ58" i="76"/>
  <c r="BK58" i="76" s="1"/>
  <c r="G349" i="2"/>
  <c r="H349" i="2" s="1"/>
  <c r="BJ40" i="73"/>
  <c r="BK40" i="73" s="1"/>
  <c r="BJ35" i="82"/>
  <c r="BK35" i="82" s="1"/>
  <c r="G259" i="2"/>
  <c r="H259" i="2" s="1"/>
  <c r="BJ25" i="75"/>
  <c r="BK25" i="75" s="1"/>
  <c r="BJ42" i="69"/>
  <c r="BK42" i="69" s="1"/>
  <c r="BA57" i="76"/>
  <c r="BB57" i="76" s="1"/>
  <c r="BJ131" i="67"/>
  <c r="BK131" i="67" s="1"/>
  <c r="BJ75" i="77"/>
  <c r="BK75" i="77" s="1"/>
  <c r="BJ137" i="73"/>
  <c r="BK137" i="73" s="1"/>
  <c r="BJ93" i="68"/>
  <c r="BK93" i="68" s="1"/>
  <c r="BJ35" i="68"/>
  <c r="BK35" i="68" s="1"/>
  <c r="BJ120" i="73"/>
  <c r="BK120" i="73" s="1"/>
  <c r="BA86" i="74"/>
  <c r="BB86" i="74" s="1"/>
  <c r="BJ137" i="74"/>
  <c r="BK137" i="74" s="1"/>
  <c r="BA40" i="68"/>
  <c r="BB40" i="68" s="1"/>
  <c r="BJ113" i="74"/>
  <c r="BK113" i="74" s="1"/>
  <c r="BA48" i="1"/>
  <c r="BB48" i="1" s="1"/>
  <c r="BJ66" i="86"/>
  <c r="BK66" i="86" s="1"/>
  <c r="BJ70" i="87"/>
  <c r="BK70" i="87" s="1"/>
  <c r="BJ70" i="86"/>
  <c r="BK70" i="86" s="1"/>
  <c r="BJ62" i="87"/>
  <c r="BK62" i="87" s="1"/>
  <c r="BJ54" i="86"/>
  <c r="BK54" i="86" s="1"/>
  <c r="BJ127" i="86"/>
  <c r="BK127" i="86" s="1"/>
  <c r="BA92" i="87"/>
  <c r="BB92" i="87" s="1"/>
  <c r="BJ122" i="83"/>
  <c r="BK122" i="83" s="1"/>
  <c r="BA54" i="85"/>
  <c r="BB54" i="85" s="1"/>
  <c r="BA62" i="84"/>
  <c r="BB62" i="84" s="1"/>
  <c r="BJ156" i="87"/>
  <c r="BK156" i="87" s="1"/>
  <c r="BJ53" i="82"/>
  <c r="BK53" i="82" s="1"/>
  <c r="BJ69" i="78"/>
  <c r="BK69" i="78" s="1"/>
  <c r="BA108" i="78"/>
  <c r="BB108" i="78" s="1"/>
  <c r="BJ94" i="76"/>
  <c r="BK94" i="76" s="1"/>
  <c r="BJ108" i="74"/>
  <c r="BK108" i="74" s="1"/>
  <c r="BA74" i="86"/>
  <c r="BB74" i="86" s="1"/>
  <c r="BJ130" i="71"/>
  <c r="BK130" i="71" s="1"/>
  <c r="BJ47" i="73"/>
  <c r="BK47" i="73" s="1"/>
  <c r="BJ52" i="66"/>
  <c r="BK52" i="66" s="1"/>
  <c r="BA123" i="66"/>
  <c r="BB123" i="66" s="1"/>
  <c r="G348" i="2"/>
  <c r="H348" i="2" s="1"/>
  <c r="BJ132" i="86"/>
  <c r="BK132" i="86" s="1"/>
  <c r="BJ103" i="85"/>
  <c r="BK103" i="85" s="1"/>
  <c r="BJ83" i="78"/>
  <c r="BK83" i="78" s="1"/>
  <c r="BA44" i="75"/>
  <c r="BB44" i="75" s="1"/>
  <c r="BA56" i="1"/>
  <c r="BB56" i="1" s="1"/>
  <c r="BJ72" i="67"/>
  <c r="BK72" i="67" s="1"/>
  <c r="BJ40" i="67"/>
  <c r="BK40" i="67" s="1"/>
  <c r="BJ65" i="78"/>
  <c r="BK65" i="78" s="1"/>
  <c r="BA71" i="66"/>
  <c r="BB71" i="66" s="1"/>
  <c r="BA117" i="75"/>
  <c r="BB117" i="75" s="1"/>
  <c r="BA75" i="77"/>
  <c r="BB75" i="77" s="1"/>
  <c r="BA74" i="82"/>
  <c r="BB74" i="82" s="1"/>
  <c r="BJ131" i="74"/>
  <c r="BK131" i="74" s="1"/>
  <c r="G231" i="2"/>
  <c r="H231" i="2" s="1"/>
  <c r="BJ62" i="69"/>
  <c r="BK62" i="69" s="1"/>
  <c r="BJ88" i="68"/>
  <c r="BK88" i="68" s="1"/>
  <c r="BA48" i="73"/>
  <c r="BB48" i="73" s="1"/>
  <c r="BJ93" i="85"/>
  <c r="BK93" i="85" s="1"/>
  <c r="BJ86" i="84"/>
  <c r="BK86" i="84" s="1"/>
  <c r="BJ90" i="86"/>
  <c r="BK90" i="86" s="1"/>
  <c r="BA44" i="71"/>
  <c r="BB44" i="71" s="1"/>
  <c r="BA85" i="75"/>
  <c r="BB85" i="75" s="1"/>
  <c r="BJ79" i="67"/>
  <c r="BK79" i="67" s="1"/>
  <c r="BJ72" i="70"/>
  <c r="BK72" i="70" s="1"/>
  <c r="BJ59" i="68"/>
  <c r="BK59" i="68" s="1"/>
  <c r="BA40" i="77"/>
  <c r="BB40" i="77" s="1"/>
  <c r="BA39" i="82"/>
  <c r="BB39" i="82" s="1"/>
  <c r="BJ59" i="86"/>
  <c r="BK59" i="86" s="1"/>
  <c r="BJ59" i="87"/>
  <c r="BK59" i="87" s="1"/>
  <c r="BA31" i="85"/>
  <c r="BB31" i="85" s="1"/>
  <c r="BA50" i="83"/>
  <c r="BB50" i="83" s="1"/>
  <c r="BA80" i="85"/>
  <c r="BB80" i="85" s="1"/>
  <c r="BA69" i="83"/>
  <c r="BB69" i="83" s="1"/>
  <c r="BJ88" i="84"/>
  <c r="BK88" i="84" s="1"/>
  <c r="BA25" i="71"/>
  <c r="BB25" i="71" s="1"/>
  <c r="BE99" i="75"/>
  <c r="BA48" i="77"/>
  <c r="BB48" i="77" s="1"/>
  <c r="BA57" i="69"/>
  <c r="BB57" i="69" s="1"/>
  <c r="BJ45" i="1"/>
  <c r="BK45" i="1" s="1"/>
  <c r="BJ130" i="74"/>
  <c r="BK130" i="74" s="1"/>
  <c r="BJ79" i="70"/>
  <c r="BK79" i="70" s="1"/>
  <c r="G224" i="2"/>
  <c r="H224" i="2" s="1"/>
  <c r="BJ72" i="1"/>
  <c r="BK72" i="1" s="1"/>
  <c r="BA36" i="76"/>
  <c r="BB36" i="76" s="1"/>
  <c r="BA57" i="68"/>
  <c r="BB57" i="68" s="1"/>
  <c r="BA48" i="80"/>
  <c r="BB48" i="80" s="1"/>
  <c r="BJ86" i="83"/>
  <c r="BK86" i="83" s="1"/>
  <c r="BA80" i="86"/>
  <c r="BB80" i="86" s="1"/>
  <c r="BA91" i="87"/>
  <c r="BB91" i="87" s="1"/>
  <c r="BJ116" i="83"/>
  <c r="BK116" i="83" s="1"/>
  <c r="BA52" i="84"/>
  <c r="BB52" i="84" s="1"/>
  <c r="BA52" i="87"/>
  <c r="BB52" i="87" s="1"/>
  <c r="BA57" i="75"/>
  <c r="BB57" i="75" s="1"/>
  <c r="BA61" i="71"/>
  <c r="BB61" i="71" s="1"/>
  <c r="BJ93" i="83"/>
  <c r="BK93" i="83" s="1"/>
  <c r="BA50" i="84"/>
  <c r="BB50" i="84" s="1"/>
  <c r="BJ126" i="84"/>
  <c r="BK126" i="84" s="1"/>
  <c r="BJ158" i="86"/>
  <c r="BK158" i="86" s="1"/>
  <c r="BA69" i="84"/>
  <c r="BB69" i="84" s="1"/>
  <c r="BJ88" i="87"/>
  <c r="BK88" i="87" s="1"/>
  <c r="BJ45" i="66"/>
  <c r="BK45" i="66" s="1"/>
  <c r="BJ58" i="78"/>
  <c r="BK58" i="78" s="1"/>
  <c r="BJ72" i="74"/>
  <c r="BK72" i="74" s="1"/>
  <c r="BA36" i="69"/>
  <c r="BB36" i="69" s="1"/>
  <c r="BA71" i="71"/>
  <c r="BB71" i="71" s="1"/>
  <c r="BA61" i="66"/>
  <c r="BB61" i="66" s="1"/>
  <c r="BJ93" i="84"/>
  <c r="BK93" i="84" s="1"/>
  <c r="BA50" i="87"/>
  <c r="BB50" i="87" s="1"/>
  <c r="BJ116" i="85"/>
  <c r="BK116" i="85" s="1"/>
  <c r="BJ88" i="86"/>
  <c r="BK88" i="86" s="1"/>
  <c r="BJ45" i="71"/>
  <c r="BK45" i="71" s="1"/>
  <c r="BA25" i="74"/>
  <c r="BB25" i="74" s="1"/>
  <c r="G371" i="2"/>
  <c r="H371" i="2" s="1"/>
  <c r="BJ59" i="85"/>
  <c r="BK59" i="85" s="1"/>
  <c r="BJ93" i="86"/>
  <c r="BK93" i="86" s="1"/>
  <c r="BJ86" i="87"/>
  <c r="BK86" i="87" s="1"/>
  <c r="BA111" i="86"/>
  <c r="BB111" i="86" s="1"/>
  <c r="BA25" i="67"/>
  <c r="BB25" i="67" s="1"/>
  <c r="BA57" i="78"/>
  <c r="BB57" i="78" s="1"/>
  <c r="BJ93" i="87"/>
  <c r="BK93" i="87" s="1"/>
  <c r="BA77" i="83"/>
  <c r="BB77" i="83" s="1"/>
  <c r="BJ86" i="86"/>
  <c r="BK86" i="86" s="1"/>
  <c r="BA67" i="87"/>
  <c r="BB67" i="87" s="1"/>
  <c r="BA69" i="85"/>
  <c r="BB69" i="85" s="1"/>
  <c r="BJ162" i="87"/>
  <c r="BK162" i="87" s="1"/>
  <c r="BJ79" i="71"/>
  <c r="BK79" i="71" s="1"/>
  <c r="BA77" i="84"/>
  <c r="BB77" i="84" s="1"/>
  <c r="BA50" i="86"/>
  <c r="BB50" i="86" s="1"/>
  <c r="BA67" i="86"/>
  <c r="BB67" i="86" s="1"/>
  <c r="BJ116" i="87"/>
  <c r="BK116" i="87" s="1"/>
  <c r="BJ159" i="85"/>
  <c r="BK159" i="85" s="1"/>
  <c r="BJ79" i="66"/>
  <c r="BK79" i="66" s="1"/>
  <c r="BE125" i="73"/>
  <c r="BJ45" i="70"/>
  <c r="BK45" i="70" s="1"/>
  <c r="BJ104" i="75"/>
  <c r="BK104" i="75" s="1"/>
  <c r="G298" i="2"/>
  <c r="H298" i="2" s="1"/>
  <c r="BA36" i="68"/>
  <c r="BB36" i="68" s="1"/>
  <c r="BJ38" i="77"/>
  <c r="BK38" i="77" s="1"/>
  <c r="BA60" i="69"/>
  <c r="BB60" i="69" s="1"/>
  <c r="BA71" i="1"/>
  <c r="BB71" i="1" s="1"/>
  <c r="BA25" i="73"/>
  <c r="BB25" i="73" s="1"/>
  <c r="BA49" i="76"/>
  <c r="BB49" i="76" s="1"/>
  <c r="BA47" i="81"/>
  <c r="BB47" i="81" s="1"/>
  <c r="BA31" i="83"/>
  <c r="BB31" i="83" s="1"/>
  <c r="BA77" i="85"/>
  <c r="BB77" i="85" s="1"/>
  <c r="BA50" i="85"/>
  <c r="BB50" i="85" s="1"/>
  <c r="BA67" i="84"/>
  <c r="BB67" i="84" s="1"/>
  <c r="BA80" i="83"/>
  <c r="BB80" i="83" s="1"/>
  <c r="BA111" i="85"/>
  <c r="BB111" i="85" s="1"/>
  <c r="BA44" i="67"/>
  <c r="BB44" i="67" s="1"/>
  <c r="BA24" i="77"/>
  <c r="BB24" i="77" s="1"/>
  <c r="BA60" i="68"/>
  <c r="BB60" i="68" s="1"/>
  <c r="BA71" i="73"/>
  <c r="BB71" i="73" s="1"/>
  <c r="G233" i="2"/>
  <c r="H233" i="2" s="1"/>
  <c r="BA61" i="1"/>
  <c r="BB61" i="1" s="1"/>
  <c r="BA49" i="75"/>
  <c r="BB49" i="75" s="1"/>
  <c r="BA31" i="87"/>
  <c r="BB31" i="87" s="1"/>
  <c r="BA31" i="84"/>
  <c r="BB31" i="84" s="1"/>
  <c r="BA77" i="86"/>
  <c r="BB77" i="86" s="1"/>
  <c r="BA67" i="85"/>
  <c r="BB67" i="85" s="1"/>
  <c r="BA80" i="84"/>
  <c r="BB80" i="84" s="1"/>
  <c r="BA116" i="87"/>
  <c r="BB116" i="87" s="1"/>
  <c r="BA25" i="1"/>
  <c r="BB25" i="1" s="1"/>
  <c r="G337" i="2"/>
  <c r="H337" i="2" s="1"/>
  <c r="BA25" i="70"/>
  <c r="BB25" i="70" s="1"/>
  <c r="BA49" i="68"/>
  <c r="BB49" i="68" s="1"/>
  <c r="BA31" i="86"/>
  <c r="BB31" i="86" s="1"/>
  <c r="BB104" i="78"/>
  <c r="BK104" i="78"/>
  <c r="BB48" i="71"/>
  <c r="BJ100" i="68"/>
  <c r="BK100" i="68" s="1"/>
  <c r="BE99" i="76"/>
  <c r="AW48" i="77"/>
  <c r="BF82" i="81"/>
  <c r="AZ8" i="74"/>
  <c r="AH115" i="2" s="1"/>
  <c r="BI38" i="70"/>
  <c r="AA237" i="2" s="1"/>
  <c r="AZ136" i="70"/>
  <c r="AZ15" i="70"/>
  <c r="Z71" i="2" s="1"/>
  <c r="AZ42" i="70"/>
  <c r="Z272" i="2" s="1"/>
  <c r="AZ6" i="74"/>
  <c r="AH113" i="2" s="1"/>
  <c r="BI22" i="70"/>
  <c r="AA67" i="2" s="1"/>
  <c r="AZ52" i="74"/>
  <c r="AH296" i="2" s="1"/>
  <c r="AZ133" i="70"/>
  <c r="Z361" i="2" s="1"/>
  <c r="BI117" i="70"/>
  <c r="AA352" i="2" s="1"/>
  <c r="AZ54" i="70"/>
  <c r="Z304" i="2" s="1"/>
  <c r="AZ68" i="74"/>
  <c r="AH334" i="2" s="1"/>
  <c r="BI24" i="74"/>
  <c r="BI115" i="74"/>
  <c r="AI350" i="2" s="1"/>
  <c r="BI82" i="74"/>
  <c r="AI301" i="2" s="1"/>
  <c r="BI86" i="74"/>
  <c r="AI313" i="2" s="1"/>
  <c r="AZ48" i="70"/>
  <c r="Z288" i="2" s="1"/>
  <c r="AZ35" i="70"/>
  <c r="Z249" i="2" s="1"/>
  <c r="BI12" i="70"/>
  <c r="AA57" i="2" s="1"/>
  <c r="BI33" i="74"/>
  <c r="AI77" i="2" s="1"/>
  <c r="BI69" i="70"/>
  <c r="AA281" i="2" s="1"/>
  <c r="BI72" i="70"/>
  <c r="AA284" i="2" s="1"/>
  <c r="AZ26" i="74"/>
  <c r="AH234" i="2" s="1"/>
  <c r="AZ40" i="70"/>
  <c r="Z270" i="2" s="1"/>
  <c r="BI83" i="70"/>
  <c r="AA302" i="2" s="1"/>
  <c r="BI104" i="70"/>
  <c r="AA331" i="2" s="1"/>
  <c r="BI133" i="74"/>
  <c r="AI227" i="2" s="1"/>
  <c r="BI16" i="74"/>
  <c r="AI133" i="2" s="1"/>
  <c r="AZ32" i="70"/>
  <c r="Z246" i="2" s="1"/>
  <c r="BI6" i="70"/>
  <c r="AA51" i="2" s="1"/>
  <c r="BI86" i="70"/>
  <c r="AA313" i="2" s="1"/>
  <c r="BI14" i="70"/>
  <c r="AA59" i="2" s="1"/>
  <c r="AZ35" i="74"/>
  <c r="AH249" i="2" s="1"/>
  <c r="BI114" i="70"/>
  <c r="AA349" i="2" s="1"/>
  <c r="BI133" i="70"/>
  <c r="AA361" i="2" s="1"/>
  <c r="BI130" i="70"/>
  <c r="AA203" i="2" s="1"/>
  <c r="L81" i="2"/>
  <c r="AU5" i="71"/>
  <c r="AU5" i="66"/>
  <c r="G166" i="2"/>
  <c r="H166" i="2" s="1"/>
  <c r="AU13" i="66"/>
  <c r="AU13" i="71"/>
  <c r="BD6" i="66"/>
  <c r="BD6" i="71"/>
  <c r="BD35" i="71"/>
  <c r="AU23" i="71"/>
  <c r="BD35" i="66"/>
  <c r="AU23" i="66"/>
  <c r="G36" i="2"/>
  <c r="H36" i="2" s="1"/>
  <c r="BD5" i="66"/>
  <c r="BD5" i="71"/>
  <c r="AU15" i="66"/>
  <c r="BD27" i="71"/>
  <c r="AU15" i="71"/>
  <c r="BD27" i="66"/>
  <c r="E107" i="2"/>
  <c r="BD21" i="66"/>
  <c r="BD21" i="71"/>
  <c r="G107" i="2"/>
  <c r="H107" i="2" s="1"/>
  <c r="D107" i="2"/>
  <c r="K107" i="2"/>
  <c r="L107" i="2"/>
  <c r="C107" i="2"/>
  <c r="C108" i="2"/>
  <c r="BD22" i="66"/>
  <c r="BD22" i="71"/>
  <c r="D108" i="2"/>
  <c r="E108" i="2"/>
  <c r="G108" i="2"/>
  <c r="H108" i="2" s="1"/>
  <c r="K108" i="2"/>
  <c r="L108" i="2"/>
  <c r="BA35" i="84"/>
  <c r="BB35" i="84" s="1"/>
  <c r="BA29" i="71"/>
  <c r="BB29" i="71" s="1"/>
  <c r="BA29" i="66"/>
  <c r="BB29" i="66" s="1"/>
  <c r="BJ78" i="66"/>
  <c r="BK78" i="66" s="1"/>
  <c r="BJ78" i="71"/>
  <c r="BK78" i="71" s="1"/>
  <c r="AW80" i="1"/>
  <c r="BA80" i="1"/>
  <c r="BB80" i="1" s="1"/>
  <c r="BE125" i="70"/>
  <c r="BA67" i="68"/>
  <c r="BB67" i="68" s="1"/>
  <c r="BA62" i="78"/>
  <c r="BB62" i="78" s="1"/>
  <c r="BJ125" i="70"/>
  <c r="BK125" i="70" s="1"/>
  <c r="AW67" i="68"/>
  <c r="AV62" i="78"/>
  <c r="BA80" i="67"/>
  <c r="BB80" i="67" s="1"/>
  <c r="BJ99" i="69"/>
  <c r="BK99" i="69" s="1"/>
  <c r="BA80" i="70"/>
  <c r="BB80" i="70" s="1"/>
  <c r="BE99" i="69"/>
  <c r="BF125" i="66"/>
  <c r="AW80" i="70"/>
  <c r="BI106" i="74"/>
  <c r="AI341" i="2" s="1"/>
  <c r="BI139" i="74"/>
  <c r="AI361" i="2" s="1"/>
  <c r="BI81" i="74"/>
  <c r="AI300" i="2" s="1"/>
  <c r="AZ78" i="74"/>
  <c r="AZ32" i="74"/>
  <c r="AH246" i="2" s="1"/>
  <c r="BI66" i="74"/>
  <c r="AI278" i="2" s="1"/>
  <c r="BI98" i="74"/>
  <c r="AI325" i="2" s="1"/>
  <c r="BI10" i="74"/>
  <c r="AI127" i="2" s="1"/>
  <c r="BI136" i="74"/>
  <c r="AI230" i="2" s="1"/>
  <c r="BI110" i="74"/>
  <c r="AI345" i="2" s="1"/>
  <c r="AZ58" i="74"/>
  <c r="AH308" i="2" s="1"/>
  <c r="AZ87" i="74"/>
  <c r="AH226" i="2" s="1"/>
  <c r="AZ55" i="74"/>
  <c r="AH305" i="2" s="1"/>
  <c r="BI142" i="74"/>
  <c r="BI13" i="74"/>
  <c r="AI130" i="2" s="1"/>
  <c r="BI73" i="74"/>
  <c r="AI285" i="2" s="1"/>
  <c r="BI120" i="70"/>
  <c r="AA355" i="2" s="1"/>
  <c r="BI58" i="70"/>
  <c r="AA265" i="2" s="1"/>
  <c r="AZ44" i="70"/>
  <c r="Z284" i="2" s="1"/>
  <c r="BI82" i="70"/>
  <c r="AA301" i="2" s="1"/>
  <c r="BI80" i="70"/>
  <c r="AA299" i="2" s="1"/>
  <c r="BI76" i="70"/>
  <c r="AA288" i="2" s="1"/>
  <c r="BI97" i="70"/>
  <c r="AA324" i="2" s="1"/>
  <c r="AZ26" i="70"/>
  <c r="Z234" i="2" s="1"/>
  <c r="AZ63" i="70"/>
  <c r="Z329" i="2" s="1"/>
  <c r="BI89" i="70"/>
  <c r="AA316" i="2" s="1"/>
  <c r="AZ78" i="70"/>
  <c r="BI115" i="70"/>
  <c r="AA350" i="2" s="1"/>
  <c r="BI64" i="70"/>
  <c r="AA276" i="2" s="1"/>
  <c r="BI61" i="70"/>
  <c r="AA273" i="2" s="1"/>
  <c r="AZ17" i="70"/>
  <c r="Z73" i="2" s="1"/>
  <c r="AZ18" i="70"/>
  <c r="Z74" i="2" s="1"/>
  <c r="BI125" i="74"/>
  <c r="AI214" i="2" s="1"/>
  <c r="BI9" i="74"/>
  <c r="AI126" i="2" s="1"/>
  <c r="AZ141" i="74"/>
  <c r="BI95" i="74"/>
  <c r="AI322" i="2" s="1"/>
  <c r="BI32" i="74"/>
  <c r="AI76" i="2" s="1"/>
  <c r="BI143" i="74"/>
  <c r="AI365" i="2" s="1"/>
  <c r="BI69" i="74"/>
  <c r="AI281" i="2" s="1"/>
  <c r="BI114" i="74"/>
  <c r="AI349" i="2" s="1"/>
  <c r="BI130" i="74"/>
  <c r="AI224" i="2" s="1"/>
  <c r="BI20" i="74"/>
  <c r="AI137" i="2" s="1"/>
  <c r="BI5" i="74"/>
  <c r="AI122" i="2" s="1"/>
  <c r="BI41" i="74"/>
  <c r="AI240" i="2" s="1"/>
  <c r="AZ67" i="74"/>
  <c r="AH333" i="2" s="1"/>
  <c r="AZ73" i="74"/>
  <c r="AH339" i="2" s="1"/>
  <c r="BI63" i="74"/>
  <c r="AI275" i="2" s="1"/>
  <c r="BI100" i="74"/>
  <c r="AI327" i="2" s="1"/>
  <c r="BI15" i="74"/>
  <c r="AI132" i="2" s="1"/>
  <c r="AZ80" i="74"/>
  <c r="AH214" i="2" s="1"/>
  <c r="BI75" i="74"/>
  <c r="AI287" i="2" s="1"/>
  <c r="BI46" i="74"/>
  <c r="AI253" i="2" s="1"/>
  <c r="BI28" i="74"/>
  <c r="AI72" i="2" s="1"/>
  <c r="AZ44" i="74"/>
  <c r="AH284" i="2" s="1"/>
  <c r="BI129" i="74"/>
  <c r="AI211" i="2" s="1"/>
  <c r="BI111" i="74"/>
  <c r="AI346" i="2" s="1"/>
  <c r="BI21" i="74"/>
  <c r="AI138" i="2" s="1"/>
  <c r="AZ5" i="74"/>
  <c r="AH112" i="2" s="1"/>
  <c r="AZ50" i="74"/>
  <c r="AH294" i="2" s="1"/>
  <c r="AZ85" i="74"/>
  <c r="AH224" i="2" s="1"/>
  <c r="BI68" i="74"/>
  <c r="AI280" i="2" s="1"/>
  <c r="AZ72" i="74"/>
  <c r="AH338" i="2" s="1"/>
  <c r="AZ89" i="74"/>
  <c r="AH228" i="2" s="1"/>
  <c r="BI85" i="74"/>
  <c r="AI312" i="2" s="1"/>
  <c r="BI80" i="74"/>
  <c r="AI299" i="2" s="1"/>
  <c r="BI38" i="74"/>
  <c r="AI237" i="2" s="1"/>
  <c r="AZ11" i="70"/>
  <c r="Z45" i="2" s="1"/>
  <c r="AZ46" i="70"/>
  <c r="Z286" i="2" s="1"/>
  <c r="BI119" i="70"/>
  <c r="AA354" i="2" s="1"/>
  <c r="AZ5" i="70"/>
  <c r="Z39" i="2" s="1"/>
  <c r="BI110" i="70"/>
  <c r="AA345" i="2" s="1"/>
  <c r="BI19" i="70"/>
  <c r="AA64" i="2" s="1"/>
  <c r="AZ12" i="70"/>
  <c r="Z46" i="2" s="1"/>
  <c r="BI15" i="70"/>
  <c r="AA60" i="2" s="1"/>
  <c r="BI44" i="70"/>
  <c r="AA251" i="2" s="1"/>
  <c r="AZ50" i="70"/>
  <c r="Z294" i="2" s="1"/>
  <c r="AZ21" i="70"/>
  <c r="Z77" i="2" s="1"/>
  <c r="AZ17" i="74"/>
  <c r="AH73" i="2" s="1"/>
  <c r="BI19" i="74"/>
  <c r="AI136" i="2" s="1"/>
  <c r="AZ48" i="74"/>
  <c r="AH288" i="2" s="1"/>
  <c r="BI29" i="74"/>
  <c r="AI73" i="2" s="1"/>
  <c r="AZ71" i="74"/>
  <c r="AH337" i="2" s="1"/>
  <c r="BI42" i="74"/>
  <c r="AI241" i="2" s="1"/>
  <c r="BI45" i="74"/>
  <c r="AI252" i="2" s="1"/>
  <c r="BI108" i="74"/>
  <c r="AI343" i="2" s="1"/>
  <c r="AZ30" i="74"/>
  <c r="AH244" i="2" s="1"/>
  <c r="AZ36" i="74"/>
  <c r="AH250" i="2" s="1"/>
  <c r="BI99" i="74"/>
  <c r="AI326" i="2" s="1"/>
  <c r="AZ70" i="74"/>
  <c r="AH336" i="2" s="1"/>
  <c r="AZ59" i="74"/>
  <c r="AH309" i="2" s="1"/>
  <c r="AZ76" i="74"/>
  <c r="AH358" i="2" s="1"/>
  <c r="BI113" i="74"/>
  <c r="AI348" i="2" s="1"/>
  <c r="BI96" i="74"/>
  <c r="AI323" i="2" s="1"/>
  <c r="BI76" i="74"/>
  <c r="AI288" i="2" s="1"/>
  <c r="AZ137" i="70"/>
  <c r="Z365" i="2" s="1"/>
  <c r="AZ25" i="70"/>
  <c r="Z233" i="2" s="1"/>
  <c r="BI34" i="70"/>
  <c r="AA78" i="2" s="1"/>
  <c r="BI98" i="70"/>
  <c r="AA325" i="2" s="1"/>
  <c r="BI73" i="70"/>
  <c r="AA285" i="2" s="1"/>
  <c r="AZ84" i="70"/>
  <c r="Z198" i="2" s="1"/>
  <c r="BI108" i="70"/>
  <c r="AA343" i="2" s="1"/>
  <c r="AZ10" i="70"/>
  <c r="Z44" i="2" s="1"/>
  <c r="BI57" i="70"/>
  <c r="AA264" i="2" s="1"/>
  <c r="AZ27" i="70"/>
  <c r="Z235" i="2" s="1"/>
  <c r="BI29" i="70"/>
  <c r="AA73" i="2" s="1"/>
  <c r="BI91" i="70"/>
  <c r="AA318" i="2" s="1"/>
  <c r="BI75" i="70"/>
  <c r="AA287" i="2" s="1"/>
  <c r="BI65" i="70"/>
  <c r="AA277" i="2" s="1"/>
  <c r="AZ65" i="70"/>
  <c r="Z331" i="2" s="1"/>
  <c r="BI107" i="74"/>
  <c r="AI342" i="2" s="1"/>
  <c r="BI34" i="74"/>
  <c r="AI78" i="2" s="1"/>
  <c r="BI51" i="74"/>
  <c r="AI258" i="2" s="1"/>
  <c r="BI88" i="74"/>
  <c r="AI315" i="2" s="1"/>
  <c r="BI14" i="74"/>
  <c r="AI131" i="2" s="1"/>
  <c r="BI12" i="74"/>
  <c r="AI129" i="2" s="1"/>
  <c r="AZ47" i="74"/>
  <c r="AH287" i="2" s="1"/>
  <c r="BI120" i="74"/>
  <c r="AI355" i="2" s="1"/>
  <c r="BI25" i="74"/>
  <c r="AI48" i="2" s="1"/>
  <c r="AZ56" i="74"/>
  <c r="AH306" i="2" s="1"/>
  <c r="BI90" i="74"/>
  <c r="AI317" i="2" s="1"/>
  <c r="BI89" i="74"/>
  <c r="AI316" i="2" s="1"/>
  <c r="BI59" i="74"/>
  <c r="AI266" i="2" s="1"/>
  <c r="AZ16" i="74"/>
  <c r="AH72" i="2" s="1"/>
  <c r="BI18" i="70"/>
  <c r="AA63" i="2" s="1"/>
  <c r="BI7" i="70"/>
  <c r="AA52" i="2" s="1"/>
  <c r="BI28" i="70"/>
  <c r="AA72" i="2" s="1"/>
  <c r="BI123" i="70"/>
  <c r="AA358" i="2" s="1"/>
  <c r="BI100" i="70"/>
  <c r="AA327" i="2" s="1"/>
  <c r="BI94" i="70"/>
  <c r="AA321" i="2" s="1"/>
  <c r="BI107" i="70"/>
  <c r="AA342" i="2" s="1"/>
  <c r="BI47" i="70"/>
  <c r="AA254" i="2" s="1"/>
  <c r="BI95" i="70"/>
  <c r="AA322" i="2" s="1"/>
  <c r="AZ83" i="70"/>
  <c r="Z194" i="2" s="1"/>
  <c r="AZ57" i="70"/>
  <c r="Z307" i="2" s="1"/>
  <c r="AZ61" i="70"/>
  <c r="Z311" i="2" s="1"/>
  <c r="AZ39" i="70"/>
  <c r="Z269" i="2" s="1"/>
  <c r="BI17" i="70"/>
  <c r="AA62" i="2" s="1"/>
  <c r="BI74" i="70"/>
  <c r="AA286" i="2" s="1"/>
  <c r="AZ16" i="70"/>
  <c r="Z72" i="2" s="1"/>
  <c r="BI54" i="70"/>
  <c r="AA261" i="2" s="1"/>
  <c r="BI94" i="74"/>
  <c r="AI321" i="2" s="1"/>
  <c r="BI104" i="74"/>
  <c r="AI331" i="2" s="1"/>
  <c r="BI30" i="74"/>
  <c r="AI74" i="2" s="1"/>
  <c r="AZ61" i="74"/>
  <c r="AH311" i="2" s="1"/>
  <c r="BI123" i="74"/>
  <c r="AI358" i="2" s="1"/>
  <c r="BI137" i="74"/>
  <c r="AI231" i="2" s="1"/>
  <c r="AZ10" i="74"/>
  <c r="AH117" i="2" s="1"/>
  <c r="BI132" i="74"/>
  <c r="AI226" i="2" s="1"/>
  <c r="BI7" i="74"/>
  <c r="AI124" i="2" s="1"/>
  <c r="BI74" i="74"/>
  <c r="AI286" i="2" s="1"/>
  <c r="AZ88" i="74"/>
  <c r="AH227" i="2" s="1"/>
  <c r="AZ40" i="74"/>
  <c r="AH270" i="2" s="1"/>
  <c r="BI54" i="74"/>
  <c r="AI261" i="2" s="1"/>
  <c r="BI22" i="74"/>
  <c r="AI139" i="2" s="1"/>
  <c r="BI8" i="74"/>
  <c r="AI125" i="2" s="1"/>
  <c r="BI119" i="74"/>
  <c r="AI354" i="2" s="1"/>
  <c r="BI111" i="70"/>
  <c r="AA346" i="2" s="1"/>
  <c r="BI48" i="70"/>
  <c r="AA255" i="2" s="1"/>
  <c r="BI68" i="70"/>
  <c r="AA280" i="2" s="1"/>
  <c r="BI31" i="70"/>
  <c r="AA75" i="2" s="1"/>
  <c r="AZ33" i="70"/>
  <c r="Z247" i="2" s="1"/>
  <c r="BI118" i="70"/>
  <c r="AA353" i="2" s="1"/>
  <c r="BI25" i="70"/>
  <c r="AA48" i="2" s="1"/>
  <c r="BI88" i="70"/>
  <c r="AA315" i="2" s="1"/>
  <c r="AZ7" i="70"/>
  <c r="Z41" i="2" s="1"/>
  <c r="AZ29" i="70"/>
  <c r="Z243" i="2" s="1"/>
  <c r="AZ51" i="70"/>
  <c r="Z295" i="2" s="1"/>
  <c r="BI21" i="70"/>
  <c r="AA66" i="2" s="1"/>
  <c r="AZ72" i="70"/>
  <c r="Z338" i="2" s="1"/>
  <c r="BI49" i="70"/>
  <c r="AA256" i="2" s="1"/>
  <c r="BI109" i="70"/>
  <c r="AA344" i="2" s="1"/>
  <c r="AZ19" i="70"/>
  <c r="Z75" i="2" s="1"/>
  <c r="AZ20" i="70"/>
  <c r="Z76" i="2" s="1"/>
  <c r="AZ20" i="74"/>
  <c r="AH76" i="2" s="1"/>
  <c r="BI72" i="74"/>
  <c r="AI284" i="2" s="1"/>
  <c r="AZ65" i="74"/>
  <c r="AH331" i="2" s="1"/>
  <c r="AZ92" i="74"/>
  <c r="AH231" i="2" s="1"/>
  <c r="AZ143" i="74"/>
  <c r="AH365" i="2" s="1"/>
  <c r="BI6" i="74"/>
  <c r="AI123" i="2" s="1"/>
  <c r="BI128" i="74"/>
  <c r="AI210" i="2" s="1"/>
  <c r="AZ13" i="74"/>
  <c r="AH120" i="2" s="1"/>
  <c r="BI121" i="74"/>
  <c r="AI356" i="2" s="1"/>
  <c r="BI97" i="74"/>
  <c r="AI324" i="2" s="1"/>
  <c r="BI62" i="74"/>
  <c r="AI274" i="2" s="1"/>
  <c r="BI92" i="74"/>
  <c r="AI319" i="2" s="1"/>
  <c r="AZ41" i="74"/>
  <c r="AH271" i="2" s="1"/>
  <c r="BI79" i="74"/>
  <c r="AI298" i="2" s="1"/>
  <c r="BI87" i="74"/>
  <c r="AI314" i="2" s="1"/>
  <c r="BI27" i="74"/>
  <c r="AI71" i="2" s="1"/>
  <c r="AZ34" i="74"/>
  <c r="AH248" i="2" s="1"/>
  <c r="AZ27" i="74"/>
  <c r="AH235" i="2" s="1"/>
  <c r="AZ142" i="74"/>
  <c r="BI40" i="74"/>
  <c r="AI239" i="2" s="1"/>
  <c r="BI137" i="70"/>
  <c r="AA365" i="2" s="1"/>
  <c r="BI66" i="70"/>
  <c r="AA278" i="2" s="1"/>
  <c r="BI27" i="70"/>
  <c r="AA71" i="2" s="1"/>
  <c r="AZ76" i="70"/>
  <c r="Z358" i="2" s="1"/>
  <c r="AZ58" i="70"/>
  <c r="Z308" i="2" s="1"/>
  <c r="BI20" i="70"/>
  <c r="AA65" i="2" s="1"/>
  <c r="BI46" i="70"/>
  <c r="AA253" i="2" s="1"/>
  <c r="BI131" i="70"/>
  <c r="AA204" i="2" s="1"/>
  <c r="BI55" i="70"/>
  <c r="AA262" i="2" s="1"/>
  <c r="BI37" i="70"/>
  <c r="AA236" i="2" s="1"/>
  <c r="AZ59" i="70"/>
  <c r="Z309" i="2" s="1"/>
  <c r="AZ135" i="70"/>
  <c r="AZ69" i="70"/>
  <c r="Z335" i="2" s="1"/>
  <c r="BI106" i="70"/>
  <c r="AA341" i="2" s="1"/>
  <c r="BI16" i="70"/>
  <c r="AA61" i="2" s="1"/>
  <c r="BI141" i="74"/>
  <c r="AI363" i="2" s="1"/>
  <c r="AZ80" i="70"/>
  <c r="Z214" i="2" s="1"/>
  <c r="AZ23" i="74"/>
  <c r="AH79" i="2" s="1"/>
  <c r="AZ63" i="74"/>
  <c r="AH329" i="2" s="1"/>
  <c r="BI44" i="74"/>
  <c r="AI251" i="2" s="1"/>
  <c r="BI116" i="74"/>
  <c r="AI351" i="2" s="1"/>
  <c r="BI117" i="74"/>
  <c r="AI352" i="2" s="1"/>
  <c r="BI56" i="74"/>
  <c r="AI263" i="2" s="1"/>
  <c r="BI50" i="74"/>
  <c r="AI257" i="2" s="1"/>
  <c r="AZ11" i="74"/>
  <c r="AH118" i="2" s="1"/>
  <c r="AZ90" i="74"/>
  <c r="AH229" i="2" s="1"/>
  <c r="AZ51" i="74"/>
  <c r="AH295" i="2" s="1"/>
  <c r="AZ140" i="74"/>
  <c r="BI93" i="74"/>
  <c r="AI320" i="2" s="1"/>
  <c r="AZ38" i="70"/>
  <c r="Z268" i="2" s="1"/>
  <c r="BI5" i="70"/>
  <c r="AA50" i="2" s="1"/>
  <c r="BI30" i="70"/>
  <c r="AA74" i="2" s="1"/>
  <c r="BI33" i="70"/>
  <c r="AA77" i="2" s="1"/>
  <c r="AZ34" i="70"/>
  <c r="Z248" i="2" s="1"/>
  <c r="AZ55" i="70"/>
  <c r="Z305" i="2" s="1"/>
  <c r="BI52" i="70"/>
  <c r="AA259" i="2" s="1"/>
  <c r="AZ47" i="70"/>
  <c r="Z287" i="2" s="1"/>
  <c r="BI92" i="70"/>
  <c r="AA319" i="2" s="1"/>
  <c r="BI81" i="70"/>
  <c r="AA300" i="2" s="1"/>
  <c r="AZ74" i="70"/>
  <c r="Z340" i="2" s="1"/>
  <c r="AZ134" i="70"/>
  <c r="BI93" i="70"/>
  <c r="AA320" i="2" s="1"/>
  <c r="BI116" i="70"/>
  <c r="AA351" i="2" s="1"/>
  <c r="BI40" i="70"/>
  <c r="AA239" i="2" s="1"/>
  <c r="BI136" i="70"/>
  <c r="AA364" i="2" s="1"/>
  <c r="AZ83" i="74"/>
  <c r="AH210" i="2" s="1"/>
  <c r="BI17" i="74"/>
  <c r="AI134" i="2" s="1"/>
  <c r="AZ84" i="74"/>
  <c r="AH211" i="2" s="1"/>
  <c r="AZ25" i="74"/>
  <c r="AH233" i="2" s="1"/>
  <c r="BI125" i="70"/>
  <c r="AA214" i="2" s="1"/>
  <c r="BI102" i="74"/>
  <c r="AI329" i="2" s="1"/>
  <c r="BI49" i="74"/>
  <c r="AI256" i="2" s="1"/>
  <c r="BI78" i="74"/>
  <c r="AI297" i="2" s="1"/>
  <c r="BI140" i="74"/>
  <c r="BI31" i="74"/>
  <c r="AI75" i="2" s="1"/>
  <c r="BI52" i="74"/>
  <c r="AI259" i="2" s="1"/>
  <c r="AZ9" i="74"/>
  <c r="AH116" i="2" s="1"/>
  <c r="AZ12" i="74"/>
  <c r="AH119" i="2" s="1"/>
  <c r="BI58" i="74"/>
  <c r="AI265" i="2" s="1"/>
  <c r="BI37" i="74"/>
  <c r="AI236" i="2" s="1"/>
  <c r="BI70" i="74"/>
  <c r="AI282" i="2" s="1"/>
  <c r="AZ91" i="74"/>
  <c r="AH230" i="2" s="1"/>
  <c r="BI39" i="74"/>
  <c r="AI238" i="2" s="1"/>
  <c r="AZ39" i="74"/>
  <c r="AH269" i="2" s="1"/>
  <c r="BI61" i="74"/>
  <c r="AI273" i="2" s="1"/>
  <c r="BI11" i="74"/>
  <c r="AI128" i="2" s="1"/>
  <c r="BI121" i="70"/>
  <c r="AA356" i="2" s="1"/>
  <c r="BI24" i="70"/>
  <c r="AA68" i="2" s="1"/>
  <c r="BI99" i="70"/>
  <c r="AA326" i="2" s="1"/>
  <c r="BI56" i="70"/>
  <c r="AA263" i="2" s="1"/>
  <c r="AZ52" i="70"/>
  <c r="Z296" i="2" s="1"/>
  <c r="AZ8" i="70"/>
  <c r="Z42" i="2" s="1"/>
  <c r="AZ30" i="70"/>
  <c r="Z244" i="2" s="1"/>
  <c r="BI62" i="70"/>
  <c r="AA274" i="2" s="1"/>
  <c r="BI11" i="70"/>
  <c r="AA56" i="2" s="1"/>
  <c r="AZ67" i="70"/>
  <c r="Z333" i="2" s="1"/>
  <c r="AZ71" i="70"/>
  <c r="Z337" i="2" s="1"/>
  <c r="BI85" i="70"/>
  <c r="AA312" i="2" s="1"/>
  <c r="BI67" i="70"/>
  <c r="AA279" i="2" s="1"/>
  <c r="BI113" i="70"/>
  <c r="AA348" i="2" s="1"/>
  <c r="BI87" i="70"/>
  <c r="AA314" i="2" s="1"/>
  <c r="BI47" i="74"/>
  <c r="AI254" i="2" s="1"/>
  <c r="BI91" i="74"/>
  <c r="AI318" i="2" s="1"/>
  <c r="AZ86" i="74"/>
  <c r="AH225" i="2" s="1"/>
  <c r="BI83" i="74"/>
  <c r="AI302" i="2" s="1"/>
  <c r="BI112" i="74"/>
  <c r="AI347" i="2" s="1"/>
  <c r="BI135" i="74"/>
  <c r="AI229" i="2" s="1"/>
  <c r="AZ74" i="74"/>
  <c r="AH340" i="2" s="1"/>
  <c r="AZ64" i="74"/>
  <c r="AH330" i="2" s="1"/>
  <c r="BI65" i="74"/>
  <c r="AI277" i="2" s="1"/>
  <c r="BI48" i="74"/>
  <c r="AI255" i="2" s="1"/>
  <c r="AZ7" i="74"/>
  <c r="AH114" i="2" s="1"/>
  <c r="AZ38" i="74"/>
  <c r="AH268" i="2" s="1"/>
  <c r="BI35" i="74"/>
  <c r="AI79" i="2" s="1"/>
  <c r="AZ57" i="74"/>
  <c r="AH307" i="2" s="1"/>
  <c r="BI131" i="74"/>
  <c r="AI225" i="2" s="1"/>
  <c r="BI67" i="74"/>
  <c r="AI279" i="2" s="1"/>
  <c r="BI128" i="70"/>
  <c r="AA194" i="2" s="1"/>
  <c r="AZ9" i="70"/>
  <c r="Z43" i="2" s="1"/>
  <c r="BI79" i="70"/>
  <c r="AA298" i="2" s="1"/>
  <c r="AZ70" i="70"/>
  <c r="Z336" i="2" s="1"/>
  <c r="BI39" i="70"/>
  <c r="AA238" i="2" s="1"/>
  <c r="AZ6" i="70"/>
  <c r="Z40" i="2" s="1"/>
  <c r="AZ60" i="70"/>
  <c r="Z310" i="2" s="1"/>
  <c r="BI53" i="70"/>
  <c r="AA260" i="2" s="1"/>
  <c r="AZ45" i="70"/>
  <c r="Z285" i="2" s="1"/>
  <c r="BI51" i="70"/>
  <c r="AA258" i="2" s="1"/>
  <c r="AZ64" i="70"/>
  <c r="Z330" i="2" s="1"/>
  <c r="AZ41" i="70"/>
  <c r="Z271" i="2" s="1"/>
  <c r="BI103" i="70"/>
  <c r="AA330" i="2" s="1"/>
  <c r="BI42" i="70"/>
  <c r="AA241" i="2" s="1"/>
  <c r="BI9" i="70"/>
  <c r="AA54" i="2" s="1"/>
  <c r="AZ23" i="70"/>
  <c r="Z79" i="2" s="1"/>
  <c r="AZ18" i="74"/>
  <c r="AH74" i="2" s="1"/>
  <c r="BI64" i="74"/>
  <c r="AI276" i="2" s="1"/>
  <c r="BI118" i="74"/>
  <c r="AI353" i="2" s="1"/>
  <c r="AZ33" i="74"/>
  <c r="AH247" i="2" s="1"/>
  <c r="AZ29" i="74"/>
  <c r="AH243" i="2" s="1"/>
  <c r="AZ42" i="74"/>
  <c r="AH272" i="2" s="1"/>
  <c r="AZ69" i="74"/>
  <c r="AH335" i="2" s="1"/>
  <c r="BI57" i="74"/>
  <c r="AI264" i="2" s="1"/>
  <c r="BI18" i="74"/>
  <c r="AI135" i="2" s="1"/>
  <c r="AZ45" i="74"/>
  <c r="AH285" i="2" s="1"/>
  <c r="AZ60" i="74"/>
  <c r="AH310" i="2" s="1"/>
  <c r="BI53" i="74"/>
  <c r="AI260" i="2" s="1"/>
  <c r="AZ54" i="74"/>
  <c r="AH304" i="2" s="1"/>
  <c r="BI109" i="74"/>
  <c r="AI344" i="2" s="1"/>
  <c r="AZ31" i="74"/>
  <c r="AH245" i="2" s="1"/>
  <c r="BI55" i="74"/>
  <c r="AI262" i="2" s="1"/>
  <c r="BI103" i="74"/>
  <c r="AI330" i="2" s="1"/>
  <c r="BI8" i="70"/>
  <c r="AA53" i="2" s="1"/>
  <c r="BI13" i="70"/>
  <c r="AA58" i="2" s="1"/>
  <c r="AZ56" i="70"/>
  <c r="Z306" i="2" s="1"/>
  <c r="BI70" i="70"/>
  <c r="AA282" i="2" s="1"/>
  <c r="BI90" i="70"/>
  <c r="AA317" i="2" s="1"/>
  <c r="BI41" i="70"/>
  <c r="AA240" i="2" s="1"/>
  <c r="BI102" i="70"/>
  <c r="AA329" i="2" s="1"/>
  <c r="AZ36" i="70"/>
  <c r="Z250" i="2" s="1"/>
  <c r="BI45" i="70"/>
  <c r="AA252" i="2" s="1"/>
  <c r="BI50" i="70"/>
  <c r="AA257" i="2" s="1"/>
  <c r="BI134" i="70"/>
  <c r="AZ31" i="70"/>
  <c r="Z245" i="2" s="1"/>
  <c r="BI78" i="70"/>
  <c r="AA297" i="2" s="1"/>
  <c r="BI35" i="70"/>
  <c r="AA79" i="2" s="1"/>
  <c r="AZ21" i="74"/>
  <c r="AH77" i="2" s="1"/>
  <c r="BF125" i="73"/>
  <c r="BE68" i="82"/>
  <c r="BF68" i="82"/>
  <c r="AW80" i="71"/>
  <c r="BA43" i="82"/>
  <c r="BB43" i="82" s="1"/>
  <c r="BF125" i="67"/>
  <c r="AW43" i="82"/>
  <c r="BE125" i="67"/>
  <c r="BH76" i="71"/>
  <c r="BK76" i="71" s="1"/>
  <c r="AY129" i="71"/>
  <c r="BH137" i="71" s="1"/>
  <c r="BJ125" i="74"/>
  <c r="BK125" i="74" s="1"/>
  <c r="BF125" i="74"/>
  <c r="BK139" i="86"/>
  <c r="BK139" i="85"/>
  <c r="AZ80" i="67"/>
  <c r="T214" i="2" s="1"/>
  <c r="G191" i="2"/>
  <c r="H191" i="2" s="1"/>
  <c r="AU84" i="84"/>
  <c r="AU84" i="83"/>
  <c r="AV85" i="83"/>
  <c r="AW85" i="83"/>
  <c r="AW85" i="84"/>
  <c r="AV85" i="84"/>
  <c r="AU64" i="69"/>
  <c r="BA64" i="69" s="1"/>
  <c r="BB64" i="69" s="1"/>
  <c r="AU41" i="82"/>
  <c r="AU51" i="80"/>
  <c r="AV51" i="80" s="1"/>
  <c r="AU49" i="81"/>
  <c r="BA49" i="81" s="1"/>
  <c r="BB49" i="81" s="1"/>
  <c r="AW50" i="80"/>
  <c r="AV50" i="80"/>
  <c r="AU78" i="1"/>
  <c r="BA78" i="1" s="1"/>
  <c r="BB78" i="1" s="1"/>
  <c r="AU59" i="78"/>
  <c r="AU78" i="67"/>
  <c r="AV78" i="67" s="1"/>
  <c r="AU60" i="78"/>
  <c r="BA60" i="78" s="1"/>
  <c r="BB60" i="78" s="1"/>
  <c r="BK125" i="73"/>
  <c r="BI106" i="71"/>
  <c r="BI35" i="71"/>
  <c r="BI85" i="71"/>
  <c r="BI37" i="71"/>
  <c r="BI21" i="71"/>
  <c r="AC107" i="2" s="1"/>
  <c r="BI79" i="71"/>
  <c r="BI27" i="71"/>
  <c r="BI70" i="71"/>
  <c r="BI38" i="71"/>
  <c r="BI107" i="71"/>
  <c r="BI22" i="71"/>
  <c r="AC108" i="2" s="1"/>
  <c r="BI78" i="71"/>
  <c r="BI45" i="71"/>
  <c r="BI44" i="71"/>
  <c r="BI86" i="71"/>
  <c r="BI69" i="71"/>
  <c r="AZ67" i="71"/>
  <c r="AZ54" i="71"/>
  <c r="AZ13" i="71"/>
  <c r="AB89" i="2" s="1"/>
  <c r="AZ50" i="71"/>
  <c r="AZ29" i="71"/>
  <c r="AZ23" i="71"/>
  <c r="AZ25" i="71"/>
  <c r="AZ15" i="71"/>
  <c r="AZ42" i="71"/>
  <c r="BI5" i="71"/>
  <c r="AC91" i="2" s="1"/>
  <c r="BI6" i="71"/>
  <c r="AC92" i="2" s="1"/>
  <c r="AZ21" i="71"/>
  <c r="AB77" i="2" s="1"/>
  <c r="AZ5" i="71"/>
  <c r="AB81" i="2" s="1"/>
  <c r="BF125" i="1"/>
  <c r="BE125" i="1"/>
  <c r="BA66" i="69"/>
  <c r="BB66" i="69" s="1"/>
  <c r="AW66" i="69"/>
  <c r="BE125" i="71"/>
  <c r="BJ125" i="71"/>
  <c r="BK125" i="71" s="1"/>
  <c r="BI37" i="66"/>
  <c r="S236" i="2" s="1"/>
  <c r="BI38" i="66"/>
  <c r="S237" i="2" s="1"/>
  <c r="BI78" i="66"/>
  <c r="S297" i="2" s="1"/>
  <c r="BI107" i="66"/>
  <c r="S342" i="2" s="1"/>
  <c r="BI106" i="66"/>
  <c r="S341" i="2" s="1"/>
  <c r="BI85" i="66"/>
  <c r="S312" i="2" s="1"/>
  <c r="BI27" i="66"/>
  <c r="BI35" i="66"/>
  <c r="BI45" i="66"/>
  <c r="S252" i="2" s="1"/>
  <c r="BI44" i="66"/>
  <c r="S251" i="2" s="1"/>
  <c r="BI70" i="66"/>
  <c r="S282" i="2" s="1"/>
  <c r="BI86" i="66"/>
  <c r="S313" i="2" s="1"/>
  <c r="BI79" i="66"/>
  <c r="S298" i="2" s="1"/>
  <c r="BI69" i="66"/>
  <c r="S281" i="2" s="1"/>
  <c r="BE125" i="66"/>
  <c r="BA80" i="66"/>
  <c r="BB80" i="66" s="1"/>
  <c r="AV80" i="66"/>
  <c r="AZ42" i="66"/>
  <c r="R272" i="2" s="1"/>
  <c r="AZ29" i="66"/>
  <c r="R243" i="2" s="1"/>
  <c r="AZ23" i="66"/>
  <c r="AZ50" i="66"/>
  <c r="R294" i="2" s="1"/>
  <c r="AZ54" i="66"/>
  <c r="R304" i="2" s="1"/>
  <c r="AZ13" i="66"/>
  <c r="R89" i="2" s="1"/>
  <c r="AZ67" i="66"/>
  <c r="R333" i="2" s="1"/>
  <c r="AZ15" i="66"/>
  <c r="BI22" i="66"/>
  <c r="S108" i="2" s="1"/>
  <c r="BI21" i="66"/>
  <c r="S107" i="2" s="1"/>
  <c r="AZ25" i="66"/>
  <c r="R233" i="2" s="1"/>
  <c r="BI6" i="66"/>
  <c r="S92" i="2" s="1"/>
  <c r="BI5" i="66"/>
  <c r="S91" i="2" s="1"/>
  <c r="AZ20" i="66"/>
  <c r="R76" i="2" s="1"/>
  <c r="AZ5" i="66"/>
  <c r="R81" i="2" s="1"/>
  <c r="K81" i="2"/>
  <c r="C92" i="2"/>
  <c r="D92" i="2"/>
  <c r="E92" i="2"/>
  <c r="G92" i="2"/>
  <c r="H92" i="2" s="1"/>
  <c r="K92" i="2"/>
  <c r="L92" i="2"/>
  <c r="E91" i="2"/>
  <c r="G91" i="2"/>
  <c r="H91" i="2" s="1"/>
  <c r="K91" i="2"/>
  <c r="L91" i="2"/>
  <c r="D91" i="2"/>
  <c r="C91" i="2"/>
  <c r="G81" i="2"/>
  <c r="H81" i="2" s="1"/>
  <c r="E81" i="2"/>
  <c r="D81" i="2"/>
  <c r="C81" i="2"/>
  <c r="AU26" i="78"/>
  <c r="BJ99" i="75"/>
  <c r="BK99" i="75" s="1"/>
  <c r="BA80" i="71"/>
  <c r="BB80" i="71" s="1"/>
  <c r="G89" i="2"/>
  <c r="H89" i="2" s="1"/>
  <c r="C89" i="2"/>
  <c r="E89" i="2"/>
  <c r="K89" i="2"/>
  <c r="L89" i="2"/>
  <c r="D89" i="2"/>
  <c r="BD35" i="80"/>
  <c r="AU78" i="66"/>
  <c r="BK125" i="67"/>
  <c r="BK99" i="76"/>
  <c r="BA66" i="75"/>
  <c r="BB66" i="75" s="1"/>
  <c r="AV51" i="81"/>
  <c r="AW66" i="75"/>
  <c r="BA53" i="80"/>
  <c r="BB53" i="80" s="1"/>
  <c r="BA51" i="81"/>
  <c r="BB51" i="81" s="1"/>
  <c r="AV53" i="80"/>
  <c r="BF99" i="76"/>
  <c r="BJ82" i="81"/>
  <c r="BK82" i="81" s="1"/>
  <c r="AW46" i="77"/>
  <c r="AV46" i="77"/>
  <c r="BA46" i="77"/>
  <c r="BB46" i="77" s="1"/>
  <c r="BA80" i="74"/>
  <c r="BB80" i="74" s="1"/>
  <c r="AW80" i="74"/>
  <c r="AZ26" i="86"/>
  <c r="D73" i="2"/>
  <c r="BD29" i="66"/>
  <c r="BJ29" i="66" s="1"/>
  <c r="BK29" i="66" s="1"/>
  <c r="E73" i="2"/>
  <c r="AU17" i="67"/>
  <c r="BA17" i="67" s="1"/>
  <c r="BB17" i="67" s="1"/>
  <c r="L73" i="2"/>
  <c r="BD29" i="71"/>
  <c r="BF29" i="71" s="1"/>
  <c r="AU17" i="1"/>
  <c r="BA17" i="1" s="1"/>
  <c r="BB17" i="1" s="1"/>
  <c r="C73" i="2"/>
  <c r="BD40" i="80"/>
  <c r="BE40" i="80" s="1"/>
  <c r="BD29" i="81"/>
  <c r="BF29" i="81" s="1"/>
  <c r="K73" i="2"/>
  <c r="AU17" i="71"/>
  <c r="AW17" i="71" s="1"/>
  <c r="BD29" i="1"/>
  <c r="BF29" i="1" s="1"/>
  <c r="BD24" i="68"/>
  <c r="BF24" i="68" s="1"/>
  <c r="G73" i="2"/>
  <c r="H73" i="2" s="1"/>
  <c r="AU22" i="80"/>
  <c r="AW22" i="80" s="1"/>
  <c r="BD49" i="78"/>
  <c r="BD29" i="70"/>
  <c r="BE29" i="70" s="1"/>
  <c r="AU17" i="70"/>
  <c r="BA17" i="70" s="1"/>
  <c r="BB17" i="70" s="1"/>
  <c r="AU17" i="66"/>
  <c r="BA17" i="66" s="1"/>
  <c r="BB17" i="66" s="1"/>
  <c r="BD29" i="73"/>
  <c r="BF29" i="73" s="1"/>
  <c r="AU17" i="74"/>
  <c r="AV17" i="74" s="1"/>
  <c r="AU17" i="81"/>
  <c r="BA17" i="81" s="1"/>
  <c r="BB17" i="81" s="1"/>
  <c r="AU17" i="73"/>
  <c r="BA17" i="73" s="1"/>
  <c r="BB17" i="73" s="1"/>
  <c r="BD28" i="66"/>
  <c r="BF28" i="66" s="1"/>
  <c r="AU27" i="78"/>
  <c r="BA27" i="78" s="1"/>
  <c r="BB27" i="78" s="1"/>
  <c r="BD29" i="67"/>
  <c r="BE29" i="67" s="1"/>
  <c r="AU16" i="81"/>
  <c r="AV16" i="81" s="1"/>
  <c r="AU13" i="68"/>
  <c r="BD28" i="73"/>
  <c r="BF28" i="73" s="1"/>
  <c r="BI139" i="87"/>
  <c r="AZ85" i="86"/>
  <c r="AZ27" i="85"/>
  <c r="BA26" i="76"/>
  <c r="BB26" i="76" s="1"/>
  <c r="AZ29" i="85"/>
  <c r="BI150" i="85"/>
  <c r="AZ93" i="83"/>
  <c r="AV200" i="2" s="1"/>
  <c r="AZ19" i="83"/>
  <c r="AV120" i="2" s="1"/>
  <c r="AZ65" i="83"/>
  <c r="AV309" i="2" s="1"/>
  <c r="AZ44" i="83"/>
  <c r="AV268" i="2" s="1"/>
  <c r="AZ46" i="83"/>
  <c r="AV270" i="2" s="1"/>
  <c r="BI145" i="83"/>
  <c r="AW203" i="2" s="1"/>
  <c r="BI146" i="83"/>
  <c r="AW204" i="2" s="1"/>
  <c r="AZ91" i="83"/>
  <c r="AV198" i="2" s="1"/>
  <c r="BI21" i="83"/>
  <c r="AW66" i="2" s="1"/>
  <c r="BI147" i="83"/>
  <c r="AW206" i="2" s="1"/>
  <c r="BI37" i="83"/>
  <c r="AW68" i="2" s="1"/>
  <c r="AZ40" i="83"/>
  <c r="AV248" i="2" s="1"/>
  <c r="BI152" i="83"/>
  <c r="AW364" i="2" s="1"/>
  <c r="BI24" i="83"/>
  <c r="AW130" i="2" s="1"/>
  <c r="BI38" i="83"/>
  <c r="AW140" i="2" s="1"/>
  <c r="BI67" i="83"/>
  <c r="AW260" i="2" s="1"/>
  <c r="AZ144" i="83"/>
  <c r="AZ67" i="83"/>
  <c r="AV311" i="2" s="1"/>
  <c r="AZ42" i="83"/>
  <c r="AV250" i="2" s="1"/>
  <c r="AZ41" i="83"/>
  <c r="AV249" i="2" s="1"/>
  <c r="AZ64" i="83"/>
  <c r="AV308" i="2" s="1"/>
  <c r="BI27" i="83"/>
  <c r="AW133" i="2" s="1"/>
  <c r="BI36" i="83"/>
  <c r="AW141" i="2" s="1"/>
  <c r="AZ16" i="83"/>
  <c r="AV117" i="2" s="1"/>
  <c r="BI81" i="83"/>
  <c r="AW279" i="2" s="1"/>
  <c r="AZ143" i="83"/>
  <c r="AZ66" i="83"/>
  <c r="AV310" i="2" s="1"/>
  <c r="AZ9" i="83"/>
  <c r="AV43" i="2" s="1"/>
  <c r="AZ48" i="83"/>
  <c r="AV272" i="2" s="1"/>
  <c r="BI26" i="83"/>
  <c r="AW132" i="2" s="1"/>
  <c r="BI45" i="83"/>
  <c r="AW75" i="2" s="1"/>
  <c r="AZ47" i="83"/>
  <c r="AV271" i="2" s="1"/>
  <c r="BI39" i="83"/>
  <c r="AW48" i="2" s="1"/>
  <c r="AZ18" i="83"/>
  <c r="AV119" i="2" s="1"/>
  <c r="AZ11" i="83"/>
  <c r="AV45" i="2" s="1"/>
  <c r="BI69" i="83"/>
  <c r="AW262" i="2" s="1"/>
  <c r="AZ39" i="83"/>
  <c r="AV247" i="2" s="1"/>
  <c r="AZ17" i="83"/>
  <c r="AV118" i="2" s="1"/>
  <c r="AZ12" i="83"/>
  <c r="AV46" i="2" s="1"/>
  <c r="AZ45" i="83"/>
  <c r="AV269" i="2" s="1"/>
  <c r="AZ145" i="83"/>
  <c r="BI17" i="83"/>
  <c r="AW62" i="2" s="1"/>
  <c r="AZ15" i="83"/>
  <c r="AV116" i="2" s="1"/>
  <c r="BI46" i="83"/>
  <c r="AW76" i="2" s="1"/>
  <c r="BI13" i="83"/>
  <c r="AW58" i="2" s="1"/>
  <c r="AZ10" i="83"/>
  <c r="AV44" i="2" s="1"/>
  <c r="BI107" i="83"/>
  <c r="AW320" i="2" s="1"/>
  <c r="BI47" i="83"/>
  <c r="AW77" i="2" s="1"/>
  <c r="BI35" i="83"/>
  <c r="AW69" i="2" s="1"/>
  <c r="BI48" i="83"/>
  <c r="AW78" i="2" s="1"/>
  <c r="BI29" i="83"/>
  <c r="AW135" i="2" s="1"/>
  <c r="AZ13" i="83"/>
  <c r="AV47" i="2" s="1"/>
  <c r="BI49" i="83"/>
  <c r="AW79" i="2" s="1"/>
  <c r="BI28" i="83"/>
  <c r="AW134" i="2" s="1"/>
  <c r="BI111" i="83"/>
  <c r="AW324" i="2" s="1"/>
  <c r="BI72" i="83"/>
  <c r="AW265" i="2" s="1"/>
  <c r="BI25" i="83"/>
  <c r="AW131" i="2" s="1"/>
  <c r="BI20" i="83"/>
  <c r="AW65" i="2" s="1"/>
  <c r="BI22" i="83"/>
  <c r="AW67" i="2" s="1"/>
  <c r="BI66" i="83"/>
  <c r="AW259" i="2" s="1"/>
  <c r="BI32" i="83"/>
  <c r="AW138" i="2" s="1"/>
  <c r="AZ146" i="83"/>
  <c r="AV365" i="2" s="1"/>
  <c r="BI84" i="83"/>
  <c r="AW282" i="2" s="1"/>
  <c r="AZ142" i="83"/>
  <c r="AV361" i="2" s="1"/>
  <c r="BI71" i="83"/>
  <c r="AW264" i="2" s="1"/>
  <c r="BI77" i="83"/>
  <c r="AW275" i="2" s="1"/>
  <c r="BI33" i="83"/>
  <c r="AW139" i="2" s="1"/>
  <c r="BI76" i="83"/>
  <c r="AW274" i="2" s="1"/>
  <c r="BI30" i="83"/>
  <c r="AW136" i="2" s="1"/>
  <c r="BI73" i="83"/>
  <c r="AW266" i="2" s="1"/>
  <c r="BI31" i="83"/>
  <c r="AW137" i="2" s="1"/>
  <c r="BI114" i="83"/>
  <c r="AW327" i="2" s="1"/>
  <c r="BI83" i="83"/>
  <c r="AW281" i="2" s="1"/>
  <c r="BI14" i="83"/>
  <c r="AW59" i="2" s="1"/>
  <c r="BI109" i="83"/>
  <c r="AW322" i="2" s="1"/>
  <c r="BI112" i="83"/>
  <c r="AW325" i="2" s="1"/>
  <c r="BI18" i="83"/>
  <c r="AW63" i="2" s="1"/>
  <c r="BI108" i="83"/>
  <c r="AW321" i="2" s="1"/>
  <c r="BI15" i="83"/>
  <c r="AW60" i="2" s="1"/>
  <c r="BI79" i="83"/>
  <c r="AW277" i="2" s="1"/>
  <c r="BI70" i="83"/>
  <c r="AW263" i="2" s="1"/>
  <c r="BI19" i="83"/>
  <c r="AW64" i="2" s="1"/>
  <c r="BI82" i="83"/>
  <c r="AW280" i="2" s="1"/>
  <c r="BI80" i="83"/>
  <c r="AW278" i="2" s="1"/>
  <c r="BI110" i="83"/>
  <c r="AW323" i="2" s="1"/>
  <c r="BI68" i="83"/>
  <c r="AW261" i="2" s="1"/>
  <c r="BI113" i="83"/>
  <c r="AW326" i="2" s="1"/>
  <c r="BI78" i="83"/>
  <c r="AW276" i="2" s="1"/>
  <c r="BI16" i="83"/>
  <c r="AW61" i="2" s="1"/>
  <c r="BI75" i="83"/>
  <c r="AW273" i="2" s="1"/>
  <c r="BI153" i="83"/>
  <c r="AW365" i="2" s="1"/>
  <c r="BI151" i="83"/>
  <c r="AW363" i="2" s="1"/>
  <c r="BI143" i="83"/>
  <c r="AW196" i="2" s="1"/>
  <c r="BI149" i="83"/>
  <c r="AW361" i="2" s="1"/>
  <c r="AZ92" i="83"/>
  <c r="AV196" i="2" s="1"/>
  <c r="BI142" i="83"/>
  <c r="AW194" i="2" s="1"/>
  <c r="AZ90" i="83"/>
  <c r="AV194" i="2" s="1"/>
  <c r="AZ10" i="84"/>
  <c r="AX44" i="2" s="1"/>
  <c r="AZ19" i="84"/>
  <c r="AX174" i="2" s="1"/>
  <c r="BI152" i="84"/>
  <c r="AY364" i="2" s="1"/>
  <c r="BI48" i="84"/>
  <c r="AY78" i="2" s="1"/>
  <c r="AZ91" i="84"/>
  <c r="AX198" i="2" s="1"/>
  <c r="BI15" i="84"/>
  <c r="AY60" i="2" s="1"/>
  <c r="AZ41" i="84"/>
  <c r="AX249" i="2" s="1"/>
  <c r="AZ12" i="84"/>
  <c r="AX46" i="2" s="1"/>
  <c r="BI35" i="84"/>
  <c r="AY69" i="2" s="1"/>
  <c r="BI37" i="84"/>
  <c r="AY68" i="2" s="1"/>
  <c r="BI45" i="84"/>
  <c r="AY75" i="2" s="1"/>
  <c r="BI49" i="84"/>
  <c r="AY79" i="2" s="1"/>
  <c r="BI47" i="84"/>
  <c r="AY77" i="2" s="1"/>
  <c r="BI38" i="84"/>
  <c r="AY190" i="2" s="1"/>
  <c r="BI46" i="84"/>
  <c r="AY76" i="2" s="1"/>
  <c r="BI36" i="84"/>
  <c r="AY191" i="2" s="1"/>
  <c r="AZ13" i="84"/>
  <c r="AX47" i="2" s="1"/>
  <c r="BI79" i="84"/>
  <c r="AY277" i="2" s="1"/>
  <c r="AZ39" i="84"/>
  <c r="AX247" i="2" s="1"/>
  <c r="AZ46" i="84"/>
  <c r="AX270" i="2" s="1"/>
  <c r="BI22" i="84"/>
  <c r="AY67" i="2" s="1"/>
  <c r="AZ15" i="84"/>
  <c r="AX170" i="2" s="1"/>
  <c r="BI32" i="84"/>
  <c r="AY188" i="2" s="1"/>
  <c r="BI20" i="84"/>
  <c r="AY65" i="2" s="1"/>
  <c r="AZ66" i="84"/>
  <c r="AX310" i="2" s="1"/>
  <c r="BI39" i="84"/>
  <c r="AY48" i="2" s="1"/>
  <c r="BI67" i="84"/>
  <c r="AY260" i="2" s="1"/>
  <c r="AZ40" i="84"/>
  <c r="AX248" i="2" s="1"/>
  <c r="AZ16" i="84"/>
  <c r="AX171" i="2" s="1"/>
  <c r="AZ65" i="84"/>
  <c r="AX309" i="2" s="1"/>
  <c r="BI16" i="84"/>
  <c r="AY61" i="2" s="1"/>
  <c r="AZ64" i="84"/>
  <c r="AX308" i="2" s="1"/>
  <c r="BI71" i="84"/>
  <c r="AY264" i="2" s="1"/>
  <c r="AZ9" i="84"/>
  <c r="AX43" i="2" s="1"/>
  <c r="AZ11" i="84"/>
  <c r="AX45" i="2" s="1"/>
  <c r="AZ67" i="84"/>
  <c r="AX311" i="2" s="1"/>
  <c r="BI70" i="84"/>
  <c r="AY263" i="2" s="1"/>
  <c r="AZ44" i="84"/>
  <c r="AX268" i="2" s="1"/>
  <c r="AZ47" i="84"/>
  <c r="AX271" i="2" s="1"/>
  <c r="BI80" i="84"/>
  <c r="AY278" i="2" s="1"/>
  <c r="BI21" i="84"/>
  <c r="AY66" i="2" s="1"/>
  <c r="BI19" i="84"/>
  <c r="AY64" i="2" s="1"/>
  <c r="AZ48" i="84"/>
  <c r="AX272" i="2" s="1"/>
  <c r="AZ18" i="84"/>
  <c r="AX173" i="2" s="1"/>
  <c r="BI66" i="84"/>
  <c r="AY259" i="2" s="1"/>
  <c r="AZ17" i="84"/>
  <c r="AX172" i="2" s="1"/>
  <c r="AZ93" i="84"/>
  <c r="AX201" i="2" s="1"/>
  <c r="BI146" i="84"/>
  <c r="AY204" i="2" s="1"/>
  <c r="BI33" i="84"/>
  <c r="AY189" i="2" s="1"/>
  <c r="AZ45" i="84"/>
  <c r="AX269" i="2" s="1"/>
  <c r="AZ42" i="84"/>
  <c r="AX250" i="2" s="1"/>
  <c r="BI69" i="84"/>
  <c r="AY262" i="2" s="1"/>
  <c r="BI112" i="84"/>
  <c r="AY325" i="2" s="1"/>
  <c r="AZ90" i="84"/>
  <c r="AX194" i="2" s="1"/>
  <c r="BI18" i="84"/>
  <c r="AY63" i="2" s="1"/>
  <c r="BI110" i="84"/>
  <c r="AY323" i="2" s="1"/>
  <c r="BI25" i="84"/>
  <c r="AY181" i="2" s="1"/>
  <c r="BI73" i="84"/>
  <c r="AY266" i="2" s="1"/>
  <c r="BI145" i="84"/>
  <c r="AY203" i="2" s="1"/>
  <c r="BI75" i="84"/>
  <c r="AY273" i="2" s="1"/>
  <c r="BI109" i="84"/>
  <c r="AY322" i="2" s="1"/>
  <c r="BI30" i="84"/>
  <c r="AY186" i="2" s="1"/>
  <c r="BI24" i="84"/>
  <c r="AY180" i="2" s="1"/>
  <c r="BI76" i="84"/>
  <c r="AY274" i="2" s="1"/>
  <c r="BI68" i="84"/>
  <c r="AY261" i="2" s="1"/>
  <c r="BI84" i="84"/>
  <c r="AY282" i="2" s="1"/>
  <c r="BI107" i="84"/>
  <c r="AY320" i="2" s="1"/>
  <c r="BI14" i="84"/>
  <c r="AY59" i="2" s="1"/>
  <c r="BI26" i="84"/>
  <c r="AY182" i="2" s="1"/>
  <c r="BI17" i="84"/>
  <c r="AY62" i="2" s="1"/>
  <c r="BI13" i="84"/>
  <c r="AY58" i="2" s="1"/>
  <c r="BI147" i="84"/>
  <c r="AY206" i="2" s="1"/>
  <c r="BI81" i="84"/>
  <c r="AY279" i="2" s="1"/>
  <c r="AZ146" i="84"/>
  <c r="AX365" i="2" s="1"/>
  <c r="BI31" i="84"/>
  <c r="AY187" i="2" s="1"/>
  <c r="BI29" i="84"/>
  <c r="AY185" i="2" s="1"/>
  <c r="AZ142" i="84"/>
  <c r="AX361" i="2" s="1"/>
  <c r="BI83" i="84"/>
  <c r="AY281" i="2" s="1"/>
  <c r="BI27" i="84"/>
  <c r="AY183" i="2" s="1"/>
  <c r="AZ92" i="84"/>
  <c r="AX196" i="2" s="1"/>
  <c r="BI111" i="84"/>
  <c r="AY324" i="2" s="1"/>
  <c r="BI77" i="84"/>
  <c r="AY275" i="2" s="1"/>
  <c r="BI28" i="84"/>
  <c r="AY184" i="2" s="1"/>
  <c r="BI113" i="84"/>
  <c r="AY326" i="2" s="1"/>
  <c r="BI72" i="84"/>
  <c r="AY265" i="2" s="1"/>
  <c r="BI78" i="84"/>
  <c r="AY276" i="2" s="1"/>
  <c r="BI82" i="84"/>
  <c r="AY280" i="2" s="1"/>
  <c r="BI114" i="84"/>
  <c r="AY327" i="2" s="1"/>
  <c r="BI108" i="84"/>
  <c r="AY321" i="2" s="1"/>
  <c r="BI151" i="84"/>
  <c r="AY363" i="2" s="1"/>
  <c r="BI143" i="84"/>
  <c r="AY196" i="2" s="1"/>
  <c r="BI149" i="84"/>
  <c r="AY361" i="2" s="1"/>
  <c r="BI153" i="84"/>
  <c r="AY365" i="2" s="1"/>
  <c r="BI142" i="84"/>
  <c r="AY194" i="2" s="1"/>
  <c r="AZ87" i="85"/>
  <c r="G99" i="2"/>
  <c r="H99" i="2" s="1"/>
  <c r="AZ97" i="87"/>
  <c r="AZ96" i="87"/>
  <c r="BI144" i="87"/>
  <c r="AZ92" i="87"/>
  <c r="BI145" i="87"/>
  <c r="BI146" i="87"/>
  <c r="BI147" i="87"/>
  <c r="AZ149" i="87"/>
  <c r="BI148" i="87"/>
  <c r="AZ98" i="87"/>
  <c r="AZ150" i="87"/>
  <c r="AZ90" i="87"/>
  <c r="AZ91" i="87"/>
  <c r="BI150" i="87"/>
  <c r="BI149" i="87"/>
  <c r="AZ148" i="87"/>
  <c r="AZ112" i="87"/>
  <c r="AZ64" i="87"/>
  <c r="BI143" i="87"/>
  <c r="AZ66" i="87"/>
  <c r="AZ16" i="87"/>
  <c r="BI38" i="87"/>
  <c r="AZ17" i="87"/>
  <c r="AZ65" i="87"/>
  <c r="BI36" i="87"/>
  <c r="AZ47" i="87"/>
  <c r="AZ44" i="87"/>
  <c r="AZ39" i="87"/>
  <c r="BI35" i="87"/>
  <c r="AZ15" i="87"/>
  <c r="BI39" i="87"/>
  <c r="AZ40" i="87"/>
  <c r="AZ67" i="87"/>
  <c r="AZ18" i="87"/>
  <c r="AZ41" i="87"/>
  <c r="BI37" i="87"/>
  <c r="AZ48" i="87"/>
  <c r="AZ94" i="87"/>
  <c r="AZ46" i="87"/>
  <c r="AZ19" i="87"/>
  <c r="AZ42" i="87"/>
  <c r="AZ45" i="87"/>
  <c r="BI71" i="87"/>
  <c r="BI113" i="87"/>
  <c r="AZ93" i="87"/>
  <c r="BI68" i="87"/>
  <c r="BI33" i="87"/>
  <c r="BI31" i="87"/>
  <c r="BI83" i="87"/>
  <c r="AZ151" i="87"/>
  <c r="BI30" i="87"/>
  <c r="BI25" i="87"/>
  <c r="BI32" i="87"/>
  <c r="BI155" i="87"/>
  <c r="BI76" i="87"/>
  <c r="BI114" i="87"/>
  <c r="BI78" i="87"/>
  <c r="BI66" i="87"/>
  <c r="BI77" i="87"/>
  <c r="BI69" i="87"/>
  <c r="BI26" i="87"/>
  <c r="BI109" i="87"/>
  <c r="BI29" i="87"/>
  <c r="BI67" i="87"/>
  <c r="BI82" i="87"/>
  <c r="BI72" i="87"/>
  <c r="BI28" i="87"/>
  <c r="AZ95" i="87"/>
  <c r="AZ147" i="87"/>
  <c r="BI158" i="87"/>
  <c r="BI111" i="87"/>
  <c r="BI70" i="87"/>
  <c r="BI81" i="87"/>
  <c r="BI80" i="87"/>
  <c r="BI27" i="87"/>
  <c r="BI110" i="87"/>
  <c r="BI24" i="87"/>
  <c r="BI84" i="87"/>
  <c r="AZ115" i="87"/>
  <c r="BI79" i="87"/>
  <c r="BI108" i="87"/>
  <c r="BI112" i="87"/>
  <c r="BI75" i="87"/>
  <c r="BI73" i="87"/>
  <c r="BI107" i="87"/>
  <c r="BI154" i="87"/>
  <c r="BI142" i="87"/>
  <c r="AZ89" i="87"/>
  <c r="BI152" i="87"/>
  <c r="BI161" i="87"/>
  <c r="BI156" i="87"/>
  <c r="BI139" i="85"/>
  <c r="AZ87" i="84"/>
  <c r="AX214" i="2" s="1"/>
  <c r="AZ28" i="84"/>
  <c r="AX78" i="2" s="1"/>
  <c r="BJ136" i="70"/>
  <c r="BK136" i="70" s="1"/>
  <c r="AZ11" i="86"/>
  <c r="AZ143" i="86"/>
  <c r="AZ145" i="86"/>
  <c r="AZ144" i="86"/>
  <c r="AZ107" i="86"/>
  <c r="AZ110" i="86"/>
  <c r="AZ10" i="86"/>
  <c r="AZ13" i="86"/>
  <c r="BI15" i="86"/>
  <c r="BI47" i="86"/>
  <c r="BI21" i="86"/>
  <c r="AZ64" i="86"/>
  <c r="AZ40" i="86"/>
  <c r="BI38" i="86"/>
  <c r="BI46" i="86"/>
  <c r="AZ91" i="86"/>
  <c r="AZ18" i="86"/>
  <c r="AZ39" i="86"/>
  <c r="BI45" i="86"/>
  <c r="AZ12" i="86"/>
  <c r="BI17" i="86"/>
  <c r="AZ19" i="86"/>
  <c r="BI48" i="86"/>
  <c r="BI49" i="86"/>
  <c r="BI37" i="86"/>
  <c r="BI36" i="86"/>
  <c r="AZ47" i="86"/>
  <c r="BI155" i="86"/>
  <c r="AZ44" i="86"/>
  <c r="AZ67" i="86"/>
  <c r="AZ15" i="86"/>
  <c r="BI35" i="86"/>
  <c r="AZ9" i="86"/>
  <c r="AZ45" i="86"/>
  <c r="AZ17" i="86"/>
  <c r="BI22" i="86"/>
  <c r="AZ41" i="86"/>
  <c r="AZ16" i="86"/>
  <c r="AZ46" i="86"/>
  <c r="AZ42" i="86"/>
  <c r="AZ65" i="86"/>
  <c r="BI18" i="86"/>
  <c r="BI39" i="86"/>
  <c r="AZ48" i="86"/>
  <c r="AZ93" i="86"/>
  <c r="AZ66" i="86"/>
  <c r="BI16" i="86"/>
  <c r="BI158" i="86"/>
  <c r="BI108" i="86"/>
  <c r="BI83" i="86"/>
  <c r="BI147" i="86"/>
  <c r="BI109" i="86"/>
  <c r="BI20" i="86"/>
  <c r="BI24" i="86"/>
  <c r="BI76" i="86"/>
  <c r="BI84" i="86"/>
  <c r="BI29" i="86"/>
  <c r="BI68" i="86"/>
  <c r="BI77" i="86"/>
  <c r="BI72" i="86"/>
  <c r="AZ92" i="86"/>
  <c r="BI25" i="86"/>
  <c r="BI66" i="86"/>
  <c r="BI112" i="86"/>
  <c r="BI67" i="86"/>
  <c r="BI75" i="86"/>
  <c r="BI73" i="86"/>
  <c r="BI110" i="86"/>
  <c r="AZ142" i="86"/>
  <c r="BI70" i="86"/>
  <c r="BI33" i="86"/>
  <c r="BI146" i="86"/>
  <c r="BI13" i="86"/>
  <c r="BI27" i="86"/>
  <c r="BI69" i="86"/>
  <c r="BI82" i="86"/>
  <c r="BI111" i="86"/>
  <c r="BI114" i="86"/>
  <c r="BI79" i="86"/>
  <c r="BI152" i="86"/>
  <c r="BI81" i="86"/>
  <c r="AZ146" i="86"/>
  <c r="BI19" i="86"/>
  <c r="AZ90" i="86"/>
  <c r="BI30" i="86"/>
  <c r="BI14" i="86"/>
  <c r="BI32" i="86"/>
  <c r="BI26" i="86"/>
  <c r="BI107" i="86"/>
  <c r="BI145" i="86"/>
  <c r="BI113" i="86"/>
  <c r="BI31" i="86"/>
  <c r="BI78" i="86"/>
  <c r="BI71" i="86"/>
  <c r="BI80" i="86"/>
  <c r="BI28" i="86"/>
  <c r="BI151" i="86"/>
  <c r="BI149" i="86"/>
  <c r="BI143" i="86"/>
  <c r="BI153" i="86"/>
  <c r="BI142" i="86"/>
  <c r="AZ84" i="87"/>
  <c r="BI139" i="84"/>
  <c r="AY214" i="2" s="1"/>
  <c r="AZ29" i="83"/>
  <c r="AV79" i="2" s="1"/>
  <c r="AZ41" i="85"/>
  <c r="AZ107" i="85"/>
  <c r="AZ145" i="85"/>
  <c r="AZ19" i="85"/>
  <c r="AZ144" i="85"/>
  <c r="AZ143" i="85"/>
  <c r="BI33" i="85"/>
  <c r="AZ44" i="85"/>
  <c r="AZ16" i="85"/>
  <c r="BI21" i="85"/>
  <c r="BI37" i="85"/>
  <c r="AZ46" i="85"/>
  <c r="AZ40" i="85"/>
  <c r="AZ45" i="85"/>
  <c r="BI47" i="85"/>
  <c r="BI39" i="85"/>
  <c r="AZ11" i="85"/>
  <c r="AZ17" i="85"/>
  <c r="AZ65" i="85"/>
  <c r="BI36" i="85"/>
  <c r="AZ67" i="85"/>
  <c r="AZ9" i="85"/>
  <c r="BI70" i="85"/>
  <c r="AZ13" i="85"/>
  <c r="BI38" i="85"/>
  <c r="BI71" i="85"/>
  <c r="BI35" i="85"/>
  <c r="AZ47" i="85"/>
  <c r="AZ15" i="85"/>
  <c r="BI48" i="85"/>
  <c r="AZ12" i="85"/>
  <c r="BI45" i="85"/>
  <c r="BI32" i="85"/>
  <c r="BI49" i="85"/>
  <c r="AZ18" i="85"/>
  <c r="AZ48" i="85"/>
  <c r="BI75" i="85"/>
  <c r="BI22" i="85"/>
  <c r="AZ93" i="85"/>
  <c r="AZ42" i="85"/>
  <c r="AZ39" i="85"/>
  <c r="AZ10" i="85"/>
  <c r="AZ66" i="85"/>
  <c r="AZ64" i="85"/>
  <c r="AZ91" i="85"/>
  <c r="BI46" i="85"/>
  <c r="BI84" i="85"/>
  <c r="BI109" i="85"/>
  <c r="BI18" i="85"/>
  <c r="BI69" i="85"/>
  <c r="BI27" i="85"/>
  <c r="BI19" i="85"/>
  <c r="BI80" i="85"/>
  <c r="BI31" i="85"/>
  <c r="BI83" i="85"/>
  <c r="BI113" i="85"/>
  <c r="BI81" i="85"/>
  <c r="BI108" i="85"/>
  <c r="BI20" i="85"/>
  <c r="BI16" i="85"/>
  <c r="BI77" i="85"/>
  <c r="BI67" i="85"/>
  <c r="BI15" i="85"/>
  <c r="BI152" i="85"/>
  <c r="BI26" i="85"/>
  <c r="BI111" i="85"/>
  <c r="BI82" i="85"/>
  <c r="BI68" i="85"/>
  <c r="BI145" i="85"/>
  <c r="BI73" i="85"/>
  <c r="BI76" i="85"/>
  <c r="BI29" i="85"/>
  <c r="BI13" i="85"/>
  <c r="BI30" i="85"/>
  <c r="BI110" i="85"/>
  <c r="BI79" i="85"/>
  <c r="BI28" i="85"/>
  <c r="BI66" i="85"/>
  <c r="BI25" i="85"/>
  <c r="BI17" i="85"/>
  <c r="AZ146" i="85"/>
  <c r="BI24" i="85"/>
  <c r="BI146" i="85"/>
  <c r="AZ90" i="85"/>
  <c r="AZ142" i="85"/>
  <c r="BI14" i="85"/>
  <c r="BI112" i="85"/>
  <c r="BI114" i="85"/>
  <c r="BI107" i="85"/>
  <c r="BI147" i="85"/>
  <c r="BI72" i="85"/>
  <c r="BI78" i="85"/>
  <c r="AZ92" i="85"/>
  <c r="BI151" i="85"/>
  <c r="BI143" i="85"/>
  <c r="BI153" i="85"/>
  <c r="BI142" i="85"/>
  <c r="BI149" i="85"/>
  <c r="AZ25" i="85"/>
  <c r="AZ85" i="85"/>
  <c r="BI150" i="84"/>
  <c r="AY362" i="2" s="1"/>
  <c r="AZ87" i="87"/>
  <c r="AZ26" i="84"/>
  <c r="AX76" i="2" s="1"/>
  <c r="AZ85" i="84"/>
  <c r="AX191" i="2" s="1"/>
  <c r="BJ107" i="78"/>
  <c r="BK107" i="78" s="1"/>
  <c r="AZ25" i="86"/>
  <c r="AZ27" i="84"/>
  <c r="AX77" i="2" s="1"/>
  <c r="BJ136" i="73"/>
  <c r="BK136" i="73" s="1"/>
  <c r="BI150" i="83"/>
  <c r="AW362" i="2" s="1"/>
  <c r="AZ84" i="86"/>
  <c r="BI139" i="83"/>
  <c r="AW214" i="2" s="1"/>
  <c r="AZ25" i="83"/>
  <c r="AV75" i="2" s="1"/>
  <c r="BI153" i="87"/>
  <c r="AZ85" i="83"/>
  <c r="AV141" i="2" s="1"/>
  <c r="AZ27" i="86"/>
  <c r="AZ87" i="83"/>
  <c r="AV214" i="2" s="1"/>
  <c r="BI150" i="86"/>
  <c r="BI125" i="67"/>
  <c r="U214" i="2" s="1"/>
  <c r="BJ87" i="81"/>
  <c r="BK87" i="81" s="1"/>
  <c r="AZ84" i="83"/>
  <c r="AV69" i="2" s="1"/>
  <c r="AZ29" i="86"/>
  <c r="AZ87" i="86"/>
  <c r="AZ85" i="87"/>
  <c r="AZ84" i="84"/>
  <c r="AX69" i="2" s="1"/>
  <c r="AZ26" i="85"/>
  <c r="AZ26" i="83"/>
  <c r="AV76" i="2" s="1"/>
  <c r="BI139" i="86"/>
  <c r="AZ25" i="84"/>
  <c r="AX75" i="2" s="1"/>
  <c r="AZ28" i="85"/>
  <c r="AZ27" i="83"/>
  <c r="AV77" i="2" s="1"/>
  <c r="AZ28" i="83"/>
  <c r="AV78" i="2" s="1"/>
  <c r="AV80" i="73"/>
  <c r="BA80" i="73"/>
  <c r="BB80" i="73" s="1"/>
  <c r="BE86" i="80"/>
  <c r="BJ86" i="80"/>
  <c r="BK86" i="80" s="1"/>
  <c r="BF102" i="78"/>
  <c r="BJ102" i="78"/>
  <c r="BK102" i="78" s="1"/>
  <c r="BF139" i="84"/>
  <c r="BE139" i="84"/>
  <c r="AV87" i="84"/>
  <c r="AW87" i="84"/>
  <c r="BF139" i="87"/>
  <c r="BE139" i="87"/>
  <c r="AW87" i="87"/>
  <c r="AV87" i="87"/>
  <c r="BA87" i="84"/>
  <c r="BB87" i="84" s="1"/>
  <c r="AV87" i="85"/>
  <c r="AW87" i="85"/>
  <c r="BJ139" i="84"/>
  <c r="BK139" i="84" s="1"/>
  <c r="AW87" i="86"/>
  <c r="AV87" i="86"/>
  <c r="BE139" i="86"/>
  <c r="BF139" i="86"/>
  <c r="BE139" i="85"/>
  <c r="BF139" i="85"/>
  <c r="BJ139" i="87"/>
  <c r="BK139" i="87" s="1"/>
  <c r="BA40" i="87"/>
  <c r="BB40" i="87" s="1"/>
  <c r="BA34" i="1"/>
  <c r="BB34" i="1" s="1"/>
  <c r="BJ68" i="66"/>
  <c r="BK68" i="66" s="1"/>
  <c r="BJ73" i="84"/>
  <c r="BK73" i="84" s="1"/>
  <c r="BJ56" i="83"/>
  <c r="BK56" i="83" s="1"/>
  <c r="BA45" i="84"/>
  <c r="BB45" i="84" s="1"/>
  <c r="BA35" i="85"/>
  <c r="BB35" i="85" s="1"/>
  <c r="BA36" i="83"/>
  <c r="BB36" i="83" s="1"/>
  <c r="BA36" i="86"/>
  <c r="BB36" i="86" s="1"/>
  <c r="BA47" i="86"/>
  <c r="BB47" i="86" s="1"/>
  <c r="BA35" i="83"/>
  <c r="BB35" i="83" s="1"/>
  <c r="AU16" i="74"/>
  <c r="BA16" i="74" s="1"/>
  <c r="BB16" i="74" s="1"/>
  <c r="AU16" i="1"/>
  <c r="BA16" i="1" s="1"/>
  <c r="BB16" i="1" s="1"/>
  <c r="BD48" i="87"/>
  <c r="BJ48" i="87" s="1"/>
  <c r="BK48" i="87" s="1"/>
  <c r="AU28" i="85"/>
  <c r="BA28" i="85" s="1"/>
  <c r="BB28" i="85" s="1"/>
  <c r="BD48" i="85"/>
  <c r="BJ48" i="85" s="1"/>
  <c r="BK48" i="85" s="1"/>
  <c r="AU28" i="87"/>
  <c r="BA28" i="87" s="1"/>
  <c r="BB28" i="87" s="1"/>
  <c r="AU28" i="86"/>
  <c r="BA28" i="86" s="1"/>
  <c r="BB28" i="86" s="1"/>
  <c r="BD48" i="86"/>
  <c r="BJ48" i="86" s="1"/>
  <c r="BK48" i="86" s="1"/>
  <c r="BD48" i="84"/>
  <c r="BJ48" i="84" s="1"/>
  <c r="BK48" i="84" s="1"/>
  <c r="AU28" i="84"/>
  <c r="BA28" i="84" s="1"/>
  <c r="BB28" i="84" s="1"/>
  <c r="AU5" i="83"/>
  <c r="AV5" i="83" s="1"/>
  <c r="AU5" i="87"/>
  <c r="BA5" i="87" s="1"/>
  <c r="BB5" i="87" s="1"/>
  <c r="AU5" i="85"/>
  <c r="BA5" i="85" s="1"/>
  <c r="BB5" i="85" s="1"/>
  <c r="AU5" i="86"/>
  <c r="BA5" i="86" s="1"/>
  <c r="BB5" i="86" s="1"/>
  <c r="AU5" i="84"/>
  <c r="BA5" i="84" s="1"/>
  <c r="BB5" i="84" s="1"/>
  <c r="BD30" i="83"/>
  <c r="BE30" i="83" s="1"/>
  <c r="BD30" i="85"/>
  <c r="BD18" i="83"/>
  <c r="BE18" i="83" s="1"/>
  <c r="BD18" i="87"/>
  <c r="BD18" i="85"/>
  <c r="BD18" i="86"/>
  <c r="BD18" i="84"/>
  <c r="BD21" i="83"/>
  <c r="BF21" i="83" s="1"/>
  <c r="BD21" i="87"/>
  <c r="BJ21" i="87" s="1"/>
  <c r="BK21" i="87" s="1"/>
  <c r="BD21" i="86"/>
  <c r="BJ21" i="86" s="1"/>
  <c r="BK21" i="86" s="1"/>
  <c r="BD21" i="85"/>
  <c r="BJ21" i="85" s="1"/>
  <c r="BK21" i="85" s="1"/>
  <c r="BD21" i="84"/>
  <c r="BJ21" i="84" s="1"/>
  <c r="BK21" i="84" s="1"/>
  <c r="BD28" i="87"/>
  <c r="BD28" i="84"/>
  <c r="BD28" i="86"/>
  <c r="G183" i="2"/>
  <c r="H183" i="2" s="1"/>
  <c r="BD27" i="84"/>
  <c r="BD27" i="87"/>
  <c r="BD27" i="86"/>
  <c r="AU16" i="66"/>
  <c r="AW16" i="66" s="1"/>
  <c r="BD28" i="81"/>
  <c r="BJ28" i="81" s="1"/>
  <c r="BK28" i="81" s="1"/>
  <c r="BD28" i="1"/>
  <c r="BE28" i="1" s="1"/>
  <c r="AU24" i="85"/>
  <c r="BD44" i="87"/>
  <c r="BD44" i="86"/>
  <c r="AU24" i="87"/>
  <c r="BD44" i="85"/>
  <c r="AU24" i="86"/>
  <c r="AU24" i="84"/>
  <c r="BD44" i="84"/>
  <c r="AU6" i="85"/>
  <c r="BA6" i="85" s="1"/>
  <c r="BB6" i="85" s="1"/>
  <c r="AU6" i="86"/>
  <c r="BA6" i="86" s="1"/>
  <c r="BB6" i="86" s="1"/>
  <c r="AU6" i="87"/>
  <c r="BA6" i="87" s="1"/>
  <c r="BB6" i="87" s="1"/>
  <c r="AU6" i="84"/>
  <c r="BA6" i="84" s="1"/>
  <c r="BB6" i="84" s="1"/>
  <c r="BD33" i="83"/>
  <c r="BE33" i="83" s="1"/>
  <c r="BD33" i="85"/>
  <c r="BJ33" i="85" s="1"/>
  <c r="BK33" i="85" s="1"/>
  <c r="BD10" i="83"/>
  <c r="BJ10" i="83" s="1"/>
  <c r="BK10" i="83" s="1"/>
  <c r="BD10" i="87"/>
  <c r="BJ10" i="87" s="1"/>
  <c r="BK10" i="87" s="1"/>
  <c r="BD10" i="85"/>
  <c r="BJ10" i="85" s="1"/>
  <c r="BK10" i="85" s="1"/>
  <c r="BD10" i="86"/>
  <c r="BJ10" i="86" s="1"/>
  <c r="BK10" i="86" s="1"/>
  <c r="BD10" i="84"/>
  <c r="BJ10" i="84" s="1"/>
  <c r="BK10" i="84" s="1"/>
  <c r="BD15" i="83"/>
  <c r="BE15" i="83" s="1"/>
  <c r="BD15" i="85"/>
  <c r="BJ15" i="85" s="1"/>
  <c r="BK15" i="85" s="1"/>
  <c r="BD15" i="86"/>
  <c r="BJ15" i="86" s="1"/>
  <c r="BK15" i="86" s="1"/>
  <c r="BD15" i="87"/>
  <c r="BJ15" i="87" s="1"/>
  <c r="BK15" i="87" s="1"/>
  <c r="BD15" i="84"/>
  <c r="BJ15" i="84" s="1"/>
  <c r="BK15" i="84" s="1"/>
  <c r="AW93" i="85"/>
  <c r="AV93" i="85"/>
  <c r="BD142" i="86"/>
  <c r="BJ142" i="86" s="1"/>
  <c r="BK142" i="86" s="1"/>
  <c r="AU90" i="86"/>
  <c r="BA90" i="86" s="1"/>
  <c r="BB90" i="86" s="1"/>
  <c r="BD142" i="85"/>
  <c r="BJ142" i="85" s="1"/>
  <c r="BK142" i="85" s="1"/>
  <c r="AU90" i="85"/>
  <c r="BA90" i="85" s="1"/>
  <c r="BB90" i="85" s="1"/>
  <c r="BD142" i="84"/>
  <c r="BJ142" i="84" s="1"/>
  <c r="BK142" i="84" s="1"/>
  <c r="AU90" i="84"/>
  <c r="BA90" i="84" s="1"/>
  <c r="BB90" i="84" s="1"/>
  <c r="AU21" i="86"/>
  <c r="AU21" i="85"/>
  <c r="BD41" i="87"/>
  <c r="BD41" i="86"/>
  <c r="AU21" i="87"/>
  <c r="BD41" i="85"/>
  <c r="BD41" i="84"/>
  <c r="AU21" i="84"/>
  <c r="BA93" i="85"/>
  <c r="BB93" i="85" s="1"/>
  <c r="BD28" i="71"/>
  <c r="BE28" i="71" s="1"/>
  <c r="BD25" i="87"/>
  <c r="BJ25" i="87" s="1"/>
  <c r="BK25" i="87" s="1"/>
  <c r="BD25" i="86"/>
  <c r="BJ25" i="86" s="1"/>
  <c r="BK25" i="86" s="1"/>
  <c r="BD25" i="84"/>
  <c r="BJ25" i="84" s="1"/>
  <c r="BK25" i="84" s="1"/>
  <c r="BD5" i="83"/>
  <c r="BF5" i="83" s="1"/>
  <c r="BD5" i="87"/>
  <c r="BD5" i="85"/>
  <c r="BD5" i="86"/>
  <c r="BD5" i="84"/>
  <c r="BD143" i="87"/>
  <c r="AU90" i="87"/>
  <c r="BD11" i="83"/>
  <c r="BE11" i="83" s="1"/>
  <c r="BD11" i="85"/>
  <c r="BD11" i="87"/>
  <c r="BD11" i="86"/>
  <c r="BD11" i="84"/>
  <c r="AU10" i="83"/>
  <c r="AW10" i="83" s="1"/>
  <c r="AU10" i="87"/>
  <c r="AU10" i="85"/>
  <c r="AU10" i="86"/>
  <c r="AU10" i="84"/>
  <c r="BD146" i="83"/>
  <c r="BF146" i="83" s="1"/>
  <c r="BD146" i="86"/>
  <c r="BD146" i="85"/>
  <c r="BD146" i="84"/>
  <c r="AU25" i="87"/>
  <c r="BD45" i="87"/>
  <c r="BD45" i="86"/>
  <c r="AU25" i="86"/>
  <c r="BD45" i="85"/>
  <c r="AU25" i="85"/>
  <c r="BD45" i="84"/>
  <c r="AU25" i="84"/>
  <c r="AU16" i="71"/>
  <c r="BD28" i="74"/>
  <c r="E72" i="2"/>
  <c r="G185" i="2"/>
  <c r="H185" i="2" s="1"/>
  <c r="BD29" i="87"/>
  <c r="BD29" i="84"/>
  <c r="BD29" i="86"/>
  <c r="BD25" i="83"/>
  <c r="BF25" i="83" s="1"/>
  <c r="BD25" i="85"/>
  <c r="AW18" i="85"/>
  <c r="AV18" i="85"/>
  <c r="G201" i="2"/>
  <c r="H201" i="2" s="1"/>
  <c r="AU93" i="86"/>
  <c r="AU93" i="84"/>
  <c r="BD12" i="83"/>
  <c r="BE12" i="83" s="1"/>
  <c r="BD12" i="86"/>
  <c r="BD12" i="85"/>
  <c r="BD12" i="87"/>
  <c r="BD12" i="84"/>
  <c r="BD27" i="83"/>
  <c r="BF27" i="83" s="1"/>
  <c r="BD27" i="85"/>
  <c r="BD43" i="85"/>
  <c r="AU23" i="86"/>
  <c r="BD43" i="87"/>
  <c r="AU23" i="85"/>
  <c r="BD43" i="86"/>
  <c r="AU23" i="87"/>
  <c r="AU23" i="84"/>
  <c r="BD43" i="84"/>
  <c r="BD29" i="83"/>
  <c r="BJ29" i="83" s="1"/>
  <c r="BK29" i="83" s="1"/>
  <c r="BD29" i="85"/>
  <c r="AU22" i="87"/>
  <c r="BD42" i="86"/>
  <c r="BD42" i="85"/>
  <c r="AU22" i="86"/>
  <c r="AU22" i="85"/>
  <c r="BD42" i="87"/>
  <c r="AU22" i="84"/>
  <c r="BD42" i="84"/>
  <c r="AU16" i="67"/>
  <c r="AW16" i="67" s="1"/>
  <c r="BD28" i="67"/>
  <c r="BF28" i="67" s="1"/>
  <c r="BD143" i="85"/>
  <c r="BJ143" i="85" s="1"/>
  <c r="BK143" i="85" s="1"/>
  <c r="AU92" i="85"/>
  <c r="BA92" i="85" s="1"/>
  <c r="BB92" i="85" s="1"/>
  <c r="BD143" i="86"/>
  <c r="BJ143" i="86" s="1"/>
  <c r="BK143" i="86" s="1"/>
  <c r="AU92" i="86"/>
  <c r="BA92" i="86" s="1"/>
  <c r="BB92" i="86" s="1"/>
  <c r="AU92" i="84"/>
  <c r="BA92" i="84" s="1"/>
  <c r="BB92" i="84" s="1"/>
  <c r="BD143" i="84"/>
  <c r="BJ143" i="84" s="1"/>
  <c r="BK143" i="84" s="1"/>
  <c r="AU12" i="83"/>
  <c r="AW12" i="83" s="1"/>
  <c r="AU12" i="86"/>
  <c r="BA12" i="86" s="1"/>
  <c r="BB12" i="86" s="1"/>
  <c r="AU12" i="85"/>
  <c r="BA12" i="85" s="1"/>
  <c r="BB12" i="85" s="1"/>
  <c r="AU12" i="87"/>
  <c r="BA12" i="87" s="1"/>
  <c r="BB12" i="87" s="1"/>
  <c r="AU12" i="84"/>
  <c r="BD26" i="83"/>
  <c r="BJ26" i="83" s="1"/>
  <c r="BK26" i="83" s="1"/>
  <c r="BD26" i="85"/>
  <c r="BJ26" i="85" s="1"/>
  <c r="BK26" i="85" s="1"/>
  <c r="BD9" i="83"/>
  <c r="BF9" i="83" s="1"/>
  <c r="BD9" i="87"/>
  <c r="BD9" i="85"/>
  <c r="BD9" i="86"/>
  <c r="BD9" i="84"/>
  <c r="BD142" i="87"/>
  <c r="AU89" i="87"/>
  <c r="BA89" i="87" s="1"/>
  <c r="BB89" i="87" s="1"/>
  <c r="BA17" i="85"/>
  <c r="BB17" i="85" s="1"/>
  <c r="AU11" i="83"/>
  <c r="BA11" i="83" s="1"/>
  <c r="BB11" i="83" s="1"/>
  <c r="AU11" i="87"/>
  <c r="AU11" i="85"/>
  <c r="AU11" i="86"/>
  <c r="AU11" i="84"/>
  <c r="G72" i="2"/>
  <c r="H72" i="2" s="1"/>
  <c r="BD39" i="80"/>
  <c r="BE39" i="80" s="1"/>
  <c r="BD19" i="83"/>
  <c r="BF19" i="83" s="1"/>
  <c r="BD19" i="85"/>
  <c r="BJ19" i="85" s="1"/>
  <c r="BK19" i="85" s="1"/>
  <c r="BD19" i="86"/>
  <c r="BJ19" i="86" s="1"/>
  <c r="BK19" i="86" s="1"/>
  <c r="BD19" i="87"/>
  <c r="BJ19" i="87" s="1"/>
  <c r="BK19" i="87" s="1"/>
  <c r="BD19" i="84"/>
  <c r="BJ19" i="84" s="1"/>
  <c r="BK19" i="84" s="1"/>
  <c r="BD7" i="83"/>
  <c r="BE7" i="83" s="1"/>
  <c r="BD7" i="87"/>
  <c r="BD7" i="85"/>
  <c r="BD7" i="86"/>
  <c r="BD7" i="84"/>
  <c r="BD22" i="83"/>
  <c r="BJ22" i="83" s="1"/>
  <c r="BK22" i="83" s="1"/>
  <c r="BD22" i="86"/>
  <c r="BD22" i="85"/>
  <c r="BD22" i="87"/>
  <c r="BD22" i="84"/>
  <c r="BD147" i="83"/>
  <c r="BF147" i="83" s="1"/>
  <c r="BD147" i="86"/>
  <c r="BJ147" i="86" s="1"/>
  <c r="BK147" i="86" s="1"/>
  <c r="BD147" i="85"/>
  <c r="BJ147" i="85" s="1"/>
  <c r="BK147" i="85" s="1"/>
  <c r="BD147" i="84"/>
  <c r="BJ147" i="84" s="1"/>
  <c r="BK147" i="84" s="1"/>
  <c r="K72" i="2"/>
  <c r="AU16" i="70"/>
  <c r="AV16" i="70" s="1"/>
  <c r="BD14" i="83"/>
  <c r="BF14" i="83" s="1"/>
  <c r="BD14" i="86"/>
  <c r="BD14" i="85"/>
  <c r="BD14" i="87"/>
  <c r="BD14" i="84"/>
  <c r="BD31" i="83"/>
  <c r="BJ31" i="83" s="1"/>
  <c r="BK31" i="83" s="1"/>
  <c r="BD31" i="85"/>
  <c r="BD24" i="87"/>
  <c r="BD24" i="86"/>
  <c r="BD24" i="84"/>
  <c r="AU15" i="86"/>
  <c r="AU15" i="84"/>
  <c r="AU15" i="87"/>
  <c r="AU18" i="87"/>
  <c r="AU18" i="84"/>
  <c r="AU18" i="86"/>
  <c r="BD24" i="83"/>
  <c r="BE24" i="83" s="1"/>
  <c r="BD24" i="85"/>
  <c r="G189" i="2"/>
  <c r="H189" i="2" s="1"/>
  <c r="BD33" i="84"/>
  <c r="BD33" i="87"/>
  <c r="BD33" i="86"/>
  <c r="AU7" i="83"/>
  <c r="AV7" i="83" s="1"/>
  <c r="AU7" i="87"/>
  <c r="BA7" i="87" s="1"/>
  <c r="BB7" i="87" s="1"/>
  <c r="AU7" i="85"/>
  <c r="BA7" i="85" s="1"/>
  <c r="BB7" i="85" s="1"/>
  <c r="AU7" i="86"/>
  <c r="BA7" i="86" s="1"/>
  <c r="BB7" i="86" s="1"/>
  <c r="AU7" i="84"/>
  <c r="BA7" i="84" s="1"/>
  <c r="BB7" i="84" s="1"/>
  <c r="BJ28" i="85"/>
  <c r="BK28" i="85" s="1"/>
  <c r="D72" i="2"/>
  <c r="AU15" i="83"/>
  <c r="AW15" i="83" s="1"/>
  <c r="AU15" i="85"/>
  <c r="BD16" i="86"/>
  <c r="BD16" i="85"/>
  <c r="BD16" i="87"/>
  <c r="BD16" i="84"/>
  <c r="G188" i="2"/>
  <c r="H188" i="2" s="1"/>
  <c r="BD32" i="84"/>
  <c r="BJ32" i="84" s="1"/>
  <c r="BK32" i="84" s="1"/>
  <c r="BD32" i="87"/>
  <c r="BJ32" i="87" s="1"/>
  <c r="BK32" i="87" s="1"/>
  <c r="BD32" i="86"/>
  <c r="BJ32" i="86" s="1"/>
  <c r="BK32" i="86" s="1"/>
  <c r="BD20" i="83"/>
  <c r="BE20" i="83" s="1"/>
  <c r="BD20" i="86"/>
  <c r="BD20" i="85"/>
  <c r="BD20" i="87"/>
  <c r="BD20" i="84"/>
  <c r="BD13" i="83"/>
  <c r="BF13" i="83" s="1"/>
  <c r="BD13" i="86"/>
  <c r="BD13" i="85"/>
  <c r="BD13" i="87"/>
  <c r="BD13" i="84"/>
  <c r="C72" i="2"/>
  <c r="AU21" i="80"/>
  <c r="AW21" i="80" s="1"/>
  <c r="AU26" i="87"/>
  <c r="AU26" i="85"/>
  <c r="BD46" i="86"/>
  <c r="BD46" i="87"/>
  <c r="AU26" i="86"/>
  <c r="BD46" i="85"/>
  <c r="AU26" i="84"/>
  <c r="BD46" i="84"/>
  <c r="BD26" i="86"/>
  <c r="BD26" i="84"/>
  <c r="BD26" i="87"/>
  <c r="AU13" i="83"/>
  <c r="AW13" i="83" s="1"/>
  <c r="AU13" i="87"/>
  <c r="AU13" i="86"/>
  <c r="AU13" i="85"/>
  <c r="AU13" i="84"/>
  <c r="AU8" i="83"/>
  <c r="AV8" i="83" s="1"/>
  <c r="AU8" i="86"/>
  <c r="AU8" i="87"/>
  <c r="AU8" i="85"/>
  <c r="AU8" i="84"/>
  <c r="AU19" i="83"/>
  <c r="AW19" i="83" s="1"/>
  <c r="AU19" i="85"/>
  <c r="BA19" i="85" s="1"/>
  <c r="BB19" i="85" s="1"/>
  <c r="BA16" i="85"/>
  <c r="BB16" i="85" s="1"/>
  <c r="BA18" i="85"/>
  <c r="BB18" i="85" s="1"/>
  <c r="BD47" i="86"/>
  <c r="AU27" i="86"/>
  <c r="BA27" i="86" s="1"/>
  <c r="BB27" i="86" s="1"/>
  <c r="BD47" i="87"/>
  <c r="BJ47" i="87" s="1"/>
  <c r="BK47" i="87" s="1"/>
  <c r="AU27" i="85"/>
  <c r="BD47" i="85"/>
  <c r="AU27" i="87"/>
  <c r="BA27" i="87" s="1"/>
  <c r="BB27" i="87" s="1"/>
  <c r="AU27" i="84"/>
  <c r="BA27" i="84" s="1"/>
  <c r="BB27" i="84" s="1"/>
  <c r="BD47" i="84"/>
  <c r="BJ47" i="84" s="1"/>
  <c r="BK47" i="84" s="1"/>
  <c r="AU91" i="86"/>
  <c r="AU91" i="85"/>
  <c r="AU91" i="84"/>
  <c r="AV17" i="85"/>
  <c r="AW17" i="85"/>
  <c r="AU19" i="86"/>
  <c r="AU19" i="84"/>
  <c r="AU19" i="87"/>
  <c r="AU9" i="83"/>
  <c r="BA9" i="83" s="1"/>
  <c r="BB9" i="83" s="1"/>
  <c r="AU9" i="85"/>
  <c r="AU9" i="87"/>
  <c r="AU9" i="86"/>
  <c r="AU9" i="84"/>
  <c r="BF28" i="85"/>
  <c r="BE28" i="85"/>
  <c r="BD17" i="83"/>
  <c r="BF17" i="83" s="1"/>
  <c r="BD17" i="85"/>
  <c r="BD17" i="86"/>
  <c r="BD17" i="87"/>
  <c r="BD17" i="84"/>
  <c r="AU16" i="87"/>
  <c r="AU16" i="86"/>
  <c r="AU16" i="84"/>
  <c r="BD6" i="83"/>
  <c r="BE6" i="83" s="1"/>
  <c r="BD6" i="86"/>
  <c r="BD6" i="87"/>
  <c r="BD6" i="85"/>
  <c r="BD6" i="84"/>
  <c r="BD31" i="84"/>
  <c r="BD31" i="87"/>
  <c r="BD31" i="86"/>
  <c r="BD28" i="70"/>
  <c r="BD48" i="78"/>
  <c r="BF48" i="78" s="1"/>
  <c r="L72" i="2"/>
  <c r="AU29" i="86"/>
  <c r="BD49" i="85"/>
  <c r="AU29" i="87"/>
  <c r="BD49" i="86"/>
  <c r="BD49" i="87"/>
  <c r="AU29" i="85"/>
  <c r="BD49" i="84"/>
  <c r="AU29" i="84"/>
  <c r="AU17" i="86"/>
  <c r="AU17" i="87"/>
  <c r="AU17" i="84"/>
  <c r="BD30" i="84"/>
  <c r="BD30" i="86"/>
  <c r="BD30" i="87"/>
  <c r="AV16" i="85"/>
  <c r="AW16" i="85"/>
  <c r="BD8" i="83"/>
  <c r="BF8" i="83" s="1"/>
  <c r="BD8" i="86"/>
  <c r="BD8" i="85"/>
  <c r="BD8" i="87"/>
  <c r="BD8" i="84"/>
  <c r="BF32" i="85"/>
  <c r="BE32" i="85"/>
  <c r="BJ32" i="85"/>
  <c r="BK32" i="85" s="1"/>
  <c r="BJ150" i="86"/>
  <c r="BK150" i="86" s="1"/>
  <c r="BJ150" i="85"/>
  <c r="BK150" i="85" s="1"/>
  <c r="BA143" i="85"/>
  <c r="BB143" i="85" s="1"/>
  <c r="BJ153" i="87"/>
  <c r="BK153" i="87" s="1"/>
  <c r="BA143" i="86"/>
  <c r="BB143" i="86" s="1"/>
  <c r="BA148" i="87"/>
  <c r="BB148" i="87" s="1"/>
  <c r="BJ150" i="84"/>
  <c r="BK150" i="84" s="1"/>
  <c r="BA143" i="84"/>
  <c r="BB143" i="84" s="1"/>
  <c r="BA143" i="83"/>
  <c r="BB143" i="83" s="1"/>
  <c r="BJ150" i="83"/>
  <c r="BK150" i="83" s="1"/>
  <c r="BA85" i="85"/>
  <c r="BB85" i="85" s="1"/>
  <c r="BA85" i="83"/>
  <c r="BB85" i="83" s="1"/>
  <c r="BJ37" i="87"/>
  <c r="BK37" i="87" s="1"/>
  <c r="BJ37" i="86"/>
  <c r="BK37" i="86" s="1"/>
  <c r="BJ37" i="85"/>
  <c r="BK37" i="85" s="1"/>
  <c r="BJ37" i="84"/>
  <c r="BK37" i="84" s="1"/>
  <c r="BJ37" i="83"/>
  <c r="BK37" i="83" s="1"/>
  <c r="BJ97" i="87"/>
  <c r="BK97" i="87" s="1"/>
  <c r="BJ97" i="85"/>
  <c r="BK97" i="85" s="1"/>
  <c r="BJ97" i="86"/>
  <c r="BK97" i="86" s="1"/>
  <c r="BJ97" i="84"/>
  <c r="BK97" i="84" s="1"/>
  <c r="BJ97" i="83"/>
  <c r="BK97" i="83" s="1"/>
  <c r="BJ67" i="86"/>
  <c r="BK67" i="86" s="1"/>
  <c r="BJ82" i="87"/>
  <c r="BK82" i="87" s="1"/>
  <c r="BJ82" i="86"/>
  <c r="BK82" i="86" s="1"/>
  <c r="BJ81" i="83"/>
  <c r="BK81" i="83" s="1"/>
  <c r="BJ131" i="85"/>
  <c r="BK131" i="85" s="1"/>
  <c r="BJ131" i="86"/>
  <c r="BK131" i="86" s="1"/>
  <c r="BJ131" i="87"/>
  <c r="BK131" i="87" s="1"/>
  <c r="BJ131" i="84"/>
  <c r="BK131" i="84" s="1"/>
  <c r="BJ131" i="83"/>
  <c r="BK131" i="83" s="1"/>
  <c r="BJ112" i="87"/>
  <c r="BK112" i="87" s="1"/>
  <c r="BJ112" i="86"/>
  <c r="BK112" i="86" s="1"/>
  <c r="BJ112" i="85"/>
  <c r="BK112" i="85" s="1"/>
  <c r="BJ112" i="84"/>
  <c r="BK112" i="84" s="1"/>
  <c r="BJ112" i="83"/>
  <c r="BK112" i="83" s="1"/>
  <c r="BJ102" i="85"/>
  <c r="BK102" i="85" s="1"/>
  <c r="BJ102" i="87"/>
  <c r="BK102" i="87" s="1"/>
  <c r="BJ102" i="86"/>
  <c r="BK102" i="86" s="1"/>
  <c r="BJ102" i="84"/>
  <c r="BK102" i="84" s="1"/>
  <c r="BJ102" i="83"/>
  <c r="BK102" i="83" s="1"/>
  <c r="BA37" i="86"/>
  <c r="BB37" i="86" s="1"/>
  <c r="BJ56" i="85"/>
  <c r="BK56" i="85" s="1"/>
  <c r="BJ56" i="84"/>
  <c r="BK56" i="84" s="1"/>
  <c r="BA64" i="85"/>
  <c r="BB64" i="85" s="1"/>
  <c r="BA64" i="86"/>
  <c r="BB64" i="86" s="1"/>
  <c r="BA64" i="87"/>
  <c r="BB64" i="87" s="1"/>
  <c r="BA64" i="84"/>
  <c r="BB64" i="84" s="1"/>
  <c r="BA64" i="83"/>
  <c r="BB64" i="83" s="1"/>
  <c r="BJ108" i="85"/>
  <c r="BK108" i="85" s="1"/>
  <c r="BJ108" i="87"/>
  <c r="BK108" i="87" s="1"/>
  <c r="BJ108" i="86"/>
  <c r="BK108" i="86" s="1"/>
  <c r="BJ108" i="84"/>
  <c r="BK108" i="84" s="1"/>
  <c r="BJ108" i="83"/>
  <c r="BK108" i="83" s="1"/>
  <c r="BJ152" i="85"/>
  <c r="BK152" i="85" s="1"/>
  <c r="BA150" i="87"/>
  <c r="BB150" i="87" s="1"/>
  <c r="BA145" i="85"/>
  <c r="BB145" i="85" s="1"/>
  <c r="BA145" i="86"/>
  <c r="BB145" i="86" s="1"/>
  <c r="BJ152" i="86"/>
  <c r="BK152" i="86" s="1"/>
  <c r="BJ155" i="87"/>
  <c r="BK155" i="87" s="1"/>
  <c r="BA145" i="84"/>
  <c r="BB145" i="84" s="1"/>
  <c r="BJ152" i="84"/>
  <c r="BK152" i="84" s="1"/>
  <c r="BJ152" i="83"/>
  <c r="BK152" i="83" s="1"/>
  <c r="BA145" i="83"/>
  <c r="BB145" i="83" s="1"/>
  <c r="BJ67" i="85"/>
  <c r="BK67" i="85" s="1"/>
  <c r="BA35" i="86"/>
  <c r="BB35" i="86" s="1"/>
  <c r="BA40" i="85"/>
  <c r="BB40" i="85" s="1"/>
  <c r="BJ67" i="83"/>
  <c r="BK67" i="83" s="1"/>
  <c r="BJ56" i="86"/>
  <c r="BK56" i="86" s="1"/>
  <c r="BA47" i="83"/>
  <c r="BB47" i="83" s="1"/>
  <c r="BA45" i="86"/>
  <c r="BB45" i="86" s="1"/>
  <c r="BJ81" i="86"/>
  <c r="BK81" i="86" s="1"/>
  <c r="BJ81" i="85"/>
  <c r="BK81" i="85" s="1"/>
  <c r="BA65" i="86"/>
  <c r="BB65" i="86" s="1"/>
  <c r="BA65" i="87"/>
  <c r="BB65" i="87" s="1"/>
  <c r="BA65" i="85"/>
  <c r="BB65" i="85" s="1"/>
  <c r="BA65" i="84"/>
  <c r="BB65" i="84" s="1"/>
  <c r="BA65" i="83"/>
  <c r="BB65" i="83" s="1"/>
  <c r="BJ73" i="85"/>
  <c r="BK73" i="85" s="1"/>
  <c r="BA36" i="85"/>
  <c r="BB36" i="85" s="1"/>
  <c r="BJ150" i="87"/>
  <c r="BK150" i="87" s="1"/>
  <c r="BA97" i="87"/>
  <c r="BB97" i="87" s="1"/>
  <c r="BJ114" i="85"/>
  <c r="BK114" i="85" s="1"/>
  <c r="BJ114" i="86"/>
  <c r="BK114" i="86" s="1"/>
  <c r="BJ114" i="87"/>
  <c r="BK114" i="87" s="1"/>
  <c r="BJ114" i="84"/>
  <c r="BK114" i="84" s="1"/>
  <c r="BJ114" i="83"/>
  <c r="BK114" i="83" s="1"/>
  <c r="BA78" i="85"/>
  <c r="BB78" i="85" s="1"/>
  <c r="BA78" i="86"/>
  <c r="BB78" i="86" s="1"/>
  <c r="BA78" i="87"/>
  <c r="BB78" i="87" s="1"/>
  <c r="BA78" i="84"/>
  <c r="BB78" i="84" s="1"/>
  <c r="BA78" i="83"/>
  <c r="BB78" i="83" s="1"/>
  <c r="BA37" i="87"/>
  <c r="BB37" i="87" s="1"/>
  <c r="BA40" i="84"/>
  <c r="BB40" i="84" s="1"/>
  <c r="BA47" i="87"/>
  <c r="BB47" i="87" s="1"/>
  <c r="BJ96" i="85"/>
  <c r="BK96" i="85" s="1"/>
  <c r="BJ96" i="86"/>
  <c r="BK96" i="86" s="1"/>
  <c r="BJ96" i="87"/>
  <c r="BK96" i="87" s="1"/>
  <c r="BJ96" i="84"/>
  <c r="BK96" i="84" s="1"/>
  <c r="BJ96" i="83"/>
  <c r="BK96" i="83" s="1"/>
  <c r="BA37" i="83"/>
  <c r="BB37" i="83" s="1"/>
  <c r="BA35" i="87"/>
  <c r="BB35" i="87" s="1"/>
  <c r="BJ73" i="83"/>
  <c r="BK73" i="83" s="1"/>
  <c r="BA40" i="83"/>
  <c r="BB40" i="83" s="1"/>
  <c r="BA45" i="85"/>
  <c r="BB45" i="85" s="1"/>
  <c r="BJ81" i="84"/>
  <c r="BK81" i="84" s="1"/>
  <c r="BJ148" i="87"/>
  <c r="BK148" i="87" s="1"/>
  <c r="BA95" i="87"/>
  <c r="BB95" i="87" s="1"/>
  <c r="BA57" i="86"/>
  <c r="BB57" i="86" s="1"/>
  <c r="BA57" i="85"/>
  <c r="BB57" i="85" s="1"/>
  <c r="BA57" i="87"/>
  <c r="BB57" i="87" s="1"/>
  <c r="BA57" i="84"/>
  <c r="BB57" i="84" s="1"/>
  <c r="BA57" i="83"/>
  <c r="BB57" i="83" s="1"/>
  <c r="BJ90" i="80"/>
  <c r="BK90" i="80" s="1"/>
  <c r="BA144" i="85"/>
  <c r="BB144" i="85" s="1"/>
  <c r="BA149" i="87"/>
  <c r="BB149" i="87" s="1"/>
  <c r="BJ151" i="85"/>
  <c r="BK151" i="85" s="1"/>
  <c r="BJ154" i="87"/>
  <c r="BK154" i="87" s="1"/>
  <c r="BA144" i="86"/>
  <c r="BB144" i="86" s="1"/>
  <c r="BJ151" i="86"/>
  <c r="BK151" i="86" s="1"/>
  <c r="BJ151" i="84"/>
  <c r="BK151" i="84" s="1"/>
  <c r="BA144" i="84"/>
  <c r="BB144" i="84" s="1"/>
  <c r="BJ151" i="83"/>
  <c r="BK151" i="83" s="1"/>
  <c r="BA144" i="83"/>
  <c r="BB144" i="83" s="1"/>
  <c r="BA37" i="85"/>
  <c r="BB37" i="85" s="1"/>
  <c r="BA36" i="84"/>
  <c r="BB36" i="84" s="1"/>
  <c r="BJ53" i="86"/>
  <c r="BK53" i="86" s="1"/>
  <c r="BJ53" i="83"/>
  <c r="BK53" i="83" s="1"/>
  <c r="BJ82" i="85"/>
  <c r="BK82" i="85" s="1"/>
  <c r="BJ82" i="84"/>
  <c r="BK82" i="84" s="1"/>
  <c r="BJ137" i="87"/>
  <c r="BK137" i="87" s="1"/>
  <c r="BJ137" i="86"/>
  <c r="BK137" i="86" s="1"/>
  <c r="BA82" i="86"/>
  <c r="BB82" i="86" s="1"/>
  <c r="BA82" i="87"/>
  <c r="BB82" i="87" s="1"/>
  <c r="BA82" i="85"/>
  <c r="BB82" i="85" s="1"/>
  <c r="BJ137" i="85"/>
  <c r="BK137" i="85" s="1"/>
  <c r="BA82" i="84"/>
  <c r="BB82" i="84" s="1"/>
  <c r="BJ137" i="84"/>
  <c r="BK137" i="84" s="1"/>
  <c r="BA82" i="83"/>
  <c r="BB82" i="83" s="1"/>
  <c r="BJ137" i="83"/>
  <c r="BK137" i="83" s="1"/>
  <c r="BJ133" i="87"/>
  <c r="BK133" i="87" s="1"/>
  <c r="BJ133" i="85"/>
  <c r="BK133" i="85" s="1"/>
  <c r="BJ133" i="86"/>
  <c r="BK133" i="86" s="1"/>
  <c r="BJ133" i="84"/>
  <c r="BK133" i="84" s="1"/>
  <c r="BJ133" i="83"/>
  <c r="BK133" i="83" s="1"/>
  <c r="BJ67" i="87"/>
  <c r="BK67" i="87" s="1"/>
  <c r="BJ73" i="87"/>
  <c r="BK73" i="87" s="1"/>
  <c r="BJ53" i="87"/>
  <c r="BK53" i="87" s="1"/>
  <c r="BJ53" i="85"/>
  <c r="BK53" i="85" s="1"/>
  <c r="BA47" i="85"/>
  <c r="BB47" i="85" s="1"/>
  <c r="BA129" i="67"/>
  <c r="BB129" i="67" s="1"/>
  <c r="BA45" i="83"/>
  <c r="BB45" i="83" s="1"/>
  <c r="BJ116" i="67"/>
  <c r="BK116" i="67" s="1"/>
  <c r="BJ130" i="87"/>
  <c r="BK130" i="87" s="1"/>
  <c r="BJ130" i="86"/>
  <c r="BK130" i="86" s="1"/>
  <c r="BJ130" i="85"/>
  <c r="BK130" i="85" s="1"/>
  <c r="BJ130" i="84"/>
  <c r="BK130" i="84" s="1"/>
  <c r="BJ130" i="83"/>
  <c r="BK130" i="83" s="1"/>
  <c r="BJ92" i="87"/>
  <c r="BK92" i="87" s="1"/>
  <c r="BJ92" i="85"/>
  <c r="BK92" i="85" s="1"/>
  <c r="BJ92" i="86"/>
  <c r="BK92" i="86" s="1"/>
  <c r="BJ92" i="84"/>
  <c r="BK92" i="84" s="1"/>
  <c r="BJ92" i="83"/>
  <c r="BK92" i="83" s="1"/>
  <c r="BA76" i="86"/>
  <c r="BB76" i="86" s="1"/>
  <c r="BA76" i="87"/>
  <c r="BB76" i="87" s="1"/>
  <c r="BA76" i="85"/>
  <c r="BB76" i="85" s="1"/>
  <c r="BA76" i="84"/>
  <c r="BB76" i="84" s="1"/>
  <c r="BA76" i="83"/>
  <c r="BB76" i="83" s="1"/>
  <c r="BK88" i="80"/>
  <c r="BK133" i="73"/>
  <c r="BD36" i="83"/>
  <c r="BF36" i="83" s="1"/>
  <c r="BD36" i="85"/>
  <c r="BD35" i="83"/>
  <c r="BE35" i="83" s="1"/>
  <c r="BD35" i="87"/>
  <c r="BD35" i="85"/>
  <c r="BD35" i="86"/>
  <c r="BD35" i="84"/>
  <c r="BD36" i="86"/>
  <c r="BD36" i="84"/>
  <c r="BD36" i="87"/>
  <c r="BK133" i="71"/>
  <c r="BK125" i="1"/>
  <c r="G119" i="2"/>
  <c r="H119" i="2" s="1"/>
  <c r="AU18" i="83"/>
  <c r="G117" i="2"/>
  <c r="H117" i="2" s="1"/>
  <c r="AU16" i="83"/>
  <c r="G138" i="2"/>
  <c r="H138" i="2" s="1"/>
  <c r="BD32" i="83"/>
  <c r="G61" i="2"/>
  <c r="H61" i="2" s="1"/>
  <c r="BD16" i="83"/>
  <c r="G40" i="2"/>
  <c r="H40" i="2" s="1"/>
  <c r="AU6" i="83"/>
  <c r="BD143" i="83"/>
  <c r="AU92" i="83"/>
  <c r="AU93" i="83"/>
  <c r="G194" i="2"/>
  <c r="H194" i="2" s="1"/>
  <c r="BD142" i="83"/>
  <c r="AU90" i="83"/>
  <c r="AU91" i="83"/>
  <c r="G118" i="2"/>
  <c r="H118" i="2" s="1"/>
  <c r="AU17" i="83"/>
  <c r="G134" i="2"/>
  <c r="H134" i="2" s="1"/>
  <c r="BD28" i="83"/>
  <c r="G79" i="2"/>
  <c r="H79" i="2" s="1"/>
  <c r="BD49" i="83"/>
  <c r="AU29" i="83"/>
  <c r="BD43" i="83"/>
  <c r="AU23" i="83"/>
  <c r="G78" i="2"/>
  <c r="H78" i="2" s="1"/>
  <c r="AU28" i="83"/>
  <c r="BD48" i="83"/>
  <c r="BD42" i="83"/>
  <c r="AU22" i="83"/>
  <c r="AU26" i="83"/>
  <c r="BD46" i="83"/>
  <c r="AU24" i="83"/>
  <c r="BD44" i="83"/>
  <c r="BD27" i="70"/>
  <c r="BF27" i="70" s="1"/>
  <c r="BD41" i="83"/>
  <c r="AU21" i="83"/>
  <c r="BD47" i="83"/>
  <c r="AU27" i="83"/>
  <c r="AU25" i="83"/>
  <c r="BD45" i="83"/>
  <c r="BF139" i="83"/>
  <c r="BE139" i="83"/>
  <c r="BJ139" i="83"/>
  <c r="BK139" i="83" s="1"/>
  <c r="BA87" i="83"/>
  <c r="BB87" i="83" s="1"/>
  <c r="AW87" i="83"/>
  <c r="AV87" i="83"/>
  <c r="BK125" i="66"/>
  <c r="BI99" i="69"/>
  <c r="Y214" i="2" s="1"/>
  <c r="BA121" i="66"/>
  <c r="BB121" i="66" s="1"/>
  <c r="BA106" i="78"/>
  <c r="BB106" i="78" s="1"/>
  <c r="BI102" i="78"/>
  <c r="AO214" i="2" s="1"/>
  <c r="BJ103" i="69"/>
  <c r="BK103" i="69" s="1"/>
  <c r="BA141" i="74"/>
  <c r="BB141" i="74" s="1"/>
  <c r="BA115" i="75"/>
  <c r="BB115" i="75" s="1"/>
  <c r="BJ82" i="1"/>
  <c r="BK82" i="1" s="1"/>
  <c r="BJ82" i="67"/>
  <c r="BK82" i="67" s="1"/>
  <c r="BJ82" i="70"/>
  <c r="BK82" i="70" s="1"/>
  <c r="BJ82" i="74"/>
  <c r="BK82" i="74" s="1"/>
  <c r="BJ82" i="73"/>
  <c r="BK82" i="73" s="1"/>
  <c r="BJ82" i="66"/>
  <c r="BK82" i="66" s="1"/>
  <c r="BJ64" i="69"/>
  <c r="BK64" i="69" s="1"/>
  <c r="BJ82" i="71"/>
  <c r="BK82" i="71" s="1"/>
  <c r="BJ64" i="76"/>
  <c r="BK64" i="76" s="1"/>
  <c r="G301" i="2"/>
  <c r="H301" i="2" s="1"/>
  <c r="BJ64" i="75"/>
  <c r="BK64" i="75" s="1"/>
  <c r="BJ54" i="75"/>
  <c r="BK54" i="75" s="1"/>
  <c r="G280" i="2"/>
  <c r="H280" i="2" s="1"/>
  <c r="BJ61" i="81"/>
  <c r="BK61" i="81" s="1"/>
  <c r="BJ55" i="68"/>
  <c r="BK55" i="68" s="1"/>
  <c r="BJ51" i="82"/>
  <c r="BK51" i="82" s="1"/>
  <c r="BJ68" i="71"/>
  <c r="BK68" i="71" s="1"/>
  <c r="BJ81" i="78"/>
  <c r="BK81" i="78" s="1"/>
  <c r="BA70" i="77"/>
  <c r="BB70" i="77" s="1"/>
  <c r="BJ70" i="77"/>
  <c r="BK70" i="77" s="1"/>
  <c r="G360" i="2"/>
  <c r="H360" i="2" s="1"/>
  <c r="G352" i="2"/>
  <c r="H352" i="2" s="1"/>
  <c r="BJ62" i="77"/>
  <c r="BK62" i="77" s="1"/>
  <c r="BJ117" i="1"/>
  <c r="BK117" i="1" s="1"/>
  <c r="BJ91" i="75"/>
  <c r="BK91" i="75" s="1"/>
  <c r="BJ117" i="66"/>
  <c r="BK117" i="66" s="1"/>
  <c r="BJ91" i="76"/>
  <c r="BK91" i="76" s="1"/>
  <c r="BJ117" i="67"/>
  <c r="BK117" i="67" s="1"/>
  <c r="BJ117" i="74"/>
  <c r="BK117" i="74" s="1"/>
  <c r="BJ92" i="68"/>
  <c r="BK92" i="68" s="1"/>
  <c r="BJ117" i="70"/>
  <c r="BK117" i="70" s="1"/>
  <c r="BJ117" i="71"/>
  <c r="BK117" i="71" s="1"/>
  <c r="BJ117" i="73"/>
  <c r="BK117" i="73" s="1"/>
  <c r="BJ91" i="69"/>
  <c r="BK91" i="69" s="1"/>
  <c r="BJ98" i="71"/>
  <c r="BK98" i="71" s="1"/>
  <c r="G325" i="2"/>
  <c r="H325" i="2" s="1"/>
  <c r="BJ64" i="82"/>
  <c r="BK64" i="82" s="1"/>
  <c r="BJ98" i="66"/>
  <c r="BK98" i="66" s="1"/>
  <c r="BJ78" i="81"/>
  <c r="BK78" i="81" s="1"/>
  <c r="BJ77" i="68"/>
  <c r="BK77" i="68" s="1"/>
  <c r="BJ98" i="70"/>
  <c r="BK98" i="70" s="1"/>
  <c r="BJ98" i="74"/>
  <c r="BK98" i="74" s="1"/>
  <c r="BJ98" i="1"/>
  <c r="BK98" i="1" s="1"/>
  <c r="BJ76" i="76"/>
  <c r="BK76" i="76" s="1"/>
  <c r="BJ51" i="77"/>
  <c r="BK51" i="77" s="1"/>
  <c r="BJ98" i="73"/>
  <c r="BK98" i="73" s="1"/>
  <c r="BJ82" i="80"/>
  <c r="BK82" i="80" s="1"/>
  <c r="BJ98" i="78"/>
  <c r="BK98" i="78" s="1"/>
  <c r="BJ76" i="69"/>
  <c r="BK76" i="69" s="1"/>
  <c r="BJ98" i="67"/>
  <c r="BK98" i="67" s="1"/>
  <c r="BJ76" i="75"/>
  <c r="BK76" i="75" s="1"/>
  <c r="G315" i="2"/>
  <c r="H315" i="2" s="1"/>
  <c r="BJ88" i="67"/>
  <c r="BK88" i="67" s="1"/>
  <c r="BJ88" i="66"/>
  <c r="BK88" i="66" s="1"/>
  <c r="BJ88" i="1"/>
  <c r="BK88" i="1" s="1"/>
  <c r="BJ88" i="78"/>
  <c r="BK88" i="78" s="1"/>
  <c r="BJ88" i="73"/>
  <c r="BK88" i="73" s="1"/>
  <c r="BJ72" i="80"/>
  <c r="BK72" i="80" s="1"/>
  <c r="BJ68" i="81"/>
  <c r="BK68" i="81" s="1"/>
  <c r="BJ88" i="74"/>
  <c r="BK88" i="74" s="1"/>
  <c r="BJ88" i="70"/>
  <c r="BK88" i="70" s="1"/>
  <c r="BJ88" i="71"/>
  <c r="BK88" i="71" s="1"/>
  <c r="BJ116" i="1"/>
  <c r="BK116" i="1" s="1"/>
  <c r="BJ116" i="66"/>
  <c r="BK116" i="66" s="1"/>
  <c r="BJ90" i="69"/>
  <c r="BK90" i="69" s="1"/>
  <c r="G351" i="2"/>
  <c r="H351" i="2" s="1"/>
  <c r="BJ116" i="74"/>
  <c r="BK116" i="74" s="1"/>
  <c r="BJ91" i="68"/>
  <c r="BK91" i="68" s="1"/>
  <c r="BJ61" i="77"/>
  <c r="BK61" i="77" s="1"/>
  <c r="BJ68" i="1"/>
  <c r="BK68" i="1" s="1"/>
  <c r="AZ80" i="1"/>
  <c r="P214" i="2" s="1"/>
  <c r="AZ15" i="74"/>
  <c r="AH71" i="2" s="1"/>
  <c r="BJ68" i="74"/>
  <c r="BK68" i="74" s="1"/>
  <c r="BJ68" i="67"/>
  <c r="BK68" i="67" s="1"/>
  <c r="G297" i="2"/>
  <c r="H297" i="2" s="1"/>
  <c r="BJ78" i="1"/>
  <c r="BK78" i="1" s="1"/>
  <c r="BJ78" i="67"/>
  <c r="BK78" i="67" s="1"/>
  <c r="BJ78" i="73"/>
  <c r="BK78" i="73" s="1"/>
  <c r="BJ78" i="74"/>
  <c r="BK78" i="74" s="1"/>
  <c r="BJ78" i="70"/>
  <c r="BK78" i="70" s="1"/>
  <c r="BA39" i="77"/>
  <c r="BB39" i="77" s="1"/>
  <c r="BA56" i="76"/>
  <c r="BB56" i="76" s="1"/>
  <c r="BA70" i="66"/>
  <c r="BB70" i="66" s="1"/>
  <c r="BA70" i="71"/>
  <c r="BB70" i="71" s="1"/>
  <c r="BA70" i="70"/>
  <c r="BB70" i="70" s="1"/>
  <c r="BA56" i="69"/>
  <c r="BB56" i="69" s="1"/>
  <c r="BA70" i="1"/>
  <c r="BB70" i="1" s="1"/>
  <c r="BA70" i="67"/>
  <c r="BB70" i="67" s="1"/>
  <c r="BA70" i="74"/>
  <c r="BB70" i="74" s="1"/>
  <c r="G336" i="2"/>
  <c r="H336" i="2" s="1"/>
  <c r="BA56" i="75"/>
  <c r="BB56" i="75" s="1"/>
  <c r="BA56" i="68"/>
  <c r="BB56" i="68" s="1"/>
  <c r="BA70" i="73"/>
  <c r="BB70" i="73" s="1"/>
  <c r="BA58" i="74"/>
  <c r="BB58" i="74" s="1"/>
  <c r="BA46" i="69"/>
  <c r="BB46" i="69" s="1"/>
  <c r="BA54" i="78"/>
  <c r="BB54" i="78" s="1"/>
  <c r="BA58" i="66"/>
  <c r="BB58" i="66" s="1"/>
  <c r="G308" i="2"/>
  <c r="H308" i="2" s="1"/>
  <c r="BA46" i="68"/>
  <c r="BB46" i="68" s="1"/>
  <c r="BA31" i="77"/>
  <c r="BB31" i="77" s="1"/>
  <c r="BA36" i="82"/>
  <c r="BB36" i="82" s="1"/>
  <c r="BA58" i="70"/>
  <c r="BB58" i="70" s="1"/>
  <c r="BA45" i="80"/>
  <c r="BB45" i="80" s="1"/>
  <c r="BA58" i="71"/>
  <c r="BB58" i="71" s="1"/>
  <c r="BA58" i="67"/>
  <c r="BB58" i="67" s="1"/>
  <c r="BA58" i="1"/>
  <c r="BB58" i="1" s="1"/>
  <c r="BA46" i="76"/>
  <c r="BB46" i="76" s="1"/>
  <c r="BA44" i="81"/>
  <c r="BB44" i="81" s="1"/>
  <c r="BA58" i="73"/>
  <c r="BB58" i="73" s="1"/>
  <c r="BA46" i="75"/>
  <c r="BB46" i="75" s="1"/>
  <c r="G228" i="2"/>
  <c r="H228" i="2" s="1"/>
  <c r="BA89" i="74"/>
  <c r="BB89" i="74" s="1"/>
  <c r="BA89" i="75"/>
  <c r="BB89" i="75" s="1"/>
  <c r="BJ108" i="75"/>
  <c r="BK108" i="75" s="1"/>
  <c r="BJ134" i="74"/>
  <c r="BK134" i="74" s="1"/>
  <c r="G321" i="2"/>
  <c r="H321" i="2" s="1"/>
  <c r="BJ78" i="80"/>
  <c r="BK78" i="80" s="1"/>
  <c r="BJ94" i="70"/>
  <c r="BK94" i="70" s="1"/>
  <c r="BJ94" i="71"/>
  <c r="BK94" i="71" s="1"/>
  <c r="BJ72" i="69"/>
  <c r="BK72" i="69" s="1"/>
  <c r="BJ94" i="66"/>
  <c r="BK94" i="66" s="1"/>
  <c r="BJ72" i="76"/>
  <c r="BK72" i="76" s="1"/>
  <c r="BJ60" i="82"/>
  <c r="BK60" i="82" s="1"/>
  <c r="BJ47" i="77"/>
  <c r="BK47" i="77" s="1"/>
  <c r="BJ74" i="81"/>
  <c r="BK74" i="81" s="1"/>
  <c r="BJ94" i="73"/>
  <c r="BK94" i="73" s="1"/>
  <c r="BJ73" i="68"/>
  <c r="BK73" i="68" s="1"/>
  <c r="BJ72" i="75"/>
  <c r="BK72" i="75" s="1"/>
  <c r="BJ94" i="1"/>
  <c r="BK94" i="1" s="1"/>
  <c r="BJ94" i="78"/>
  <c r="BK94" i="78" s="1"/>
  <c r="BJ94" i="67"/>
  <c r="BK94" i="67" s="1"/>
  <c r="BJ94" i="74"/>
  <c r="BK94" i="74" s="1"/>
  <c r="BA23" i="75"/>
  <c r="BB23" i="75" s="1"/>
  <c r="BA23" i="68"/>
  <c r="BB23" i="68" s="1"/>
  <c r="BA31" i="73"/>
  <c r="BB31" i="73" s="1"/>
  <c r="BA30" i="80"/>
  <c r="BB30" i="80" s="1"/>
  <c r="BA31" i="1"/>
  <c r="BB31" i="1" s="1"/>
  <c r="BA21" i="82"/>
  <c r="BB21" i="82" s="1"/>
  <c r="BA31" i="66"/>
  <c r="BB31" i="66" s="1"/>
  <c r="BA31" i="70"/>
  <c r="BB31" i="70" s="1"/>
  <c r="BA23" i="69"/>
  <c r="BB23" i="69" s="1"/>
  <c r="G245" i="2"/>
  <c r="H245" i="2" s="1"/>
  <c r="BA31" i="74"/>
  <c r="BB31" i="74" s="1"/>
  <c r="BA27" i="81"/>
  <c r="BB27" i="81" s="1"/>
  <c r="BA37" i="78"/>
  <c r="BB37" i="78" s="1"/>
  <c r="BA31" i="67"/>
  <c r="BB31" i="67" s="1"/>
  <c r="BA31" i="71"/>
  <c r="BB31" i="71" s="1"/>
  <c r="BA23" i="76"/>
  <c r="BB23" i="76" s="1"/>
  <c r="BA136" i="70"/>
  <c r="BB136" i="70" s="1"/>
  <c r="BA130" i="1"/>
  <c r="BB130" i="1" s="1"/>
  <c r="BA73" i="82"/>
  <c r="BB73" i="82" s="1"/>
  <c r="BA107" i="78"/>
  <c r="BB107" i="78" s="1"/>
  <c r="BA122" i="66"/>
  <c r="BB122" i="66" s="1"/>
  <c r="BJ110" i="76"/>
  <c r="BK110" i="76" s="1"/>
  <c r="BA87" i="81"/>
  <c r="BB87" i="81" s="1"/>
  <c r="G364" i="2"/>
  <c r="H364" i="2" s="1"/>
  <c r="BA74" i="77"/>
  <c r="BB74" i="77" s="1"/>
  <c r="BJ74" i="77"/>
  <c r="BK74" i="77" s="1"/>
  <c r="BA91" i="80"/>
  <c r="BB91" i="80" s="1"/>
  <c r="BJ104" i="69"/>
  <c r="BK104" i="69" s="1"/>
  <c r="BJ130" i="67"/>
  <c r="BK130" i="67" s="1"/>
  <c r="BA110" i="76"/>
  <c r="BB110" i="76" s="1"/>
  <c r="BA130" i="67"/>
  <c r="BB130" i="67" s="1"/>
  <c r="BA104" i="69"/>
  <c r="BB104" i="69" s="1"/>
  <c r="BA105" i="68"/>
  <c r="BB105" i="68" s="1"/>
  <c r="BJ73" i="82"/>
  <c r="BK73" i="82" s="1"/>
  <c r="BJ116" i="75"/>
  <c r="BK116" i="75" s="1"/>
  <c r="BA136" i="73"/>
  <c r="BB136" i="73" s="1"/>
  <c r="BJ130" i="1"/>
  <c r="BK130" i="1" s="1"/>
  <c r="BA128" i="71"/>
  <c r="BB128" i="71" s="1"/>
  <c r="BJ136" i="71"/>
  <c r="BK136" i="71" s="1"/>
  <c r="BA142" i="74"/>
  <c r="BB142" i="74" s="1"/>
  <c r="BJ91" i="80"/>
  <c r="BK91" i="80" s="1"/>
  <c r="BJ130" i="66"/>
  <c r="BK130" i="66" s="1"/>
  <c r="BJ105" i="68"/>
  <c r="BK105" i="68" s="1"/>
  <c r="BA116" i="75"/>
  <c r="BB116" i="75" s="1"/>
  <c r="BA51" i="73"/>
  <c r="BB51" i="73" s="1"/>
  <c r="BA51" i="66"/>
  <c r="BB51" i="66" s="1"/>
  <c r="G295" i="2"/>
  <c r="H295" i="2" s="1"/>
  <c r="BA51" i="71"/>
  <c r="BB51" i="71" s="1"/>
  <c r="BA51" i="67"/>
  <c r="BB51" i="67" s="1"/>
  <c r="BA51" i="74"/>
  <c r="BB51" i="74" s="1"/>
  <c r="BA51" i="1"/>
  <c r="BB51" i="1" s="1"/>
  <c r="BA51" i="70"/>
  <c r="BB51" i="70" s="1"/>
  <c r="G290" i="2"/>
  <c r="H290" i="2" s="1"/>
  <c r="BJ104" i="68"/>
  <c r="BK104" i="68" s="1"/>
  <c r="BJ129" i="66"/>
  <c r="BK129" i="66" s="1"/>
  <c r="BJ115" i="75"/>
  <c r="BK115" i="75" s="1"/>
  <c r="BJ73" i="77"/>
  <c r="BK73" i="77" s="1"/>
  <c r="BJ86" i="81"/>
  <c r="BK86" i="81" s="1"/>
  <c r="BJ109" i="76"/>
  <c r="BK109" i="76" s="1"/>
  <c r="BA109" i="76"/>
  <c r="BB109" i="76" s="1"/>
  <c r="BA73" i="77"/>
  <c r="BB73" i="77" s="1"/>
  <c r="BJ129" i="67"/>
  <c r="BK129" i="67" s="1"/>
  <c r="BA135" i="70"/>
  <c r="BB135" i="70" s="1"/>
  <c r="BA127" i="71"/>
  <c r="BB127" i="71" s="1"/>
  <c r="BA86" i="81"/>
  <c r="BB86" i="81" s="1"/>
  <c r="BA135" i="73"/>
  <c r="BB135" i="73" s="1"/>
  <c r="BJ141" i="74"/>
  <c r="BK141" i="74" s="1"/>
  <c r="BA90" i="80"/>
  <c r="BB90" i="80" s="1"/>
  <c r="BJ135" i="73"/>
  <c r="BK135" i="73" s="1"/>
  <c r="BJ129" i="1"/>
  <c r="BK129" i="1" s="1"/>
  <c r="G363" i="2"/>
  <c r="H363" i="2" s="1"/>
  <c r="BJ106" i="78"/>
  <c r="BK106" i="78" s="1"/>
  <c r="BA129" i="1"/>
  <c r="BB129" i="1" s="1"/>
  <c r="BJ135" i="70"/>
  <c r="BK135" i="70" s="1"/>
  <c r="BA103" i="69"/>
  <c r="BB103" i="69" s="1"/>
  <c r="BJ68" i="70"/>
  <c r="BK68" i="70" s="1"/>
  <c r="BJ135" i="71"/>
  <c r="BK135" i="71" s="1"/>
  <c r="BJ116" i="71"/>
  <c r="BK116" i="71" s="1"/>
  <c r="BJ72" i="82"/>
  <c r="BK72" i="82" s="1"/>
  <c r="AZ22" i="74"/>
  <c r="AH78" i="2" s="1"/>
  <c r="BJ54" i="69"/>
  <c r="BK54" i="69" s="1"/>
  <c r="BJ68" i="73"/>
  <c r="BK68" i="73" s="1"/>
  <c r="BJ54" i="76"/>
  <c r="BK54" i="76" s="1"/>
  <c r="BJ119" i="70"/>
  <c r="BK119" i="70" s="1"/>
  <c r="BJ119" i="1"/>
  <c r="BK119" i="1" s="1"/>
  <c r="BJ119" i="66"/>
  <c r="BK119" i="66" s="1"/>
  <c r="BJ119" i="74"/>
  <c r="BK119" i="74" s="1"/>
  <c r="G354" i="2"/>
  <c r="H354" i="2" s="1"/>
  <c r="BJ93" i="76"/>
  <c r="BK93" i="76" s="1"/>
  <c r="BJ119" i="73"/>
  <c r="BK119" i="73" s="1"/>
  <c r="BJ93" i="69"/>
  <c r="BK93" i="69" s="1"/>
  <c r="BJ94" i="68"/>
  <c r="BK94" i="68" s="1"/>
  <c r="BJ93" i="75"/>
  <c r="BK93" i="75" s="1"/>
  <c r="BJ64" i="77"/>
  <c r="BK64" i="77" s="1"/>
  <c r="BJ119" i="71"/>
  <c r="BK119" i="71" s="1"/>
  <c r="BJ119" i="67"/>
  <c r="BK119" i="67" s="1"/>
  <c r="BJ59" i="74"/>
  <c r="BK59" i="74" s="1"/>
  <c r="BJ45" i="75"/>
  <c r="BK45" i="75" s="1"/>
  <c r="BJ52" i="81"/>
  <c r="BK52" i="81" s="1"/>
  <c r="BJ59" i="70"/>
  <c r="BK59" i="70" s="1"/>
  <c r="G266" i="2"/>
  <c r="H266" i="2" s="1"/>
  <c r="BJ42" i="82"/>
  <c r="BK42" i="82" s="1"/>
  <c r="BJ59" i="66"/>
  <c r="BK59" i="66" s="1"/>
  <c r="BJ59" i="1"/>
  <c r="BK59" i="1" s="1"/>
  <c r="BJ60" i="80"/>
  <c r="BK60" i="80" s="1"/>
  <c r="BJ59" i="73"/>
  <c r="BK59" i="73" s="1"/>
  <c r="BJ59" i="67"/>
  <c r="BK59" i="67" s="1"/>
  <c r="BJ72" i="78"/>
  <c r="BK72" i="78" s="1"/>
  <c r="BJ45" i="76"/>
  <c r="BK45" i="76" s="1"/>
  <c r="BJ59" i="71"/>
  <c r="BK59" i="71" s="1"/>
  <c r="BJ45" i="69"/>
  <c r="BK45" i="69" s="1"/>
  <c r="BJ46" i="68"/>
  <c r="BK46" i="68" s="1"/>
  <c r="BA62" i="76"/>
  <c r="BB62" i="76" s="1"/>
  <c r="BA62" i="75"/>
  <c r="BB62" i="75" s="1"/>
  <c r="BJ98" i="68"/>
  <c r="BK98" i="68" s="1"/>
  <c r="BJ97" i="75"/>
  <c r="BK97" i="75" s="1"/>
  <c r="BA76" i="66"/>
  <c r="BB76" i="66" s="1"/>
  <c r="BA76" i="1"/>
  <c r="BB76" i="1" s="1"/>
  <c r="BA62" i="68"/>
  <c r="BB62" i="68" s="1"/>
  <c r="BA76" i="71"/>
  <c r="BB76" i="71" s="1"/>
  <c r="BJ123" i="67"/>
  <c r="BK123" i="67" s="1"/>
  <c r="BJ123" i="73"/>
  <c r="BK123" i="73" s="1"/>
  <c r="BJ123" i="1"/>
  <c r="BK123" i="1" s="1"/>
  <c r="BJ123" i="66"/>
  <c r="BK123" i="66" s="1"/>
  <c r="BA76" i="74"/>
  <c r="BB76" i="74" s="1"/>
  <c r="BJ97" i="69"/>
  <c r="BK97" i="69" s="1"/>
  <c r="BA44" i="77"/>
  <c r="BB44" i="77" s="1"/>
  <c r="BJ97" i="76"/>
  <c r="BK97" i="76" s="1"/>
  <c r="BA76" i="73"/>
  <c r="BB76" i="73" s="1"/>
  <c r="BJ66" i="77"/>
  <c r="BK66" i="77" s="1"/>
  <c r="BA62" i="69"/>
  <c r="BB62" i="69" s="1"/>
  <c r="BA76" i="70"/>
  <c r="BB76" i="70" s="1"/>
  <c r="G358" i="2"/>
  <c r="H358" i="2" s="1"/>
  <c r="BA76" i="67"/>
  <c r="BB76" i="67" s="1"/>
  <c r="BJ123" i="74"/>
  <c r="BK123" i="74" s="1"/>
  <c r="BJ123" i="70"/>
  <c r="BK123" i="70" s="1"/>
  <c r="BJ123" i="71"/>
  <c r="BK123" i="71" s="1"/>
  <c r="G260" i="2"/>
  <c r="H260" i="2" s="1"/>
  <c r="BJ53" i="1"/>
  <c r="BK53" i="1" s="1"/>
  <c r="BJ53" i="66"/>
  <c r="BK53" i="66" s="1"/>
  <c r="BJ46" i="81"/>
  <c r="BK46" i="81" s="1"/>
  <c r="BJ54" i="80"/>
  <c r="BK54" i="80" s="1"/>
  <c r="BJ39" i="76"/>
  <c r="BK39" i="76" s="1"/>
  <c r="BJ66" i="78"/>
  <c r="BK66" i="78" s="1"/>
  <c r="BJ53" i="67"/>
  <c r="BK53" i="67" s="1"/>
  <c r="BJ53" i="74"/>
  <c r="BK53" i="74" s="1"/>
  <c r="BJ39" i="75"/>
  <c r="BK39" i="75" s="1"/>
  <c r="BJ53" i="70"/>
  <c r="BK53" i="70" s="1"/>
  <c r="BJ40" i="68"/>
  <c r="BK40" i="68" s="1"/>
  <c r="BJ25" i="77"/>
  <c r="BK25" i="77" s="1"/>
  <c r="BJ39" i="69"/>
  <c r="BK39" i="69" s="1"/>
  <c r="BJ36" i="82"/>
  <c r="BK36" i="82" s="1"/>
  <c r="BJ53" i="73"/>
  <c r="BK53" i="73" s="1"/>
  <c r="BJ53" i="71"/>
  <c r="BK53" i="71" s="1"/>
  <c r="BA32" i="77"/>
  <c r="BB32" i="77" s="1"/>
  <c r="BA47" i="68"/>
  <c r="BB47" i="68" s="1"/>
  <c r="BA59" i="74"/>
  <c r="BB59" i="74" s="1"/>
  <c r="BA45" i="81"/>
  <c r="BB45" i="81" s="1"/>
  <c r="BA59" i="70"/>
  <c r="BB59" i="70" s="1"/>
  <c r="G309" i="2"/>
  <c r="H309" i="2" s="1"/>
  <c r="BA59" i="1"/>
  <c r="BB59" i="1" s="1"/>
  <c r="BA47" i="75"/>
  <c r="BB47" i="75" s="1"/>
  <c r="BA59" i="71"/>
  <c r="BB59" i="71" s="1"/>
  <c r="BA47" i="69"/>
  <c r="BB47" i="69" s="1"/>
  <c r="BA46" i="80"/>
  <c r="BB46" i="80" s="1"/>
  <c r="BA59" i="66"/>
  <c r="BB59" i="66" s="1"/>
  <c r="BA59" i="73"/>
  <c r="BB59" i="73" s="1"/>
  <c r="BA59" i="67"/>
  <c r="BB59" i="67" s="1"/>
  <c r="BA47" i="76"/>
  <c r="BB47" i="76" s="1"/>
  <c r="BA37" i="82"/>
  <c r="BB37" i="82" s="1"/>
  <c r="BA55" i="78"/>
  <c r="BB55" i="78" s="1"/>
  <c r="BJ90" i="76"/>
  <c r="BK90" i="76" s="1"/>
  <c r="BJ116" i="70"/>
  <c r="BK116" i="70" s="1"/>
  <c r="BA72" i="82"/>
  <c r="BB72" i="82" s="1"/>
  <c r="BJ65" i="68"/>
  <c r="BK65" i="68" s="1"/>
  <c r="G230" i="2"/>
  <c r="H230" i="2" s="1"/>
  <c r="BJ136" i="74"/>
  <c r="BK136" i="74" s="1"/>
  <c r="BJ110" i="75"/>
  <c r="BK110" i="75" s="1"/>
  <c r="BA91" i="74"/>
  <c r="BB91" i="74" s="1"/>
  <c r="BA91" i="75"/>
  <c r="BB91" i="75" s="1"/>
  <c r="G362" i="2"/>
  <c r="H362" i="2" s="1"/>
  <c r="BA114" i="75"/>
  <c r="BB114" i="75" s="1"/>
  <c r="BA105" i="78"/>
  <c r="BB105" i="78" s="1"/>
  <c r="BJ134" i="71"/>
  <c r="BK134" i="71" s="1"/>
  <c r="BJ128" i="67"/>
  <c r="BK128" i="67" s="1"/>
  <c r="BA128" i="1"/>
  <c r="BB128" i="1" s="1"/>
  <c r="BJ134" i="73"/>
  <c r="BK134" i="73" s="1"/>
  <c r="BA71" i="82"/>
  <c r="BB71" i="82" s="1"/>
  <c r="BJ102" i="69"/>
  <c r="BK102" i="69" s="1"/>
  <c r="BJ72" i="77"/>
  <c r="BK72" i="77" s="1"/>
  <c r="BA103" i="68"/>
  <c r="BB103" i="68" s="1"/>
  <c r="BA134" i="70"/>
  <c r="BB134" i="70" s="1"/>
  <c r="BJ140" i="74"/>
  <c r="BK140" i="74" s="1"/>
  <c r="BJ105" i="78"/>
  <c r="BK105" i="78" s="1"/>
  <c r="BJ128" i="66"/>
  <c r="BK128" i="66" s="1"/>
  <c r="BA120" i="66"/>
  <c r="BB120" i="66" s="1"/>
  <c r="BA134" i="73"/>
  <c r="BB134" i="73" s="1"/>
  <c r="BJ85" i="81"/>
  <c r="BK85" i="81" s="1"/>
  <c r="BA126" i="71"/>
  <c r="BB126" i="71" s="1"/>
  <c r="BA72" i="77"/>
  <c r="BB72" i="77" s="1"/>
  <c r="BJ114" i="75"/>
  <c r="BK114" i="75" s="1"/>
  <c r="BJ103" i="68"/>
  <c r="BK103" i="68" s="1"/>
  <c r="BJ108" i="76"/>
  <c r="BK108" i="76" s="1"/>
  <c r="BA102" i="69"/>
  <c r="BB102" i="69" s="1"/>
  <c r="BJ71" i="82"/>
  <c r="BK71" i="82" s="1"/>
  <c r="BA128" i="67"/>
  <c r="BB128" i="67" s="1"/>
  <c r="BJ128" i="1"/>
  <c r="BK128" i="1" s="1"/>
  <c r="BA85" i="81"/>
  <c r="BB85" i="81" s="1"/>
  <c r="BJ89" i="80"/>
  <c r="BK89" i="80" s="1"/>
  <c r="BA108" i="76"/>
  <c r="BB108" i="76" s="1"/>
  <c r="BJ134" i="70"/>
  <c r="BK134" i="70" s="1"/>
  <c r="BA89" i="80"/>
  <c r="BB89" i="80" s="1"/>
  <c r="BA140" i="74"/>
  <c r="BB140" i="74" s="1"/>
  <c r="BJ24" i="74"/>
  <c r="BK24" i="74" s="1"/>
  <c r="BA78" i="73"/>
  <c r="BB78" i="73" s="1"/>
  <c r="BA78" i="74"/>
  <c r="BB78" i="74" s="1"/>
  <c r="BA64" i="68"/>
  <c r="BB64" i="68" s="1"/>
  <c r="BJ100" i="78"/>
  <c r="BK100" i="78" s="1"/>
  <c r="BJ78" i="75"/>
  <c r="BK78" i="75" s="1"/>
  <c r="BJ78" i="69"/>
  <c r="BK78" i="69" s="1"/>
  <c r="BJ78" i="76"/>
  <c r="BK78" i="76" s="1"/>
  <c r="BJ100" i="71"/>
  <c r="BK100" i="71" s="1"/>
  <c r="BJ100" i="70"/>
  <c r="BK100" i="70" s="1"/>
  <c r="BJ84" i="80"/>
  <c r="BK84" i="80" s="1"/>
  <c r="BJ100" i="1"/>
  <c r="BK100" i="1" s="1"/>
  <c r="BJ66" i="82"/>
  <c r="BK66" i="82" s="1"/>
  <c r="BJ100" i="73"/>
  <c r="BK100" i="73" s="1"/>
  <c r="BJ100" i="74"/>
  <c r="BK100" i="74" s="1"/>
  <c r="BJ100" i="67"/>
  <c r="BK100" i="67" s="1"/>
  <c r="G327" i="2"/>
  <c r="H327" i="2" s="1"/>
  <c r="BJ80" i="81"/>
  <c r="BK80" i="81" s="1"/>
  <c r="BJ79" i="68"/>
  <c r="BK79" i="68" s="1"/>
  <c r="BJ100" i="66"/>
  <c r="BK100" i="66" s="1"/>
  <c r="G244" i="2"/>
  <c r="H244" i="2" s="1"/>
  <c r="BA30" i="74"/>
  <c r="BB30" i="74" s="1"/>
  <c r="BA30" i="66"/>
  <c r="BB30" i="66" s="1"/>
  <c r="BA30" i="1"/>
  <c r="BB30" i="1" s="1"/>
  <c r="BA30" i="73"/>
  <c r="BB30" i="73" s="1"/>
  <c r="BA29" i="80"/>
  <c r="BB29" i="80" s="1"/>
  <c r="BA30" i="71"/>
  <c r="BB30" i="71" s="1"/>
  <c r="BA36" i="78"/>
  <c r="BB36" i="78" s="1"/>
  <c r="BA30" i="70"/>
  <c r="BB30" i="70" s="1"/>
  <c r="BA26" i="81"/>
  <c r="BB26" i="81" s="1"/>
  <c r="BA30" i="67"/>
  <c r="BB30" i="67" s="1"/>
  <c r="G238" i="2"/>
  <c r="H238" i="2" s="1"/>
  <c r="BJ39" i="70"/>
  <c r="BK39" i="70" s="1"/>
  <c r="BJ39" i="71"/>
  <c r="BK39" i="71" s="1"/>
  <c r="BJ39" i="74"/>
  <c r="BK39" i="74" s="1"/>
  <c r="BJ39" i="1"/>
  <c r="BK39" i="1" s="1"/>
  <c r="BJ39" i="67"/>
  <c r="BK39" i="67" s="1"/>
  <c r="BJ39" i="66"/>
  <c r="BK39" i="66" s="1"/>
  <c r="BJ39" i="73"/>
  <c r="BK39" i="73" s="1"/>
  <c r="G243" i="2"/>
  <c r="H243" i="2" s="1"/>
  <c r="BA29" i="74"/>
  <c r="BB29" i="74" s="1"/>
  <c r="BA25" i="81"/>
  <c r="BB25" i="81" s="1"/>
  <c r="BA29" i="67"/>
  <c r="BB29" i="67" s="1"/>
  <c r="BA35" i="78"/>
  <c r="BB35" i="78" s="1"/>
  <c r="BA29" i="73"/>
  <c r="BB29" i="73" s="1"/>
  <c r="BA29" i="70"/>
  <c r="BB29" i="70" s="1"/>
  <c r="BA29" i="1"/>
  <c r="BB29" i="1" s="1"/>
  <c r="G68" i="2"/>
  <c r="H68" i="2" s="1"/>
  <c r="BJ24" i="70"/>
  <c r="BK24" i="70" s="1"/>
  <c r="G279" i="2"/>
  <c r="H279" i="2" s="1"/>
  <c r="BJ67" i="74"/>
  <c r="BK67" i="74" s="1"/>
  <c r="BJ68" i="80"/>
  <c r="BK68" i="80" s="1"/>
  <c r="BJ67" i="73"/>
  <c r="BK67" i="73" s="1"/>
  <c r="BJ53" i="69"/>
  <c r="BK53" i="69" s="1"/>
  <c r="BJ53" i="76"/>
  <c r="BK53" i="76" s="1"/>
  <c r="BJ67" i="70"/>
  <c r="BK67" i="70" s="1"/>
  <c r="BJ67" i="66"/>
  <c r="BK67" i="66" s="1"/>
  <c r="BJ67" i="1"/>
  <c r="BK67" i="1" s="1"/>
  <c r="BJ53" i="75"/>
  <c r="BK53" i="75" s="1"/>
  <c r="BJ60" i="81"/>
  <c r="BK60" i="81" s="1"/>
  <c r="BJ54" i="68"/>
  <c r="BK54" i="68" s="1"/>
  <c r="BJ80" i="78"/>
  <c r="BK80" i="78" s="1"/>
  <c r="BJ67" i="67"/>
  <c r="BK67" i="67" s="1"/>
  <c r="BJ50" i="82"/>
  <c r="BK50" i="82" s="1"/>
  <c r="BJ67" i="71"/>
  <c r="BK67" i="71" s="1"/>
  <c r="BA41" i="67"/>
  <c r="BB41" i="67" s="1"/>
  <c r="BA41" i="1"/>
  <c r="BB41" i="1" s="1"/>
  <c r="BA40" i="80"/>
  <c r="BB40" i="80" s="1"/>
  <c r="G271" i="2"/>
  <c r="H271" i="2" s="1"/>
  <c r="BA47" i="78"/>
  <c r="BB47" i="78" s="1"/>
  <c r="BA41" i="74"/>
  <c r="BB41" i="74" s="1"/>
  <c r="BA33" i="76"/>
  <c r="BB33" i="76" s="1"/>
  <c r="BA31" i="82"/>
  <c r="BB31" i="82" s="1"/>
  <c r="BA33" i="75"/>
  <c r="BB33" i="75" s="1"/>
  <c r="BA41" i="70"/>
  <c r="BB41" i="70" s="1"/>
  <c r="BA33" i="68"/>
  <c r="BB33" i="68" s="1"/>
  <c r="BA41" i="73"/>
  <c r="BB41" i="73" s="1"/>
  <c r="BA37" i="81"/>
  <c r="BB37" i="81" s="1"/>
  <c r="BA41" i="66"/>
  <c r="BB41" i="66" s="1"/>
  <c r="BA41" i="71"/>
  <c r="BB41" i="71" s="1"/>
  <c r="BA33" i="69"/>
  <c r="BB33" i="69" s="1"/>
  <c r="G248" i="2"/>
  <c r="H248" i="2" s="1"/>
  <c r="BA17" i="77"/>
  <c r="BB17" i="77" s="1"/>
  <c r="BA24" i="82"/>
  <c r="BB24" i="82" s="1"/>
  <c r="BA30" i="81"/>
  <c r="BB30" i="81" s="1"/>
  <c r="BA34" i="74"/>
  <c r="BB34" i="74" s="1"/>
  <c r="BA34" i="71"/>
  <c r="BB34" i="71" s="1"/>
  <c r="BA34" i="73"/>
  <c r="BB34" i="73" s="1"/>
  <c r="BA26" i="69"/>
  <c r="BB26" i="69" s="1"/>
  <c r="BA34" i="70"/>
  <c r="BB34" i="70" s="1"/>
  <c r="BA26" i="68"/>
  <c r="BB26" i="68" s="1"/>
  <c r="BA34" i="67"/>
  <c r="BB34" i="67" s="1"/>
  <c r="BA33" i="80"/>
  <c r="BB33" i="80" s="1"/>
  <c r="BA34" i="66"/>
  <c r="BB34" i="66" s="1"/>
  <c r="BA40" i="78"/>
  <c r="BB40" i="78" s="1"/>
  <c r="BA26" i="75"/>
  <c r="BB26" i="75" s="1"/>
  <c r="BJ42" i="1"/>
  <c r="BK42" i="1" s="1"/>
  <c r="BJ32" i="69"/>
  <c r="BK32" i="69" s="1"/>
  <c r="BJ32" i="76"/>
  <c r="BK32" i="76" s="1"/>
  <c r="BJ42" i="66"/>
  <c r="BK42" i="66" s="1"/>
  <c r="BJ33" i="68"/>
  <c r="BK33" i="68" s="1"/>
  <c r="BJ42" i="71"/>
  <c r="BK42" i="71" s="1"/>
  <c r="BJ42" i="67"/>
  <c r="BK42" i="67" s="1"/>
  <c r="BJ42" i="74"/>
  <c r="BK42" i="74" s="1"/>
  <c r="BJ42" i="70"/>
  <c r="BK42" i="70" s="1"/>
  <c r="BJ32" i="75"/>
  <c r="BK32" i="75" s="1"/>
  <c r="BJ42" i="73"/>
  <c r="BK42" i="73" s="1"/>
  <c r="G241" i="2"/>
  <c r="H241" i="2" s="1"/>
  <c r="BA35" i="81"/>
  <c r="BB35" i="81" s="1"/>
  <c r="BA39" i="67"/>
  <c r="BB39" i="67" s="1"/>
  <c r="BA39" i="71"/>
  <c r="BB39" i="71" s="1"/>
  <c r="BA31" i="76"/>
  <c r="BB31" i="76" s="1"/>
  <c r="BA31" i="68"/>
  <c r="BB31" i="68" s="1"/>
  <c r="BA39" i="73"/>
  <c r="BB39" i="73" s="1"/>
  <c r="BA45" i="78"/>
  <c r="BB45" i="78" s="1"/>
  <c r="BA21" i="77"/>
  <c r="BB21" i="77" s="1"/>
  <c r="G269" i="2"/>
  <c r="H269" i="2" s="1"/>
  <c r="BA39" i="1"/>
  <c r="BB39" i="1" s="1"/>
  <c r="BA39" i="66"/>
  <c r="BB39" i="66" s="1"/>
  <c r="BA39" i="70"/>
  <c r="BB39" i="70" s="1"/>
  <c r="BA31" i="69"/>
  <c r="BB31" i="69" s="1"/>
  <c r="BA29" i="82"/>
  <c r="BB29" i="82" s="1"/>
  <c r="BA39" i="74"/>
  <c r="BB39" i="74" s="1"/>
  <c r="BA38" i="80"/>
  <c r="BB38" i="80" s="1"/>
  <c r="BA31" i="75"/>
  <c r="BB31" i="75" s="1"/>
  <c r="BJ83" i="1"/>
  <c r="BK83" i="1" s="1"/>
  <c r="BJ66" i="68"/>
  <c r="BK66" i="68" s="1"/>
  <c r="BJ83" i="73"/>
  <c r="BK83" i="73" s="1"/>
  <c r="BJ83" i="71"/>
  <c r="BK83" i="71" s="1"/>
  <c r="BJ65" i="76"/>
  <c r="BK65" i="76" s="1"/>
  <c r="BJ65" i="75"/>
  <c r="BK65" i="75" s="1"/>
  <c r="G302" i="2"/>
  <c r="H302" i="2" s="1"/>
  <c r="BJ83" i="66"/>
  <c r="BK83" i="66" s="1"/>
  <c r="BJ83" i="67"/>
  <c r="BK83" i="67" s="1"/>
  <c r="BJ83" i="74"/>
  <c r="BK83" i="74" s="1"/>
  <c r="BJ83" i="70"/>
  <c r="BK83" i="70" s="1"/>
  <c r="BJ65" i="69"/>
  <c r="BK65" i="69" s="1"/>
  <c r="BA72" i="1"/>
  <c r="BB72" i="1" s="1"/>
  <c r="BA72" i="70"/>
  <c r="BB72" i="70" s="1"/>
  <c r="BA72" i="73"/>
  <c r="BB72" i="73" s="1"/>
  <c r="BA72" i="66"/>
  <c r="BB72" i="66" s="1"/>
  <c r="BA58" i="68"/>
  <c r="BB58" i="68" s="1"/>
  <c r="BA58" i="75"/>
  <c r="BB58" i="75" s="1"/>
  <c r="BA72" i="67"/>
  <c r="BB72" i="67" s="1"/>
  <c r="BA58" i="76"/>
  <c r="BB58" i="76" s="1"/>
  <c r="BA72" i="71"/>
  <c r="BB72" i="71" s="1"/>
  <c r="BA58" i="69"/>
  <c r="BB58" i="69" s="1"/>
  <c r="BA41" i="77"/>
  <c r="BB41" i="77" s="1"/>
  <c r="BA72" i="74"/>
  <c r="BB72" i="74" s="1"/>
  <c r="G338" i="2"/>
  <c r="H338" i="2" s="1"/>
  <c r="BJ90" i="75"/>
  <c r="BK90" i="75" s="1"/>
  <c r="BJ69" i="80"/>
  <c r="BK69" i="80" s="1"/>
  <c r="BI100" i="68"/>
  <c r="W214" i="2" s="1"/>
  <c r="AZ67" i="68"/>
  <c r="V214" i="2" s="1"/>
  <c r="C69" i="2"/>
  <c r="E69" i="2"/>
  <c r="K69" i="2"/>
  <c r="G69" i="2"/>
  <c r="H69" i="2" s="1"/>
  <c r="L69" i="2"/>
  <c r="BD24" i="1"/>
  <c r="BD43" i="78"/>
  <c r="D69" i="2"/>
  <c r="C110" i="2"/>
  <c r="K110" i="2"/>
  <c r="L110" i="2"/>
  <c r="BD24" i="66"/>
  <c r="D110" i="2"/>
  <c r="G110" i="2"/>
  <c r="H110" i="2" s="1"/>
  <c r="E110" i="2"/>
  <c r="BI125" i="1"/>
  <c r="Q214" i="2" s="1"/>
  <c r="C37" i="2"/>
  <c r="D37" i="2"/>
  <c r="E37" i="2"/>
  <c r="K37" i="2"/>
  <c r="L37" i="2"/>
  <c r="BD14" i="77"/>
  <c r="E191" i="2"/>
  <c r="BD20" i="82"/>
  <c r="BD20" i="69"/>
  <c r="D191" i="2"/>
  <c r="K191" i="2"/>
  <c r="L191" i="2"/>
  <c r="C191" i="2"/>
  <c r="BD24" i="81"/>
  <c r="BD24" i="67"/>
  <c r="BD44" i="78"/>
  <c r="C141" i="2"/>
  <c r="BD36" i="80"/>
  <c r="L141" i="2"/>
  <c r="G141" i="2"/>
  <c r="H141" i="2" s="1"/>
  <c r="E141" i="2"/>
  <c r="D141" i="2"/>
  <c r="K141" i="2"/>
  <c r="BD20" i="68"/>
  <c r="E166" i="2"/>
  <c r="C166" i="2"/>
  <c r="L166" i="2"/>
  <c r="K166" i="2"/>
  <c r="D166" i="2"/>
  <c r="BD21" i="68"/>
  <c r="G37" i="2"/>
  <c r="H37" i="2" s="1"/>
  <c r="BD27" i="73"/>
  <c r="BE27" i="73" s="1"/>
  <c r="AU15" i="74"/>
  <c r="BA15" i="74" s="1"/>
  <c r="BB15" i="74" s="1"/>
  <c r="BD27" i="67"/>
  <c r="BE27" i="67" s="1"/>
  <c r="L71" i="2"/>
  <c r="BD27" i="74"/>
  <c r="BE27" i="74" s="1"/>
  <c r="BD31" i="81"/>
  <c r="BJ31" i="81" s="1"/>
  <c r="BK31" i="81" s="1"/>
  <c r="AU15" i="1"/>
  <c r="AW15" i="1" s="1"/>
  <c r="C71" i="2"/>
  <c r="AU15" i="81"/>
  <c r="AV15" i="81" s="1"/>
  <c r="AU15" i="73"/>
  <c r="AW15" i="73" s="1"/>
  <c r="G71" i="2"/>
  <c r="H71" i="2" s="1"/>
  <c r="D71" i="2"/>
  <c r="BD27" i="1"/>
  <c r="BE27" i="1" s="1"/>
  <c r="AU15" i="67"/>
  <c r="BA15" i="67" s="1"/>
  <c r="BB15" i="67" s="1"/>
  <c r="BD27" i="81"/>
  <c r="BF27" i="81" s="1"/>
  <c r="AU25" i="78"/>
  <c r="AV25" i="78" s="1"/>
  <c r="AU15" i="70"/>
  <c r="AV15" i="70" s="1"/>
  <c r="K71" i="2"/>
  <c r="D62" i="2"/>
  <c r="E62" i="2"/>
  <c r="BD17" i="70"/>
  <c r="BD17" i="78"/>
  <c r="L62" i="2"/>
  <c r="C62" i="2"/>
  <c r="BD17" i="1"/>
  <c r="K62" i="2"/>
  <c r="G62" i="2"/>
  <c r="H62" i="2" s="1"/>
  <c r="E39" i="2"/>
  <c r="C39" i="2"/>
  <c r="AU5" i="1"/>
  <c r="L39" i="2"/>
  <c r="AU5" i="78"/>
  <c r="K39" i="2"/>
  <c r="AU5" i="70"/>
  <c r="D39" i="2"/>
  <c r="G39" i="2"/>
  <c r="H39" i="2" s="1"/>
  <c r="K105" i="2"/>
  <c r="D105" i="2"/>
  <c r="BD19" i="71"/>
  <c r="G105" i="2"/>
  <c r="H105" i="2" s="1"/>
  <c r="BD19" i="66"/>
  <c r="BD17" i="80"/>
  <c r="E105" i="2"/>
  <c r="C105" i="2"/>
  <c r="L105" i="2"/>
  <c r="BD11" i="71"/>
  <c r="L97" i="2"/>
  <c r="BD9" i="80"/>
  <c r="E97" i="2"/>
  <c r="K97" i="2"/>
  <c r="D97" i="2"/>
  <c r="BD11" i="66"/>
  <c r="C97" i="2"/>
  <c r="G97" i="2"/>
  <c r="H97" i="2" s="1"/>
  <c r="K154" i="2"/>
  <c r="C154" i="2"/>
  <c r="E154" i="2"/>
  <c r="D154" i="2"/>
  <c r="G154" i="2"/>
  <c r="H154" i="2" s="1"/>
  <c r="L154" i="2"/>
  <c r="BD7" i="68"/>
  <c r="G161" i="2"/>
  <c r="H161" i="2" s="1"/>
  <c r="BD14" i="68"/>
  <c r="K161" i="2"/>
  <c r="D161" i="2"/>
  <c r="L161" i="2"/>
  <c r="E161" i="2"/>
  <c r="C161" i="2"/>
  <c r="BD9" i="71"/>
  <c r="K95" i="2"/>
  <c r="G95" i="2"/>
  <c r="H95" i="2" s="1"/>
  <c r="L95" i="2"/>
  <c r="BD7" i="80"/>
  <c r="C95" i="2"/>
  <c r="D95" i="2"/>
  <c r="BD9" i="66"/>
  <c r="E95" i="2"/>
  <c r="L66" i="2"/>
  <c r="C66" i="2"/>
  <c r="BD21" i="1"/>
  <c r="E66" i="2"/>
  <c r="BD21" i="78"/>
  <c r="K66" i="2"/>
  <c r="G66" i="2"/>
  <c r="H66" i="2" s="1"/>
  <c r="BD21" i="70"/>
  <c r="D66" i="2"/>
  <c r="D187" i="2"/>
  <c r="BD16" i="76"/>
  <c r="BD16" i="69"/>
  <c r="E187" i="2"/>
  <c r="BD16" i="75"/>
  <c r="L187" i="2"/>
  <c r="C187" i="2"/>
  <c r="K187" i="2"/>
  <c r="BD16" i="82"/>
  <c r="G187" i="2"/>
  <c r="H187" i="2" s="1"/>
  <c r="D171" i="2"/>
  <c r="C171" i="2"/>
  <c r="L171" i="2"/>
  <c r="AU8" i="82"/>
  <c r="AU8" i="75"/>
  <c r="AU8" i="69"/>
  <c r="E171" i="2"/>
  <c r="K171" i="2"/>
  <c r="AU8" i="76"/>
  <c r="G171" i="2"/>
  <c r="H171" i="2" s="1"/>
  <c r="D159" i="2"/>
  <c r="E159" i="2"/>
  <c r="C159" i="2"/>
  <c r="BD12" i="68"/>
  <c r="K159" i="2"/>
  <c r="L159" i="2"/>
  <c r="G159" i="2"/>
  <c r="H159" i="2" s="1"/>
  <c r="K101" i="2"/>
  <c r="C101" i="2"/>
  <c r="BD15" i="66"/>
  <c r="D101" i="2"/>
  <c r="L101" i="2"/>
  <c r="E101" i="2"/>
  <c r="G101" i="2"/>
  <c r="H101" i="2" s="1"/>
  <c r="BD13" i="80"/>
  <c r="BD15" i="71"/>
  <c r="G135" i="2"/>
  <c r="H135" i="2" s="1"/>
  <c r="BD18" i="67"/>
  <c r="K135" i="2"/>
  <c r="BD18" i="81"/>
  <c r="BD18" i="74"/>
  <c r="E135" i="2"/>
  <c r="BD37" i="78"/>
  <c r="C135" i="2"/>
  <c r="D135" i="2"/>
  <c r="BD31" i="80"/>
  <c r="L135" i="2"/>
  <c r="BD18" i="73"/>
  <c r="BD13" i="82"/>
  <c r="BD13" i="69"/>
  <c r="E184" i="2"/>
  <c r="K184" i="2"/>
  <c r="C184" i="2"/>
  <c r="L184" i="2"/>
  <c r="BD13" i="76"/>
  <c r="BD13" i="75"/>
  <c r="D184" i="2"/>
  <c r="G184" i="2"/>
  <c r="H184" i="2" s="1"/>
  <c r="BD20" i="78"/>
  <c r="L65" i="2"/>
  <c r="E65" i="2"/>
  <c r="BD20" i="1"/>
  <c r="BD20" i="70"/>
  <c r="G65" i="2"/>
  <c r="H65" i="2" s="1"/>
  <c r="C65" i="2"/>
  <c r="D65" i="2"/>
  <c r="K65" i="2"/>
  <c r="K30" i="2"/>
  <c r="G30" i="2"/>
  <c r="H30" i="2" s="1"/>
  <c r="E30" i="2"/>
  <c r="BD6" i="77"/>
  <c r="D30" i="2"/>
  <c r="L30" i="2"/>
  <c r="C30" i="2"/>
  <c r="E146" i="2"/>
  <c r="K146" i="2"/>
  <c r="L146" i="2"/>
  <c r="AU8" i="68"/>
  <c r="C146" i="2"/>
  <c r="D58" i="2"/>
  <c r="BD13" i="70"/>
  <c r="BD13" i="1"/>
  <c r="K58" i="2"/>
  <c r="E58" i="2"/>
  <c r="BD13" i="78"/>
  <c r="L58" i="2"/>
  <c r="C58" i="2"/>
  <c r="G58" i="2"/>
  <c r="H58" i="2" s="1"/>
  <c r="G146" i="2"/>
  <c r="H146" i="2" s="1"/>
  <c r="AU13" i="77"/>
  <c r="AU17" i="68"/>
  <c r="BD28" i="68"/>
  <c r="AU21" i="70"/>
  <c r="BD20" i="77"/>
  <c r="AU21" i="1"/>
  <c r="BD33" i="70"/>
  <c r="BD33" i="71"/>
  <c r="AU21" i="66"/>
  <c r="BD44" i="80"/>
  <c r="L77" i="2"/>
  <c r="AU31" i="78"/>
  <c r="BD53" i="78"/>
  <c r="G77" i="2"/>
  <c r="H77" i="2" s="1"/>
  <c r="D77" i="2"/>
  <c r="C77" i="2"/>
  <c r="BD33" i="81"/>
  <c r="AU21" i="71"/>
  <c r="AU26" i="80"/>
  <c r="BD33" i="1"/>
  <c r="AU21" i="73"/>
  <c r="K77" i="2"/>
  <c r="AU21" i="81"/>
  <c r="BD33" i="67"/>
  <c r="BD33" i="73"/>
  <c r="AU21" i="74"/>
  <c r="AU21" i="67"/>
  <c r="E77" i="2"/>
  <c r="BD33" i="66"/>
  <c r="BD33" i="74"/>
  <c r="BD8" i="69"/>
  <c r="C179" i="2"/>
  <c r="K179" i="2"/>
  <c r="L179" i="2"/>
  <c r="BD8" i="75"/>
  <c r="BD8" i="76"/>
  <c r="D179" i="2"/>
  <c r="BD8" i="82"/>
  <c r="E179" i="2"/>
  <c r="G179" i="2"/>
  <c r="H179" i="2" s="1"/>
  <c r="AU83" i="76"/>
  <c r="K196" i="2"/>
  <c r="BD128" i="73"/>
  <c r="E196" i="2"/>
  <c r="L196" i="2"/>
  <c r="D196" i="2"/>
  <c r="AU83" i="73"/>
  <c r="C196" i="2"/>
  <c r="G196" i="2"/>
  <c r="H196" i="2" s="1"/>
  <c r="BD102" i="76"/>
  <c r="AU5" i="67"/>
  <c r="G112" i="2"/>
  <c r="H112" i="2" s="1"/>
  <c r="L112" i="2"/>
  <c r="K112" i="2"/>
  <c r="C112" i="2"/>
  <c r="AU5" i="74"/>
  <c r="E112" i="2"/>
  <c r="AU5" i="73"/>
  <c r="AU15" i="78"/>
  <c r="D112" i="2"/>
  <c r="AU5" i="81"/>
  <c r="AU18" i="78"/>
  <c r="E115" i="2"/>
  <c r="AU8" i="67"/>
  <c r="L115" i="2"/>
  <c r="C115" i="2"/>
  <c r="AU15" i="80"/>
  <c r="AU8" i="81"/>
  <c r="AU8" i="73"/>
  <c r="K115" i="2"/>
  <c r="D115" i="2"/>
  <c r="AU8" i="74"/>
  <c r="G115" i="2"/>
  <c r="H115" i="2" s="1"/>
  <c r="D35" i="2"/>
  <c r="K35" i="2"/>
  <c r="E35" i="2"/>
  <c r="G35" i="2"/>
  <c r="H35" i="2" s="1"/>
  <c r="L35" i="2"/>
  <c r="BD11" i="77"/>
  <c r="C35" i="2"/>
  <c r="D86" i="2"/>
  <c r="AU10" i="66"/>
  <c r="C86" i="2"/>
  <c r="AU10" i="71"/>
  <c r="L86" i="2"/>
  <c r="AU9" i="80"/>
  <c r="E86" i="2"/>
  <c r="K86" i="2"/>
  <c r="G86" i="2"/>
  <c r="H86" i="2" s="1"/>
  <c r="D47" i="2"/>
  <c r="AU13" i="78"/>
  <c r="AU13" i="1"/>
  <c r="E47" i="2"/>
  <c r="L47" i="2"/>
  <c r="G47" i="2"/>
  <c r="H47" i="2" s="1"/>
  <c r="K47" i="2"/>
  <c r="C47" i="2"/>
  <c r="AU13" i="70"/>
  <c r="D104" i="2"/>
  <c r="C104" i="2"/>
  <c r="G104" i="2"/>
  <c r="H104" i="2" s="1"/>
  <c r="BD18" i="71"/>
  <c r="BD16" i="80"/>
  <c r="E104" i="2"/>
  <c r="BD18" i="66"/>
  <c r="L104" i="2"/>
  <c r="K104" i="2"/>
  <c r="G205" i="2"/>
  <c r="H205" i="2" s="1"/>
  <c r="D205" i="2"/>
  <c r="C205" i="2"/>
  <c r="E205" i="2"/>
  <c r="K205" i="2"/>
  <c r="BD131" i="71"/>
  <c r="L205" i="2"/>
  <c r="D94" i="2"/>
  <c r="BD8" i="71"/>
  <c r="C94" i="2"/>
  <c r="BD6" i="80"/>
  <c r="BD8" i="66"/>
  <c r="L94" i="2"/>
  <c r="G94" i="2"/>
  <c r="H94" i="2" s="1"/>
  <c r="E94" i="2"/>
  <c r="K94" i="2"/>
  <c r="K132" i="2"/>
  <c r="BD28" i="80"/>
  <c r="C132" i="2"/>
  <c r="BD15" i="81"/>
  <c r="D132" i="2"/>
  <c r="BD15" i="74"/>
  <c r="BD15" i="73"/>
  <c r="L132" i="2"/>
  <c r="BD15" i="67"/>
  <c r="E132" i="2"/>
  <c r="BD34" i="78"/>
  <c r="G132" i="2"/>
  <c r="H132" i="2" s="1"/>
  <c r="K55" i="2"/>
  <c r="G55" i="2"/>
  <c r="H55" i="2" s="1"/>
  <c r="L55" i="2"/>
  <c r="D55" i="2"/>
  <c r="BD10" i="78"/>
  <c r="C55" i="2"/>
  <c r="BD10" i="70"/>
  <c r="E55" i="2"/>
  <c r="BD10" i="1"/>
  <c r="L199" i="2"/>
  <c r="E199" i="2"/>
  <c r="K199" i="2"/>
  <c r="D199" i="2"/>
  <c r="C199" i="2"/>
  <c r="AU94" i="71"/>
  <c r="G199" i="2"/>
  <c r="H199" i="2" s="1"/>
  <c r="C178" i="2"/>
  <c r="E178" i="2"/>
  <c r="D178" i="2"/>
  <c r="BD7" i="75"/>
  <c r="BD7" i="76"/>
  <c r="BD7" i="69"/>
  <c r="BD7" i="82"/>
  <c r="G178" i="2"/>
  <c r="H178" i="2" s="1"/>
  <c r="K178" i="2"/>
  <c r="L178" i="2"/>
  <c r="K200" i="2"/>
  <c r="E200" i="2"/>
  <c r="G200" i="2"/>
  <c r="H200" i="2" s="1"/>
  <c r="AU84" i="73"/>
  <c r="D200" i="2"/>
  <c r="L200" i="2"/>
  <c r="C200" i="2"/>
  <c r="C120" i="2"/>
  <c r="AU13" i="74"/>
  <c r="AU13" i="73"/>
  <c r="AU23" i="78"/>
  <c r="K120" i="2"/>
  <c r="AU13" i="67"/>
  <c r="D120" i="2"/>
  <c r="E120" i="2"/>
  <c r="L120" i="2"/>
  <c r="AU13" i="81"/>
  <c r="G120" i="2"/>
  <c r="H120" i="2" s="1"/>
  <c r="AU83" i="75"/>
  <c r="BD128" i="74"/>
  <c r="BD102" i="75"/>
  <c r="G210" i="2"/>
  <c r="H210" i="2" s="1"/>
  <c r="C210" i="2"/>
  <c r="E210" i="2"/>
  <c r="K210" i="2"/>
  <c r="D210" i="2"/>
  <c r="L210" i="2"/>
  <c r="AU83" i="74"/>
  <c r="E163" i="2"/>
  <c r="C163" i="2"/>
  <c r="L163" i="2"/>
  <c r="K163" i="2"/>
  <c r="D163" i="2"/>
  <c r="BD16" i="68"/>
  <c r="BD8" i="77"/>
  <c r="E32" i="2"/>
  <c r="K32" i="2"/>
  <c r="L32" i="2"/>
  <c r="D32" i="2"/>
  <c r="C32" i="2"/>
  <c r="E96" i="2"/>
  <c r="BD10" i="66"/>
  <c r="BD8" i="80"/>
  <c r="C96" i="2"/>
  <c r="BD10" i="71"/>
  <c r="D96" i="2"/>
  <c r="K96" i="2"/>
  <c r="L96" i="2"/>
  <c r="L181" i="2"/>
  <c r="BD10" i="75"/>
  <c r="K181" i="2"/>
  <c r="D181" i="2"/>
  <c r="G181" i="2"/>
  <c r="H181" i="2" s="1"/>
  <c r="BD10" i="82"/>
  <c r="E181" i="2"/>
  <c r="BD10" i="69"/>
  <c r="BD10" i="76"/>
  <c r="C181" i="2"/>
  <c r="L113" i="2"/>
  <c r="C113" i="2"/>
  <c r="AU6" i="74"/>
  <c r="AU6" i="67"/>
  <c r="AU6" i="81"/>
  <c r="K113" i="2"/>
  <c r="AU6" i="73"/>
  <c r="G113" i="2"/>
  <c r="H113" i="2" s="1"/>
  <c r="D113" i="2"/>
  <c r="AU13" i="80"/>
  <c r="AU16" i="78"/>
  <c r="E113" i="2"/>
  <c r="E67" i="2"/>
  <c r="BD22" i="1"/>
  <c r="G67" i="2"/>
  <c r="H67" i="2" s="1"/>
  <c r="BD22" i="70"/>
  <c r="D67" i="2"/>
  <c r="BD22" i="78"/>
  <c r="K67" i="2"/>
  <c r="C67" i="2"/>
  <c r="L67" i="2"/>
  <c r="E50" i="2"/>
  <c r="K50" i="2"/>
  <c r="BD5" i="1"/>
  <c r="G50" i="2"/>
  <c r="H50" i="2" s="1"/>
  <c r="D50" i="2"/>
  <c r="C50" i="2"/>
  <c r="BD5" i="78"/>
  <c r="BD5" i="70"/>
  <c r="L50" i="2"/>
  <c r="C118" i="2"/>
  <c r="AU18" i="80"/>
  <c r="AU21" i="78"/>
  <c r="AU11" i="81"/>
  <c r="AU11" i="74"/>
  <c r="K118" i="2"/>
  <c r="AU11" i="73"/>
  <c r="E118" i="2"/>
  <c r="D118" i="2"/>
  <c r="AU11" i="67"/>
  <c r="L118" i="2"/>
  <c r="AU9" i="66"/>
  <c r="K85" i="2"/>
  <c r="E85" i="2"/>
  <c r="AU8" i="80"/>
  <c r="G85" i="2"/>
  <c r="H85" i="2" s="1"/>
  <c r="L85" i="2"/>
  <c r="D85" i="2"/>
  <c r="AU9" i="71"/>
  <c r="C85" i="2"/>
  <c r="AU6" i="69"/>
  <c r="D169" i="2"/>
  <c r="L169" i="2"/>
  <c r="K169" i="2"/>
  <c r="AU6" i="76"/>
  <c r="AU6" i="82"/>
  <c r="E169" i="2"/>
  <c r="C169" i="2"/>
  <c r="AU6" i="75"/>
  <c r="E149" i="2"/>
  <c r="D149" i="2"/>
  <c r="C149" i="2"/>
  <c r="K149" i="2"/>
  <c r="AU11" i="68"/>
  <c r="G149" i="2"/>
  <c r="H149" i="2" s="1"/>
  <c r="L149" i="2"/>
  <c r="BD10" i="68"/>
  <c r="L157" i="2"/>
  <c r="C157" i="2"/>
  <c r="E157" i="2"/>
  <c r="D157" i="2"/>
  <c r="K157" i="2"/>
  <c r="G157" i="2"/>
  <c r="H157" i="2" s="1"/>
  <c r="C56" i="2"/>
  <c r="K56" i="2"/>
  <c r="BD11" i="70"/>
  <c r="L56" i="2"/>
  <c r="BD11" i="78"/>
  <c r="E56" i="2"/>
  <c r="D56" i="2"/>
  <c r="BD11" i="1"/>
  <c r="G56" i="2"/>
  <c r="H56" i="2" s="1"/>
  <c r="C144" i="2"/>
  <c r="G144" i="2"/>
  <c r="H144" i="2" s="1"/>
  <c r="L144" i="2"/>
  <c r="AU6" i="68"/>
  <c r="K144" i="2"/>
  <c r="D144" i="2"/>
  <c r="E144" i="2"/>
  <c r="D33" i="2"/>
  <c r="E33" i="2"/>
  <c r="K33" i="2"/>
  <c r="G33" i="2"/>
  <c r="H33" i="2" s="1"/>
  <c r="C33" i="2"/>
  <c r="BD9" i="77"/>
  <c r="L33" i="2"/>
  <c r="D204" i="2"/>
  <c r="E204" i="2"/>
  <c r="C204" i="2"/>
  <c r="K204" i="2"/>
  <c r="L204" i="2"/>
  <c r="BD131" i="70"/>
  <c r="G204" i="2"/>
  <c r="H204" i="2" s="1"/>
  <c r="L134" i="2"/>
  <c r="D134" i="2"/>
  <c r="E134" i="2"/>
  <c r="BD36" i="78"/>
  <c r="BD30" i="80"/>
  <c r="BD17" i="73"/>
  <c r="BD17" i="81"/>
  <c r="C134" i="2"/>
  <c r="BD17" i="67"/>
  <c r="BD17" i="74"/>
  <c r="K134" i="2"/>
  <c r="C156" i="2"/>
  <c r="D156" i="2"/>
  <c r="E156" i="2"/>
  <c r="K156" i="2"/>
  <c r="L156" i="2"/>
  <c r="BD9" i="68"/>
  <c r="BD47" i="78"/>
  <c r="E71" i="2"/>
  <c r="BD52" i="78"/>
  <c r="C76" i="2"/>
  <c r="AU30" i="78"/>
  <c r="BD32" i="74"/>
  <c r="BD27" i="68"/>
  <c r="AU25" i="80"/>
  <c r="AU20" i="1"/>
  <c r="AU20" i="71"/>
  <c r="AU20" i="73"/>
  <c r="BD32" i="81"/>
  <c r="BD32" i="1"/>
  <c r="E76" i="2"/>
  <c r="AU20" i="81"/>
  <c r="L76" i="2"/>
  <c r="BD32" i="66"/>
  <c r="G76" i="2"/>
  <c r="H76" i="2" s="1"/>
  <c r="BD43" i="80"/>
  <c r="AU20" i="66"/>
  <c r="K76" i="2"/>
  <c r="BD32" i="67"/>
  <c r="D76" i="2"/>
  <c r="BD32" i="71"/>
  <c r="BD19" i="77"/>
  <c r="AU12" i="77"/>
  <c r="BD32" i="70"/>
  <c r="AU20" i="70"/>
  <c r="AU16" i="68"/>
  <c r="BD32" i="73"/>
  <c r="AU20" i="74"/>
  <c r="AU20" i="67"/>
  <c r="D165" i="2"/>
  <c r="C165" i="2"/>
  <c r="K165" i="2"/>
  <c r="BD18" i="68"/>
  <c r="G165" i="2"/>
  <c r="H165" i="2" s="1"/>
  <c r="L165" i="2"/>
  <c r="E165" i="2"/>
  <c r="AU9" i="82"/>
  <c r="AU9" i="75"/>
  <c r="C172" i="2"/>
  <c r="G172" i="2"/>
  <c r="H172" i="2" s="1"/>
  <c r="K172" i="2"/>
  <c r="AU9" i="69"/>
  <c r="E172" i="2"/>
  <c r="L172" i="2"/>
  <c r="D172" i="2"/>
  <c r="AU9" i="76"/>
  <c r="E168" i="2"/>
  <c r="D168" i="2"/>
  <c r="AU5" i="76"/>
  <c r="AU5" i="75"/>
  <c r="AU5" i="69"/>
  <c r="L168" i="2"/>
  <c r="K168" i="2"/>
  <c r="C168" i="2"/>
  <c r="AU5" i="82"/>
  <c r="BD14" i="67"/>
  <c r="K131" i="2"/>
  <c r="BD33" i="78"/>
  <c r="BD14" i="73"/>
  <c r="D131" i="2"/>
  <c r="BD14" i="81"/>
  <c r="BD27" i="80"/>
  <c r="L131" i="2"/>
  <c r="E131" i="2"/>
  <c r="C131" i="2"/>
  <c r="BD14" i="74"/>
  <c r="G131" i="2"/>
  <c r="H131" i="2" s="1"/>
  <c r="D87" i="2"/>
  <c r="AU10" i="80"/>
  <c r="C87" i="2"/>
  <c r="G87" i="2"/>
  <c r="H87" i="2" s="1"/>
  <c r="E87" i="2"/>
  <c r="L87" i="2"/>
  <c r="K87" i="2"/>
  <c r="AU11" i="66"/>
  <c r="AU11" i="71"/>
  <c r="BD9" i="69"/>
  <c r="C180" i="2"/>
  <c r="D180" i="2"/>
  <c r="BD9" i="75"/>
  <c r="G180" i="2"/>
  <c r="H180" i="2" s="1"/>
  <c r="K180" i="2"/>
  <c r="BD9" i="76"/>
  <c r="BD9" i="82"/>
  <c r="L180" i="2"/>
  <c r="E180" i="2"/>
  <c r="BD9" i="74"/>
  <c r="E126" i="2"/>
  <c r="C126" i="2"/>
  <c r="BD9" i="73"/>
  <c r="BD28" i="78"/>
  <c r="K126" i="2"/>
  <c r="G126" i="2"/>
  <c r="H126" i="2" s="1"/>
  <c r="L126" i="2"/>
  <c r="D126" i="2"/>
  <c r="BD9" i="67"/>
  <c r="BD9" i="81"/>
  <c r="BD22" i="80"/>
  <c r="BD15" i="76"/>
  <c r="BD15" i="69"/>
  <c r="BD15" i="82"/>
  <c r="E186" i="2"/>
  <c r="C186" i="2"/>
  <c r="G186" i="2"/>
  <c r="H186" i="2" s="1"/>
  <c r="L186" i="2"/>
  <c r="BD15" i="75"/>
  <c r="D186" i="2"/>
  <c r="K186" i="2"/>
  <c r="C170" i="2"/>
  <c r="AU7" i="69"/>
  <c r="E170" i="2"/>
  <c r="K170" i="2"/>
  <c r="L170" i="2"/>
  <c r="AU7" i="75"/>
  <c r="AU7" i="82"/>
  <c r="G170" i="2"/>
  <c r="H170" i="2" s="1"/>
  <c r="AU7" i="76"/>
  <c r="D170" i="2"/>
  <c r="AU84" i="76"/>
  <c r="D201" i="2"/>
  <c r="K201" i="2"/>
  <c r="E201" i="2"/>
  <c r="L201" i="2"/>
  <c r="C201" i="2"/>
  <c r="D34" i="2"/>
  <c r="BD10" i="77"/>
  <c r="K34" i="2"/>
  <c r="C34" i="2"/>
  <c r="E34" i="2"/>
  <c r="L34" i="2"/>
  <c r="D158" i="2"/>
  <c r="G158" i="2"/>
  <c r="H158" i="2" s="1"/>
  <c r="L158" i="2"/>
  <c r="BD11" i="68"/>
  <c r="K158" i="2"/>
  <c r="C158" i="2"/>
  <c r="E158" i="2"/>
  <c r="BD16" i="81"/>
  <c r="BD35" i="78"/>
  <c r="BD16" i="67"/>
  <c r="L133" i="2"/>
  <c r="D133" i="2"/>
  <c r="C133" i="2"/>
  <c r="E133" i="2"/>
  <c r="G133" i="2"/>
  <c r="H133" i="2" s="1"/>
  <c r="K133" i="2"/>
  <c r="BD16" i="73"/>
  <c r="BD16" i="74"/>
  <c r="BD29" i="80"/>
  <c r="AU10" i="68"/>
  <c r="C148" i="2"/>
  <c r="K148" i="2"/>
  <c r="L148" i="2"/>
  <c r="D148" i="2"/>
  <c r="G148" i="2"/>
  <c r="H148" i="2" s="1"/>
  <c r="E148" i="2"/>
  <c r="C164" i="2"/>
  <c r="D164" i="2"/>
  <c r="K164" i="2"/>
  <c r="L164" i="2"/>
  <c r="G164" i="2"/>
  <c r="H164" i="2" s="1"/>
  <c r="E164" i="2"/>
  <c r="BD17" i="68"/>
  <c r="K128" i="2"/>
  <c r="BD11" i="74"/>
  <c r="BD30" i="78"/>
  <c r="BD11" i="73"/>
  <c r="BD24" i="80"/>
  <c r="E128" i="2"/>
  <c r="BD11" i="81"/>
  <c r="G128" i="2"/>
  <c r="H128" i="2" s="1"/>
  <c r="C128" i="2"/>
  <c r="L128" i="2"/>
  <c r="D128" i="2"/>
  <c r="BD11" i="67"/>
  <c r="C53" i="2"/>
  <c r="BD8" i="70"/>
  <c r="E53" i="2"/>
  <c r="G53" i="2"/>
  <c r="H53" i="2" s="1"/>
  <c r="L53" i="2"/>
  <c r="BD8" i="78"/>
  <c r="BD8" i="1"/>
  <c r="K53" i="2"/>
  <c r="D53" i="2"/>
  <c r="G41" i="2"/>
  <c r="H41" i="2" s="1"/>
  <c r="E41" i="2"/>
  <c r="AU7" i="1"/>
  <c r="AU7" i="70"/>
  <c r="L41" i="2"/>
  <c r="D41" i="2"/>
  <c r="AU7" i="78"/>
  <c r="C41" i="2"/>
  <c r="K41" i="2"/>
  <c r="AU19" i="71"/>
  <c r="D75" i="2"/>
  <c r="AU19" i="74"/>
  <c r="E75" i="2"/>
  <c r="BD51" i="78"/>
  <c r="AU24" i="80"/>
  <c r="G75" i="2"/>
  <c r="H75" i="2" s="1"/>
  <c r="BD31" i="1"/>
  <c r="BD26" i="68"/>
  <c r="BD31" i="66"/>
  <c r="L75" i="2"/>
  <c r="BD31" i="73"/>
  <c r="K75" i="2"/>
  <c r="AU15" i="68"/>
  <c r="BD31" i="74"/>
  <c r="AU29" i="78"/>
  <c r="BD31" i="70"/>
  <c r="C75" i="2"/>
  <c r="AU19" i="70"/>
  <c r="AU19" i="1"/>
  <c r="BD31" i="71"/>
  <c r="BD31" i="67"/>
  <c r="AU19" i="67"/>
  <c r="BD42" i="80"/>
  <c r="AU11" i="77"/>
  <c r="AU19" i="73"/>
  <c r="BD18" i="77"/>
  <c r="AU19" i="66"/>
  <c r="AU19" i="81"/>
  <c r="BD35" i="73"/>
  <c r="D79" i="2"/>
  <c r="E79" i="2"/>
  <c r="BD35" i="74"/>
  <c r="BD35" i="1"/>
  <c r="BD55" i="78"/>
  <c r="BD35" i="67"/>
  <c r="AU23" i="74"/>
  <c r="BD35" i="81"/>
  <c r="K79" i="2"/>
  <c r="C79" i="2"/>
  <c r="BD35" i="70"/>
  <c r="L79" i="2"/>
  <c r="AU23" i="1"/>
  <c r="AU23" i="70"/>
  <c r="AU23" i="81"/>
  <c r="AU23" i="73"/>
  <c r="AU33" i="78"/>
  <c r="BD30" i="68"/>
  <c r="AU19" i="68"/>
  <c r="AU23" i="67"/>
  <c r="G177" i="2"/>
  <c r="H177" i="2" s="1"/>
  <c r="K177" i="2"/>
  <c r="D177" i="2"/>
  <c r="E177" i="2"/>
  <c r="C177" i="2"/>
  <c r="L177" i="2"/>
  <c r="BD6" i="69"/>
  <c r="BD6" i="75"/>
  <c r="BD6" i="82"/>
  <c r="BD6" i="76"/>
  <c r="C40" i="2"/>
  <c r="AU6" i="1"/>
  <c r="L40" i="2"/>
  <c r="K40" i="2"/>
  <c r="AU6" i="78"/>
  <c r="D40" i="2"/>
  <c r="E40" i="2"/>
  <c r="AU6" i="70"/>
  <c r="L182" i="2"/>
  <c r="D182" i="2"/>
  <c r="G182" i="2"/>
  <c r="H182" i="2" s="1"/>
  <c r="BD11" i="75"/>
  <c r="C182" i="2"/>
  <c r="E182" i="2"/>
  <c r="BD11" i="69"/>
  <c r="K182" i="2"/>
  <c r="BD11" i="82"/>
  <c r="BD11" i="76"/>
  <c r="C23" i="2"/>
  <c r="AU5" i="77"/>
  <c r="K23" i="2"/>
  <c r="L23" i="2"/>
  <c r="E23" i="2"/>
  <c r="D23" i="2"/>
  <c r="C29" i="2"/>
  <c r="BD5" i="77"/>
  <c r="D29" i="2"/>
  <c r="E29" i="2"/>
  <c r="L29" i="2"/>
  <c r="K29" i="2"/>
  <c r="G29" i="2"/>
  <c r="H29" i="2" s="1"/>
  <c r="G160" i="2"/>
  <c r="H160" i="2" s="1"/>
  <c r="K160" i="2"/>
  <c r="D160" i="2"/>
  <c r="L160" i="2"/>
  <c r="E160" i="2"/>
  <c r="C160" i="2"/>
  <c r="BD13" i="68"/>
  <c r="C26" i="2"/>
  <c r="G26" i="2"/>
  <c r="H26" i="2" s="1"/>
  <c r="L26" i="2"/>
  <c r="AU8" i="77"/>
  <c r="D26" i="2"/>
  <c r="E26" i="2"/>
  <c r="K26" i="2"/>
  <c r="BD41" i="78"/>
  <c r="L139" i="2"/>
  <c r="BD22" i="67"/>
  <c r="BD22" i="81"/>
  <c r="BD22" i="73"/>
  <c r="D139" i="2"/>
  <c r="K139" i="2"/>
  <c r="G139" i="2"/>
  <c r="H139" i="2" s="1"/>
  <c r="C139" i="2"/>
  <c r="E139" i="2"/>
  <c r="BD22" i="74"/>
  <c r="AU7" i="80"/>
  <c r="K84" i="2"/>
  <c r="D84" i="2"/>
  <c r="C84" i="2"/>
  <c r="E84" i="2"/>
  <c r="AU8" i="71"/>
  <c r="L84" i="2"/>
  <c r="AU8" i="66"/>
  <c r="AU12" i="70"/>
  <c r="E46" i="2"/>
  <c r="AU12" i="78"/>
  <c r="L46" i="2"/>
  <c r="K46" i="2"/>
  <c r="C46" i="2"/>
  <c r="AU12" i="1"/>
  <c r="G46" i="2"/>
  <c r="H46" i="2" s="1"/>
  <c r="D46" i="2"/>
  <c r="D82" i="2"/>
  <c r="E82" i="2"/>
  <c r="K82" i="2"/>
  <c r="AU6" i="66"/>
  <c r="G82" i="2"/>
  <c r="H82" i="2" s="1"/>
  <c r="AU5" i="80"/>
  <c r="AU6" i="71"/>
  <c r="L82" i="2"/>
  <c r="C82" i="2"/>
  <c r="C123" i="2"/>
  <c r="D123" i="2"/>
  <c r="L123" i="2"/>
  <c r="BD6" i="73"/>
  <c r="G123" i="2"/>
  <c r="H123" i="2" s="1"/>
  <c r="BD6" i="67"/>
  <c r="BD6" i="74"/>
  <c r="E123" i="2"/>
  <c r="BD25" i="78"/>
  <c r="K123" i="2"/>
  <c r="BD6" i="81"/>
  <c r="L153" i="2"/>
  <c r="D153" i="2"/>
  <c r="K153" i="2"/>
  <c r="C153" i="2"/>
  <c r="BD6" i="68"/>
  <c r="E153" i="2"/>
  <c r="BD15" i="70"/>
  <c r="K60" i="2"/>
  <c r="BD15" i="1"/>
  <c r="C60" i="2"/>
  <c r="E60" i="2"/>
  <c r="L60" i="2"/>
  <c r="BD15" i="78"/>
  <c r="D60" i="2"/>
  <c r="G60" i="2"/>
  <c r="H60" i="2" s="1"/>
  <c r="G42" i="2"/>
  <c r="H42" i="2" s="1"/>
  <c r="E42" i="2"/>
  <c r="K42" i="2"/>
  <c r="L42" i="2"/>
  <c r="AU8" i="70"/>
  <c r="C42" i="2"/>
  <c r="AU8" i="78"/>
  <c r="AU8" i="1"/>
  <c r="D42" i="2"/>
  <c r="BD9" i="78"/>
  <c r="K54" i="2"/>
  <c r="BD9" i="1"/>
  <c r="C54" i="2"/>
  <c r="BD9" i="70"/>
  <c r="L54" i="2"/>
  <c r="D54" i="2"/>
  <c r="G54" i="2"/>
  <c r="H54" i="2" s="1"/>
  <c r="E54" i="2"/>
  <c r="BD128" i="70"/>
  <c r="D194" i="2"/>
  <c r="L194" i="2"/>
  <c r="AU83" i="70"/>
  <c r="K194" i="2"/>
  <c r="C194" i="2"/>
  <c r="E194" i="2"/>
  <c r="BD8" i="68"/>
  <c r="L155" i="2"/>
  <c r="G155" i="2"/>
  <c r="H155" i="2" s="1"/>
  <c r="E155" i="2"/>
  <c r="D155" i="2"/>
  <c r="C155" i="2"/>
  <c r="K155" i="2"/>
  <c r="AU22" i="74"/>
  <c r="AU22" i="66"/>
  <c r="L78" i="2"/>
  <c r="AU22" i="67"/>
  <c r="AU22" i="71"/>
  <c r="D78" i="2"/>
  <c r="BD34" i="1"/>
  <c r="K78" i="2"/>
  <c r="BD45" i="80"/>
  <c r="BD34" i="70"/>
  <c r="BD34" i="73"/>
  <c r="BD34" i="81"/>
  <c r="AU22" i="1"/>
  <c r="BD34" i="66"/>
  <c r="C78" i="2"/>
  <c r="AU32" i="78"/>
  <c r="BD29" i="68"/>
  <c r="AU27" i="80"/>
  <c r="AU18" i="68"/>
  <c r="AU22" i="81"/>
  <c r="E78" i="2"/>
  <c r="BD34" i="74"/>
  <c r="BD34" i="71"/>
  <c r="AU22" i="70"/>
  <c r="BD54" i="78"/>
  <c r="AU22" i="73"/>
  <c r="BD34" i="67"/>
  <c r="BD19" i="1"/>
  <c r="E64" i="2"/>
  <c r="G64" i="2"/>
  <c r="H64" i="2" s="1"/>
  <c r="L64" i="2"/>
  <c r="BD19" i="70"/>
  <c r="D64" i="2"/>
  <c r="K64" i="2"/>
  <c r="C64" i="2"/>
  <c r="BD19" i="78"/>
  <c r="K145" i="2"/>
  <c r="AU7" i="68"/>
  <c r="C145" i="2"/>
  <c r="G145" i="2"/>
  <c r="H145" i="2" s="1"/>
  <c r="D145" i="2"/>
  <c r="L145" i="2"/>
  <c r="E145" i="2"/>
  <c r="D198" i="2"/>
  <c r="C198" i="2"/>
  <c r="AU84" i="70"/>
  <c r="L198" i="2"/>
  <c r="K198" i="2"/>
  <c r="G198" i="2"/>
  <c r="H198" i="2" s="1"/>
  <c r="E198" i="2"/>
  <c r="K52" i="2"/>
  <c r="L52" i="2"/>
  <c r="G52" i="2"/>
  <c r="H52" i="2" s="1"/>
  <c r="D52" i="2"/>
  <c r="E52" i="2"/>
  <c r="BD7" i="70"/>
  <c r="BD7" i="1"/>
  <c r="BD7" i="78"/>
  <c r="C52" i="2"/>
  <c r="BD10" i="81"/>
  <c r="BD23" i="80"/>
  <c r="K127" i="2"/>
  <c r="D127" i="2"/>
  <c r="L127" i="2"/>
  <c r="BD29" i="78"/>
  <c r="E127" i="2"/>
  <c r="G127" i="2"/>
  <c r="H127" i="2" s="1"/>
  <c r="BD10" i="67"/>
  <c r="C127" i="2"/>
  <c r="BD10" i="73"/>
  <c r="BD10" i="74"/>
  <c r="E88" i="2"/>
  <c r="D88" i="2"/>
  <c r="L88" i="2"/>
  <c r="C88" i="2"/>
  <c r="AU12" i="66"/>
  <c r="AU12" i="71"/>
  <c r="K88" i="2"/>
  <c r="G88" i="2"/>
  <c r="H88" i="2" s="1"/>
  <c r="AU11" i="80"/>
  <c r="AU7" i="73"/>
  <c r="E114" i="2"/>
  <c r="D114" i="2"/>
  <c r="AU7" i="74"/>
  <c r="AU17" i="78"/>
  <c r="C114" i="2"/>
  <c r="AU7" i="81"/>
  <c r="AU7" i="67"/>
  <c r="AU14" i="80"/>
  <c r="L114" i="2"/>
  <c r="G114" i="2"/>
  <c r="H114" i="2" s="1"/>
  <c r="K114" i="2"/>
  <c r="C195" i="2"/>
  <c r="D195" i="2"/>
  <c r="BD128" i="71"/>
  <c r="K195" i="2"/>
  <c r="G195" i="2"/>
  <c r="H195" i="2" s="1"/>
  <c r="E195" i="2"/>
  <c r="AU93" i="71"/>
  <c r="L195" i="2"/>
  <c r="G174" i="2"/>
  <c r="H174" i="2" s="1"/>
  <c r="AU11" i="76"/>
  <c r="C174" i="2"/>
  <c r="L174" i="2"/>
  <c r="AU11" i="82"/>
  <c r="K174" i="2"/>
  <c r="E174" i="2"/>
  <c r="AU11" i="75"/>
  <c r="AU11" i="69"/>
  <c r="D174" i="2"/>
  <c r="K206" i="2"/>
  <c r="BD131" i="73"/>
  <c r="E206" i="2"/>
  <c r="L206" i="2"/>
  <c r="BD105" i="76"/>
  <c r="D206" i="2"/>
  <c r="C206" i="2"/>
  <c r="L212" i="2"/>
  <c r="K212" i="2"/>
  <c r="G212" i="2"/>
  <c r="H212" i="2" s="1"/>
  <c r="BD103" i="75"/>
  <c r="AU84" i="75"/>
  <c r="C212" i="2"/>
  <c r="D212" i="2"/>
  <c r="E212" i="2"/>
  <c r="G24" i="2"/>
  <c r="H24" i="2" s="1"/>
  <c r="AU6" i="77"/>
  <c r="L24" i="2"/>
  <c r="E24" i="2"/>
  <c r="D24" i="2"/>
  <c r="K24" i="2"/>
  <c r="C24" i="2"/>
  <c r="BD8" i="73"/>
  <c r="BD8" i="67"/>
  <c r="D125" i="2"/>
  <c r="BD21" i="80"/>
  <c r="L125" i="2"/>
  <c r="BD8" i="81"/>
  <c r="E125" i="2"/>
  <c r="K125" i="2"/>
  <c r="BD27" i="78"/>
  <c r="C125" i="2"/>
  <c r="BD8" i="74"/>
  <c r="AU10" i="1"/>
  <c r="G44" i="2"/>
  <c r="H44" i="2" s="1"/>
  <c r="D44" i="2"/>
  <c r="L44" i="2"/>
  <c r="AU10" i="70"/>
  <c r="K44" i="2"/>
  <c r="AU10" i="78"/>
  <c r="C44" i="2"/>
  <c r="E44" i="2"/>
  <c r="AU9" i="78"/>
  <c r="L43" i="2"/>
  <c r="K43" i="2"/>
  <c r="AU9" i="1"/>
  <c r="D43" i="2"/>
  <c r="G43" i="2"/>
  <c r="H43" i="2" s="1"/>
  <c r="C43" i="2"/>
  <c r="AU9" i="70"/>
  <c r="E43" i="2"/>
  <c r="K98" i="2"/>
  <c r="E98" i="2"/>
  <c r="BD12" i="66"/>
  <c r="BD10" i="80"/>
  <c r="C98" i="2"/>
  <c r="G98" i="2"/>
  <c r="H98" i="2" s="1"/>
  <c r="L98" i="2"/>
  <c r="BD12" i="71"/>
  <c r="D98" i="2"/>
  <c r="E143" i="2"/>
  <c r="D143" i="2"/>
  <c r="C143" i="2"/>
  <c r="AU5" i="68"/>
  <c r="K143" i="2"/>
  <c r="L143" i="2"/>
  <c r="L147" i="2"/>
  <c r="K147" i="2"/>
  <c r="C147" i="2"/>
  <c r="AU9" i="68"/>
  <c r="D147" i="2"/>
  <c r="E147" i="2"/>
  <c r="BD30" i="70"/>
  <c r="AU18" i="71"/>
  <c r="C74" i="2"/>
  <c r="BD50" i="78"/>
  <c r="BD30" i="81"/>
  <c r="BD30" i="67"/>
  <c r="AU18" i="67"/>
  <c r="AU18" i="70"/>
  <c r="AU23" i="80"/>
  <c r="AU18" i="81"/>
  <c r="AU18" i="74"/>
  <c r="L74" i="2"/>
  <c r="BD30" i="1"/>
  <c r="BD25" i="68"/>
  <c r="K74" i="2"/>
  <c r="BD41" i="80"/>
  <c r="BD30" i="71"/>
  <c r="BD30" i="74"/>
  <c r="BD17" i="77"/>
  <c r="D74" i="2"/>
  <c r="E74" i="2"/>
  <c r="AU18" i="66"/>
  <c r="G74" i="2"/>
  <c r="H74" i="2" s="1"/>
  <c r="AU10" i="77"/>
  <c r="AU14" i="68"/>
  <c r="AU18" i="73"/>
  <c r="AU28" i="78"/>
  <c r="BD30" i="73"/>
  <c r="BD30" i="66"/>
  <c r="AU18" i="1"/>
  <c r="L59" i="2"/>
  <c r="D59" i="2"/>
  <c r="K59" i="2"/>
  <c r="E59" i="2"/>
  <c r="BD14" i="70"/>
  <c r="BD14" i="78"/>
  <c r="C59" i="2"/>
  <c r="G59" i="2"/>
  <c r="H59" i="2" s="1"/>
  <c r="BD14" i="1"/>
  <c r="C185" i="2"/>
  <c r="K185" i="2"/>
  <c r="D185" i="2"/>
  <c r="BD14" i="76"/>
  <c r="BD14" i="69"/>
  <c r="L185" i="2"/>
  <c r="BD14" i="75"/>
  <c r="E185" i="2"/>
  <c r="BD14" i="82"/>
  <c r="L208" i="2"/>
  <c r="K208" i="2"/>
  <c r="G208" i="2"/>
  <c r="H208" i="2" s="1"/>
  <c r="E208" i="2"/>
  <c r="C208" i="2"/>
  <c r="D208" i="2"/>
  <c r="D137" i="2"/>
  <c r="BD20" i="67"/>
  <c r="C137" i="2"/>
  <c r="K137" i="2"/>
  <c r="BD20" i="81"/>
  <c r="BD20" i="73"/>
  <c r="BD33" i="80"/>
  <c r="BD39" i="78"/>
  <c r="E137" i="2"/>
  <c r="L137" i="2"/>
  <c r="BD20" i="74"/>
  <c r="G137" i="2"/>
  <c r="H137" i="2" s="1"/>
  <c r="AU19" i="80"/>
  <c r="AU12" i="74"/>
  <c r="AU12" i="81"/>
  <c r="L119" i="2"/>
  <c r="AU12" i="73"/>
  <c r="AU22" i="78"/>
  <c r="AU12" i="67"/>
  <c r="K119" i="2"/>
  <c r="D119" i="2"/>
  <c r="E119" i="2"/>
  <c r="C119" i="2"/>
  <c r="D162" i="2"/>
  <c r="K162" i="2"/>
  <c r="L162" i="2"/>
  <c r="BD15" i="68"/>
  <c r="G162" i="2"/>
  <c r="H162" i="2" s="1"/>
  <c r="C162" i="2"/>
  <c r="E162" i="2"/>
  <c r="BD12" i="74"/>
  <c r="E129" i="2"/>
  <c r="K129" i="2"/>
  <c r="G129" i="2"/>
  <c r="H129" i="2" s="1"/>
  <c r="BD31" i="78"/>
  <c r="C129" i="2"/>
  <c r="BD12" i="67"/>
  <c r="D129" i="2"/>
  <c r="BD12" i="73"/>
  <c r="L129" i="2"/>
  <c r="BD12" i="81"/>
  <c r="BD25" i="80"/>
  <c r="BD7" i="73"/>
  <c r="BD26" i="78"/>
  <c r="BD7" i="67"/>
  <c r="L124" i="2"/>
  <c r="C124" i="2"/>
  <c r="BD7" i="74"/>
  <c r="BD20" i="80"/>
  <c r="BD7" i="81"/>
  <c r="E124" i="2"/>
  <c r="D124" i="2"/>
  <c r="K124" i="2"/>
  <c r="K106" i="2"/>
  <c r="BD18" i="80"/>
  <c r="E106" i="2"/>
  <c r="G106" i="2"/>
  <c r="H106" i="2" s="1"/>
  <c r="BD20" i="66"/>
  <c r="L106" i="2"/>
  <c r="BD20" i="71"/>
  <c r="D106" i="2"/>
  <c r="C106" i="2"/>
  <c r="C173" i="2"/>
  <c r="G173" i="2"/>
  <c r="H173" i="2" s="1"/>
  <c r="E173" i="2"/>
  <c r="AU10" i="76"/>
  <c r="AU10" i="75"/>
  <c r="AU10" i="82"/>
  <c r="D173" i="2"/>
  <c r="K173" i="2"/>
  <c r="L173" i="2"/>
  <c r="AU10" i="69"/>
  <c r="C57" i="2"/>
  <c r="L57" i="2"/>
  <c r="D57" i="2"/>
  <c r="E57" i="2"/>
  <c r="K57" i="2"/>
  <c r="BD12" i="1"/>
  <c r="BD12" i="78"/>
  <c r="G57" i="2"/>
  <c r="H57" i="2" s="1"/>
  <c r="BD12" i="70"/>
  <c r="K176" i="2"/>
  <c r="BD5" i="75"/>
  <c r="D176" i="2"/>
  <c r="L176" i="2"/>
  <c r="C176" i="2"/>
  <c r="E176" i="2"/>
  <c r="BD5" i="69"/>
  <c r="G176" i="2"/>
  <c r="H176" i="2" s="1"/>
  <c r="BD5" i="82"/>
  <c r="BD5" i="76"/>
  <c r="BD13" i="67"/>
  <c r="BD13" i="74"/>
  <c r="K130" i="2"/>
  <c r="BD13" i="73"/>
  <c r="D130" i="2"/>
  <c r="G130" i="2"/>
  <c r="H130" i="2" s="1"/>
  <c r="E130" i="2"/>
  <c r="BD26" i="80"/>
  <c r="C130" i="2"/>
  <c r="L130" i="2"/>
  <c r="BD13" i="81"/>
  <c r="BD32" i="78"/>
  <c r="E122" i="2"/>
  <c r="BD5" i="74"/>
  <c r="G122" i="2"/>
  <c r="H122" i="2" s="1"/>
  <c r="L122" i="2"/>
  <c r="BD5" i="73"/>
  <c r="D122" i="2"/>
  <c r="BD5" i="67"/>
  <c r="BD24" i="78"/>
  <c r="BD5" i="81"/>
  <c r="C122" i="2"/>
  <c r="K122" i="2"/>
  <c r="AU10" i="74"/>
  <c r="C117" i="2"/>
  <c r="D117" i="2"/>
  <c r="AU20" i="78"/>
  <c r="E117" i="2"/>
  <c r="L117" i="2"/>
  <c r="AU17" i="80"/>
  <c r="AU10" i="81"/>
  <c r="K117" i="2"/>
  <c r="AU10" i="67"/>
  <c r="AU10" i="73"/>
  <c r="C189" i="2"/>
  <c r="BD18" i="82"/>
  <c r="BD18" i="69"/>
  <c r="D189" i="2"/>
  <c r="E189" i="2"/>
  <c r="L189" i="2"/>
  <c r="BD18" i="76"/>
  <c r="BD18" i="75"/>
  <c r="K189" i="2"/>
  <c r="L102" i="2"/>
  <c r="BD16" i="66"/>
  <c r="C102" i="2"/>
  <c r="E102" i="2"/>
  <c r="BD14" i="80"/>
  <c r="D102" i="2"/>
  <c r="BD16" i="71"/>
  <c r="K102" i="2"/>
  <c r="BD21" i="67"/>
  <c r="C138" i="2"/>
  <c r="K138" i="2"/>
  <c r="E138" i="2"/>
  <c r="D138" i="2"/>
  <c r="BD21" i="74"/>
  <c r="BD21" i="81"/>
  <c r="BD40" i="78"/>
  <c r="BD21" i="73"/>
  <c r="L138" i="2"/>
  <c r="G102" i="2"/>
  <c r="H102" i="2" s="1"/>
  <c r="G96" i="2"/>
  <c r="H96" i="2" s="1"/>
  <c r="AU9" i="74"/>
  <c r="AU19" i="78"/>
  <c r="AU16" i="80"/>
  <c r="G116" i="2"/>
  <c r="H116" i="2" s="1"/>
  <c r="AU9" i="81"/>
  <c r="C116" i="2"/>
  <c r="AU9" i="73"/>
  <c r="K116" i="2"/>
  <c r="L116" i="2"/>
  <c r="D116" i="2"/>
  <c r="E116" i="2"/>
  <c r="AU9" i="67"/>
  <c r="BD14" i="66"/>
  <c r="E100" i="2"/>
  <c r="BD14" i="71"/>
  <c r="D100" i="2"/>
  <c r="C100" i="2"/>
  <c r="BD12" i="80"/>
  <c r="L100" i="2"/>
  <c r="K100" i="2"/>
  <c r="BD19" i="73"/>
  <c r="BD19" i="81"/>
  <c r="BD38" i="78"/>
  <c r="G136" i="2"/>
  <c r="H136" i="2" s="1"/>
  <c r="K136" i="2"/>
  <c r="BD32" i="80"/>
  <c r="BD19" i="74"/>
  <c r="L136" i="2"/>
  <c r="BD19" i="67"/>
  <c r="D136" i="2"/>
  <c r="C136" i="2"/>
  <c r="E136" i="2"/>
  <c r="BD16" i="78"/>
  <c r="D61" i="2"/>
  <c r="BD16" i="1"/>
  <c r="E61" i="2"/>
  <c r="BD16" i="70"/>
  <c r="L61" i="2"/>
  <c r="C61" i="2"/>
  <c r="K61" i="2"/>
  <c r="L211" i="2"/>
  <c r="BD129" i="74"/>
  <c r="K211" i="2"/>
  <c r="G211" i="2"/>
  <c r="H211" i="2" s="1"/>
  <c r="D211" i="2"/>
  <c r="C211" i="2"/>
  <c r="AU84" i="74"/>
  <c r="E211" i="2"/>
  <c r="BD18" i="1"/>
  <c r="BD18" i="70"/>
  <c r="K63" i="2"/>
  <c r="BD18" i="78"/>
  <c r="L63" i="2"/>
  <c r="E63" i="2"/>
  <c r="D63" i="2"/>
  <c r="C63" i="2"/>
  <c r="G63" i="2"/>
  <c r="H63" i="2" s="1"/>
  <c r="D99" i="2"/>
  <c r="L99" i="2"/>
  <c r="BD13" i="71"/>
  <c r="K99" i="2"/>
  <c r="BD11" i="80"/>
  <c r="E99" i="2"/>
  <c r="C99" i="2"/>
  <c r="BD13" i="66"/>
  <c r="BD17" i="71"/>
  <c r="BD15" i="80"/>
  <c r="E103" i="2"/>
  <c r="D103" i="2"/>
  <c r="L103" i="2"/>
  <c r="K103" i="2"/>
  <c r="BD17" i="66"/>
  <c r="C103" i="2"/>
  <c r="K152" i="2"/>
  <c r="D152" i="2"/>
  <c r="L152" i="2"/>
  <c r="E152" i="2"/>
  <c r="G152" i="2"/>
  <c r="H152" i="2" s="1"/>
  <c r="C152" i="2"/>
  <c r="BD5" i="68"/>
  <c r="AU6" i="80"/>
  <c r="E83" i="2"/>
  <c r="G83" i="2"/>
  <c r="H83" i="2" s="1"/>
  <c r="K83" i="2"/>
  <c r="D83" i="2"/>
  <c r="AU7" i="71"/>
  <c r="L83" i="2"/>
  <c r="C83" i="2"/>
  <c r="AU7" i="66"/>
  <c r="K45" i="2"/>
  <c r="C45" i="2"/>
  <c r="AU11" i="1"/>
  <c r="AU11" i="70"/>
  <c r="AU11" i="78"/>
  <c r="E45" i="2"/>
  <c r="D45" i="2"/>
  <c r="G45" i="2"/>
  <c r="H45" i="2" s="1"/>
  <c r="L45" i="2"/>
  <c r="D36" i="2"/>
  <c r="C36" i="2"/>
  <c r="BD12" i="77"/>
  <c r="K36" i="2"/>
  <c r="E36" i="2"/>
  <c r="L36" i="2"/>
  <c r="BD17" i="69"/>
  <c r="BD17" i="75"/>
  <c r="BD17" i="82"/>
  <c r="D188" i="2"/>
  <c r="E188" i="2"/>
  <c r="K188" i="2"/>
  <c r="L188" i="2"/>
  <c r="BD17" i="76"/>
  <c r="C188" i="2"/>
  <c r="C51" i="2"/>
  <c r="BD6" i="78"/>
  <c r="BD6" i="1"/>
  <c r="L51" i="2"/>
  <c r="K51" i="2"/>
  <c r="BD6" i="70"/>
  <c r="E51" i="2"/>
  <c r="G51" i="2"/>
  <c r="H51" i="2" s="1"/>
  <c r="D51" i="2"/>
  <c r="D31" i="2"/>
  <c r="L31" i="2"/>
  <c r="BD7" i="77"/>
  <c r="C31" i="2"/>
  <c r="K31" i="2"/>
  <c r="G31" i="2"/>
  <c r="H31" i="2" s="1"/>
  <c r="E31" i="2"/>
  <c r="L93" i="2"/>
  <c r="K93" i="2"/>
  <c r="C93" i="2"/>
  <c r="G93" i="2"/>
  <c r="H93" i="2" s="1"/>
  <c r="BD5" i="80"/>
  <c r="BD7" i="66"/>
  <c r="D93" i="2"/>
  <c r="E93" i="2"/>
  <c r="BD7" i="71"/>
  <c r="E25" i="2"/>
  <c r="AU7" i="77"/>
  <c r="K25" i="2"/>
  <c r="L25" i="2"/>
  <c r="G25" i="2"/>
  <c r="H25" i="2" s="1"/>
  <c r="C25" i="2"/>
  <c r="D25" i="2"/>
  <c r="BD12" i="75"/>
  <c r="BD12" i="69"/>
  <c r="D183" i="2"/>
  <c r="K183" i="2"/>
  <c r="BD12" i="76"/>
  <c r="L183" i="2"/>
  <c r="C183" i="2"/>
  <c r="BD12" i="82"/>
  <c r="E183" i="2"/>
  <c r="G153" i="2"/>
  <c r="H153" i="2" s="1"/>
  <c r="G103" i="2"/>
  <c r="H103" i="2" s="1"/>
  <c r="G206" i="2"/>
  <c r="H206" i="2" s="1"/>
  <c r="BI82" i="81"/>
  <c r="AS214" i="2" s="1"/>
  <c r="BI125" i="73"/>
  <c r="AE214" i="2" s="1"/>
  <c r="AZ80" i="73"/>
  <c r="AD214" i="2" s="1"/>
  <c r="AZ18" i="68"/>
  <c r="V78" i="2" s="1"/>
  <c r="AZ18" i="67"/>
  <c r="T74" i="2" s="1"/>
  <c r="AZ18" i="1"/>
  <c r="P74" i="2" s="1"/>
  <c r="AZ20" i="73"/>
  <c r="AD76" i="2" s="1"/>
  <c r="AZ19" i="73"/>
  <c r="AD75" i="2" s="1"/>
  <c r="AZ26" i="69"/>
  <c r="X248" i="2" s="1"/>
  <c r="AZ19" i="69"/>
  <c r="X222" i="2" s="1"/>
  <c r="AZ31" i="69"/>
  <c r="X269" i="2" s="1"/>
  <c r="AZ33" i="69"/>
  <c r="X271" i="2" s="1"/>
  <c r="BI73" i="69"/>
  <c r="Y322" i="2" s="1"/>
  <c r="AZ30" i="69"/>
  <c r="X268" i="2" s="1"/>
  <c r="AZ11" i="69"/>
  <c r="X174" i="2" s="1"/>
  <c r="AZ104" i="69"/>
  <c r="AZ60" i="69"/>
  <c r="X340" i="2" s="1"/>
  <c r="BI37" i="69"/>
  <c r="Y258" i="2" s="1"/>
  <c r="BI104" i="69"/>
  <c r="AZ59" i="69"/>
  <c r="X339" i="2" s="1"/>
  <c r="AZ45" i="69"/>
  <c r="X307" i="2" s="1"/>
  <c r="AZ53" i="69"/>
  <c r="X331" i="2" s="1"/>
  <c r="AZ55" i="69"/>
  <c r="X335" i="2" s="1"/>
  <c r="AZ25" i="69"/>
  <c r="X247" i="2" s="1"/>
  <c r="BI11" i="69"/>
  <c r="Y182" i="2" s="1"/>
  <c r="BI50" i="69"/>
  <c r="Y276" i="2" s="1"/>
  <c r="BI82" i="69"/>
  <c r="Y331" i="2" s="1"/>
  <c r="BI9" i="69"/>
  <c r="Y180" i="2" s="1"/>
  <c r="BI41" i="69"/>
  <c r="Y262" i="2" s="1"/>
  <c r="AZ10" i="69"/>
  <c r="X173" i="2" s="1"/>
  <c r="AZ27" i="69"/>
  <c r="X249" i="2" s="1"/>
  <c r="AZ7" i="69"/>
  <c r="X170" i="2" s="1"/>
  <c r="AZ28" i="69"/>
  <c r="X250" i="2" s="1"/>
  <c r="AZ8" i="69"/>
  <c r="X171" i="2" s="1"/>
  <c r="BI20" i="69"/>
  <c r="Y191" i="2" s="1"/>
  <c r="BI32" i="69"/>
  <c r="Y241" i="2" s="1"/>
  <c r="AZ32" i="69"/>
  <c r="X270" i="2" s="1"/>
  <c r="AZ57" i="69"/>
  <c r="X337" i="2" s="1"/>
  <c r="AZ46" i="69"/>
  <c r="X308" i="2" s="1"/>
  <c r="BI52" i="69"/>
  <c r="Y278" i="2" s="1"/>
  <c r="BI15" i="69"/>
  <c r="Y186" i="2" s="1"/>
  <c r="BI39" i="69"/>
  <c r="Y260" i="2" s="1"/>
  <c r="BI80" i="69"/>
  <c r="Y329" i="2" s="1"/>
  <c r="AZ38" i="69"/>
  <c r="X286" i="2" s="1"/>
  <c r="BI87" i="69"/>
  <c r="Y348" i="2" s="1"/>
  <c r="BI17" i="69"/>
  <c r="Y188" i="2" s="1"/>
  <c r="AZ6" i="69"/>
  <c r="X169" i="2" s="1"/>
  <c r="AZ56" i="69"/>
  <c r="X336" i="2" s="1"/>
  <c r="AZ21" i="69"/>
  <c r="BI49" i="69"/>
  <c r="Y275" i="2" s="1"/>
  <c r="BI18" i="69"/>
  <c r="Y189" i="2" s="1"/>
  <c r="AZ34" i="69"/>
  <c r="X272" i="2" s="1"/>
  <c r="BI56" i="69"/>
  <c r="Y282" i="2" s="1"/>
  <c r="BI71" i="69"/>
  <c r="Y320" i="2" s="1"/>
  <c r="BI53" i="69"/>
  <c r="Y279" i="2" s="1"/>
  <c r="BI13" i="69"/>
  <c r="Y184" i="2" s="1"/>
  <c r="BI69" i="69"/>
  <c r="Y318" i="2" s="1"/>
  <c r="BI97" i="69"/>
  <c r="Y358" i="2" s="1"/>
  <c r="BI76" i="69"/>
  <c r="Y325" i="2" s="1"/>
  <c r="BI10" i="69"/>
  <c r="Y181" i="2" s="1"/>
  <c r="AZ9" i="69"/>
  <c r="X172" i="2" s="1"/>
  <c r="BI35" i="69"/>
  <c r="Y256" i="2" s="1"/>
  <c r="AZ40" i="69"/>
  <c r="X288" i="2" s="1"/>
  <c r="AZ103" i="69"/>
  <c r="BI48" i="69"/>
  <c r="Y274" i="2" s="1"/>
  <c r="BI78" i="69"/>
  <c r="Y327" i="2" s="1"/>
  <c r="BI60" i="69"/>
  <c r="Y286" i="2" s="1"/>
  <c r="BI62" i="69"/>
  <c r="Y288" i="2" s="1"/>
  <c r="BI90" i="69"/>
  <c r="Y351" i="2" s="1"/>
  <c r="AZ39" i="69"/>
  <c r="X287" i="2" s="1"/>
  <c r="BI70" i="69"/>
  <c r="Y319" i="2" s="1"/>
  <c r="BI7" i="69"/>
  <c r="Y178" i="2" s="1"/>
  <c r="BI55" i="69"/>
  <c r="Y281" i="2" s="1"/>
  <c r="BI58" i="69"/>
  <c r="Y284" i="2" s="1"/>
  <c r="BI94" i="69"/>
  <c r="Y355" i="2" s="1"/>
  <c r="BI68" i="69"/>
  <c r="Y317" i="2" s="1"/>
  <c r="AZ49" i="69"/>
  <c r="X311" i="2" s="1"/>
  <c r="AZ51" i="69"/>
  <c r="X329" i="2" s="1"/>
  <c r="BI95" i="69"/>
  <c r="Y356" i="2" s="1"/>
  <c r="AZ36" i="69"/>
  <c r="X284" i="2" s="1"/>
  <c r="AZ15" i="69"/>
  <c r="X218" i="2" s="1"/>
  <c r="BI8" i="69"/>
  <c r="Y179" i="2" s="1"/>
  <c r="AZ102" i="69"/>
  <c r="AZ62" i="69"/>
  <c r="X358" i="2" s="1"/>
  <c r="AZ47" i="69"/>
  <c r="X309" i="2" s="1"/>
  <c r="BI86" i="69"/>
  <c r="Y347" i="2" s="1"/>
  <c r="BI34" i="69"/>
  <c r="Y255" i="2" s="1"/>
  <c r="BI92" i="69"/>
  <c r="Y353" i="2" s="1"/>
  <c r="BI89" i="69"/>
  <c r="Y350" i="2" s="1"/>
  <c r="AZ58" i="69"/>
  <c r="X338" i="2" s="1"/>
  <c r="BI77" i="69"/>
  <c r="Y326" i="2" s="1"/>
  <c r="AZ37" i="69"/>
  <c r="X285" i="2" s="1"/>
  <c r="BI93" i="69"/>
  <c r="Y354" i="2" s="1"/>
  <c r="BI67" i="69"/>
  <c r="Y316" i="2" s="1"/>
  <c r="AZ44" i="69"/>
  <c r="X306" i="2" s="1"/>
  <c r="BI88" i="69"/>
  <c r="Y349" i="2" s="1"/>
  <c r="BI6" i="69"/>
  <c r="Y177" i="2" s="1"/>
  <c r="BI91" i="69"/>
  <c r="Y352" i="2" s="1"/>
  <c r="BI14" i="69"/>
  <c r="Y185" i="2" s="1"/>
  <c r="BI47" i="69"/>
  <c r="Y273" i="2" s="1"/>
  <c r="BI64" i="69"/>
  <c r="Y301" i="2" s="1"/>
  <c r="BI74" i="69"/>
  <c r="Y323" i="2" s="1"/>
  <c r="AZ23" i="69"/>
  <c r="X245" i="2" s="1"/>
  <c r="BI51" i="69"/>
  <c r="Y277" i="2" s="1"/>
  <c r="BI40" i="69"/>
  <c r="Y261" i="2" s="1"/>
  <c r="BI26" i="69"/>
  <c r="Y219" i="2" s="1"/>
  <c r="BI54" i="69"/>
  <c r="Y280" i="2" s="1"/>
  <c r="AZ48" i="69"/>
  <c r="X310" i="2" s="1"/>
  <c r="AZ18" i="69"/>
  <c r="X221" i="2" s="1"/>
  <c r="BI75" i="69"/>
  <c r="Y324" i="2" s="1"/>
  <c r="BI21" i="69"/>
  <c r="Y48" i="2" s="1"/>
  <c r="BI27" i="69"/>
  <c r="Y220" i="2" s="1"/>
  <c r="BI25" i="69"/>
  <c r="Y218" i="2" s="1"/>
  <c r="BI29" i="69"/>
  <c r="Y222" i="2" s="1"/>
  <c r="BI85" i="69"/>
  <c r="Y346" i="2" s="1"/>
  <c r="BI65" i="69"/>
  <c r="Y302" i="2" s="1"/>
  <c r="AZ5" i="69"/>
  <c r="X168" i="2" s="1"/>
  <c r="AZ14" i="69"/>
  <c r="X217" i="2" s="1"/>
  <c r="BI84" i="69"/>
  <c r="Y345" i="2" s="1"/>
  <c r="AZ16" i="69"/>
  <c r="X219" i="2" s="1"/>
  <c r="BI23" i="69"/>
  <c r="Y216" i="2" s="1"/>
  <c r="BI36" i="69"/>
  <c r="Y257" i="2" s="1"/>
  <c r="AZ24" i="69"/>
  <c r="X246" i="2" s="1"/>
  <c r="AZ13" i="69"/>
  <c r="X216" i="2" s="1"/>
  <c r="BI28" i="69"/>
  <c r="Y221" i="2" s="1"/>
  <c r="AZ52" i="69"/>
  <c r="X330" i="2" s="1"/>
  <c r="BI24" i="69"/>
  <c r="Y217" i="2" s="1"/>
  <c r="BI59" i="69"/>
  <c r="Y285" i="2" s="1"/>
  <c r="AZ17" i="69"/>
  <c r="X220" i="2" s="1"/>
  <c r="BI101" i="69"/>
  <c r="Y361" i="2" s="1"/>
  <c r="AZ42" i="69"/>
  <c r="X296" i="2" s="1"/>
  <c r="BI45" i="69"/>
  <c r="Y266" i="2" s="1"/>
  <c r="BI5" i="69"/>
  <c r="Y176" i="2" s="1"/>
  <c r="AZ101" i="69"/>
  <c r="X361" i="2" s="1"/>
  <c r="BI31" i="69"/>
  <c r="Y240" i="2" s="1"/>
  <c r="BI105" i="69"/>
  <c r="Y365" i="2" s="1"/>
  <c r="BI81" i="69"/>
  <c r="Y330" i="2" s="1"/>
  <c r="AZ105" i="69"/>
  <c r="X365" i="2" s="1"/>
  <c r="BI103" i="69"/>
  <c r="Y363" i="2" s="1"/>
  <c r="BI43" i="69"/>
  <c r="Y264" i="2" s="1"/>
  <c r="BI102" i="69"/>
  <c r="Y362" i="2" s="1"/>
  <c r="BI42" i="69"/>
  <c r="Y263" i="2" s="1"/>
  <c r="BI72" i="69"/>
  <c r="Y321" i="2" s="1"/>
  <c r="BI44" i="69"/>
  <c r="Y265" i="2" s="1"/>
  <c r="BI38" i="69"/>
  <c r="Y259" i="2" s="1"/>
  <c r="BI12" i="69"/>
  <c r="Y183" i="2" s="1"/>
  <c r="BI16" i="69"/>
  <c r="Y187" i="2" s="1"/>
  <c r="BI61" i="69"/>
  <c r="Y287" i="2" s="1"/>
  <c r="AZ14" i="68"/>
  <c r="V74" i="2" s="1"/>
  <c r="AZ65" i="68"/>
  <c r="V166" i="2" s="1"/>
  <c r="BB65" i="68"/>
  <c r="AZ73" i="77"/>
  <c r="AZ27" i="77"/>
  <c r="AL287" i="2" s="1"/>
  <c r="AZ26" i="77"/>
  <c r="AL286" i="2" s="1"/>
  <c r="AZ40" i="77"/>
  <c r="AL337" i="2" s="1"/>
  <c r="AZ71" i="77"/>
  <c r="AZ33" i="77"/>
  <c r="AL310" i="2" s="1"/>
  <c r="AZ31" i="77"/>
  <c r="AL308" i="2" s="1"/>
  <c r="AZ39" i="77"/>
  <c r="AL336" i="2" s="1"/>
  <c r="AZ72" i="77"/>
  <c r="AZ35" i="77"/>
  <c r="AL329" i="2" s="1"/>
  <c r="AZ37" i="77"/>
  <c r="AL331" i="2" s="1"/>
  <c r="AZ24" i="77"/>
  <c r="AL284" i="2" s="1"/>
  <c r="AZ7" i="77"/>
  <c r="AL25" i="2" s="1"/>
  <c r="N25" i="2" s="1"/>
  <c r="F25" i="2" s="1"/>
  <c r="AZ36" i="77"/>
  <c r="AL330" i="2" s="1"/>
  <c r="BI15" i="77"/>
  <c r="AM27" i="2" s="1"/>
  <c r="N27" i="2" s="1"/>
  <c r="F27" i="2" s="1"/>
  <c r="I27" i="2" s="1"/>
  <c r="AZ41" i="77"/>
  <c r="AL338" i="2" s="1"/>
  <c r="AZ20" i="77"/>
  <c r="AL268" i="2" s="1"/>
  <c r="BI33" i="77"/>
  <c r="AM275" i="2" s="1"/>
  <c r="BI14" i="77"/>
  <c r="AM37" i="2" s="1"/>
  <c r="BI64" i="77"/>
  <c r="AM354" i="2" s="1"/>
  <c r="BI38" i="77"/>
  <c r="AM284" i="2" s="1"/>
  <c r="AZ5" i="77"/>
  <c r="AL23" i="2" s="1"/>
  <c r="N23" i="2" s="1"/>
  <c r="F23" i="2" s="1"/>
  <c r="I23" i="2" s="1"/>
  <c r="AZ16" i="77"/>
  <c r="AL247" i="2" s="1"/>
  <c r="BI22" i="77"/>
  <c r="AM257" i="2" s="1"/>
  <c r="AZ22" i="77"/>
  <c r="AL270" i="2" s="1"/>
  <c r="AZ28" i="77"/>
  <c r="AL288" i="2" s="1"/>
  <c r="BI6" i="77"/>
  <c r="AM30" i="2" s="1"/>
  <c r="N30" i="2" s="1"/>
  <c r="F30" i="2" s="1"/>
  <c r="I30" i="2" s="1"/>
  <c r="AZ30" i="77"/>
  <c r="AL307" i="2" s="1"/>
  <c r="AZ15" i="77"/>
  <c r="AL246" i="2" s="1"/>
  <c r="AZ17" i="77"/>
  <c r="AL248" i="2" s="1"/>
  <c r="BI59" i="77"/>
  <c r="AM349" i="2" s="1"/>
  <c r="BI27" i="77"/>
  <c r="AM262" i="2" s="1"/>
  <c r="BI49" i="77"/>
  <c r="AM323" i="2" s="1"/>
  <c r="BI25" i="77"/>
  <c r="AM260" i="2" s="1"/>
  <c r="AZ44" i="77"/>
  <c r="AL358" i="2" s="1"/>
  <c r="BI75" i="77"/>
  <c r="AM365" i="2" s="1"/>
  <c r="BI23" i="77"/>
  <c r="AM258" i="2" s="1"/>
  <c r="AZ74" i="77"/>
  <c r="BI46" i="77"/>
  <c r="AM320" i="2" s="1"/>
  <c r="BI24" i="77"/>
  <c r="AM259" i="2" s="1"/>
  <c r="BI57" i="77"/>
  <c r="AM347" i="2" s="1"/>
  <c r="AZ18" i="77"/>
  <c r="AL249" i="2" s="1"/>
  <c r="AZ75" i="77"/>
  <c r="AL365" i="2" s="1"/>
  <c r="BI70" i="77"/>
  <c r="AM360" i="2" s="1"/>
  <c r="AZ8" i="77"/>
  <c r="AL26" i="2" s="1"/>
  <c r="N26" i="2" s="1"/>
  <c r="F26" i="2" s="1"/>
  <c r="I26" i="2" s="1"/>
  <c r="BI31" i="77"/>
  <c r="AM273" i="2" s="1"/>
  <c r="AZ21" i="77"/>
  <c r="AL269" i="2" s="1"/>
  <c r="BI44" i="77"/>
  <c r="AM318" i="2" s="1"/>
  <c r="AZ6" i="77"/>
  <c r="AL24" i="2" s="1"/>
  <c r="N24" i="2" s="1"/>
  <c r="F24" i="2" s="1"/>
  <c r="I24" i="2" s="1"/>
  <c r="BI36" i="77"/>
  <c r="AM278" i="2" s="1"/>
  <c r="BI11" i="77"/>
  <c r="AM35" i="2" s="1"/>
  <c r="N35" i="2" s="1"/>
  <c r="F35" i="2" s="1"/>
  <c r="I35" i="2" s="1"/>
  <c r="BI9" i="77"/>
  <c r="AM33" i="2" s="1"/>
  <c r="N33" i="2" s="1"/>
  <c r="F33" i="2" s="1"/>
  <c r="I33" i="2" s="1"/>
  <c r="AZ25" i="77"/>
  <c r="AL285" i="2" s="1"/>
  <c r="BI8" i="77"/>
  <c r="AM32" i="2" s="1"/>
  <c r="N32" i="2" s="1"/>
  <c r="F32" i="2" s="1"/>
  <c r="I32" i="2" s="1"/>
  <c r="BI17" i="77"/>
  <c r="AM74" i="2" s="1"/>
  <c r="AZ32" i="77"/>
  <c r="AL309" i="2" s="1"/>
  <c r="BI12" i="77"/>
  <c r="AM36" i="2" s="1"/>
  <c r="N36" i="2" s="1"/>
  <c r="BI40" i="77"/>
  <c r="AM286" i="2" s="1"/>
  <c r="BI74" i="77"/>
  <c r="BI61" i="77"/>
  <c r="AM351" i="2" s="1"/>
  <c r="BI20" i="77"/>
  <c r="AM77" i="2" s="1"/>
  <c r="BI62" i="77"/>
  <c r="AM352" i="2" s="1"/>
  <c r="BI32" i="77"/>
  <c r="AM274" i="2" s="1"/>
  <c r="BI39" i="77"/>
  <c r="AM285" i="2" s="1"/>
  <c r="BI71" i="77"/>
  <c r="AM361" i="2" s="1"/>
  <c r="BI18" i="77"/>
  <c r="AM75" i="2" s="1"/>
  <c r="BI41" i="77"/>
  <c r="AM287" i="2" s="1"/>
  <c r="AZ42" i="77"/>
  <c r="AL339" i="2" s="1"/>
  <c r="BI51" i="77"/>
  <c r="AM325" i="2" s="1"/>
  <c r="BI72" i="77"/>
  <c r="AM362" i="2" s="1"/>
  <c r="BI54" i="77"/>
  <c r="AM330" i="2" s="1"/>
  <c r="BI28" i="77"/>
  <c r="AM263" i="2" s="1"/>
  <c r="BI10" i="77"/>
  <c r="AM34" i="2" s="1"/>
  <c r="N34" i="2" s="1"/>
  <c r="F34" i="2" s="1"/>
  <c r="I34" i="2" s="1"/>
  <c r="BI45" i="77"/>
  <c r="AM319" i="2" s="1"/>
  <c r="BI19" i="77"/>
  <c r="AM76" i="2" s="1"/>
  <c r="AZ70" i="77"/>
  <c r="AL360" i="2" s="1"/>
  <c r="BI35" i="77"/>
  <c r="AM277" i="2" s="1"/>
  <c r="BI47" i="77"/>
  <c r="AM321" i="2" s="1"/>
  <c r="BI66" i="77"/>
  <c r="AM358" i="2" s="1"/>
  <c r="BI73" i="77"/>
  <c r="AM363" i="2" s="1"/>
  <c r="BI5" i="77"/>
  <c r="AM29" i="2" s="1"/>
  <c r="N29" i="2" s="1"/>
  <c r="F29" i="2" s="1"/>
  <c r="I29" i="2" s="1"/>
  <c r="BI60" i="77"/>
  <c r="AM350" i="2" s="1"/>
  <c r="BI26" i="77"/>
  <c r="AM261" i="2" s="1"/>
  <c r="BI7" i="77"/>
  <c r="AM31" i="2" s="1"/>
  <c r="N31" i="2" s="1"/>
  <c r="BI63" i="77"/>
  <c r="AM353" i="2" s="1"/>
  <c r="BI53" i="77"/>
  <c r="AM329" i="2" s="1"/>
  <c r="BI58" i="77"/>
  <c r="AM348" i="2" s="1"/>
  <c r="BI48" i="77"/>
  <c r="AM322" i="2" s="1"/>
  <c r="BI34" i="77"/>
  <c r="AM276" i="2" s="1"/>
  <c r="BI50" i="77"/>
  <c r="AM324" i="2" s="1"/>
  <c r="BI55" i="77"/>
  <c r="AM331" i="2" s="1"/>
  <c r="BI29" i="77"/>
  <c r="AM264" i="2" s="1"/>
  <c r="AZ10" i="77"/>
  <c r="AL74" i="2" s="1"/>
  <c r="BI42" i="77"/>
  <c r="AM288" i="2" s="1"/>
  <c r="BI70" i="82"/>
  <c r="AU361" i="2" s="1"/>
  <c r="AZ41" i="82"/>
  <c r="AT191" i="2" s="1"/>
  <c r="AZ5" i="82"/>
  <c r="AT168" i="2" s="1"/>
  <c r="AZ21" i="82"/>
  <c r="AT245" i="2" s="1"/>
  <c r="BI5" i="82"/>
  <c r="AU176" i="2" s="1"/>
  <c r="BI45" i="82"/>
  <c r="AU274" i="2" s="1"/>
  <c r="AZ8" i="82"/>
  <c r="AT171" i="2" s="1"/>
  <c r="BI65" i="82"/>
  <c r="AU326" i="2" s="1"/>
  <c r="BI62" i="82"/>
  <c r="AU323" i="2" s="1"/>
  <c r="AZ38" i="82"/>
  <c r="AT310" i="2" s="1"/>
  <c r="AZ18" i="82"/>
  <c r="AT221" i="2" s="1"/>
  <c r="AZ30" i="82"/>
  <c r="AT270" i="2" s="1"/>
  <c r="AZ35" i="82"/>
  <c r="AT307" i="2" s="1"/>
  <c r="AZ29" i="82"/>
  <c r="AT269" i="2" s="1"/>
  <c r="BI52" i="82"/>
  <c r="AU281" i="2" s="1"/>
  <c r="BI47" i="82"/>
  <c r="AU276" i="2" s="1"/>
  <c r="AZ17" i="82"/>
  <c r="AT220" i="2" s="1"/>
  <c r="BI35" i="82"/>
  <c r="AU259" i="2" s="1"/>
  <c r="BI61" i="82"/>
  <c r="AU322" i="2" s="1"/>
  <c r="BI21" i="82"/>
  <c r="AU48" i="2" s="1"/>
  <c r="AZ34" i="82"/>
  <c r="AT306" i="2" s="1"/>
  <c r="AZ24" i="82"/>
  <c r="AT248" i="2" s="1"/>
  <c r="AZ32" i="82"/>
  <c r="AT272" i="2" s="1"/>
  <c r="AZ6" i="82"/>
  <c r="AT169" i="2" s="1"/>
  <c r="BI20" i="82"/>
  <c r="AU191" i="2" s="1"/>
  <c r="BI57" i="82"/>
  <c r="AU318" i="2" s="1"/>
  <c r="AZ9" i="82"/>
  <c r="AT172" i="2" s="1"/>
  <c r="BI18" i="82"/>
  <c r="AU189" i="2" s="1"/>
  <c r="BI36" i="82"/>
  <c r="AU260" i="2" s="1"/>
  <c r="AZ73" i="82"/>
  <c r="AZ72" i="82"/>
  <c r="AZ36" i="82"/>
  <c r="AT308" i="2" s="1"/>
  <c r="BI31" i="82"/>
  <c r="AU255" i="2" s="1"/>
  <c r="AZ15" i="82"/>
  <c r="AT218" i="2" s="1"/>
  <c r="AZ23" i="82"/>
  <c r="AT247" i="2" s="1"/>
  <c r="BI66" i="82"/>
  <c r="AU327" i="2" s="1"/>
  <c r="AZ74" i="82"/>
  <c r="AT365" i="2" s="1"/>
  <c r="BI42" i="82"/>
  <c r="AU266" i="2" s="1"/>
  <c r="BI58" i="82"/>
  <c r="AU319" i="2" s="1"/>
  <c r="BI73" i="82"/>
  <c r="BI56" i="82"/>
  <c r="AU317" i="2" s="1"/>
  <c r="AZ22" i="82"/>
  <c r="AT246" i="2" s="1"/>
  <c r="BI63" i="82"/>
  <c r="AU324" i="2" s="1"/>
  <c r="AZ13" i="82"/>
  <c r="AT216" i="2" s="1"/>
  <c r="AZ25" i="82"/>
  <c r="AT249" i="2" s="1"/>
  <c r="BI34" i="82"/>
  <c r="AU258" i="2" s="1"/>
  <c r="AZ10" i="82"/>
  <c r="AT173" i="2" s="1"/>
  <c r="BI23" i="82"/>
  <c r="AU216" i="2" s="1"/>
  <c r="BI37" i="82"/>
  <c r="AU261" i="2" s="1"/>
  <c r="BI6" i="82"/>
  <c r="AU177" i="2" s="1"/>
  <c r="BI14" i="82"/>
  <c r="AU185" i="2" s="1"/>
  <c r="AZ70" i="82"/>
  <c r="AT361" i="2" s="1"/>
  <c r="AZ7" i="82"/>
  <c r="AT170" i="2" s="1"/>
  <c r="BI41" i="82"/>
  <c r="AU265" i="2" s="1"/>
  <c r="BI53" i="82"/>
  <c r="AU282" i="2" s="1"/>
  <c r="BI48" i="82"/>
  <c r="AU277" i="2" s="1"/>
  <c r="AZ19" i="82"/>
  <c r="AT222" i="2" s="1"/>
  <c r="BI60" i="82"/>
  <c r="AU321" i="2" s="1"/>
  <c r="BI72" i="82"/>
  <c r="AU363" i="2" s="1"/>
  <c r="BI50" i="82"/>
  <c r="AU279" i="2" s="1"/>
  <c r="AZ71" i="82"/>
  <c r="BI10" i="82"/>
  <c r="AU181" i="2" s="1"/>
  <c r="BI38" i="82"/>
  <c r="AU262" i="2" s="1"/>
  <c r="AZ14" i="82"/>
  <c r="AT217" i="2" s="1"/>
  <c r="BI13" i="82"/>
  <c r="AU184" i="2" s="1"/>
  <c r="BI49" i="82"/>
  <c r="AU278" i="2" s="1"/>
  <c r="BI9" i="82"/>
  <c r="AU180" i="2" s="1"/>
  <c r="AZ31" i="82"/>
  <c r="AT271" i="2" s="1"/>
  <c r="BI40" i="82"/>
  <c r="AU264" i="2" s="1"/>
  <c r="BI33" i="82"/>
  <c r="AU257" i="2" s="1"/>
  <c r="BI29" i="82"/>
  <c r="AU222" i="2" s="1"/>
  <c r="AZ28" i="82"/>
  <c r="AT268" i="2" s="1"/>
  <c r="AZ16" i="82"/>
  <c r="AT219" i="2" s="1"/>
  <c r="AZ11" i="82"/>
  <c r="AT174" i="2" s="1"/>
  <c r="BI27" i="82"/>
  <c r="AU220" i="2" s="1"/>
  <c r="BI15" i="82"/>
  <c r="AU186" i="2" s="1"/>
  <c r="AZ39" i="82"/>
  <c r="AT311" i="2" s="1"/>
  <c r="AZ26" i="82"/>
  <c r="AT250" i="2" s="1"/>
  <c r="BI46" i="82"/>
  <c r="AU275" i="2" s="1"/>
  <c r="BI16" i="82"/>
  <c r="AU187" i="2" s="1"/>
  <c r="AZ37" i="82"/>
  <c r="AT309" i="2" s="1"/>
  <c r="BI74" i="82"/>
  <c r="AU365" i="2" s="1"/>
  <c r="BI8" i="82"/>
  <c r="AU179" i="2" s="1"/>
  <c r="BI7" i="82"/>
  <c r="AU178" i="2" s="1"/>
  <c r="BI32" i="82"/>
  <c r="AU256" i="2" s="1"/>
  <c r="BI55" i="82"/>
  <c r="AU316" i="2" s="1"/>
  <c r="BI11" i="82"/>
  <c r="AU182" i="2" s="1"/>
  <c r="BI44" i="82"/>
  <c r="AU273" i="2" s="1"/>
  <c r="BI51" i="82"/>
  <c r="AU280" i="2" s="1"/>
  <c r="BI28" i="82"/>
  <c r="AU221" i="2" s="1"/>
  <c r="BI17" i="82"/>
  <c r="AU188" i="2" s="1"/>
  <c r="BI64" i="82"/>
  <c r="AU325" i="2" s="1"/>
  <c r="BI71" i="82"/>
  <c r="AU362" i="2" s="1"/>
  <c r="BI26" i="82"/>
  <c r="AU219" i="2" s="1"/>
  <c r="BI12" i="82"/>
  <c r="AU183" i="2" s="1"/>
  <c r="BI24" i="82"/>
  <c r="AU217" i="2" s="1"/>
  <c r="BI68" i="82"/>
  <c r="AU214" i="2" s="1"/>
  <c r="AZ43" i="82"/>
  <c r="AT214" i="2" s="1"/>
  <c r="BI59" i="82"/>
  <c r="AU320" i="2" s="1"/>
  <c r="BI25" i="82"/>
  <c r="AU218" i="2" s="1"/>
  <c r="BI39" i="82"/>
  <c r="AU263" i="2" s="1"/>
  <c r="BI73" i="71"/>
  <c r="AC285" i="2" s="1"/>
  <c r="BI100" i="71"/>
  <c r="AC327" i="2" s="1"/>
  <c r="BI134" i="71"/>
  <c r="AZ41" i="71"/>
  <c r="AB271" i="2" s="1"/>
  <c r="AZ126" i="71"/>
  <c r="BI109" i="71"/>
  <c r="AC344" i="2" s="1"/>
  <c r="AZ128" i="71"/>
  <c r="BI48" i="71"/>
  <c r="AC255" i="2" s="1"/>
  <c r="AZ59" i="71"/>
  <c r="AB309" i="2" s="1"/>
  <c r="AZ127" i="71"/>
  <c r="BI54" i="71"/>
  <c r="AC261" i="2" s="1"/>
  <c r="BI90" i="71"/>
  <c r="AC317" i="2" s="1"/>
  <c r="AZ36" i="71"/>
  <c r="AB250" i="2" s="1"/>
  <c r="AZ73" i="71"/>
  <c r="AB339" i="2" s="1"/>
  <c r="AZ78" i="71"/>
  <c r="AZ61" i="71"/>
  <c r="AB311" i="2" s="1"/>
  <c r="AZ45" i="71"/>
  <c r="AB285" i="2" s="1"/>
  <c r="AZ34" i="71"/>
  <c r="AB248" i="2" s="1"/>
  <c r="AZ48" i="71"/>
  <c r="AB288" i="2" s="1"/>
  <c r="AZ58" i="71"/>
  <c r="AB308" i="2" s="1"/>
  <c r="AZ74" i="71"/>
  <c r="AB340" i="2" s="1"/>
  <c r="AZ33" i="71"/>
  <c r="AB247" i="2" s="1"/>
  <c r="AZ47" i="71"/>
  <c r="AB287" i="2" s="1"/>
  <c r="AZ51" i="71"/>
  <c r="AB295" i="2" s="1"/>
  <c r="AZ52" i="71"/>
  <c r="AB296" i="2" s="1"/>
  <c r="AZ68" i="71"/>
  <c r="AB334" i="2" s="1"/>
  <c r="AZ31" i="71"/>
  <c r="AB245" i="2" s="1"/>
  <c r="AZ39" i="71"/>
  <c r="AB269" i="2" s="1"/>
  <c r="AZ27" i="71"/>
  <c r="AB235" i="2" s="1"/>
  <c r="AZ56" i="71"/>
  <c r="AB306" i="2" s="1"/>
  <c r="AZ60" i="71"/>
  <c r="AB310" i="2" s="1"/>
  <c r="AZ38" i="71"/>
  <c r="AB268" i="2" s="1"/>
  <c r="AZ44" i="71"/>
  <c r="AB284" i="2" s="1"/>
  <c r="BI96" i="71"/>
  <c r="AC323" i="2" s="1"/>
  <c r="AZ69" i="71"/>
  <c r="AB335" i="2" s="1"/>
  <c r="BI95" i="71"/>
  <c r="AC322" i="2" s="1"/>
  <c r="BI65" i="71"/>
  <c r="AC277" i="2" s="1"/>
  <c r="BI55" i="71"/>
  <c r="AC262" i="2" s="1"/>
  <c r="AZ70" i="71"/>
  <c r="AB336" i="2" s="1"/>
  <c r="BI29" i="71"/>
  <c r="AC73" i="2" s="1"/>
  <c r="BI121" i="71"/>
  <c r="AC356" i="2" s="1"/>
  <c r="BI7" i="71"/>
  <c r="AC93" i="2" s="1"/>
  <c r="BI97" i="71"/>
  <c r="AC324" i="2" s="1"/>
  <c r="BI53" i="71"/>
  <c r="AC260" i="2" s="1"/>
  <c r="BI62" i="71"/>
  <c r="AC274" i="2" s="1"/>
  <c r="BI28" i="71"/>
  <c r="AC72" i="2" s="1"/>
  <c r="BI20" i="71"/>
  <c r="AC106" i="2" s="1"/>
  <c r="AZ11" i="71"/>
  <c r="AB87" i="2" s="1"/>
  <c r="BI51" i="71"/>
  <c r="AC258" i="2" s="1"/>
  <c r="AZ55" i="71"/>
  <c r="AB305" i="2" s="1"/>
  <c r="AZ64" i="71"/>
  <c r="AB330" i="2" s="1"/>
  <c r="BI12" i="71"/>
  <c r="AC98" i="2" s="1"/>
  <c r="BI9" i="71"/>
  <c r="AC95" i="2" s="1"/>
  <c r="BI52" i="71"/>
  <c r="AC259" i="2" s="1"/>
  <c r="BI63" i="71"/>
  <c r="AC275" i="2" s="1"/>
  <c r="BI93" i="71"/>
  <c r="AC320" i="2" s="1"/>
  <c r="BI119" i="71"/>
  <c r="AC354" i="2" s="1"/>
  <c r="BI41" i="71"/>
  <c r="AC240" i="2" s="1"/>
  <c r="AZ76" i="71"/>
  <c r="AB358" i="2" s="1"/>
  <c r="AZ32" i="71"/>
  <c r="AB246" i="2" s="1"/>
  <c r="AZ65" i="71"/>
  <c r="AB331" i="2" s="1"/>
  <c r="AZ35" i="71"/>
  <c r="AB249" i="2" s="1"/>
  <c r="AZ8" i="71"/>
  <c r="AB84" i="2" s="1"/>
  <c r="AZ12" i="71"/>
  <c r="AB88" i="2" s="1"/>
  <c r="AZ72" i="71"/>
  <c r="AB338" i="2" s="1"/>
  <c r="BI81" i="71"/>
  <c r="AC300" i="2" s="1"/>
  <c r="BI112" i="71"/>
  <c r="AC347" i="2" s="1"/>
  <c r="AZ125" i="71"/>
  <c r="AB361" i="2" s="1"/>
  <c r="BI11" i="71"/>
  <c r="AC97" i="2" s="1"/>
  <c r="AZ30" i="71"/>
  <c r="AB244" i="2" s="1"/>
  <c r="BI15" i="71"/>
  <c r="AC101" i="2" s="1"/>
  <c r="BI120" i="71"/>
  <c r="AC355" i="2" s="1"/>
  <c r="BI13" i="71"/>
  <c r="AC99" i="2" s="1"/>
  <c r="BI57" i="71"/>
  <c r="AC264" i="2" s="1"/>
  <c r="BI88" i="71"/>
  <c r="AC315" i="2" s="1"/>
  <c r="AZ7" i="71"/>
  <c r="AB83" i="2" s="1"/>
  <c r="BI117" i="71"/>
  <c r="AC352" i="2" s="1"/>
  <c r="BI82" i="71"/>
  <c r="AC301" i="2" s="1"/>
  <c r="BI130" i="71"/>
  <c r="AC203" i="2" s="1"/>
  <c r="BI80" i="71"/>
  <c r="AC299" i="2" s="1"/>
  <c r="BI110" i="71"/>
  <c r="AC345" i="2" s="1"/>
  <c r="BI42" i="71"/>
  <c r="AC241" i="2" s="1"/>
  <c r="BI68" i="71"/>
  <c r="AC280" i="2" s="1"/>
  <c r="BI47" i="71"/>
  <c r="AC254" i="2" s="1"/>
  <c r="AZ26" i="71"/>
  <c r="AB234" i="2" s="1"/>
  <c r="BI39" i="71"/>
  <c r="AC238" i="2" s="1"/>
  <c r="AZ63" i="71"/>
  <c r="AB329" i="2" s="1"/>
  <c r="BI98" i="71"/>
  <c r="AC325" i="2" s="1"/>
  <c r="BI74" i="71"/>
  <c r="AC286" i="2" s="1"/>
  <c r="BI58" i="71"/>
  <c r="AC265" i="2" s="1"/>
  <c r="BI49" i="71"/>
  <c r="AC256" i="2" s="1"/>
  <c r="AZ46" i="71"/>
  <c r="AB286" i="2" s="1"/>
  <c r="AZ57" i="71"/>
  <c r="AB307" i="2" s="1"/>
  <c r="AZ71" i="71"/>
  <c r="AB337" i="2" s="1"/>
  <c r="BI61" i="71"/>
  <c r="AC273" i="2" s="1"/>
  <c r="BI103" i="71"/>
  <c r="AC330" i="2" s="1"/>
  <c r="BI114" i="71"/>
  <c r="AC349" i="2" s="1"/>
  <c r="AZ40" i="71"/>
  <c r="AB270" i="2" s="1"/>
  <c r="BI24" i="71"/>
  <c r="AC109" i="2" s="1"/>
  <c r="N109" i="2" s="1"/>
  <c r="F109" i="2" s="1"/>
  <c r="AZ10" i="71"/>
  <c r="AB86" i="2" s="1"/>
  <c r="BI66" i="71"/>
  <c r="AC278" i="2" s="1"/>
  <c r="BI91" i="71"/>
  <c r="AC318" i="2" s="1"/>
  <c r="BI116" i="71"/>
  <c r="AC351" i="2" s="1"/>
  <c r="AZ9" i="71"/>
  <c r="AB85" i="2" s="1"/>
  <c r="AZ6" i="71"/>
  <c r="AB82" i="2" s="1"/>
  <c r="BI33" i="71"/>
  <c r="AC77" i="2" s="1"/>
  <c r="BI111" i="71"/>
  <c r="AC346" i="2" s="1"/>
  <c r="BI18" i="71"/>
  <c r="AC104" i="2" s="1"/>
  <c r="BI25" i="71"/>
  <c r="AC48" i="2" s="1"/>
  <c r="BI32" i="71"/>
  <c r="AC76" i="2" s="1"/>
  <c r="BI31" i="71"/>
  <c r="AC75" i="2" s="1"/>
  <c r="BI92" i="71"/>
  <c r="AC319" i="2" s="1"/>
  <c r="AZ94" i="71"/>
  <c r="AB199" i="2" s="1"/>
  <c r="N199" i="2" s="1"/>
  <c r="F199" i="2" s="1"/>
  <c r="I199" i="2" s="1"/>
  <c r="BI34" i="71"/>
  <c r="AC78" i="2" s="1"/>
  <c r="BI113" i="71"/>
  <c r="AC348" i="2" s="1"/>
  <c r="BI40" i="71"/>
  <c r="AC239" i="2" s="1"/>
  <c r="BI30" i="71"/>
  <c r="AC74" i="2" s="1"/>
  <c r="BI17" i="71"/>
  <c r="AC103" i="2" s="1"/>
  <c r="BI135" i="71"/>
  <c r="AC363" i="2" s="1"/>
  <c r="BI64" i="71"/>
  <c r="AC276" i="2" s="1"/>
  <c r="BI59" i="71"/>
  <c r="AC266" i="2" s="1"/>
  <c r="BI128" i="71"/>
  <c r="AC195" i="2" s="1"/>
  <c r="BI104" i="71"/>
  <c r="AC331" i="2" s="1"/>
  <c r="BI16" i="71"/>
  <c r="AC102" i="2" s="1"/>
  <c r="BI50" i="71"/>
  <c r="AC257" i="2" s="1"/>
  <c r="AZ19" i="71"/>
  <c r="AB75" i="2" s="1"/>
  <c r="BI133" i="71"/>
  <c r="AC361" i="2" s="1"/>
  <c r="AZ93" i="71"/>
  <c r="AB195" i="2" s="1"/>
  <c r="BI137" i="71"/>
  <c r="AC365" i="2" s="1"/>
  <c r="BI115" i="71"/>
  <c r="AC350" i="2" s="1"/>
  <c r="BI76" i="71"/>
  <c r="AC288" i="2" s="1"/>
  <c r="BI123" i="71"/>
  <c r="AC358" i="2" s="1"/>
  <c r="BI94" i="71"/>
  <c r="AC321" i="2" s="1"/>
  <c r="BI108" i="71"/>
  <c r="AC343" i="2" s="1"/>
  <c r="BI83" i="71"/>
  <c r="AC302" i="2" s="1"/>
  <c r="BI131" i="71"/>
  <c r="AC205" i="2" s="1"/>
  <c r="N205" i="2" s="1"/>
  <c r="F205" i="2" s="1"/>
  <c r="I205" i="2" s="1"/>
  <c r="BI99" i="71"/>
  <c r="AC326" i="2" s="1"/>
  <c r="BI75" i="71"/>
  <c r="AC287" i="2" s="1"/>
  <c r="BI46" i="71"/>
  <c r="AC253" i="2" s="1"/>
  <c r="BI89" i="71"/>
  <c r="AC316" i="2" s="1"/>
  <c r="BI56" i="71"/>
  <c r="AC263" i="2" s="1"/>
  <c r="BI72" i="71"/>
  <c r="AC284" i="2" s="1"/>
  <c r="BI118" i="71"/>
  <c r="AC353" i="2" s="1"/>
  <c r="BI87" i="71"/>
  <c r="AC314" i="2" s="1"/>
  <c r="BI136" i="71"/>
  <c r="AC364" i="2" s="1"/>
  <c r="BI125" i="71"/>
  <c r="AC214" i="2" s="1"/>
  <c r="BI19" i="71"/>
  <c r="AC105" i="2" s="1"/>
  <c r="BI8" i="71"/>
  <c r="AC94" i="2" s="1"/>
  <c r="BI10" i="71"/>
  <c r="AC96" i="2" s="1"/>
  <c r="BI14" i="71"/>
  <c r="AC100" i="2" s="1"/>
  <c r="BI102" i="71"/>
  <c r="AC329" i="2" s="1"/>
  <c r="BI67" i="71"/>
  <c r="AC279" i="2" s="1"/>
  <c r="AZ80" i="71"/>
  <c r="AB214" i="2" s="1"/>
  <c r="AZ15" i="68"/>
  <c r="V75" i="2" s="1"/>
  <c r="AZ20" i="67"/>
  <c r="T76" i="2" s="1"/>
  <c r="AZ19" i="67"/>
  <c r="T75" i="2" s="1"/>
  <c r="AZ18" i="66"/>
  <c r="R74" i="2" s="1"/>
  <c r="AZ46" i="77"/>
  <c r="AL37" i="2" s="1"/>
  <c r="AZ22" i="73"/>
  <c r="AD78" i="2" s="1"/>
  <c r="AZ22" i="71"/>
  <c r="AB78" i="2" s="1"/>
  <c r="BI25" i="81"/>
  <c r="AS48" i="2" s="1"/>
  <c r="BI73" i="81"/>
  <c r="AS320" i="2" s="1"/>
  <c r="AZ35" i="81"/>
  <c r="AR269" i="2" s="1"/>
  <c r="AZ9" i="81"/>
  <c r="AR116" i="2" s="1"/>
  <c r="BI77" i="81"/>
  <c r="AS324" i="2" s="1"/>
  <c r="AZ32" i="81"/>
  <c r="AR250" i="2" s="1"/>
  <c r="BI59" i="81"/>
  <c r="AS278" i="2" s="1"/>
  <c r="AZ7" i="81"/>
  <c r="AR114" i="2" s="1"/>
  <c r="BI65" i="81"/>
  <c r="AS312" i="2" s="1"/>
  <c r="AZ6" i="81"/>
  <c r="AR113" i="2" s="1"/>
  <c r="AZ22" i="81"/>
  <c r="AR78" i="2" s="1"/>
  <c r="AZ18" i="81"/>
  <c r="AR74" i="2" s="1"/>
  <c r="AZ21" i="81"/>
  <c r="AR77" i="2" s="1"/>
  <c r="AZ41" i="81"/>
  <c r="AR305" i="2" s="1"/>
  <c r="BI68" i="81"/>
  <c r="AS315" i="2" s="1"/>
  <c r="AZ10" i="81"/>
  <c r="AR117" i="2" s="1"/>
  <c r="BI9" i="81"/>
  <c r="AS126" i="2" s="1"/>
  <c r="AZ25" i="81"/>
  <c r="AR243" i="2" s="1"/>
  <c r="BI80" i="81"/>
  <c r="AS327" i="2" s="1"/>
  <c r="BI10" i="81"/>
  <c r="AS127" i="2" s="1"/>
  <c r="BI61" i="81"/>
  <c r="AS280" i="2" s="1"/>
  <c r="BI37" i="81"/>
  <c r="AS251" i="2" s="1"/>
  <c r="BI34" i="81"/>
  <c r="AS78" i="2" s="1"/>
  <c r="AZ11" i="81"/>
  <c r="AR118" i="2" s="1"/>
  <c r="BI74" i="81"/>
  <c r="AS321" i="2" s="1"/>
  <c r="AZ44" i="81"/>
  <c r="AR308" i="2" s="1"/>
  <c r="AZ87" i="81"/>
  <c r="BI31" i="81"/>
  <c r="AS75" i="2" s="1"/>
  <c r="BI44" i="81"/>
  <c r="AS258" i="2" s="1"/>
  <c r="AZ29" i="81"/>
  <c r="AR247" i="2" s="1"/>
  <c r="AZ5" i="81"/>
  <c r="AR112" i="2" s="1"/>
  <c r="BI21" i="81"/>
  <c r="AS138" i="2" s="1"/>
  <c r="AZ8" i="81"/>
  <c r="AR115" i="2" s="1"/>
  <c r="AZ49" i="81"/>
  <c r="AR141" i="2" s="1"/>
  <c r="AZ36" i="81"/>
  <c r="AR270" i="2" s="1"/>
  <c r="BI67" i="81"/>
  <c r="AS314" i="2" s="1"/>
  <c r="BI75" i="81"/>
  <c r="AS322" i="2" s="1"/>
  <c r="BI78" i="81"/>
  <c r="AS325" i="2" s="1"/>
  <c r="BI54" i="81"/>
  <c r="AS273" i="2" s="1"/>
  <c r="BI6" i="81"/>
  <c r="AS123" i="2" s="1"/>
  <c r="BI84" i="81"/>
  <c r="AS361" i="2" s="1"/>
  <c r="BI86" i="81"/>
  <c r="AS363" i="2" s="1"/>
  <c r="BI27" i="81"/>
  <c r="AS71" i="2" s="1"/>
  <c r="AZ26" i="81"/>
  <c r="AR244" i="2" s="1"/>
  <c r="BI87" i="81"/>
  <c r="AZ43" i="81"/>
  <c r="AR307" i="2" s="1"/>
  <c r="AZ13" i="81"/>
  <c r="AR120" i="2" s="1"/>
  <c r="BI70" i="81"/>
  <c r="AS317" i="2" s="1"/>
  <c r="BI49" i="81"/>
  <c r="AS263" i="2" s="1"/>
  <c r="BI18" i="81"/>
  <c r="AS135" i="2" s="1"/>
  <c r="BI60" i="81"/>
  <c r="AS279" i="2" s="1"/>
  <c r="BI42" i="81"/>
  <c r="AS256" i="2" s="1"/>
  <c r="BI14" i="81"/>
  <c r="AS131" i="2" s="1"/>
  <c r="BI76" i="81"/>
  <c r="AS323" i="2" s="1"/>
  <c r="BI19" i="81"/>
  <c r="AS136" i="2" s="1"/>
  <c r="AZ47" i="81"/>
  <c r="AR311" i="2" s="1"/>
  <c r="AZ86" i="81"/>
  <c r="AZ46" i="81"/>
  <c r="AR310" i="2" s="1"/>
  <c r="BI63" i="81"/>
  <c r="AS282" i="2" s="1"/>
  <c r="BI11" i="81"/>
  <c r="AS128" i="2" s="1"/>
  <c r="BI33" i="81"/>
  <c r="AS77" i="2" s="1"/>
  <c r="BI69" i="81"/>
  <c r="AS316" i="2" s="1"/>
  <c r="BI32" i="81"/>
  <c r="AS76" i="2" s="1"/>
  <c r="BI71" i="81"/>
  <c r="AS318" i="2" s="1"/>
  <c r="AZ28" i="81"/>
  <c r="AR246" i="2" s="1"/>
  <c r="AZ85" i="81"/>
  <c r="AZ42" i="81"/>
  <c r="AR306" i="2" s="1"/>
  <c r="BI55" i="81"/>
  <c r="AS274" i="2" s="1"/>
  <c r="AZ37" i="81"/>
  <c r="AR271" i="2" s="1"/>
  <c r="BI57" i="81"/>
  <c r="AS276" i="2" s="1"/>
  <c r="BI45" i="81"/>
  <c r="AS259" i="2" s="1"/>
  <c r="AZ34" i="81"/>
  <c r="AR268" i="2" s="1"/>
  <c r="BI5" i="81"/>
  <c r="AS122" i="2" s="1"/>
  <c r="BI35" i="81"/>
  <c r="AS79" i="2" s="1"/>
  <c r="AZ27" i="81"/>
  <c r="AR245" i="2" s="1"/>
  <c r="AZ30" i="81"/>
  <c r="AR248" i="2" s="1"/>
  <c r="AZ45" i="81"/>
  <c r="AR309" i="2" s="1"/>
  <c r="BI15" i="81"/>
  <c r="AS132" i="2" s="1"/>
  <c r="BI51" i="81"/>
  <c r="AS265" i="2" s="1"/>
  <c r="BI79" i="81"/>
  <c r="AS326" i="2" s="1"/>
  <c r="BI46" i="81"/>
  <c r="AS260" i="2" s="1"/>
  <c r="AZ12" i="81"/>
  <c r="AR119" i="2" s="1"/>
  <c r="AZ31" i="81"/>
  <c r="AR249" i="2" s="1"/>
  <c r="BI56" i="81"/>
  <c r="AS275" i="2" s="1"/>
  <c r="BI88" i="81"/>
  <c r="AS365" i="2" s="1"/>
  <c r="AZ88" i="81"/>
  <c r="AR365" i="2" s="1"/>
  <c r="BI30" i="81"/>
  <c r="AS74" i="2" s="1"/>
  <c r="BI22" i="81"/>
  <c r="AS139" i="2" s="1"/>
  <c r="BI13" i="81"/>
  <c r="AS130" i="2" s="1"/>
  <c r="BI24" i="81"/>
  <c r="AS141" i="2" s="1"/>
  <c r="BI29" i="81"/>
  <c r="AS73" i="2" s="1"/>
  <c r="AZ40" i="81"/>
  <c r="AR304" i="2" s="1"/>
  <c r="BI17" i="81"/>
  <c r="AS134" i="2" s="1"/>
  <c r="BI41" i="81"/>
  <c r="AS255" i="2" s="1"/>
  <c r="AZ38" i="81"/>
  <c r="AR272" i="2" s="1"/>
  <c r="AZ19" i="81"/>
  <c r="AR75" i="2" s="1"/>
  <c r="BI28" i="81"/>
  <c r="AS72" i="2" s="1"/>
  <c r="BI50" i="81"/>
  <c r="AS264" i="2" s="1"/>
  <c r="AZ84" i="81"/>
  <c r="AR361" i="2" s="1"/>
  <c r="AZ20" i="81"/>
  <c r="AR76" i="2" s="1"/>
  <c r="BI52" i="81"/>
  <c r="AS266" i="2" s="1"/>
  <c r="BI43" i="81"/>
  <c r="AS257" i="2" s="1"/>
  <c r="BI38" i="81"/>
  <c r="AS252" i="2" s="1"/>
  <c r="BI40" i="81"/>
  <c r="AS254" i="2" s="1"/>
  <c r="BI72" i="81"/>
  <c r="AS319" i="2" s="1"/>
  <c r="BI7" i="81"/>
  <c r="AS124" i="2" s="1"/>
  <c r="BI66" i="81"/>
  <c r="AS313" i="2" s="1"/>
  <c r="AZ15" i="81"/>
  <c r="AR71" i="2" s="1"/>
  <c r="BI12" i="81"/>
  <c r="AS129" i="2" s="1"/>
  <c r="BI20" i="81"/>
  <c r="AS137" i="2" s="1"/>
  <c r="BI48" i="81"/>
  <c r="AS262" i="2" s="1"/>
  <c r="AZ17" i="81"/>
  <c r="AR73" i="2" s="1"/>
  <c r="BI47" i="81"/>
  <c r="AS261" i="2" s="1"/>
  <c r="BI8" i="81"/>
  <c r="AS125" i="2" s="1"/>
  <c r="BI39" i="81"/>
  <c r="AS253" i="2" s="1"/>
  <c r="AZ16" i="81"/>
  <c r="AR72" i="2" s="1"/>
  <c r="AZ23" i="81"/>
  <c r="AR79" i="2" s="1"/>
  <c r="BI85" i="81"/>
  <c r="AS362" i="2" s="1"/>
  <c r="BI16" i="81"/>
  <c r="AS133" i="2" s="1"/>
  <c r="BI62" i="81"/>
  <c r="AS281" i="2" s="1"/>
  <c r="BI58" i="81"/>
  <c r="AS277" i="2" s="1"/>
  <c r="AZ134" i="73"/>
  <c r="AZ136" i="73"/>
  <c r="BI85" i="73"/>
  <c r="AE312" i="2" s="1"/>
  <c r="AZ56" i="73"/>
  <c r="AD306" i="2" s="1"/>
  <c r="AZ74" i="73"/>
  <c r="AD340" i="2" s="1"/>
  <c r="AZ36" i="73"/>
  <c r="AD250" i="2" s="1"/>
  <c r="AZ26" i="73"/>
  <c r="AD234" i="2" s="1"/>
  <c r="BI94" i="73"/>
  <c r="AE321" i="2" s="1"/>
  <c r="BI121" i="73"/>
  <c r="AE356" i="2" s="1"/>
  <c r="AZ39" i="73"/>
  <c r="AD269" i="2" s="1"/>
  <c r="AZ44" i="73"/>
  <c r="AD284" i="2" s="1"/>
  <c r="BI93" i="73"/>
  <c r="AE320" i="2" s="1"/>
  <c r="AZ67" i="73"/>
  <c r="AD333" i="2" s="1"/>
  <c r="AZ71" i="73"/>
  <c r="AD337" i="2" s="1"/>
  <c r="AZ25" i="73"/>
  <c r="AD233" i="2" s="1"/>
  <c r="AZ59" i="73"/>
  <c r="AD309" i="2" s="1"/>
  <c r="AZ72" i="73"/>
  <c r="AD338" i="2" s="1"/>
  <c r="AZ78" i="73"/>
  <c r="AZ42" i="73"/>
  <c r="AD272" i="2" s="1"/>
  <c r="AZ58" i="73"/>
  <c r="AD308" i="2" s="1"/>
  <c r="AZ38" i="73"/>
  <c r="AD268" i="2" s="1"/>
  <c r="BI96" i="73"/>
  <c r="AE323" i="2" s="1"/>
  <c r="AZ27" i="73"/>
  <c r="AD235" i="2" s="1"/>
  <c r="AZ55" i="73"/>
  <c r="AD305" i="2" s="1"/>
  <c r="AZ51" i="73"/>
  <c r="AD295" i="2" s="1"/>
  <c r="AZ47" i="73"/>
  <c r="AD287" i="2" s="1"/>
  <c r="AZ64" i="73"/>
  <c r="AD330" i="2" s="1"/>
  <c r="BI15" i="73"/>
  <c r="AE132" i="2" s="1"/>
  <c r="BI44" i="73"/>
  <c r="AE251" i="2" s="1"/>
  <c r="AZ50" i="73"/>
  <c r="AD294" i="2" s="1"/>
  <c r="BI86" i="73"/>
  <c r="AE313" i="2" s="1"/>
  <c r="BI46" i="73"/>
  <c r="AE253" i="2" s="1"/>
  <c r="AZ7" i="73"/>
  <c r="AD114" i="2" s="1"/>
  <c r="AZ69" i="73"/>
  <c r="AD335" i="2" s="1"/>
  <c r="AZ70" i="73"/>
  <c r="AD336" i="2" s="1"/>
  <c r="AZ29" i="73"/>
  <c r="AD243" i="2" s="1"/>
  <c r="AZ61" i="73"/>
  <c r="AD311" i="2" s="1"/>
  <c r="AZ10" i="73"/>
  <c r="AD117" i="2" s="1"/>
  <c r="BI116" i="73"/>
  <c r="AE351" i="2" s="1"/>
  <c r="AZ52" i="73"/>
  <c r="AD296" i="2" s="1"/>
  <c r="BI130" i="73"/>
  <c r="AE203" i="2" s="1"/>
  <c r="BI107" i="73"/>
  <c r="AE342" i="2" s="1"/>
  <c r="AZ41" i="73"/>
  <c r="AD271" i="2" s="1"/>
  <c r="BI48" i="73"/>
  <c r="AE255" i="2" s="1"/>
  <c r="AZ57" i="73"/>
  <c r="AD307" i="2" s="1"/>
  <c r="AZ5" i="73"/>
  <c r="AD112" i="2" s="1"/>
  <c r="AZ68" i="73"/>
  <c r="AD334" i="2" s="1"/>
  <c r="BI90" i="73"/>
  <c r="AE317" i="2" s="1"/>
  <c r="BI67" i="73"/>
  <c r="AE279" i="2" s="1"/>
  <c r="BI39" i="73"/>
  <c r="AE238" i="2" s="1"/>
  <c r="BI110" i="73"/>
  <c r="AE345" i="2" s="1"/>
  <c r="AZ11" i="73"/>
  <c r="AD118" i="2" s="1"/>
  <c r="BI111" i="73"/>
  <c r="AE346" i="2" s="1"/>
  <c r="BI22" i="73"/>
  <c r="AE139" i="2" s="1"/>
  <c r="AZ73" i="73"/>
  <c r="AD339" i="2" s="1"/>
  <c r="AZ84" i="73"/>
  <c r="AD200" i="2" s="1"/>
  <c r="AZ76" i="73"/>
  <c r="AD358" i="2" s="1"/>
  <c r="BI11" i="73"/>
  <c r="AE128" i="2" s="1"/>
  <c r="AZ13" i="73"/>
  <c r="AD120" i="2" s="1"/>
  <c r="BI54" i="73"/>
  <c r="AE261" i="2" s="1"/>
  <c r="BI63" i="73"/>
  <c r="AE275" i="2" s="1"/>
  <c r="BI18" i="73"/>
  <c r="AE135" i="2" s="1"/>
  <c r="AZ83" i="73"/>
  <c r="AD196" i="2" s="1"/>
  <c r="AZ35" i="73"/>
  <c r="AD249" i="2" s="1"/>
  <c r="BI97" i="73"/>
  <c r="AE324" i="2" s="1"/>
  <c r="AZ133" i="73"/>
  <c r="AD361" i="2" s="1"/>
  <c r="BI56" i="73"/>
  <c r="AE263" i="2" s="1"/>
  <c r="BI136" i="73"/>
  <c r="AE364" i="2" s="1"/>
  <c r="AZ65" i="73"/>
  <c r="AD331" i="2" s="1"/>
  <c r="BI109" i="73"/>
  <c r="AE344" i="2" s="1"/>
  <c r="BI79" i="73"/>
  <c r="AE298" i="2" s="1"/>
  <c r="AZ12" i="73"/>
  <c r="AD119" i="2" s="1"/>
  <c r="BI114" i="73"/>
  <c r="AE349" i="2" s="1"/>
  <c r="BI20" i="73"/>
  <c r="AE137" i="2" s="1"/>
  <c r="BI42" i="73"/>
  <c r="AE241" i="2" s="1"/>
  <c r="BI103" i="73"/>
  <c r="AE330" i="2" s="1"/>
  <c r="BI58" i="73"/>
  <c r="AE265" i="2" s="1"/>
  <c r="AZ54" i="73"/>
  <c r="AD304" i="2" s="1"/>
  <c r="BI52" i="73"/>
  <c r="AE259" i="2" s="1"/>
  <c r="BI104" i="73"/>
  <c r="AE331" i="2" s="1"/>
  <c r="BI62" i="73"/>
  <c r="AE274" i="2" s="1"/>
  <c r="BI37" i="73"/>
  <c r="AE236" i="2" s="1"/>
  <c r="BI80" i="73"/>
  <c r="AE299" i="2" s="1"/>
  <c r="BI13" i="73"/>
  <c r="AE130" i="2" s="1"/>
  <c r="BI53" i="73"/>
  <c r="AE260" i="2" s="1"/>
  <c r="AZ45" i="73"/>
  <c r="AD285" i="2" s="1"/>
  <c r="BI72" i="73"/>
  <c r="AE284" i="2" s="1"/>
  <c r="BI78" i="73"/>
  <c r="AE297" i="2" s="1"/>
  <c r="BI70" i="73"/>
  <c r="AE282" i="2" s="1"/>
  <c r="BI117" i="73"/>
  <c r="AE352" i="2" s="1"/>
  <c r="BI9" i="73"/>
  <c r="AE126" i="2" s="1"/>
  <c r="AZ63" i="73"/>
  <c r="AD329" i="2" s="1"/>
  <c r="BI102" i="73"/>
  <c r="AE329" i="2" s="1"/>
  <c r="BI64" i="73"/>
  <c r="AE276" i="2" s="1"/>
  <c r="AZ32" i="73"/>
  <c r="AD246" i="2" s="1"/>
  <c r="BI6" i="73"/>
  <c r="AE123" i="2" s="1"/>
  <c r="AZ46" i="73"/>
  <c r="AD286" i="2" s="1"/>
  <c r="BI68" i="73"/>
  <c r="AE280" i="2" s="1"/>
  <c r="BI74" i="73"/>
  <c r="AE286" i="2" s="1"/>
  <c r="BI59" i="73"/>
  <c r="AE266" i="2" s="1"/>
  <c r="AZ9" i="73"/>
  <c r="AD116" i="2" s="1"/>
  <c r="BI50" i="73"/>
  <c r="AE257" i="2" s="1"/>
  <c r="BI88" i="73"/>
  <c r="AE315" i="2" s="1"/>
  <c r="BI120" i="73"/>
  <c r="AE355" i="2" s="1"/>
  <c r="BI69" i="73"/>
  <c r="AE281" i="2" s="1"/>
  <c r="BI131" i="73"/>
  <c r="AE206" i="2" s="1"/>
  <c r="BI118" i="73"/>
  <c r="AE353" i="2" s="1"/>
  <c r="AZ8" i="73"/>
  <c r="AD115" i="2" s="1"/>
  <c r="BI65" i="73"/>
  <c r="AE277" i="2" s="1"/>
  <c r="BI99" i="73"/>
  <c r="AE326" i="2" s="1"/>
  <c r="BI106" i="73"/>
  <c r="AE341" i="2" s="1"/>
  <c r="AZ34" i="73"/>
  <c r="AD248" i="2" s="1"/>
  <c r="BI89" i="73"/>
  <c r="AE316" i="2" s="1"/>
  <c r="BI55" i="73"/>
  <c r="AE262" i="2" s="1"/>
  <c r="BI115" i="73"/>
  <c r="AE350" i="2" s="1"/>
  <c r="BI134" i="73"/>
  <c r="BI91" i="73"/>
  <c r="AE318" i="2" s="1"/>
  <c r="AZ40" i="73"/>
  <c r="AD270" i="2" s="1"/>
  <c r="AZ33" i="73"/>
  <c r="AD247" i="2" s="1"/>
  <c r="AZ31" i="73"/>
  <c r="AD245" i="2" s="1"/>
  <c r="BI35" i="73"/>
  <c r="AE79" i="2" s="1"/>
  <c r="BI30" i="73"/>
  <c r="AE74" i="2" s="1"/>
  <c r="BI66" i="73"/>
  <c r="AE278" i="2" s="1"/>
  <c r="BI128" i="73"/>
  <c r="AE196" i="2" s="1"/>
  <c r="BI32" i="73"/>
  <c r="AE76" i="2" s="1"/>
  <c r="BI34" i="73"/>
  <c r="AE78" i="2" s="1"/>
  <c r="AZ60" i="73"/>
  <c r="AD310" i="2" s="1"/>
  <c r="BI28" i="73"/>
  <c r="AE72" i="2" s="1"/>
  <c r="BI82" i="73"/>
  <c r="AE301" i="2" s="1"/>
  <c r="AZ48" i="73"/>
  <c r="AD288" i="2" s="1"/>
  <c r="BI25" i="73"/>
  <c r="AE48" i="2" s="1"/>
  <c r="BI33" i="73"/>
  <c r="AE77" i="2" s="1"/>
  <c r="BI83" i="73"/>
  <c r="AE302" i="2" s="1"/>
  <c r="BI24" i="73"/>
  <c r="AE140" i="2" s="1"/>
  <c r="BI112" i="73"/>
  <c r="AE347" i="2" s="1"/>
  <c r="BI31" i="73"/>
  <c r="AE75" i="2" s="1"/>
  <c r="BI75" i="73"/>
  <c r="AE287" i="2" s="1"/>
  <c r="BI5" i="73"/>
  <c r="AE122" i="2" s="1"/>
  <c r="BI113" i="73"/>
  <c r="AE348" i="2" s="1"/>
  <c r="BI7" i="73"/>
  <c r="AE124" i="2" s="1"/>
  <c r="BI61" i="73"/>
  <c r="AE273" i="2" s="1"/>
  <c r="AZ135" i="73"/>
  <c r="BI92" i="73"/>
  <c r="AE319" i="2" s="1"/>
  <c r="BI14" i="73"/>
  <c r="AE131" i="2" s="1"/>
  <c r="AZ6" i="73"/>
  <c r="AD113" i="2" s="1"/>
  <c r="BI135" i="73"/>
  <c r="AE363" i="2" s="1"/>
  <c r="BI10" i="73"/>
  <c r="AE127" i="2" s="1"/>
  <c r="AZ30" i="73"/>
  <c r="AD244" i="2" s="1"/>
  <c r="BI29" i="73"/>
  <c r="AE73" i="2" s="1"/>
  <c r="BI73" i="73"/>
  <c r="AE285" i="2" s="1"/>
  <c r="BI87" i="73"/>
  <c r="AE314" i="2" s="1"/>
  <c r="BI49" i="73"/>
  <c r="AE256" i="2" s="1"/>
  <c r="BI133" i="73"/>
  <c r="AE361" i="2" s="1"/>
  <c r="AZ137" i="73"/>
  <c r="AD365" i="2" s="1"/>
  <c r="BI137" i="73"/>
  <c r="AE365" i="2" s="1"/>
  <c r="BI8" i="73"/>
  <c r="AE125" i="2" s="1"/>
  <c r="BI41" i="73"/>
  <c r="AE240" i="2" s="1"/>
  <c r="BI45" i="73"/>
  <c r="AE252" i="2" s="1"/>
  <c r="BI16" i="73"/>
  <c r="AE133" i="2" s="1"/>
  <c r="BI100" i="73"/>
  <c r="AE327" i="2" s="1"/>
  <c r="BI38" i="73"/>
  <c r="AE237" i="2" s="1"/>
  <c r="BI57" i="73"/>
  <c r="AE264" i="2" s="1"/>
  <c r="BI98" i="73"/>
  <c r="AE325" i="2" s="1"/>
  <c r="BI17" i="73"/>
  <c r="AE134" i="2" s="1"/>
  <c r="BI21" i="73"/>
  <c r="AE138" i="2" s="1"/>
  <c r="BI40" i="73"/>
  <c r="AE239" i="2" s="1"/>
  <c r="BI123" i="73"/>
  <c r="AE358" i="2" s="1"/>
  <c r="BI108" i="73"/>
  <c r="AE343" i="2" s="1"/>
  <c r="BI27" i="73"/>
  <c r="AE71" i="2" s="1"/>
  <c r="BI119" i="73"/>
  <c r="AE354" i="2" s="1"/>
  <c r="BI95" i="73"/>
  <c r="AE322" i="2" s="1"/>
  <c r="BI76" i="73"/>
  <c r="AE288" i="2" s="1"/>
  <c r="BI51" i="73"/>
  <c r="AE258" i="2" s="1"/>
  <c r="BI12" i="73"/>
  <c r="AE129" i="2" s="1"/>
  <c r="BI47" i="73"/>
  <c r="AE254" i="2" s="1"/>
  <c r="BI81" i="73"/>
  <c r="AE300" i="2" s="1"/>
  <c r="BI19" i="73"/>
  <c r="AE136" i="2" s="1"/>
  <c r="AZ23" i="73"/>
  <c r="AD79" i="2" s="1"/>
  <c r="AZ18" i="73"/>
  <c r="AD74" i="2" s="1"/>
  <c r="AZ18" i="71"/>
  <c r="AB74" i="2" s="1"/>
  <c r="AZ21" i="73"/>
  <c r="AD77" i="2" s="1"/>
  <c r="AZ15" i="73"/>
  <c r="AD71" i="2" s="1"/>
  <c r="BI68" i="77"/>
  <c r="AM214" i="2" s="1"/>
  <c r="AZ59" i="78"/>
  <c r="AN69" i="2" s="1"/>
  <c r="AZ25" i="78"/>
  <c r="AN71" i="2" s="1"/>
  <c r="AZ27" i="78"/>
  <c r="AN73" i="2" s="1"/>
  <c r="AZ29" i="78"/>
  <c r="AN75" i="2" s="1"/>
  <c r="AZ32" i="78"/>
  <c r="AN78" i="2" s="1"/>
  <c r="BI50" i="78"/>
  <c r="AO74" i="2" s="1"/>
  <c r="AZ107" i="78"/>
  <c r="AZ48" i="78"/>
  <c r="AN272" i="2" s="1"/>
  <c r="AZ54" i="78"/>
  <c r="AN308" i="2" s="1"/>
  <c r="AZ10" i="78"/>
  <c r="AN44" i="2" s="1"/>
  <c r="AZ44" i="78"/>
  <c r="AN268" i="2" s="1"/>
  <c r="BI85" i="78"/>
  <c r="AO312" i="2" s="1"/>
  <c r="BI92" i="78"/>
  <c r="AO319" i="2" s="1"/>
  <c r="BI82" i="78"/>
  <c r="AO281" i="2" s="1"/>
  <c r="BI15" i="78"/>
  <c r="AO60" i="2" s="1"/>
  <c r="BI30" i="78"/>
  <c r="AO128" i="2" s="1"/>
  <c r="BI45" i="78"/>
  <c r="AO48" i="2" s="1"/>
  <c r="AZ106" i="78"/>
  <c r="AZ105" i="78"/>
  <c r="BI47" i="78"/>
  <c r="AO71" i="2" s="1"/>
  <c r="AZ45" i="78"/>
  <c r="AN269" i="2" s="1"/>
  <c r="BI97" i="78"/>
  <c r="AO324" i="2" s="1"/>
  <c r="AZ7" i="78"/>
  <c r="AN41" i="2" s="1"/>
  <c r="BI44" i="78"/>
  <c r="AO141" i="2" s="1"/>
  <c r="BI78" i="78"/>
  <c r="AO277" i="2" s="1"/>
  <c r="BI95" i="78"/>
  <c r="AO322" i="2" s="1"/>
  <c r="BI21" i="78"/>
  <c r="AO66" i="2" s="1"/>
  <c r="BI8" i="78"/>
  <c r="AO53" i="2" s="1"/>
  <c r="AZ28" i="78"/>
  <c r="AN74" i="2" s="1"/>
  <c r="AZ60" i="78"/>
  <c r="AN141" i="2" s="1"/>
  <c r="BI49" i="78"/>
  <c r="AO73" i="2" s="1"/>
  <c r="BI88" i="78"/>
  <c r="AO315" i="2" s="1"/>
  <c r="AZ51" i="78"/>
  <c r="AN305" i="2" s="1"/>
  <c r="AZ20" i="78"/>
  <c r="AN117" i="2" s="1"/>
  <c r="BI59" i="78"/>
  <c r="AO253" i="2" s="1"/>
  <c r="AZ41" i="78"/>
  <c r="AN249" i="2" s="1"/>
  <c r="AZ35" i="78"/>
  <c r="AN243" i="2" s="1"/>
  <c r="AZ5" i="78"/>
  <c r="AN39" i="2" s="1"/>
  <c r="BI26" i="78"/>
  <c r="AO124" i="2" s="1"/>
  <c r="BI11" i="78"/>
  <c r="AO56" i="2" s="1"/>
  <c r="BI41" i="78"/>
  <c r="AO139" i="2" s="1"/>
  <c r="BI18" i="78"/>
  <c r="AO63" i="2" s="1"/>
  <c r="BI28" i="78"/>
  <c r="AO126" i="2" s="1"/>
  <c r="BI9" i="78"/>
  <c r="AO54" i="2" s="1"/>
  <c r="BI36" i="78"/>
  <c r="AO134" i="2" s="1"/>
  <c r="BI53" i="78"/>
  <c r="AO77" i="2" s="1"/>
  <c r="BI55" i="78"/>
  <c r="AO79" i="2" s="1"/>
  <c r="BI66" i="78"/>
  <c r="AO260" i="2" s="1"/>
  <c r="AZ39" i="78"/>
  <c r="AN247" i="2" s="1"/>
  <c r="AZ50" i="78"/>
  <c r="AN304" i="2" s="1"/>
  <c r="BI100" i="78"/>
  <c r="AO327" i="2" s="1"/>
  <c r="AZ57" i="78"/>
  <c r="AN311" i="2" s="1"/>
  <c r="AZ12" i="78"/>
  <c r="AN46" i="2" s="1"/>
  <c r="AZ13" i="78"/>
  <c r="AN47" i="2" s="1"/>
  <c r="BI6" i="78"/>
  <c r="AO51" i="2" s="1"/>
  <c r="AZ40" i="78"/>
  <c r="AN248" i="2" s="1"/>
  <c r="AZ53" i="78"/>
  <c r="AN307" i="2" s="1"/>
  <c r="BI74" i="78"/>
  <c r="AO273" i="2" s="1"/>
  <c r="BI43" i="78"/>
  <c r="AO69" i="2" s="1"/>
  <c r="BI94" i="78"/>
  <c r="AO321" i="2" s="1"/>
  <c r="AZ47" i="78"/>
  <c r="AN271" i="2" s="1"/>
  <c r="AZ9" i="78"/>
  <c r="AN43" i="2" s="1"/>
  <c r="BI7" i="78"/>
  <c r="AO52" i="2" s="1"/>
  <c r="BI54" i="78"/>
  <c r="AO78" i="2" s="1"/>
  <c r="AZ55" i="78"/>
  <c r="AN309" i="2" s="1"/>
  <c r="AZ36" i="78"/>
  <c r="AN244" i="2" s="1"/>
  <c r="AZ56" i="78"/>
  <c r="AN310" i="2" s="1"/>
  <c r="AZ52" i="78"/>
  <c r="AN306" i="2" s="1"/>
  <c r="AZ8" i="78"/>
  <c r="AN42" i="2" s="1"/>
  <c r="AZ42" i="78"/>
  <c r="AN250" i="2" s="1"/>
  <c r="BI20" i="78"/>
  <c r="AO65" i="2" s="1"/>
  <c r="BI80" i="78"/>
  <c r="AO279" i="2" s="1"/>
  <c r="BI79" i="78"/>
  <c r="AO278" i="2" s="1"/>
  <c r="BI90" i="78"/>
  <c r="AO317" i="2" s="1"/>
  <c r="BI33" i="78"/>
  <c r="AO131" i="2" s="1"/>
  <c r="BI52" i="78"/>
  <c r="AO76" i="2" s="1"/>
  <c r="AZ38" i="78"/>
  <c r="AN246" i="2" s="1"/>
  <c r="AZ6" i="78"/>
  <c r="AN40" i="2" s="1"/>
  <c r="AZ46" i="78"/>
  <c r="AN270" i="2" s="1"/>
  <c r="AZ11" i="78"/>
  <c r="AN45" i="2" s="1"/>
  <c r="AZ18" i="78"/>
  <c r="AN115" i="2" s="1"/>
  <c r="BI69" i="78"/>
  <c r="AO263" i="2" s="1"/>
  <c r="BI75" i="78"/>
  <c r="AO274" i="2" s="1"/>
  <c r="BI22" i="78"/>
  <c r="AO67" i="2" s="1"/>
  <c r="BI31" i="78"/>
  <c r="AO129" i="2" s="1"/>
  <c r="BI107" i="78"/>
  <c r="BI12" i="78"/>
  <c r="AO57" i="2" s="1"/>
  <c r="BI108" i="78"/>
  <c r="AO365" i="2" s="1"/>
  <c r="AZ19" i="78"/>
  <c r="AN116" i="2" s="1"/>
  <c r="BI51" i="78"/>
  <c r="AO75" i="2" s="1"/>
  <c r="AZ16" i="78"/>
  <c r="AN113" i="2" s="1"/>
  <c r="BI14" i="78"/>
  <c r="AO59" i="2" s="1"/>
  <c r="BI71" i="78"/>
  <c r="AO265" i="2" s="1"/>
  <c r="BI67" i="78"/>
  <c r="AO261" i="2" s="1"/>
  <c r="BI27" i="78"/>
  <c r="AO125" i="2" s="1"/>
  <c r="BI24" i="78"/>
  <c r="AO122" i="2" s="1"/>
  <c r="BI35" i="78"/>
  <c r="AO133" i="2" s="1"/>
  <c r="BI5" i="78"/>
  <c r="AO50" i="2" s="1"/>
  <c r="AZ23" i="78"/>
  <c r="AN120" i="2" s="1"/>
  <c r="BI77" i="78"/>
  <c r="AO276" i="2" s="1"/>
  <c r="BI29" i="78"/>
  <c r="AO127" i="2" s="1"/>
  <c r="BI106" i="78"/>
  <c r="AO363" i="2" s="1"/>
  <c r="BI25" i="78"/>
  <c r="AO123" i="2" s="1"/>
  <c r="BI62" i="78"/>
  <c r="AO256" i="2" s="1"/>
  <c r="BI38" i="78"/>
  <c r="AO136" i="2" s="1"/>
  <c r="BI87" i="78"/>
  <c r="AO314" i="2" s="1"/>
  <c r="AZ104" i="78"/>
  <c r="AN361" i="2" s="1"/>
  <c r="AZ37" i="78"/>
  <c r="AN245" i="2" s="1"/>
  <c r="BI64" i="78"/>
  <c r="AO258" i="2" s="1"/>
  <c r="BI16" i="78"/>
  <c r="AO61" i="2" s="1"/>
  <c r="BI48" i="78"/>
  <c r="AO72" i="2" s="1"/>
  <c r="BI13" i="78"/>
  <c r="AO58" i="2" s="1"/>
  <c r="BI89" i="78"/>
  <c r="AO316" i="2" s="1"/>
  <c r="BI57" i="78"/>
  <c r="AO251" i="2" s="1"/>
  <c r="BI17" i="78"/>
  <c r="AO62" i="2" s="1"/>
  <c r="BI37" i="78"/>
  <c r="AO135" i="2" s="1"/>
  <c r="BI104" i="78"/>
  <c r="AO361" i="2" s="1"/>
  <c r="BI58" i="78"/>
  <c r="AO252" i="2" s="1"/>
  <c r="BI86" i="78"/>
  <c r="AO313" i="2" s="1"/>
  <c r="BI76" i="78"/>
  <c r="AO275" i="2" s="1"/>
  <c r="BI10" i="78"/>
  <c r="AO55" i="2" s="1"/>
  <c r="AZ21" i="78"/>
  <c r="AN118" i="2" s="1"/>
  <c r="BI70" i="78"/>
  <c r="AO264" i="2" s="1"/>
  <c r="BI32" i="78"/>
  <c r="AO130" i="2" s="1"/>
  <c r="AZ31" i="78"/>
  <c r="AN77" i="2" s="1"/>
  <c r="AZ33" i="78"/>
  <c r="AN79" i="2" s="1"/>
  <c r="AZ15" i="78"/>
  <c r="AN112" i="2" s="1"/>
  <c r="BI63" i="78"/>
  <c r="AO257" i="2" s="1"/>
  <c r="BI39" i="78"/>
  <c r="AO137" i="2" s="1"/>
  <c r="BI98" i="78"/>
  <c r="AO325" i="2" s="1"/>
  <c r="BI81" i="78"/>
  <c r="AO280" i="2" s="1"/>
  <c r="BI60" i="78"/>
  <c r="AO254" i="2" s="1"/>
  <c r="BI19" i="78"/>
  <c r="AO64" i="2" s="1"/>
  <c r="BI96" i="78"/>
  <c r="AO323" i="2" s="1"/>
  <c r="AZ108" i="78"/>
  <c r="AN365" i="2" s="1"/>
  <c r="AZ26" i="78"/>
  <c r="AN72" i="2" s="1"/>
  <c r="AZ30" i="78"/>
  <c r="AN76" i="2" s="1"/>
  <c r="BI93" i="78"/>
  <c r="AO320" i="2" s="1"/>
  <c r="AZ17" i="78"/>
  <c r="AN114" i="2" s="1"/>
  <c r="AZ22" i="78"/>
  <c r="AN119" i="2" s="1"/>
  <c r="BI34" i="78"/>
  <c r="AO132" i="2" s="1"/>
  <c r="BI72" i="78"/>
  <c r="AO266" i="2" s="1"/>
  <c r="BI99" i="78"/>
  <c r="AO326" i="2" s="1"/>
  <c r="BI65" i="78"/>
  <c r="AO259" i="2" s="1"/>
  <c r="BI40" i="78"/>
  <c r="AO138" i="2" s="1"/>
  <c r="BI61" i="78"/>
  <c r="AO255" i="2" s="1"/>
  <c r="BI91" i="78"/>
  <c r="AO318" i="2" s="1"/>
  <c r="BI83" i="78"/>
  <c r="AO282" i="2" s="1"/>
  <c r="BI105" i="78"/>
  <c r="AO362" i="2" s="1"/>
  <c r="BI68" i="78"/>
  <c r="AO262" i="2" s="1"/>
  <c r="AZ23" i="67"/>
  <c r="T79" i="2" s="1"/>
  <c r="AZ64" i="69"/>
  <c r="X191" i="2" s="1"/>
  <c r="AZ17" i="71"/>
  <c r="AB73" i="2" s="1"/>
  <c r="AZ20" i="71"/>
  <c r="AB76" i="2" s="1"/>
  <c r="AZ80" i="66"/>
  <c r="R214" i="2" s="1"/>
  <c r="AZ48" i="77"/>
  <c r="AL214" i="2" s="1"/>
  <c r="AZ43" i="80"/>
  <c r="AP306" i="2" s="1"/>
  <c r="AZ29" i="80"/>
  <c r="AP244" i="2" s="1"/>
  <c r="AZ48" i="80"/>
  <c r="AP311" i="2" s="1"/>
  <c r="BI79" i="80"/>
  <c r="AQ322" i="2" s="1"/>
  <c r="BI59" i="80"/>
  <c r="AQ265" i="2" s="1"/>
  <c r="AZ15" i="80"/>
  <c r="AP115" i="2" s="1"/>
  <c r="AZ37" i="80"/>
  <c r="AP268" i="2" s="1"/>
  <c r="AZ33" i="80"/>
  <c r="AP248" i="2" s="1"/>
  <c r="BI56" i="80"/>
  <c r="AQ262" i="2" s="1"/>
  <c r="AZ38" i="80"/>
  <c r="AP269" i="2" s="1"/>
  <c r="AZ5" i="80"/>
  <c r="AP82" i="2" s="1"/>
  <c r="BI84" i="80"/>
  <c r="AQ327" i="2" s="1"/>
  <c r="BI45" i="80"/>
  <c r="AQ78" i="2" s="1"/>
  <c r="AZ46" i="80"/>
  <c r="AP309" i="2" s="1"/>
  <c r="AZ40" i="80"/>
  <c r="AP271" i="2" s="1"/>
  <c r="BI15" i="80"/>
  <c r="AQ103" i="2" s="1"/>
  <c r="AZ31" i="80"/>
  <c r="AP246" i="2" s="1"/>
  <c r="AZ9" i="80"/>
  <c r="AP86" i="2" s="1"/>
  <c r="BI48" i="80"/>
  <c r="AQ254" i="2" s="1"/>
  <c r="BI62" i="80"/>
  <c r="AQ273" i="2" s="1"/>
  <c r="BI71" i="80"/>
  <c r="AQ314" i="2" s="1"/>
  <c r="BI69" i="80"/>
  <c r="AQ280" i="2" s="1"/>
  <c r="BI81" i="80"/>
  <c r="AQ324" i="2" s="1"/>
  <c r="BI13" i="80"/>
  <c r="AQ101" i="2" s="1"/>
  <c r="BI67" i="80"/>
  <c r="AQ278" i="2" s="1"/>
  <c r="BI42" i="80"/>
  <c r="AQ75" i="2" s="1"/>
  <c r="BI91" i="80"/>
  <c r="AZ39" i="80"/>
  <c r="AP270" i="2" s="1"/>
  <c r="BI68" i="80"/>
  <c r="AQ279" i="2" s="1"/>
  <c r="BI30" i="80"/>
  <c r="AQ134" i="2" s="1"/>
  <c r="AZ90" i="80"/>
  <c r="AZ42" i="80"/>
  <c r="AP305" i="2" s="1"/>
  <c r="AZ44" i="80"/>
  <c r="AP307" i="2" s="1"/>
  <c r="BI40" i="80"/>
  <c r="AQ73" i="2" s="1"/>
  <c r="BI65" i="80"/>
  <c r="AQ276" i="2" s="1"/>
  <c r="AZ7" i="80"/>
  <c r="AP84" i="2" s="1"/>
  <c r="BI52" i="80"/>
  <c r="AQ258" i="2" s="1"/>
  <c r="BI77" i="80"/>
  <c r="AQ320" i="2" s="1"/>
  <c r="BI55" i="80"/>
  <c r="AQ261" i="2" s="1"/>
  <c r="AZ18" i="80"/>
  <c r="AP118" i="2" s="1"/>
  <c r="BI28" i="80"/>
  <c r="AQ132" i="2" s="1"/>
  <c r="AZ11" i="80"/>
  <c r="AP88" i="2" s="1"/>
  <c r="BI35" i="80"/>
  <c r="AQ110" i="2" s="1"/>
  <c r="AZ19" i="80"/>
  <c r="AP119" i="2" s="1"/>
  <c r="AZ47" i="80"/>
  <c r="AP310" i="2" s="1"/>
  <c r="BI76" i="80"/>
  <c r="AQ319" i="2" s="1"/>
  <c r="BI21" i="80"/>
  <c r="AQ125" i="2" s="1"/>
  <c r="BI31" i="80"/>
  <c r="AQ135" i="2" s="1"/>
  <c r="BI10" i="80"/>
  <c r="AQ98" i="2" s="1"/>
  <c r="BI14" i="80"/>
  <c r="AQ102" i="2" s="1"/>
  <c r="BI5" i="80"/>
  <c r="AQ93" i="2" s="1"/>
  <c r="AZ34" i="80"/>
  <c r="AP249" i="2" s="1"/>
  <c r="AZ45" i="80"/>
  <c r="AP308" i="2" s="1"/>
  <c r="BI11" i="80"/>
  <c r="AQ99" i="2" s="1"/>
  <c r="BI90" i="80"/>
  <c r="AQ363" i="2" s="1"/>
  <c r="AZ51" i="80"/>
  <c r="AP141" i="2" s="1"/>
  <c r="AZ92" i="80"/>
  <c r="AP365" i="2" s="1"/>
  <c r="AZ88" i="80"/>
  <c r="AP361" i="2" s="1"/>
  <c r="BI75" i="80"/>
  <c r="AQ318" i="2" s="1"/>
  <c r="BI60" i="80"/>
  <c r="AQ266" i="2" s="1"/>
  <c r="BI16" i="80"/>
  <c r="AQ104" i="2" s="1"/>
  <c r="BI54" i="80"/>
  <c r="AQ260" i="2" s="1"/>
  <c r="BI29" i="80"/>
  <c r="AQ133" i="2" s="1"/>
  <c r="BI57" i="80"/>
  <c r="AQ263" i="2" s="1"/>
  <c r="AZ6" i="80"/>
  <c r="AP83" i="2" s="1"/>
  <c r="BI17" i="80"/>
  <c r="AQ105" i="2" s="1"/>
  <c r="BI22" i="80"/>
  <c r="AQ126" i="2" s="1"/>
  <c r="AZ50" i="80"/>
  <c r="AP110" i="2" s="1"/>
  <c r="BI37" i="80"/>
  <c r="AQ48" i="2" s="1"/>
  <c r="AZ35" i="80"/>
  <c r="AP250" i="2" s="1"/>
  <c r="BI64" i="80"/>
  <c r="AQ275" i="2" s="1"/>
  <c r="BI53" i="80"/>
  <c r="AQ259" i="2" s="1"/>
  <c r="AZ32" i="80"/>
  <c r="AP247" i="2" s="1"/>
  <c r="AZ89" i="80"/>
  <c r="BI44" i="80"/>
  <c r="AQ77" i="2" s="1"/>
  <c r="BI18" i="80"/>
  <c r="AQ106" i="2" s="1"/>
  <c r="BI50" i="80"/>
  <c r="AQ256" i="2" s="1"/>
  <c r="BI47" i="80"/>
  <c r="AQ253" i="2" s="1"/>
  <c r="BI24" i="80"/>
  <c r="AQ128" i="2" s="1"/>
  <c r="AZ14" i="80"/>
  <c r="AP114" i="2" s="1"/>
  <c r="BI26" i="80"/>
  <c r="AQ130" i="2" s="1"/>
  <c r="BI32" i="80"/>
  <c r="AQ136" i="2" s="1"/>
  <c r="BI27" i="80"/>
  <c r="AQ131" i="2" s="1"/>
  <c r="BI33" i="80"/>
  <c r="AQ137" i="2" s="1"/>
  <c r="BI7" i="80"/>
  <c r="AQ95" i="2" s="1"/>
  <c r="BI8" i="80"/>
  <c r="AQ96" i="2" s="1"/>
  <c r="BI88" i="80"/>
  <c r="AQ361" i="2" s="1"/>
  <c r="AZ30" i="80"/>
  <c r="AP245" i="2" s="1"/>
  <c r="BI92" i="80"/>
  <c r="AQ365" i="2" s="1"/>
  <c r="AZ10" i="80"/>
  <c r="AP87" i="2" s="1"/>
  <c r="BI23" i="80"/>
  <c r="AQ127" i="2" s="1"/>
  <c r="BI12" i="80"/>
  <c r="AQ100" i="2" s="1"/>
  <c r="BI66" i="80"/>
  <c r="AQ277" i="2" s="1"/>
  <c r="AZ91" i="80"/>
  <c r="BI25" i="80"/>
  <c r="AQ129" i="2" s="1"/>
  <c r="AZ22" i="80"/>
  <c r="AP73" i="2" s="1"/>
  <c r="BI82" i="80"/>
  <c r="AQ325" i="2" s="1"/>
  <c r="BI63" i="80"/>
  <c r="AQ274" i="2" s="1"/>
  <c r="AZ8" i="80"/>
  <c r="AP85" i="2" s="1"/>
  <c r="BI51" i="80"/>
  <c r="AQ257" i="2" s="1"/>
  <c r="AZ53" i="80"/>
  <c r="AP214" i="2" s="1"/>
  <c r="AZ21" i="80"/>
  <c r="AP72" i="2" s="1"/>
  <c r="BI39" i="80"/>
  <c r="AQ72" i="2" s="1"/>
  <c r="BI72" i="80"/>
  <c r="AQ315" i="2" s="1"/>
  <c r="BI9" i="80"/>
  <c r="AQ97" i="2" s="1"/>
  <c r="BI89" i="80"/>
  <c r="AQ362" i="2" s="1"/>
  <c r="AZ26" i="80"/>
  <c r="AP77" i="2" s="1"/>
  <c r="BI83" i="80"/>
  <c r="AQ326" i="2" s="1"/>
  <c r="BI49" i="80"/>
  <c r="AQ255" i="2" s="1"/>
  <c r="BI6" i="80"/>
  <c r="AQ94" i="2" s="1"/>
  <c r="AZ27" i="80"/>
  <c r="AP78" i="2" s="1"/>
  <c r="BI43" i="80"/>
  <c r="AQ76" i="2" s="1"/>
  <c r="BI20" i="80"/>
  <c r="AQ124" i="2" s="1"/>
  <c r="AZ16" i="80"/>
  <c r="AP116" i="2" s="1"/>
  <c r="AZ23" i="80"/>
  <c r="AP74" i="2" s="1"/>
  <c r="AZ25" i="80"/>
  <c r="AP76" i="2" s="1"/>
  <c r="BI41" i="80"/>
  <c r="AQ74" i="2" s="1"/>
  <c r="BI78" i="80"/>
  <c r="AQ321" i="2" s="1"/>
  <c r="AZ13" i="80"/>
  <c r="AP113" i="2" s="1"/>
  <c r="BI80" i="80"/>
  <c r="AQ323" i="2" s="1"/>
  <c r="BI74" i="80"/>
  <c r="AQ317" i="2" s="1"/>
  <c r="AZ24" i="80"/>
  <c r="AP75" i="2" s="1"/>
  <c r="BI58" i="80"/>
  <c r="AQ264" i="2" s="1"/>
  <c r="BI73" i="80"/>
  <c r="AQ316" i="2" s="1"/>
  <c r="BI36" i="80"/>
  <c r="AQ141" i="2" s="1"/>
  <c r="AZ17" i="80"/>
  <c r="AP117" i="2" s="1"/>
  <c r="BI87" i="67"/>
  <c r="U314" i="2" s="1"/>
  <c r="AZ11" i="67"/>
  <c r="T118" i="2" s="1"/>
  <c r="AZ55" i="67"/>
  <c r="T305" i="2" s="1"/>
  <c r="AZ51" i="67"/>
  <c r="T295" i="2" s="1"/>
  <c r="AZ68" i="67"/>
  <c r="T334" i="2" s="1"/>
  <c r="BI86" i="67"/>
  <c r="U313" i="2" s="1"/>
  <c r="AZ33" i="67"/>
  <c r="T247" i="2" s="1"/>
  <c r="BI80" i="67"/>
  <c r="U299" i="2" s="1"/>
  <c r="AZ69" i="67"/>
  <c r="T335" i="2" s="1"/>
  <c r="AZ45" i="67"/>
  <c r="T285" i="2" s="1"/>
  <c r="BI29" i="67"/>
  <c r="U73" i="2" s="1"/>
  <c r="AZ54" i="67"/>
  <c r="T304" i="2" s="1"/>
  <c r="BI35" i="67"/>
  <c r="U79" i="2" s="1"/>
  <c r="BI102" i="67"/>
  <c r="U329" i="2" s="1"/>
  <c r="AZ48" i="67"/>
  <c r="T288" i="2" s="1"/>
  <c r="AZ39" i="67"/>
  <c r="T269" i="2" s="1"/>
  <c r="AZ63" i="67"/>
  <c r="T329" i="2" s="1"/>
  <c r="AZ38" i="67"/>
  <c r="T268" i="2" s="1"/>
  <c r="AZ40" i="67"/>
  <c r="T270" i="2" s="1"/>
  <c r="AZ129" i="67"/>
  <c r="AZ30" i="67"/>
  <c r="T244" i="2" s="1"/>
  <c r="AZ72" i="67"/>
  <c r="T338" i="2" s="1"/>
  <c r="AZ130" i="67"/>
  <c r="AZ71" i="67"/>
  <c r="T337" i="2" s="1"/>
  <c r="AZ26" i="67"/>
  <c r="T234" i="2" s="1"/>
  <c r="BI119" i="67"/>
  <c r="U354" i="2" s="1"/>
  <c r="BI46" i="67"/>
  <c r="U253" i="2" s="1"/>
  <c r="BI89" i="67"/>
  <c r="U316" i="2" s="1"/>
  <c r="BI30" i="67"/>
  <c r="U74" i="2" s="1"/>
  <c r="AZ47" i="67"/>
  <c r="T287" i="2" s="1"/>
  <c r="AZ56" i="67"/>
  <c r="T306" i="2" s="1"/>
  <c r="AZ32" i="67"/>
  <c r="T246" i="2" s="1"/>
  <c r="BI83" i="67"/>
  <c r="U302" i="2" s="1"/>
  <c r="BI16" i="67"/>
  <c r="U133" i="2" s="1"/>
  <c r="BI32" i="67"/>
  <c r="U76" i="2" s="1"/>
  <c r="AZ67" i="67"/>
  <c r="T333" i="2" s="1"/>
  <c r="AZ73" i="67"/>
  <c r="T339" i="2" s="1"/>
  <c r="AZ12" i="67"/>
  <c r="T119" i="2" s="1"/>
  <c r="BI14" i="67"/>
  <c r="U131" i="2" s="1"/>
  <c r="BI130" i="67"/>
  <c r="AZ59" i="67"/>
  <c r="T309" i="2" s="1"/>
  <c r="AZ52" i="67"/>
  <c r="T296" i="2" s="1"/>
  <c r="BI67" i="67"/>
  <c r="U279" i="2" s="1"/>
  <c r="AZ9" i="67"/>
  <c r="T116" i="2" s="1"/>
  <c r="BI48" i="67"/>
  <c r="U255" i="2" s="1"/>
  <c r="BI37" i="67"/>
  <c r="U236" i="2" s="1"/>
  <c r="AZ50" i="67"/>
  <c r="T294" i="2" s="1"/>
  <c r="AZ41" i="67"/>
  <c r="T271" i="2" s="1"/>
  <c r="BI96" i="67"/>
  <c r="U323" i="2" s="1"/>
  <c r="AZ46" i="67"/>
  <c r="T286" i="2" s="1"/>
  <c r="AZ5" i="67"/>
  <c r="T112" i="2" s="1"/>
  <c r="BI91" i="67"/>
  <c r="U318" i="2" s="1"/>
  <c r="AZ44" i="67"/>
  <c r="T284" i="2" s="1"/>
  <c r="BI17" i="67"/>
  <c r="U134" i="2" s="1"/>
  <c r="BI42" i="67"/>
  <c r="U241" i="2" s="1"/>
  <c r="AZ58" i="67"/>
  <c r="T308" i="2" s="1"/>
  <c r="BI62" i="67"/>
  <c r="U274" i="2" s="1"/>
  <c r="AZ65" i="67"/>
  <c r="T331" i="2" s="1"/>
  <c r="BI82" i="67"/>
  <c r="U301" i="2" s="1"/>
  <c r="BI5" i="67"/>
  <c r="U122" i="2" s="1"/>
  <c r="BI103" i="67"/>
  <c r="U330" i="2" s="1"/>
  <c r="BI65" i="67"/>
  <c r="U277" i="2" s="1"/>
  <c r="BI109" i="67"/>
  <c r="U344" i="2" s="1"/>
  <c r="BI13" i="67"/>
  <c r="U130" i="2" s="1"/>
  <c r="AZ60" i="67"/>
  <c r="T310" i="2" s="1"/>
  <c r="AZ36" i="67"/>
  <c r="T250" i="2" s="1"/>
  <c r="AZ13" i="67"/>
  <c r="T120" i="2" s="1"/>
  <c r="BI45" i="67"/>
  <c r="U252" i="2" s="1"/>
  <c r="BI120" i="67"/>
  <c r="U355" i="2" s="1"/>
  <c r="BI93" i="67"/>
  <c r="U320" i="2" s="1"/>
  <c r="BI51" i="67"/>
  <c r="U258" i="2" s="1"/>
  <c r="BI22" i="67"/>
  <c r="U139" i="2" s="1"/>
  <c r="BI121" i="67"/>
  <c r="U356" i="2" s="1"/>
  <c r="AZ74" i="67"/>
  <c r="T340" i="2" s="1"/>
  <c r="BI98" i="67"/>
  <c r="U325" i="2" s="1"/>
  <c r="BI70" i="67"/>
  <c r="U282" i="2" s="1"/>
  <c r="AZ8" i="67"/>
  <c r="T115" i="2" s="1"/>
  <c r="AZ7" i="67"/>
  <c r="T114" i="2" s="1"/>
  <c r="BI49" i="67"/>
  <c r="U256" i="2" s="1"/>
  <c r="AZ61" i="67"/>
  <c r="T311" i="2" s="1"/>
  <c r="BI79" i="67"/>
  <c r="U298" i="2" s="1"/>
  <c r="BI52" i="67"/>
  <c r="U259" i="2" s="1"/>
  <c r="BI69" i="67"/>
  <c r="U281" i="2" s="1"/>
  <c r="AZ35" i="67"/>
  <c r="T249" i="2" s="1"/>
  <c r="BI58" i="67"/>
  <c r="U265" i="2" s="1"/>
  <c r="BI110" i="67"/>
  <c r="U345" i="2" s="1"/>
  <c r="BI21" i="67"/>
  <c r="U138" i="2" s="1"/>
  <c r="BI44" i="67"/>
  <c r="U251" i="2" s="1"/>
  <c r="BI106" i="67"/>
  <c r="U341" i="2" s="1"/>
  <c r="AZ76" i="67"/>
  <c r="T358" i="2" s="1"/>
  <c r="BI94" i="67"/>
  <c r="U321" i="2" s="1"/>
  <c r="BI53" i="67"/>
  <c r="U260" i="2" s="1"/>
  <c r="AZ10" i="67"/>
  <c r="T117" i="2" s="1"/>
  <c r="BI9" i="67"/>
  <c r="U126" i="2" s="1"/>
  <c r="AZ27" i="67"/>
  <c r="T235" i="2" s="1"/>
  <c r="BI56" i="67"/>
  <c r="U263" i="2" s="1"/>
  <c r="BI100" i="67"/>
  <c r="U327" i="2" s="1"/>
  <c r="BI12" i="67"/>
  <c r="U129" i="2" s="1"/>
  <c r="BI107" i="67"/>
  <c r="U342" i="2" s="1"/>
  <c r="AZ29" i="67"/>
  <c r="T243" i="2" s="1"/>
  <c r="BI59" i="67"/>
  <c r="U266" i="2" s="1"/>
  <c r="AZ34" i="67"/>
  <c r="T248" i="2" s="1"/>
  <c r="AZ42" i="67"/>
  <c r="T272" i="2" s="1"/>
  <c r="BI117" i="67"/>
  <c r="U352" i="2" s="1"/>
  <c r="BI95" i="67"/>
  <c r="U322" i="2" s="1"/>
  <c r="BI88" i="67"/>
  <c r="U315" i="2" s="1"/>
  <c r="BI11" i="67"/>
  <c r="U128" i="2" s="1"/>
  <c r="AZ25" i="67"/>
  <c r="T233" i="2" s="1"/>
  <c r="AZ6" i="67"/>
  <c r="T113" i="2" s="1"/>
  <c r="BI78" i="67"/>
  <c r="U297" i="2" s="1"/>
  <c r="BI104" i="67"/>
  <c r="U331" i="2" s="1"/>
  <c r="BI116" i="67"/>
  <c r="U351" i="2" s="1"/>
  <c r="BI55" i="67"/>
  <c r="U262" i="2" s="1"/>
  <c r="BI111" i="67"/>
  <c r="U346" i="2" s="1"/>
  <c r="BI123" i="67"/>
  <c r="U358" i="2" s="1"/>
  <c r="BI112" i="67"/>
  <c r="U347" i="2" s="1"/>
  <c r="BI99" i="67"/>
  <c r="U326" i="2" s="1"/>
  <c r="BI7" i="67"/>
  <c r="U124" i="2" s="1"/>
  <c r="AZ131" i="67"/>
  <c r="T365" i="2" s="1"/>
  <c r="BI24" i="67"/>
  <c r="U141" i="2" s="1"/>
  <c r="BI28" i="67"/>
  <c r="U72" i="2" s="1"/>
  <c r="BI40" i="67"/>
  <c r="U239" i="2" s="1"/>
  <c r="BI27" i="67"/>
  <c r="U71" i="2" s="1"/>
  <c r="BI19" i="67"/>
  <c r="U136" i="2" s="1"/>
  <c r="BI25" i="67"/>
  <c r="U48" i="2" s="1"/>
  <c r="BI115" i="67"/>
  <c r="U350" i="2" s="1"/>
  <c r="BI33" i="67"/>
  <c r="U77" i="2" s="1"/>
  <c r="AZ70" i="67"/>
  <c r="T336" i="2" s="1"/>
  <c r="BI127" i="67"/>
  <c r="U361" i="2" s="1"/>
  <c r="AZ64" i="67"/>
  <c r="T330" i="2" s="1"/>
  <c r="AZ31" i="67"/>
  <c r="T245" i="2" s="1"/>
  <c r="BI50" i="67"/>
  <c r="U257" i="2" s="1"/>
  <c r="BI31" i="67"/>
  <c r="U75" i="2" s="1"/>
  <c r="AZ127" i="67"/>
  <c r="T361" i="2" s="1"/>
  <c r="BI75" i="67"/>
  <c r="U287" i="2" s="1"/>
  <c r="BI41" i="67"/>
  <c r="U240" i="2" s="1"/>
  <c r="BI8" i="67"/>
  <c r="U125" i="2" s="1"/>
  <c r="BI34" i="67"/>
  <c r="U78" i="2" s="1"/>
  <c r="BI39" i="67"/>
  <c r="U238" i="2" s="1"/>
  <c r="BI118" i="67"/>
  <c r="U353" i="2" s="1"/>
  <c r="BI90" i="67"/>
  <c r="U317" i="2" s="1"/>
  <c r="BI131" i="67"/>
  <c r="U365" i="2" s="1"/>
  <c r="BI63" i="67"/>
  <c r="U275" i="2" s="1"/>
  <c r="BI129" i="67"/>
  <c r="U363" i="2" s="1"/>
  <c r="AZ57" i="67"/>
  <c r="T307" i="2" s="1"/>
  <c r="AZ22" i="67"/>
  <c r="T78" i="2" s="1"/>
  <c r="BI47" i="67"/>
  <c r="U254" i="2" s="1"/>
  <c r="BI64" i="67"/>
  <c r="U276" i="2" s="1"/>
  <c r="BI61" i="67"/>
  <c r="U273" i="2" s="1"/>
  <c r="BI97" i="67"/>
  <c r="U324" i="2" s="1"/>
  <c r="BI38" i="67"/>
  <c r="U237" i="2" s="1"/>
  <c r="BI54" i="67"/>
  <c r="U261" i="2" s="1"/>
  <c r="BI15" i="67"/>
  <c r="U132" i="2" s="1"/>
  <c r="AZ16" i="67"/>
  <c r="T72" i="2" s="1"/>
  <c r="BI20" i="67"/>
  <c r="U137" i="2" s="1"/>
  <c r="BI76" i="67"/>
  <c r="U288" i="2" s="1"/>
  <c r="BI6" i="67"/>
  <c r="U123" i="2" s="1"/>
  <c r="BI57" i="67"/>
  <c r="U264" i="2" s="1"/>
  <c r="AZ17" i="67"/>
  <c r="T73" i="2" s="1"/>
  <c r="BI10" i="67"/>
  <c r="U127" i="2" s="1"/>
  <c r="BI108" i="67"/>
  <c r="U343" i="2" s="1"/>
  <c r="AZ128" i="67"/>
  <c r="BI18" i="67"/>
  <c r="U135" i="2" s="1"/>
  <c r="BI92" i="67"/>
  <c r="U319" i="2" s="1"/>
  <c r="BI114" i="67"/>
  <c r="U349" i="2" s="1"/>
  <c r="BI74" i="67"/>
  <c r="U286" i="2" s="1"/>
  <c r="BI85" i="67"/>
  <c r="U312" i="2" s="1"/>
  <c r="BI81" i="67"/>
  <c r="U300" i="2" s="1"/>
  <c r="AZ15" i="67"/>
  <c r="T71" i="2" s="1"/>
  <c r="BI72" i="67"/>
  <c r="U284" i="2" s="1"/>
  <c r="BI73" i="67"/>
  <c r="U285" i="2" s="1"/>
  <c r="BI128" i="67"/>
  <c r="U362" i="2" s="1"/>
  <c r="BI68" i="67"/>
  <c r="U280" i="2" s="1"/>
  <c r="BI66" i="67"/>
  <c r="U278" i="2" s="1"/>
  <c r="BI113" i="67"/>
  <c r="U348" i="2" s="1"/>
  <c r="AZ21" i="66"/>
  <c r="R77" i="2" s="1"/>
  <c r="AZ21" i="67"/>
  <c r="T77" i="2" s="1"/>
  <c r="AZ13" i="77"/>
  <c r="AL77" i="2" s="1"/>
  <c r="BI25" i="66"/>
  <c r="S48" i="2" s="1"/>
  <c r="BI34" i="66"/>
  <c r="S78" i="2" s="1"/>
  <c r="BI80" i="66"/>
  <c r="S299" i="2" s="1"/>
  <c r="AZ63" i="66"/>
  <c r="R329" i="2" s="1"/>
  <c r="AZ44" i="66"/>
  <c r="R284" i="2" s="1"/>
  <c r="AZ26" i="66"/>
  <c r="R234" i="2" s="1"/>
  <c r="AZ58" i="66"/>
  <c r="R308" i="2" s="1"/>
  <c r="BI112" i="66"/>
  <c r="S347" i="2" s="1"/>
  <c r="AZ8" i="66"/>
  <c r="R84" i="2" s="1"/>
  <c r="AZ46" i="66"/>
  <c r="R286" i="2" s="1"/>
  <c r="AZ7" i="66"/>
  <c r="R83" i="2" s="1"/>
  <c r="BI66" i="66"/>
  <c r="S278" i="2" s="1"/>
  <c r="BI116" i="66"/>
  <c r="S351" i="2" s="1"/>
  <c r="BI46" i="66"/>
  <c r="S253" i="2" s="1"/>
  <c r="BI83" i="66"/>
  <c r="S302" i="2" s="1"/>
  <c r="BI17" i="66"/>
  <c r="S103" i="2" s="1"/>
  <c r="BI65" i="66"/>
  <c r="S277" i="2" s="1"/>
  <c r="BI117" i="66"/>
  <c r="S352" i="2" s="1"/>
  <c r="BI95" i="66"/>
  <c r="S322" i="2" s="1"/>
  <c r="AZ120" i="66"/>
  <c r="AZ38" i="66"/>
  <c r="R268" i="2" s="1"/>
  <c r="BI29" i="66"/>
  <c r="S73" i="2" s="1"/>
  <c r="BI58" i="66"/>
  <c r="S265" i="2" s="1"/>
  <c r="BI89" i="66"/>
  <c r="S316" i="2" s="1"/>
  <c r="AZ121" i="66"/>
  <c r="AZ48" i="66"/>
  <c r="R288" i="2" s="1"/>
  <c r="BI99" i="66"/>
  <c r="S326" i="2" s="1"/>
  <c r="AZ40" i="66"/>
  <c r="R270" i="2" s="1"/>
  <c r="BI119" i="66"/>
  <c r="S354" i="2" s="1"/>
  <c r="BI30" i="66"/>
  <c r="S74" i="2" s="1"/>
  <c r="BI114" i="66"/>
  <c r="S349" i="2" s="1"/>
  <c r="BI63" i="66"/>
  <c r="S275" i="2" s="1"/>
  <c r="AZ69" i="66"/>
  <c r="R335" i="2" s="1"/>
  <c r="AZ12" i="66"/>
  <c r="R88" i="2" s="1"/>
  <c r="BI52" i="66"/>
  <c r="S259" i="2" s="1"/>
  <c r="AZ9" i="66"/>
  <c r="R85" i="2" s="1"/>
  <c r="BI108" i="66"/>
  <c r="S343" i="2" s="1"/>
  <c r="AZ76" i="66"/>
  <c r="R358" i="2" s="1"/>
  <c r="BI9" i="66"/>
  <c r="S95" i="2" s="1"/>
  <c r="BI15" i="66"/>
  <c r="S101" i="2" s="1"/>
  <c r="BI50" i="66"/>
  <c r="S257" i="2" s="1"/>
  <c r="BI73" i="66"/>
  <c r="S285" i="2" s="1"/>
  <c r="AZ11" i="66"/>
  <c r="R87" i="2" s="1"/>
  <c r="BI94" i="66"/>
  <c r="S321" i="2" s="1"/>
  <c r="BI42" i="66"/>
  <c r="S241" i="2" s="1"/>
  <c r="BI64" i="66"/>
  <c r="S276" i="2" s="1"/>
  <c r="BI96" i="66"/>
  <c r="S323" i="2" s="1"/>
  <c r="BI72" i="66"/>
  <c r="S284" i="2" s="1"/>
  <c r="BI130" i="66"/>
  <c r="AZ57" i="66"/>
  <c r="R307" i="2" s="1"/>
  <c r="AZ71" i="66"/>
  <c r="R337" i="2" s="1"/>
  <c r="AZ47" i="66"/>
  <c r="R287" i="2" s="1"/>
  <c r="BI82" i="66"/>
  <c r="S301" i="2" s="1"/>
  <c r="AZ10" i="66"/>
  <c r="R86" i="2" s="1"/>
  <c r="BI104" i="66"/>
  <c r="S331" i="2" s="1"/>
  <c r="BI98" i="66"/>
  <c r="S325" i="2" s="1"/>
  <c r="BI39" i="66"/>
  <c r="S238" i="2" s="1"/>
  <c r="AZ45" i="66"/>
  <c r="R285" i="2" s="1"/>
  <c r="BI33" i="66"/>
  <c r="S77" i="2" s="1"/>
  <c r="AZ33" i="66"/>
  <c r="R247" i="2" s="1"/>
  <c r="AZ73" i="66"/>
  <c r="R339" i="2" s="1"/>
  <c r="AZ39" i="66"/>
  <c r="R269" i="2" s="1"/>
  <c r="AZ64" i="66"/>
  <c r="R330" i="2" s="1"/>
  <c r="BI120" i="66"/>
  <c r="S355" i="2" s="1"/>
  <c r="BI68" i="66"/>
  <c r="S280" i="2" s="1"/>
  <c r="BI113" i="66"/>
  <c r="S348" i="2" s="1"/>
  <c r="AZ32" i="66"/>
  <c r="R246" i="2" s="1"/>
  <c r="BI110" i="66"/>
  <c r="S345" i="2" s="1"/>
  <c r="AZ61" i="66"/>
  <c r="R311" i="2" s="1"/>
  <c r="AZ59" i="66"/>
  <c r="R309" i="2" s="1"/>
  <c r="AZ74" i="66"/>
  <c r="R340" i="2" s="1"/>
  <c r="AZ41" i="66"/>
  <c r="R271" i="2" s="1"/>
  <c r="AZ6" i="66"/>
  <c r="R82" i="2" s="1"/>
  <c r="BI16" i="66"/>
  <c r="S102" i="2" s="1"/>
  <c r="BI49" i="66"/>
  <c r="S256" i="2" s="1"/>
  <c r="BI8" i="66"/>
  <c r="S94" i="2" s="1"/>
  <c r="AZ31" i="66"/>
  <c r="R245" i="2" s="1"/>
  <c r="BI61" i="66"/>
  <c r="S273" i="2" s="1"/>
  <c r="BI40" i="66"/>
  <c r="S239" i="2" s="1"/>
  <c r="BI102" i="66"/>
  <c r="S329" i="2" s="1"/>
  <c r="BI91" i="66"/>
  <c r="S318" i="2" s="1"/>
  <c r="BI121" i="66"/>
  <c r="S356" i="2" s="1"/>
  <c r="BI62" i="66"/>
  <c r="S274" i="2" s="1"/>
  <c r="AZ19" i="66"/>
  <c r="R75" i="2" s="1"/>
  <c r="BI59" i="66"/>
  <c r="S266" i="2" s="1"/>
  <c r="AZ60" i="66"/>
  <c r="R310" i="2" s="1"/>
  <c r="AZ119" i="66"/>
  <c r="R361" i="2" s="1"/>
  <c r="AZ51" i="66"/>
  <c r="R295" i="2" s="1"/>
  <c r="BI12" i="66"/>
  <c r="S98" i="2" s="1"/>
  <c r="BI32" i="66"/>
  <c r="S76" i="2" s="1"/>
  <c r="BI41" i="66"/>
  <c r="S240" i="2" s="1"/>
  <c r="AZ30" i="66"/>
  <c r="R244" i="2" s="1"/>
  <c r="AZ68" i="66"/>
  <c r="R334" i="2" s="1"/>
  <c r="BI97" i="66"/>
  <c r="S324" i="2" s="1"/>
  <c r="BI87" i="66"/>
  <c r="S314" i="2" s="1"/>
  <c r="BI18" i="66"/>
  <c r="S104" i="2" s="1"/>
  <c r="BI54" i="66"/>
  <c r="S261" i="2" s="1"/>
  <c r="AZ123" i="66"/>
  <c r="R365" i="2" s="1"/>
  <c r="AZ52" i="66"/>
  <c r="R296" i="2" s="1"/>
  <c r="AZ36" i="66"/>
  <c r="R250" i="2" s="1"/>
  <c r="AZ27" i="66"/>
  <c r="R235" i="2" s="1"/>
  <c r="BI93" i="66"/>
  <c r="S320" i="2" s="1"/>
  <c r="BI90" i="66"/>
  <c r="S317" i="2" s="1"/>
  <c r="AZ34" i="66"/>
  <c r="R248" i="2" s="1"/>
  <c r="BI88" i="66"/>
  <c r="S315" i="2" s="1"/>
  <c r="BI47" i="66"/>
  <c r="S254" i="2" s="1"/>
  <c r="BI28" i="66"/>
  <c r="S72" i="2" s="1"/>
  <c r="AZ55" i="66"/>
  <c r="R305" i="2" s="1"/>
  <c r="AZ65" i="66"/>
  <c r="R331" i="2" s="1"/>
  <c r="BI67" i="66"/>
  <c r="S279" i="2" s="1"/>
  <c r="AZ56" i="66"/>
  <c r="R306" i="2" s="1"/>
  <c r="AZ35" i="66"/>
  <c r="R249" i="2" s="1"/>
  <c r="BI109" i="66"/>
  <c r="S344" i="2" s="1"/>
  <c r="BI115" i="66"/>
  <c r="S350" i="2" s="1"/>
  <c r="BI128" i="66"/>
  <c r="S362" i="2" s="1"/>
  <c r="BI7" i="66"/>
  <c r="S93" i="2" s="1"/>
  <c r="BI10" i="66"/>
  <c r="S96" i="2" s="1"/>
  <c r="BI57" i="66"/>
  <c r="S264" i="2" s="1"/>
  <c r="BI19" i="66"/>
  <c r="S105" i="2" s="1"/>
  <c r="BI127" i="66"/>
  <c r="S361" i="2" s="1"/>
  <c r="AZ122" i="66"/>
  <c r="BI129" i="66"/>
  <c r="S363" i="2" s="1"/>
  <c r="AZ70" i="66"/>
  <c r="R336" i="2" s="1"/>
  <c r="BI100" i="66"/>
  <c r="S327" i="2" s="1"/>
  <c r="AZ72" i="66"/>
  <c r="R338" i="2" s="1"/>
  <c r="BI131" i="66"/>
  <c r="S365" i="2" s="1"/>
  <c r="BI92" i="66"/>
  <c r="S319" i="2" s="1"/>
  <c r="BI103" i="66"/>
  <c r="S330" i="2" s="1"/>
  <c r="AZ16" i="66"/>
  <c r="R72" i="2" s="1"/>
  <c r="BI118" i="66"/>
  <c r="S353" i="2" s="1"/>
  <c r="BI81" i="66"/>
  <c r="S300" i="2" s="1"/>
  <c r="BI20" i="66"/>
  <c r="S106" i="2" s="1"/>
  <c r="BI74" i="66"/>
  <c r="S286" i="2" s="1"/>
  <c r="BI56" i="66"/>
  <c r="S263" i="2" s="1"/>
  <c r="BI76" i="66"/>
  <c r="S288" i="2" s="1"/>
  <c r="BI53" i="66"/>
  <c r="S260" i="2" s="1"/>
  <c r="AZ22" i="66"/>
  <c r="R78" i="2" s="1"/>
  <c r="AZ78" i="66"/>
  <c r="R110" i="2" s="1"/>
  <c r="BI55" i="66"/>
  <c r="S262" i="2" s="1"/>
  <c r="BI48" i="66"/>
  <c r="S255" i="2" s="1"/>
  <c r="BI13" i="66"/>
  <c r="S99" i="2" s="1"/>
  <c r="BI51" i="66"/>
  <c r="S258" i="2" s="1"/>
  <c r="BI14" i="66"/>
  <c r="S100" i="2" s="1"/>
  <c r="BI111" i="66"/>
  <c r="S346" i="2" s="1"/>
  <c r="BI11" i="66"/>
  <c r="S97" i="2" s="1"/>
  <c r="BI75" i="66"/>
  <c r="S287" i="2" s="1"/>
  <c r="BI24" i="66"/>
  <c r="S110" i="2" s="1"/>
  <c r="BI123" i="66"/>
  <c r="S358" i="2" s="1"/>
  <c r="BI31" i="66"/>
  <c r="S75" i="2" s="1"/>
  <c r="BI125" i="66"/>
  <c r="S214" i="2" s="1"/>
  <c r="BI82" i="1"/>
  <c r="Q301" i="2" s="1"/>
  <c r="BI85" i="1"/>
  <c r="Q312" i="2" s="1"/>
  <c r="AZ33" i="1"/>
  <c r="P247" i="2" s="1"/>
  <c r="BI116" i="1"/>
  <c r="Q351" i="2" s="1"/>
  <c r="AZ13" i="1"/>
  <c r="P47" i="2" s="1"/>
  <c r="BI110" i="1"/>
  <c r="Q345" i="2" s="1"/>
  <c r="BI16" i="1"/>
  <c r="Q61" i="2" s="1"/>
  <c r="BI96" i="1"/>
  <c r="Q323" i="2" s="1"/>
  <c r="AZ21" i="1"/>
  <c r="P77" i="2" s="1"/>
  <c r="AZ129" i="1"/>
  <c r="BI97" i="1"/>
  <c r="Q324" i="2" s="1"/>
  <c r="BI24" i="1"/>
  <c r="Q69" i="2" s="1"/>
  <c r="BI59" i="1"/>
  <c r="Q266" i="2" s="1"/>
  <c r="AZ76" i="1"/>
  <c r="P358" i="2" s="1"/>
  <c r="BI107" i="1"/>
  <c r="Q342" i="2" s="1"/>
  <c r="BI67" i="1"/>
  <c r="Q279" i="2" s="1"/>
  <c r="BI130" i="1"/>
  <c r="AZ26" i="1"/>
  <c r="P234" i="2" s="1"/>
  <c r="BI40" i="1"/>
  <c r="Q239" i="2" s="1"/>
  <c r="BI12" i="1"/>
  <c r="Q57" i="2" s="1"/>
  <c r="AZ48" i="1"/>
  <c r="P288" i="2" s="1"/>
  <c r="AZ31" i="1"/>
  <c r="P245" i="2" s="1"/>
  <c r="AZ44" i="1"/>
  <c r="P284" i="2" s="1"/>
  <c r="BI119" i="1"/>
  <c r="Q354" i="2" s="1"/>
  <c r="BI13" i="1"/>
  <c r="Q58" i="2" s="1"/>
  <c r="BI86" i="1"/>
  <c r="Q313" i="2" s="1"/>
  <c r="AZ29" i="1"/>
  <c r="P243" i="2" s="1"/>
  <c r="AZ6" i="1"/>
  <c r="P40" i="2" s="1"/>
  <c r="AZ52" i="1"/>
  <c r="P296" i="2" s="1"/>
  <c r="AZ9" i="1"/>
  <c r="P43" i="2" s="1"/>
  <c r="BI11" i="1"/>
  <c r="Q56" i="2" s="1"/>
  <c r="AZ25" i="1"/>
  <c r="P233" i="2" s="1"/>
  <c r="AZ68" i="1"/>
  <c r="P334" i="2" s="1"/>
  <c r="BI51" i="1"/>
  <c r="Q258" i="2" s="1"/>
  <c r="AZ38" i="1"/>
  <c r="P268" i="2" s="1"/>
  <c r="BI102" i="1"/>
  <c r="Q329" i="2" s="1"/>
  <c r="BI106" i="1"/>
  <c r="Q341" i="2" s="1"/>
  <c r="BI80" i="1"/>
  <c r="Q299" i="2" s="1"/>
  <c r="BI42" i="1"/>
  <c r="Q241" i="2" s="1"/>
  <c r="BI37" i="1"/>
  <c r="Q236" i="2" s="1"/>
  <c r="AZ11" i="1"/>
  <c r="P45" i="2" s="1"/>
  <c r="AZ12" i="1"/>
  <c r="P46" i="2" s="1"/>
  <c r="BI109" i="1"/>
  <c r="Q344" i="2" s="1"/>
  <c r="BI17" i="1"/>
  <c r="Q62" i="2" s="1"/>
  <c r="BI47" i="1"/>
  <c r="Q254" i="2" s="1"/>
  <c r="BI129" i="1"/>
  <c r="Q363" i="2" s="1"/>
  <c r="BI127" i="1"/>
  <c r="Q361" i="2" s="1"/>
  <c r="BI7" i="1"/>
  <c r="Q52" i="2" s="1"/>
  <c r="AZ67" i="1"/>
  <c r="P333" i="2" s="1"/>
  <c r="AZ131" i="1"/>
  <c r="P365" i="2" s="1"/>
  <c r="AZ27" i="1"/>
  <c r="P235" i="2" s="1"/>
  <c r="AZ127" i="1"/>
  <c r="P361" i="2" s="1"/>
  <c r="BI66" i="1"/>
  <c r="Q278" i="2" s="1"/>
  <c r="BI20" i="1"/>
  <c r="Q65" i="2" s="1"/>
  <c r="BI45" i="1"/>
  <c r="Q252" i="2" s="1"/>
  <c r="BI131" i="1"/>
  <c r="Q365" i="2" s="1"/>
  <c r="BI15" i="1"/>
  <c r="Q60" i="2" s="1"/>
  <c r="BI14" i="1"/>
  <c r="Q59" i="2" s="1"/>
  <c r="BI76" i="1"/>
  <c r="Q288" i="2" s="1"/>
  <c r="BI108" i="1"/>
  <c r="Q343" i="2" s="1"/>
  <c r="AZ61" i="1"/>
  <c r="P311" i="2" s="1"/>
  <c r="AZ71" i="1"/>
  <c r="P337" i="2" s="1"/>
  <c r="AZ23" i="1"/>
  <c r="P79" i="2" s="1"/>
  <c r="BI28" i="1"/>
  <c r="Q72" i="2" s="1"/>
  <c r="BI95" i="1"/>
  <c r="Q322" i="2" s="1"/>
  <c r="AZ47" i="1"/>
  <c r="P287" i="2" s="1"/>
  <c r="AZ5" i="1"/>
  <c r="P39" i="2" s="1"/>
  <c r="BI115" i="1"/>
  <c r="Q350" i="2" s="1"/>
  <c r="BI19" i="1"/>
  <c r="Q64" i="2" s="1"/>
  <c r="AZ74" i="1"/>
  <c r="P340" i="2" s="1"/>
  <c r="AZ15" i="1"/>
  <c r="P71" i="2" s="1"/>
  <c r="AZ56" i="1"/>
  <c r="P306" i="2" s="1"/>
  <c r="BI65" i="1"/>
  <c r="Q277" i="2" s="1"/>
  <c r="AZ41" i="1"/>
  <c r="P271" i="2" s="1"/>
  <c r="BI111" i="1"/>
  <c r="Q346" i="2" s="1"/>
  <c r="BI52" i="1"/>
  <c r="Q259" i="2" s="1"/>
  <c r="BI112" i="1"/>
  <c r="Q347" i="2" s="1"/>
  <c r="BI75" i="1"/>
  <c r="Q287" i="2" s="1"/>
  <c r="BI41" i="1"/>
  <c r="Q240" i="2" s="1"/>
  <c r="AZ55" i="1"/>
  <c r="P305" i="2" s="1"/>
  <c r="BI114" i="1"/>
  <c r="Q349" i="2" s="1"/>
  <c r="BI34" i="1"/>
  <c r="Q78" i="2" s="1"/>
  <c r="BI5" i="1"/>
  <c r="Q50" i="2" s="1"/>
  <c r="AZ17" i="1"/>
  <c r="P73" i="2" s="1"/>
  <c r="BI70" i="1"/>
  <c r="Q282" i="2" s="1"/>
  <c r="AZ34" i="1"/>
  <c r="P248" i="2" s="1"/>
  <c r="BI81" i="1"/>
  <c r="Q300" i="2" s="1"/>
  <c r="AZ63" i="1"/>
  <c r="P329" i="2" s="1"/>
  <c r="AZ57" i="1"/>
  <c r="P307" i="2" s="1"/>
  <c r="AZ32" i="1"/>
  <c r="P246" i="2" s="1"/>
  <c r="BI30" i="1"/>
  <c r="Q74" i="2" s="1"/>
  <c r="BI44" i="1"/>
  <c r="Q251" i="2" s="1"/>
  <c r="BI38" i="1"/>
  <c r="Q237" i="2" s="1"/>
  <c r="BI57" i="1"/>
  <c r="Q264" i="2" s="1"/>
  <c r="BI79" i="1"/>
  <c r="Q298" i="2" s="1"/>
  <c r="BI69" i="1"/>
  <c r="Q281" i="2" s="1"/>
  <c r="BI94" i="1"/>
  <c r="Q321" i="2" s="1"/>
  <c r="BI29" i="1"/>
  <c r="Q73" i="2" s="1"/>
  <c r="AZ10" i="1"/>
  <c r="P44" i="2" s="1"/>
  <c r="BI92" i="1"/>
  <c r="Q319" i="2" s="1"/>
  <c r="AZ70" i="1"/>
  <c r="P336" i="2" s="1"/>
  <c r="BI33" i="1"/>
  <c r="Q77" i="2" s="1"/>
  <c r="AZ65" i="1"/>
  <c r="P331" i="2" s="1"/>
  <c r="AZ22" i="1"/>
  <c r="P78" i="2" s="1"/>
  <c r="AZ30" i="1"/>
  <c r="P244" i="2" s="1"/>
  <c r="BI35" i="1"/>
  <c r="Q79" i="2" s="1"/>
  <c r="AZ8" i="1"/>
  <c r="P42" i="2" s="1"/>
  <c r="BI117" i="1"/>
  <c r="Q352" i="2" s="1"/>
  <c r="BI8" i="1"/>
  <c r="Q53" i="2" s="1"/>
  <c r="AZ78" i="1"/>
  <c r="P69" i="2" s="1"/>
  <c r="BI74" i="1"/>
  <c r="Q286" i="2" s="1"/>
  <c r="BI128" i="1"/>
  <c r="Q362" i="2" s="1"/>
  <c r="AZ59" i="1"/>
  <c r="P309" i="2" s="1"/>
  <c r="BI46" i="1"/>
  <c r="Q253" i="2" s="1"/>
  <c r="BI93" i="1"/>
  <c r="Q320" i="2" s="1"/>
  <c r="BI99" i="1"/>
  <c r="Q326" i="2" s="1"/>
  <c r="BI22" i="1"/>
  <c r="Q67" i="2" s="1"/>
  <c r="AZ58" i="1"/>
  <c r="P308" i="2" s="1"/>
  <c r="BI91" i="1"/>
  <c r="Q318" i="2" s="1"/>
  <c r="BI64" i="1"/>
  <c r="Q276" i="2" s="1"/>
  <c r="AZ130" i="1"/>
  <c r="BI6" i="1"/>
  <c r="Q51" i="2" s="1"/>
  <c r="BI88" i="1"/>
  <c r="Q315" i="2" s="1"/>
  <c r="BI100" i="1"/>
  <c r="Q327" i="2" s="1"/>
  <c r="AZ128" i="1"/>
  <c r="BI58" i="1"/>
  <c r="Q265" i="2" s="1"/>
  <c r="BI54" i="1"/>
  <c r="Q261" i="2" s="1"/>
  <c r="BI104" i="1"/>
  <c r="Q331" i="2" s="1"/>
  <c r="BI27" i="1"/>
  <c r="Q71" i="2" s="1"/>
  <c r="BI32" i="1"/>
  <c r="Q76" i="2" s="1"/>
  <c r="AZ73" i="1"/>
  <c r="P339" i="2" s="1"/>
  <c r="BI123" i="1"/>
  <c r="Q358" i="2" s="1"/>
  <c r="BI120" i="1"/>
  <c r="Q355" i="2" s="1"/>
  <c r="BI53" i="1"/>
  <c r="Q260" i="2" s="1"/>
  <c r="AZ40" i="1"/>
  <c r="P270" i="2" s="1"/>
  <c r="AZ35" i="1"/>
  <c r="P249" i="2" s="1"/>
  <c r="BI25" i="1"/>
  <c r="Q48" i="2" s="1"/>
  <c r="BI98" i="1"/>
  <c r="Q325" i="2" s="1"/>
  <c r="BI113" i="1"/>
  <c r="Q348" i="2" s="1"/>
  <c r="AZ64" i="1"/>
  <c r="P330" i="2" s="1"/>
  <c r="AZ72" i="1"/>
  <c r="P338" i="2" s="1"/>
  <c r="BI72" i="1"/>
  <c r="Q284" i="2" s="1"/>
  <c r="BI9" i="1"/>
  <c r="Q54" i="2" s="1"/>
  <c r="BI49" i="1"/>
  <c r="Q256" i="2" s="1"/>
  <c r="AZ46" i="1"/>
  <c r="P286" i="2" s="1"/>
  <c r="AZ36" i="1"/>
  <c r="P250" i="2" s="1"/>
  <c r="BI83" i="1"/>
  <c r="Q302" i="2" s="1"/>
  <c r="BI90" i="1"/>
  <c r="Q317" i="2" s="1"/>
  <c r="AZ42" i="1"/>
  <c r="P272" i="2" s="1"/>
  <c r="AZ50" i="1"/>
  <c r="P294" i="2" s="1"/>
  <c r="BI78" i="1"/>
  <c r="Q297" i="2" s="1"/>
  <c r="BI50" i="1"/>
  <c r="Q257" i="2" s="1"/>
  <c r="AZ39" i="1"/>
  <c r="P269" i="2" s="1"/>
  <c r="AZ60" i="1"/>
  <c r="P310" i="2" s="1"/>
  <c r="BI87" i="1"/>
  <c r="Q314" i="2" s="1"/>
  <c r="BI56" i="1"/>
  <c r="Q263" i="2" s="1"/>
  <c r="AZ54" i="1"/>
  <c r="P304" i="2" s="1"/>
  <c r="BI18" i="1"/>
  <c r="Q63" i="2" s="1"/>
  <c r="BI121" i="1"/>
  <c r="Q356" i="2" s="1"/>
  <c r="BI21" i="1"/>
  <c r="Q66" i="2" s="1"/>
  <c r="BI63" i="1"/>
  <c r="Q275" i="2" s="1"/>
  <c r="BI55" i="1"/>
  <c r="Q262" i="2" s="1"/>
  <c r="BI118" i="1"/>
  <c r="Q353" i="2" s="1"/>
  <c r="AZ16" i="1"/>
  <c r="P72" i="2" s="1"/>
  <c r="BI10" i="1"/>
  <c r="Q55" i="2" s="1"/>
  <c r="AZ7" i="1"/>
  <c r="P41" i="2" s="1"/>
  <c r="AZ69" i="1"/>
  <c r="P335" i="2" s="1"/>
  <c r="BI89" i="1"/>
  <c r="Q316" i="2" s="1"/>
  <c r="BI73" i="1"/>
  <c r="Q285" i="2" s="1"/>
  <c r="BI103" i="1"/>
  <c r="Q330" i="2" s="1"/>
  <c r="BI62" i="1"/>
  <c r="Q274" i="2" s="1"/>
  <c r="BI68" i="1"/>
  <c r="Q280" i="2" s="1"/>
  <c r="BI39" i="1"/>
  <c r="Q238" i="2" s="1"/>
  <c r="AZ51" i="1"/>
  <c r="P295" i="2" s="1"/>
  <c r="AZ45" i="1"/>
  <c r="P285" i="2" s="1"/>
  <c r="BI48" i="1"/>
  <c r="Q255" i="2" s="1"/>
  <c r="BI61" i="1"/>
  <c r="Q273" i="2" s="1"/>
  <c r="BI31" i="1"/>
  <c r="Q75" i="2" s="1"/>
  <c r="AZ114" i="75"/>
  <c r="AZ115" i="75"/>
  <c r="AZ45" i="75"/>
  <c r="AJ307" i="2" s="1"/>
  <c r="AZ87" i="75"/>
  <c r="AJ226" i="2" s="1"/>
  <c r="BI35" i="75"/>
  <c r="AK256" i="2" s="1"/>
  <c r="AZ24" i="75"/>
  <c r="AJ246" i="2" s="1"/>
  <c r="BI42" i="75"/>
  <c r="AK263" i="2" s="1"/>
  <c r="BI29" i="75"/>
  <c r="AK222" i="2" s="1"/>
  <c r="AZ27" i="75"/>
  <c r="AJ249" i="2" s="1"/>
  <c r="BI74" i="75"/>
  <c r="AK323" i="2" s="1"/>
  <c r="AZ47" i="75"/>
  <c r="AJ309" i="2" s="1"/>
  <c r="AZ14" i="75"/>
  <c r="AJ217" i="2" s="1"/>
  <c r="AZ48" i="75"/>
  <c r="AJ310" i="2" s="1"/>
  <c r="AZ57" i="75"/>
  <c r="AJ337" i="2" s="1"/>
  <c r="AZ34" i="75"/>
  <c r="AJ272" i="2" s="1"/>
  <c r="BI20" i="75"/>
  <c r="AZ38" i="75"/>
  <c r="AJ286" i="2" s="1"/>
  <c r="AZ31" i="75"/>
  <c r="AJ269" i="2" s="1"/>
  <c r="AZ21" i="75"/>
  <c r="AJ235" i="2" s="1"/>
  <c r="AZ64" i="75"/>
  <c r="AZ85" i="75"/>
  <c r="AJ224" i="2" s="1"/>
  <c r="AZ11" i="75"/>
  <c r="AJ174" i="2" s="1"/>
  <c r="AZ36" i="75"/>
  <c r="AJ284" i="2" s="1"/>
  <c r="AZ62" i="75"/>
  <c r="AJ358" i="2" s="1"/>
  <c r="AZ56" i="75"/>
  <c r="AJ336" i="2" s="1"/>
  <c r="BI64" i="75"/>
  <c r="AK301" i="2" s="1"/>
  <c r="AZ51" i="75"/>
  <c r="AJ329" i="2" s="1"/>
  <c r="BI41" i="75"/>
  <c r="AK262" i="2" s="1"/>
  <c r="BI13" i="75"/>
  <c r="AK184" i="2" s="1"/>
  <c r="AZ55" i="75"/>
  <c r="AJ335" i="2" s="1"/>
  <c r="AZ88" i="75"/>
  <c r="AJ227" i="2" s="1"/>
  <c r="AZ44" i="75"/>
  <c r="AJ306" i="2" s="1"/>
  <c r="AZ28" i="75"/>
  <c r="AJ250" i="2" s="1"/>
  <c r="BI16" i="75"/>
  <c r="AK187" i="2" s="1"/>
  <c r="BI27" i="75"/>
  <c r="AK220" i="2" s="1"/>
  <c r="AZ10" i="75"/>
  <c r="AJ173" i="2" s="1"/>
  <c r="BI105" i="75"/>
  <c r="AK225" i="2" s="1"/>
  <c r="AZ26" i="75"/>
  <c r="AJ248" i="2" s="1"/>
  <c r="BI67" i="75"/>
  <c r="AK316" i="2" s="1"/>
  <c r="BI93" i="75"/>
  <c r="AK354" i="2" s="1"/>
  <c r="BI10" i="75"/>
  <c r="AK181" i="2" s="1"/>
  <c r="BI44" i="75"/>
  <c r="AK265" i="2" s="1"/>
  <c r="AZ37" i="75"/>
  <c r="AJ285" i="2" s="1"/>
  <c r="BI11" i="75"/>
  <c r="AK182" i="2" s="1"/>
  <c r="BI14" i="75"/>
  <c r="AK185" i="2" s="1"/>
  <c r="BI97" i="75"/>
  <c r="AK358" i="2" s="1"/>
  <c r="BI7" i="75"/>
  <c r="AK178" i="2" s="1"/>
  <c r="BI8" i="75"/>
  <c r="AK179" i="2" s="1"/>
  <c r="AZ86" i="75"/>
  <c r="AJ225" i="2" s="1"/>
  <c r="BI9" i="75"/>
  <c r="AK180" i="2" s="1"/>
  <c r="AZ53" i="75"/>
  <c r="AJ331" i="2" s="1"/>
  <c r="AZ39" i="75"/>
  <c r="AJ287" i="2" s="1"/>
  <c r="BI6" i="75"/>
  <c r="AK177" i="2" s="1"/>
  <c r="AZ89" i="75"/>
  <c r="AJ228" i="2" s="1"/>
  <c r="BI49" i="75"/>
  <c r="AK275" i="2" s="1"/>
  <c r="BI23" i="75"/>
  <c r="AK216" i="2" s="1"/>
  <c r="AZ52" i="75"/>
  <c r="AJ330" i="2" s="1"/>
  <c r="BI52" i="75"/>
  <c r="AK278" i="2" s="1"/>
  <c r="AZ23" i="75"/>
  <c r="AJ245" i="2" s="1"/>
  <c r="BI107" i="75"/>
  <c r="AK227" i="2" s="1"/>
  <c r="BI92" i="75"/>
  <c r="AK353" i="2" s="1"/>
  <c r="BI77" i="75"/>
  <c r="AK326" i="2" s="1"/>
  <c r="BI48" i="75"/>
  <c r="AK274" i="2" s="1"/>
  <c r="BI80" i="75"/>
  <c r="AK329" i="2" s="1"/>
  <c r="BI17" i="75"/>
  <c r="AK188" i="2" s="1"/>
  <c r="BI75" i="75"/>
  <c r="AK324" i="2" s="1"/>
  <c r="AZ8" i="75"/>
  <c r="AJ171" i="2" s="1"/>
  <c r="BI53" i="75"/>
  <c r="AK279" i="2" s="1"/>
  <c r="BI95" i="75"/>
  <c r="AK356" i="2" s="1"/>
  <c r="AZ116" i="75"/>
  <c r="BI54" i="75"/>
  <c r="AK280" i="2" s="1"/>
  <c r="AZ5" i="75"/>
  <c r="AJ168" i="2" s="1"/>
  <c r="AZ113" i="75"/>
  <c r="AJ361" i="2" s="1"/>
  <c r="AZ60" i="75"/>
  <c r="AJ340" i="2" s="1"/>
  <c r="BI103" i="75"/>
  <c r="AK212" i="2" s="1"/>
  <c r="BI40" i="75"/>
  <c r="AK261" i="2" s="1"/>
  <c r="AZ33" i="75"/>
  <c r="AJ271" i="2" s="1"/>
  <c r="AZ84" i="75"/>
  <c r="AJ212" i="2" s="1"/>
  <c r="BI38" i="75"/>
  <c r="AK259" i="2" s="1"/>
  <c r="AZ92" i="75"/>
  <c r="AJ231" i="2" s="1"/>
  <c r="AZ32" i="75"/>
  <c r="AJ270" i="2" s="1"/>
  <c r="BI37" i="75"/>
  <c r="AK258" i="2" s="1"/>
  <c r="BI86" i="75"/>
  <c r="AK347" i="2" s="1"/>
  <c r="AZ42" i="75"/>
  <c r="AJ296" i="2" s="1"/>
  <c r="AZ59" i="75"/>
  <c r="AJ339" i="2" s="1"/>
  <c r="BI18" i="75"/>
  <c r="AK189" i="2" s="1"/>
  <c r="BI55" i="75"/>
  <c r="AK281" i="2" s="1"/>
  <c r="BI71" i="75"/>
  <c r="AK320" i="2" s="1"/>
  <c r="BI94" i="75"/>
  <c r="AK355" i="2" s="1"/>
  <c r="BI85" i="75"/>
  <c r="AK346" i="2" s="1"/>
  <c r="AZ30" i="75"/>
  <c r="AJ268" i="2" s="1"/>
  <c r="BI31" i="75"/>
  <c r="AK240" i="2" s="1"/>
  <c r="BI82" i="75"/>
  <c r="AK331" i="2" s="1"/>
  <c r="BI109" i="75"/>
  <c r="AK229" i="2" s="1"/>
  <c r="AZ6" i="75"/>
  <c r="AJ169" i="2" s="1"/>
  <c r="AZ46" i="75"/>
  <c r="AJ308" i="2" s="1"/>
  <c r="AZ25" i="75"/>
  <c r="AJ247" i="2" s="1"/>
  <c r="BI84" i="75"/>
  <c r="AK345" i="2" s="1"/>
  <c r="BI58" i="75"/>
  <c r="AK284" i="2" s="1"/>
  <c r="BI90" i="75"/>
  <c r="AK351" i="2" s="1"/>
  <c r="AZ58" i="75"/>
  <c r="AJ338" i="2" s="1"/>
  <c r="BI114" i="75"/>
  <c r="AZ90" i="75"/>
  <c r="AJ229" i="2" s="1"/>
  <c r="AZ9" i="75"/>
  <c r="AJ172" i="2" s="1"/>
  <c r="BI25" i="75"/>
  <c r="AK218" i="2" s="1"/>
  <c r="BI56" i="75"/>
  <c r="AK282" i="2" s="1"/>
  <c r="BI69" i="75"/>
  <c r="AK318" i="2" s="1"/>
  <c r="AZ19" i="75"/>
  <c r="AJ222" i="2" s="1"/>
  <c r="BI106" i="75"/>
  <c r="AK226" i="2" s="1"/>
  <c r="AZ17" i="75"/>
  <c r="AJ220" i="2" s="1"/>
  <c r="AZ15" i="75"/>
  <c r="AJ218" i="2" s="1"/>
  <c r="BI28" i="75"/>
  <c r="AK221" i="2" s="1"/>
  <c r="BI24" i="75"/>
  <c r="AK217" i="2" s="1"/>
  <c r="BI73" i="75"/>
  <c r="AK322" i="2" s="1"/>
  <c r="BI91" i="75"/>
  <c r="AK352" i="2" s="1"/>
  <c r="AZ7" i="75"/>
  <c r="AJ170" i="2" s="1"/>
  <c r="AZ40" i="75"/>
  <c r="AJ288" i="2" s="1"/>
  <c r="AZ13" i="75"/>
  <c r="AJ216" i="2" s="1"/>
  <c r="BI78" i="75"/>
  <c r="AK327" i="2" s="1"/>
  <c r="AZ18" i="75"/>
  <c r="AJ221" i="2" s="1"/>
  <c r="BI21" i="75"/>
  <c r="AK48" i="2" s="1"/>
  <c r="BI26" i="75"/>
  <c r="AK219" i="2" s="1"/>
  <c r="BI104" i="75"/>
  <c r="AK224" i="2" s="1"/>
  <c r="AZ16" i="75"/>
  <c r="AJ219" i="2" s="1"/>
  <c r="BI116" i="75"/>
  <c r="BI89" i="75"/>
  <c r="AK350" i="2" s="1"/>
  <c r="AZ49" i="75"/>
  <c r="AJ311" i="2" s="1"/>
  <c r="BI108" i="75"/>
  <c r="AK228" i="2" s="1"/>
  <c r="BI81" i="75"/>
  <c r="AK330" i="2" s="1"/>
  <c r="BI43" i="75"/>
  <c r="AK264" i="2" s="1"/>
  <c r="BI113" i="75"/>
  <c r="AK361" i="2" s="1"/>
  <c r="BI36" i="75"/>
  <c r="AK257" i="2" s="1"/>
  <c r="BI117" i="75"/>
  <c r="AK365" i="2" s="1"/>
  <c r="BI60" i="75"/>
  <c r="AK286" i="2" s="1"/>
  <c r="BI50" i="75"/>
  <c r="AK276" i="2" s="1"/>
  <c r="AZ83" i="75"/>
  <c r="AJ210" i="2" s="1"/>
  <c r="BI70" i="75"/>
  <c r="AK319" i="2" s="1"/>
  <c r="BI5" i="75"/>
  <c r="AK176" i="2" s="1"/>
  <c r="AZ91" i="75"/>
  <c r="AJ230" i="2" s="1"/>
  <c r="BI47" i="75"/>
  <c r="AK273" i="2" s="1"/>
  <c r="BI51" i="75"/>
  <c r="AK277" i="2" s="1"/>
  <c r="BI102" i="75"/>
  <c r="AK210" i="2" s="1"/>
  <c r="BI62" i="75"/>
  <c r="AK288" i="2" s="1"/>
  <c r="BI76" i="75"/>
  <c r="AK325" i="2" s="1"/>
  <c r="AZ117" i="75"/>
  <c r="AJ365" i="2" s="1"/>
  <c r="BI115" i="75"/>
  <c r="AK363" i="2" s="1"/>
  <c r="BI39" i="75"/>
  <c r="AK260" i="2" s="1"/>
  <c r="BI45" i="75"/>
  <c r="AK266" i="2" s="1"/>
  <c r="BI61" i="75"/>
  <c r="AK287" i="2" s="1"/>
  <c r="BI32" i="75"/>
  <c r="AK241" i="2" s="1"/>
  <c r="BI12" i="75"/>
  <c r="AK183" i="2" s="1"/>
  <c r="BI88" i="75"/>
  <c r="AK349" i="2" s="1"/>
  <c r="BI87" i="75"/>
  <c r="AK348" i="2" s="1"/>
  <c r="BI72" i="75"/>
  <c r="AK321" i="2" s="1"/>
  <c r="BI111" i="75"/>
  <c r="AK231" i="2" s="1"/>
  <c r="BI65" i="75"/>
  <c r="AK302" i="2" s="1"/>
  <c r="BI59" i="75"/>
  <c r="AK285" i="2" s="1"/>
  <c r="BI110" i="75"/>
  <c r="AK230" i="2" s="1"/>
  <c r="BI15" i="75"/>
  <c r="AK186" i="2" s="1"/>
  <c r="BI34" i="75"/>
  <c r="AK255" i="2" s="1"/>
  <c r="AZ66" i="75"/>
  <c r="AJ214" i="2" s="1"/>
  <c r="BI68" i="75"/>
  <c r="AK317" i="2" s="1"/>
  <c r="AZ17" i="66"/>
  <c r="R73" i="2" s="1"/>
  <c r="BI99" i="75"/>
  <c r="AK214" i="2" s="1"/>
  <c r="AZ20" i="1"/>
  <c r="P76" i="2" s="1"/>
  <c r="BI69" i="76"/>
  <c r="AG318" i="2" s="1"/>
  <c r="BI67" i="76"/>
  <c r="AG316" i="2" s="1"/>
  <c r="BI45" i="76"/>
  <c r="AG266" i="2" s="1"/>
  <c r="BI49" i="76"/>
  <c r="AG275" i="2" s="1"/>
  <c r="BI108" i="76"/>
  <c r="AZ34" i="76"/>
  <c r="AF272" i="2" s="1"/>
  <c r="AZ11" i="76"/>
  <c r="AF174" i="2" s="1"/>
  <c r="BI74" i="76"/>
  <c r="AG323" i="2" s="1"/>
  <c r="AZ36" i="76"/>
  <c r="AF284" i="2" s="1"/>
  <c r="AZ109" i="76"/>
  <c r="AZ38" i="76"/>
  <c r="AF286" i="2" s="1"/>
  <c r="AZ44" i="76"/>
  <c r="AF306" i="2" s="1"/>
  <c r="AZ42" i="76"/>
  <c r="AF296" i="2" s="1"/>
  <c r="AZ28" i="76"/>
  <c r="AF250" i="2" s="1"/>
  <c r="BI34" i="76"/>
  <c r="AG255" i="2" s="1"/>
  <c r="AZ59" i="76"/>
  <c r="AF339" i="2" s="1"/>
  <c r="BI29" i="76"/>
  <c r="AG222" i="2" s="1"/>
  <c r="AZ8" i="76"/>
  <c r="AF171" i="2" s="1"/>
  <c r="AZ30" i="76"/>
  <c r="AF268" i="2" s="1"/>
  <c r="BI11" i="76"/>
  <c r="AG182" i="2" s="1"/>
  <c r="AZ37" i="76"/>
  <c r="AF285" i="2" s="1"/>
  <c r="AZ26" i="76"/>
  <c r="AF248" i="2" s="1"/>
  <c r="BI84" i="76"/>
  <c r="AG345" i="2" s="1"/>
  <c r="BI5" i="76"/>
  <c r="AG176" i="2" s="1"/>
  <c r="AZ64" i="76"/>
  <c r="BI102" i="76"/>
  <c r="AG196" i="2" s="1"/>
  <c r="BI35" i="76"/>
  <c r="AG256" i="2" s="1"/>
  <c r="BI54" i="76"/>
  <c r="AG280" i="2" s="1"/>
  <c r="AZ24" i="76"/>
  <c r="AF246" i="2" s="1"/>
  <c r="BI89" i="76"/>
  <c r="AG350" i="2" s="1"/>
  <c r="BI48" i="76"/>
  <c r="AG274" i="2" s="1"/>
  <c r="AZ52" i="76"/>
  <c r="AF330" i="2" s="1"/>
  <c r="BI58" i="76"/>
  <c r="AG284" i="2" s="1"/>
  <c r="AZ51" i="76"/>
  <c r="AF329" i="2" s="1"/>
  <c r="BI7" i="76"/>
  <c r="AG178" i="2" s="1"/>
  <c r="AZ23" i="76"/>
  <c r="AF245" i="2" s="1"/>
  <c r="AZ10" i="76"/>
  <c r="AF173" i="2" s="1"/>
  <c r="BI65" i="76"/>
  <c r="AG302" i="2" s="1"/>
  <c r="AZ40" i="76"/>
  <c r="AF288" i="2" s="1"/>
  <c r="BI91" i="76"/>
  <c r="AG352" i="2" s="1"/>
  <c r="AZ48" i="76"/>
  <c r="AF310" i="2" s="1"/>
  <c r="BI39" i="76"/>
  <c r="AG260" i="2" s="1"/>
  <c r="AZ13" i="76"/>
  <c r="AF216" i="2" s="1"/>
  <c r="BI62" i="76"/>
  <c r="AG288" i="2" s="1"/>
  <c r="BI6" i="76"/>
  <c r="AG177" i="2" s="1"/>
  <c r="AZ62" i="76"/>
  <c r="AF358" i="2" s="1"/>
  <c r="BI70" i="76"/>
  <c r="AG319" i="2" s="1"/>
  <c r="BI38" i="76"/>
  <c r="AG259" i="2" s="1"/>
  <c r="BI41" i="76"/>
  <c r="AG262" i="2" s="1"/>
  <c r="AZ7" i="76"/>
  <c r="AF170" i="2" s="1"/>
  <c r="BI16" i="76"/>
  <c r="AG187" i="2" s="1"/>
  <c r="BI47" i="76"/>
  <c r="AG273" i="2" s="1"/>
  <c r="AZ57" i="76"/>
  <c r="AF337" i="2" s="1"/>
  <c r="AZ45" i="76"/>
  <c r="AF307" i="2" s="1"/>
  <c r="AZ53" i="76"/>
  <c r="AF331" i="2" s="1"/>
  <c r="BI55" i="76"/>
  <c r="AG281" i="2" s="1"/>
  <c r="BI51" i="76"/>
  <c r="AG277" i="2" s="1"/>
  <c r="BI17" i="76"/>
  <c r="AG188" i="2" s="1"/>
  <c r="BI53" i="76"/>
  <c r="AG279" i="2" s="1"/>
  <c r="BI50" i="76"/>
  <c r="AG276" i="2" s="1"/>
  <c r="AZ6" i="76"/>
  <c r="AF169" i="2" s="1"/>
  <c r="AZ27" i="76"/>
  <c r="AF249" i="2" s="1"/>
  <c r="BI87" i="76"/>
  <c r="AG348" i="2" s="1"/>
  <c r="BI88" i="76"/>
  <c r="AG349" i="2" s="1"/>
  <c r="BI31" i="76"/>
  <c r="AG240" i="2" s="1"/>
  <c r="AZ39" i="76"/>
  <c r="AF287" i="2" s="1"/>
  <c r="AZ46" i="76"/>
  <c r="AF308" i="2" s="1"/>
  <c r="BI105" i="76"/>
  <c r="AG206" i="2" s="1"/>
  <c r="BI73" i="76"/>
  <c r="AG322" i="2" s="1"/>
  <c r="BI18" i="76"/>
  <c r="AG189" i="2" s="1"/>
  <c r="BI92" i="76"/>
  <c r="AG353" i="2" s="1"/>
  <c r="AZ21" i="76"/>
  <c r="AF235" i="2" s="1"/>
  <c r="BI37" i="76"/>
  <c r="AG258" i="2" s="1"/>
  <c r="BI40" i="76"/>
  <c r="AG261" i="2" s="1"/>
  <c r="BI10" i="76"/>
  <c r="AG181" i="2" s="1"/>
  <c r="AZ25" i="76"/>
  <c r="AF247" i="2" s="1"/>
  <c r="BI43" i="76"/>
  <c r="AG264" i="2" s="1"/>
  <c r="BI56" i="76"/>
  <c r="AG282" i="2" s="1"/>
  <c r="AZ110" i="76"/>
  <c r="AZ84" i="76"/>
  <c r="AF201" i="2" s="1"/>
  <c r="BI71" i="76"/>
  <c r="AG320" i="2" s="1"/>
  <c r="BI21" i="76"/>
  <c r="AG48" i="2" s="1"/>
  <c r="AZ108" i="76"/>
  <c r="AZ58" i="76"/>
  <c r="AF338" i="2" s="1"/>
  <c r="AZ33" i="76"/>
  <c r="AF271" i="2" s="1"/>
  <c r="BI80" i="76"/>
  <c r="AG329" i="2" s="1"/>
  <c r="AZ31" i="76"/>
  <c r="AF269" i="2" s="1"/>
  <c r="BI26" i="76"/>
  <c r="AG219" i="2" s="1"/>
  <c r="BI60" i="76"/>
  <c r="AG286" i="2" s="1"/>
  <c r="BI32" i="76"/>
  <c r="AG241" i="2" s="1"/>
  <c r="BI85" i="76"/>
  <c r="AG346" i="2" s="1"/>
  <c r="BI27" i="76"/>
  <c r="AG220" i="2" s="1"/>
  <c r="BI24" i="76"/>
  <c r="AG217" i="2" s="1"/>
  <c r="AZ56" i="76"/>
  <c r="AF336" i="2" s="1"/>
  <c r="BI78" i="76"/>
  <c r="AG327" i="2" s="1"/>
  <c r="BI23" i="76"/>
  <c r="AG216" i="2" s="1"/>
  <c r="BI76" i="76"/>
  <c r="AG325" i="2" s="1"/>
  <c r="AZ14" i="76"/>
  <c r="AF217" i="2" s="1"/>
  <c r="AZ49" i="76"/>
  <c r="AF311" i="2" s="1"/>
  <c r="AZ19" i="76"/>
  <c r="AF222" i="2" s="1"/>
  <c r="BI25" i="76"/>
  <c r="AG218" i="2" s="1"/>
  <c r="AZ5" i="76"/>
  <c r="AF168" i="2" s="1"/>
  <c r="AZ47" i="76"/>
  <c r="AF309" i="2" s="1"/>
  <c r="AZ15" i="76"/>
  <c r="AF218" i="2" s="1"/>
  <c r="AZ17" i="76"/>
  <c r="AF220" i="2" s="1"/>
  <c r="AZ55" i="76"/>
  <c r="AF335" i="2" s="1"/>
  <c r="BI28" i="76"/>
  <c r="AG221" i="2" s="1"/>
  <c r="BI15" i="76"/>
  <c r="AG186" i="2" s="1"/>
  <c r="BI64" i="76"/>
  <c r="AG301" i="2" s="1"/>
  <c r="BI9" i="76"/>
  <c r="AG180" i="2" s="1"/>
  <c r="AZ60" i="76"/>
  <c r="AF340" i="2" s="1"/>
  <c r="BI94" i="76"/>
  <c r="AG355" i="2" s="1"/>
  <c r="BI75" i="76"/>
  <c r="AG324" i="2" s="1"/>
  <c r="BI109" i="76"/>
  <c r="AG363" i="2" s="1"/>
  <c r="BI111" i="76"/>
  <c r="AG365" i="2" s="1"/>
  <c r="AZ32" i="76"/>
  <c r="AF270" i="2" s="1"/>
  <c r="BI104" i="76"/>
  <c r="AG203" i="2" s="1"/>
  <c r="BI13" i="76"/>
  <c r="AG184" i="2" s="1"/>
  <c r="AZ111" i="76"/>
  <c r="AF365" i="2" s="1"/>
  <c r="BI20" i="76"/>
  <c r="AG190" i="2" s="1"/>
  <c r="AZ9" i="76"/>
  <c r="AF172" i="2" s="1"/>
  <c r="AZ83" i="76"/>
  <c r="AF196" i="2" s="1"/>
  <c r="BI68" i="76"/>
  <c r="AG317" i="2" s="1"/>
  <c r="BI107" i="76"/>
  <c r="AG361" i="2" s="1"/>
  <c r="BI93" i="76"/>
  <c r="AG354" i="2" s="1"/>
  <c r="BI82" i="76"/>
  <c r="AG331" i="2" s="1"/>
  <c r="AZ107" i="76"/>
  <c r="AF361" i="2" s="1"/>
  <c r="BI81" i="76"/>
  <c r="AG330" i="2" s="1"/>
  <c r="AZ18" i="76"/>
  <c r="AF221" i="2" s="1"/>
  <c r="BI97" i="76"/>
  <c r="AG358" i="2" s="1"/>
  <c r="BI77" i="76"/>
  <c r="AG326" i="2" s="1"/>
  <c r="BI59" i="76"/>
  <c r="AG285" i="2" s="1"/>
  <c r="BI36" i="76"/>
  <c r="AG257" i="2" s="1"/>
  <c r="BI86" i="76"/>
  <c r="AG347" i="2" s="1"/>
  <c r="BI44" i="76"/>
  <c r="AG265" i="2" s="1"/>
  <c r="BI42" i="76"/>
  <c r="AG263" i="2" s="1"/>
  <c r="BI72" i="76"/>
  <c r="AG321" i="2" s="1"/>
  <c r="BI12" i="76"/>
  <c r="AG183" i="2" s="1"/>
  <c r="BI110" i="76"/>
  <c r="AG364" i="2" s="1"/>
  <c r="AZ16" i="76"/>
  <c r="AF219" i="2" s="1"/>
  <c r="BI8" i="76"/>
  <c r="AG179" i="2" s="1"/>
  <c r="BI14" i="76"/>
  <c r="AG185" i="2" s="1"/>
  <c r="BI90" i="76"/>
  <c r="AG351" i="2" s="1"/>
  <c r="BI95" i="76"/>
  <c r="AG356" i="2" s="1"/>
  <c r="BI52" i="76"/>
  <c r="AG278" i="2" s="1"/>
  <c r="BI61" i="76"/>
  <c r="AG287" i="2" s="1"/>
  <c r="AZ44" i="68"/>
  <c r="V306" i="2" s="1"/>
  <c r="BI70" i="68"/>
  <c r="W318" i="2" s="1"/>
  <c r="BI43" i="68"/>
  <c r="W263" i="2" s="1"/>
  <c r="BI87" i="68"/>
  <c r="W347" i="2" s="1"/>
  <c r="AZ104" i="68"/>
  <c r="AZ55" i="68"/>
  <c r="V335" i="2" s="1"/>
  <c r="AZ28" i="68"/>
  <c r="V250" i="2" s="1"/>
  <c r="BI95" i="68"/>
  <c r="W355" i="2" s="1"/>
  <c r="AZ32" i="68"/>
  <c r="V270" i="2" s="1"/>
  <c r="AZ52" i="68"/>
  <c r="V330" i="2" s="1"/>
  <c r="AZ56" i="68"/>
  <c r="V336" i="2" s="1"/>
  <c r="BI85" i="68"/>
  <c r="W345" i="2" s="1"/>
  <c r="AZ40" i="68"/>
  <c r="V288" i="2" s="1"/>
  <c r="BI50" i="68"/>
  <c r="W275" i="2" s="1"/>
  <c r="AZ105" i="68"/>
  <c r="AZ37" i="68"/>
  <c r="V285" i="2" s="1"/>
  <c r="AZ59" i="68"/>
  <c r="V339" i="2" s="1"/>
  <c r="BI30" i="68"/>
  <c r="W79" i="2" s="1"/>
  <c r="AZ27" i="68"/>
  <c r="V249" i="2" s="1"/>
  <c r="AZ6" i="68"/>
  <c r="V144" i="2" s="1"/>
  <c r="N144" i="2" s="1"/>
  <c r="F144" i="2" s="1"/>
  <c r="I144" i="2" s="1"/>
  <c r="BI26" i="68"/>
  <c r="W75" i="2" s="1"/>
  <c r="BI77" i="68"/>
  <c r="W325" i="2" s="1"/>
  <c r="BI105" i="68"/>
  <c r="BI88" i="68"/>
  <c r="W348" i="2" s="1"/>
  <c r="AZ34" i="68"/>
  <c r="V272" i="2" s="1"/>
  <c r="BI45" i="68"/>
  <c r="W265" i="2" s="1"/>
  <c r="AZ58" i="68"/>
  <c r="V338" i="2" s="1"/>
  <c r="AZ23" i="68"/>
  <c r="V245" i="2" s="1"/>
  <c r="BI74" i="68"/>
  <c r="W322" i="2" s="1"/>
  <c r="BI76" i="68"/>
  <c r="W324" i="2" s="1"/>
  <c r="AZ45" i="68"/>
  <c r="V307" i="2" s="1"/>
  <c r="AZ26" i="68"/>
  <c r="V248" i="2" s="1"/>
  <c r="AZ5" i="68"/>
  <c r="V143" i="2" s="1"/>
  <c r="N143" i="2" s="1"/>
  <c r="F143" i="2" s="1"/>
  <c r="I143" i="2" s="1"/>
  <c r="AZ9" i="68"/>
  <c r="V147" i="2" s="1"/>
  <c r="N147" i="2" s="1"/>
  <c r="F147" i="2" s="1"/>
  <c r="I147" i="2" s="1"/>
  <c r="BI66" i="68"/>
  <c r="W302" i="2" s="1"/>
  <c r="BI46" i="68"/>
  <c r="W266" i="2" s="1"/>
  <c r="AZ42" i="68"/>
  <c r="V296" i="2" s="1"/>
  <c r="AZ21" i="68"/>
  <c r="AZ60" i="68"/>
  <c r="V340" i="2" s="1"/>
  <c r="AZ30" i="68"/>
  <c r="V268" i="2" s="1"/>
  <c r="AZ31" i="68"/>
  <c r="V269" i="2" s="1"/>
  <c r="AZ57" i="68"/>
  <c r="V337" i="2" s="1"/>
  <c r="BI53" i="68"/>
  <c r="W278" i="2" s="1"/>
  <c r="BI79" i="68"/>
  <c r="W327" i="2" s="1"/>
  <c r="BI51" i="68"/>
  <c r="W276" i="2" s="1"/>
  <c r="AZ47" i="68"/>
  <c r="V309" i="2" s="1"/>
  <c r="AZ103" i="68"/>
  <c r="BI89" i="68"/>
  <c r="W349" i="2" s="1"/>
  <c r="AZ33" i="68"/>
  <c r="V271" i="2" s="1"/>
  <c r="AZ62" i="68"/>
  <c r="V358" i="2" s="1"/>
  <c r="AZ46" i="68"/>
  <c r="V308" i="2" s="1"/>
  <c r="BI102" i="68"/>
  <c r="W361" i="2" s="1"/>
  <c r="BI28" i="68"/>
  <c r="W77" i="2" s="1"/>
  <c r="AZ48" i="68"/>
  <c r="V310" i="2" s="1"/>
  <c r="AZ10" i="68"/>
  <c r="V148" i="2" s="1"/>
  <c r="N148" i="2" s="1"/>
  <c r="F148" i="2" s="1"/>
  <c r="I148" i="2" s="1"/>
  <c r="BI12" i="68"/>
  <c r="W159" i="2" s="1"/>
  <c r="N159" i="2" s="1"/>
  <c r="F159" i="2" s="1"/>
  <c r="AZ36" i="68"/>
  <c r="V284" i="2" s="1"/>
  <c r="AZ106" i="68"/>
  <c r="V365" i="2" s="1"/>
  <c r="BI57" i="68"/>
  <c r="W282" i="2" s="1"/>
  <c r="BI42" i="68"/>
  <c r="W262" i="2" s="1"/>
  <c r="BI16" i="68"/>
  <c r="W163" i="2" s="1"/>
  <c r="N163" i="2" s="1"/>
  <c r="F163" i="2" s="1"/>
  <c r="I163" i="2" s="1"/>
  <c r="AZ51" i="68"/>
  <c r="V329" i="2" s="1"/>
  <c r="BI52" i="68"/>
  <c r="W277" i="2" s="1"/>
  <c r="BI20" i="68"/>
  <c r="W141" i="2" s="1"/>
  <c r="BI65" i="68"/>
  <c r="W301" i="2" s="1"/>
  <c r="AZ24" i="68"/>
  <c r="V246" i="2" s="1"/>
  <c r="BI40" i="68"/>
  <c r="W260" i="2" s="1"/>
  <c r="AZ39" i="68"/>
  <c r="V287" i="2" s="1"/>
  <c r="AZ25" i="68"/>
  <c r="V247" i="2" s="1"/>
  <c r="BI13" i="68"/>
  <c r="W160" i="2" s="1"/>
  <c r="N160" i="2" s="1"/>
  <c r="F160" i="2" s="1"/>
  <c r="I160" i="2" s="1"/>
  <c r="AZ53" i="68"/>
  <c r="V331" i="2" s="1"/>
  <c r="BI38" i="68"/>
  <c r="W258" i="2" s="1"/>
  <c r="BI60" i="68"/>
  <c r="W285" i="2" s="1"/>
  <c r="BI73" i="68"/>
  <c r="W321" i="2" s="1"/>
  <c r="AZ38" i="68"/>
  <c r="V286" i="2" s="1"/>
  <c r="BI24" i="68"/>
  <c r="W73" i="2" s="1"/>
  <c r="BI7" i="68"/>
  <c r="W154" i="2" s="1"/>
  <c r="N154" i="2" s="1"/>
  <c r="F154" i="2" s="1"/>
  <c r="I154" i="2" s="1"/>
  <c r="BI71" i="68"/>
  <c r="W319" i="2" s="1"/>
  <c r="AZ7" i="68"/>
  <c r="V145" i="2" s="1"/>
  <c r="N145" i="2" s="1"/>
  <c r="F145" i="2" s="1"/>
  <c r="I145" i="2" s="1"/>
  <c r="AZ11" i="68"/>
  <c r="V149" i="2" s="1"/>
  <c r="N149" i="2" s="1"/>
  <c r="F149" i="2" s="1"/>
  <c r="I149" i="2" s="1"/>
  <c r="AZ8" i="68"/>
  <c r="V146" i="2" s="1"/>
  <c r="N146" i="2" s="1"/>
  <c r="F146" i="2" s="1"/>
  <c r="I146" i="2" s="1"/>
  <c r="BI62" i="68"/>
  <c r="W287" i="2" s="1"/>
  <c r="BI68" i="68"/>
  <c r="W316" i="2" s="1"/>
  <c r="BI10" i="68"/>
  <c r="W157" i="2" s="1"/>
  <c r="N157" i="2" s="1"/>
  <c r="F157" i="2" s="1"/>
  <c r="I157" i="2" s="1"/>
  <c r="BI96" i="68"/>
  <c r="W356" i="2" s="1"/>
  <c r="BI56" i="68"/>
  <c r="W281" i="2" s="1"/>
  <c r="BI49" i="68"/>
  <c r="W274" i="2" s="1"/>
  <c r="BI91" i="68"/>
  <c r="W351" i="2" s="1"/>
  <c r="AZ102" i="68"/>
  <c r="V361" i="2" s="1"/>
  <c r="BI69" i="68"/>
  <c r="W317" i="2" s="1"/>
  <c r="BI17" i="68"/>
  <c r="W164" i="2" s="1"/>
  <c r="N164" i="2" s="1"/>
  <c r="F164" i="2" s="1"/>
  <c r="I164" i="2" s="1"/>
  <c r="AZ49" i="68"/>
  <c r="V311" i="2" s="1"/>
  <c r="BI32" i="68"/>
  <c r="W240" i="2" s="1"/>
  <c r="BI37" i="68"/>
  <c r="W257" i="2" s="1"/>
  <c r="BI33" i="68"/>
  <c r="W241" i="2" s="1"/>
  <c r="BI54" i="68"/>
  <c r="W279" i="2" s="1"/>
  <c r="BI92" i="68"/>
  <c r="W352" i="2" s="1"/>
  <c r="BI29" i="68"/>
  <c r="W78" i="2" s="1"/>
  <c r="BI27" i="68"/>
  <c r="W76" i="2" s="1"/>
  <c r="BI25" i="68"/>
  <c r="W74" i="2" s="1"/>
  <c r="BI36" i="68"/>
  <c r="W256" i="2" s="1"/>
  <c r="BI44" i="68"/>
  <c r="W264" i="2" s="1"/>
  <c r="BI94" i="68"/>
  <c r="W354" i="2" s="1"/>
  <c r="BI6" i="68"/>
  <c r="W153" i="2" s="1"/>
  <c r="N153" i="2" s="1"/>
  <c r="F153" i="2" s="1"/>
  <c r="I153" i="2" s="1"/>
  <c r="BI22" i="68"/>
  <c r="W48" i="2" s="1"/>
  <c r="BI86" i="68"/>
  <c r="W346" i="2" s="1"/>
  <c r="BI75" i="68"/>
  <c r="W323" i="2" s="1"/>
  <c r="BI11" i="68"/>
  <c r="W158" i="2" s="1"/>
  <c r="N158" i="2" s="1"/>
  <c r="F158" i="2" s="1"/>
  <c r="I158" i="2" s="1"/>
  <c r="BI104" i="68"/>
  <c r="W363" i="2" s="1"/>
  <c r="BI61" i="68"/>
  <c r="W286" i="2" s="1"/>
  <c r="BI48" i="68"/>
  <c r="W273" i="2" s="1"/>
  <c r="BI93" i="68"/>
  <c r="W353" i="2" s="1"/>
  <c r="BI5" i="68"/>
  <c r="W152" i="2" s="1"/>
  <c r="N152" i="2" s="1"/>
  <c r="F152" i="2" s="1"/>
  <c r="I152" i="2" s="1"/>
  <c r="BI21" i="68"/>
  <c r="W166" i="2" s="1"/>
  <c r="BI55" i="68"/>
  <c r="W280" i="2" s="1"/>
  <c r="BI106" i="68"/>
  <c r="W365" i="2" s="1"/>
  <c r="BI90" i="68"/>
  <c r="W350" i="2" s="1"/>
  <c r="BI35" i="68"/>
  <c r="W255" i="2" s="1"/>
  <c r="BI81" i="68"/>
  <c r="W329" i="2" s="1"/>
  <c r="AZ19" i="68"/>
  <c r="V79" i="2" s="1"/>
  <c r="BI41" i="68"/>
  <c r="W261" i="2" s="1"/>
  <c r="BI8" i="68"/>
  <c r="W155" i="2" s="1"/>
  <c r="N155" i="2" s="1"/>
  <c r="F155" i="2" s="1"/>
  <c r="I155" i="2" s="1"/>
  <c r="BI103" i="68"/>
  <c r="W362" i="2" s="1"/>
  <c r="BI18" i="68"/>
  <c r="W165" i="2" s="1"/>
  <c r="N165" i="2" s="1"/>
  <c r="F165" i="2" s="1"/>
  <c r="I165" i="2" s="1"/>
  <c r="BI78" i="68"/>
  <c r="W326" i="2" s="1"/>
  <c r="BI83" i="68"/>
  <c r="W331" i="2" s="1"/>
  <c r="BI82" i="68"/>
  <c r="W330" i="2" s="1"/>
  <c r="BI39" i="68"/>
  <c r="W259" i="2" s="1"/>
  <c r="BI72" i="68"/>
  <c r="W320" i="2" s="1"/>
  <c r="BI14" i="68"/>
  <c r="W161" i="2" s="1"/>
  <c r="N161" i="2" s="1"/>
  <c r="F161" i="2" s="1"/>
  <c r="I161" i="2" s="1"/>
  <c r="AZ17" i="68"/>
  <c r="V77" i="2" s="1"/>
  <c r="BI59" i="68"/>
  <c r="W284" i="2" s="1"/>
  <c r="BI9" i="68"/>
  <c r="W156" i="2" s="1"/>
  <c r="N156" i="2" s="1"/>
  <c r="F156" i="2" s="1"/>
  <c r="I156" i="2" s="1"/>
  <c r="AZ13" i="68"/>
  <c r="V73" i="2" s="1"/>
  <c r="BI63" i="68"/>
  <c r="W288" i="2" s="1"/>
  <c r="BI98" i="68"/>
  <c r="W358" i="2" s="1"/>
  <c r="BI15" i="68"/>
  <c r="W162" i="2" s="1"/>
  <c r="N162" i="2" s="1"/>
  <c r="F162" i="2" s="1"/>
  <c r="I162" i="2" s="1"/>
  <c r="AZ16" i="71"/>
  <c r="AB72" i="2" s="1"/>
  <c r="AZ64" i="68"/>
  <c r="V150" i="2" s="1"/>
  <c r="N150" i="2" s="1"/>
  <c r="F150" i="2" s="1"/>
  <c r="I150" i="2" s="1"/>
  <c r="AZ11" i="77"/>
  <c r="AL75" i="2" s="1"/>
  <c r="AZ16" i="73"/>
  <c r="AD72" i="2" s="1"/>
  <c r="AV17" i="67"/>
  <c r="AW17" i="67"/>
  <c r="BA16" i="70"/>
  <c r="BB16" i="70" s="1"/>
  <c r="BJ28" i="1"/>
  <c r="BK28" i="1" s="1"/>
  <c r="AW17" i="81"/>
  <c r="AV17" i="73"/>
  <c r="BF29" i="74"/>
  <c r="BJ29" i="74"/>
  <c r="BK29" i="74" s="1"/>
  <c r="BE29" i="74"/>
  <c r="AV16" i="74"/>
  <c r="BE28" i="70"/>
  <c r="BF28" i="70"/>
  <c r="BJ28" i="70"/>
  <c r="BK28" i="70" s="1"/>
  <c r="BJ49" i="78"/>
  <c r="BK49" i="78" s="1"/>
  <c r="BE49" i="78"/>
  <c r="BF49" i="78"/>
  <c r="AV22" i="80"/>
  <c r="BA22" i="80"/>
  <c r="BB22" i="80" s="1"/>
  <c r="BJ28" i="74"/>
  <c r="BK28" i="74" s="1"/>
  <c r="BE28" i="74"/>
  <c r="BF28" i="74"/>
  <c r="AV16" i="73"/>
  <c r="AW16" i="73"/>
  <c r="BA16" i="73"/>
  <c r="BB16" i="73" s="1"/>
  <c r="BA13" i="68"/>
  <c r="BB13" i="68" s="1"/>
  <c r="AV13" i="68"/>
  <c r="AW13" i="68"/>
  <c r="BA16" i="71"/>
  <c r="BB16" i="71" s="1"/>
  <c r="AV16" i="71"/>
  <c r="AW16" i="71"/>
  <c r="AW26" i="78"/>
  <c r="AV26" i="78"/>
  <c r="BA26" i="78"/>
  <c r="BB26" i="78" s="1"/>
  <c r="BK137" i="71" l="1"/>
  <c r="AV16" i="66"/>
  <c r="BE21" i="83"/>
  <c r="AW16" i="81"/>
  <c r="AW16" i="74"/>
  <c r="AZ129" i="71"/>
  <c r="AB365" i="2" s="1"/>
  <c r="N68" i="2"/>
  <c r="F68" i="2" s="1"/>
  <c r="I68" i="2" s="1"/>
  <c r="N81" i="2"/>
  <c r="F81" i="2" s="1"/>
  <c r="I81" i="2" s="1"/>
  <c r="AV17" i="66"/>
  <c r="BF29" i="67"/>
  <c r="AW17" i="66"/>
  <c r="BF28" i="1"/>
  <c r="N91" i="2"/>
  <c r="F91" i="2" s="1"/>
  <c r="I91" i="2" s="1"/>
  <c r="BE21" i="71"/>
  <c r="BF21" i="71"/>
  <c r="BJ21" i="71"/>
  <c r="BK21" i="71" s="1"/>
  <c r="AW23" i="71"/>
  <c r="AV23" i="71"/>
  <c r="BA23" i="71"/>
  <c r="BB23" i="71" s="1"/>
  <c r="N92" i="2"/>
  <c r="F92" i="2" s="1"/>
  <c r="I92" i="2" s="1"/>
  <c r="BE21" i="66"/>
  <c r="BJ21" i="66"/>
  <c r="BK21" i="66" s="1"/>
  <c r="BF21" i="66"/>
  <c r="BF35" i="71"/>
  <c r="BE35" i="71"/>
  <c r="BJ35" i="71"/>
  <c r="BK35" i="71" s="1"/>
  <c r="BE6" i="71"/>
  <c r="BJ6" i="71"/>
  <c r="BK6" i="71" s="1"/>
  <c r="BF6" i="71"/>
  <c r="I159" i="2"/>
  <c r="BF27" i="66"/>
  <c r="BE27" i="66"/>
  <c r="BJ27" i="66"/>
  <c r="BK27" i="66" s="1"/>
  <c r="BJ6" i="66"/>
  <c r="BK6" i="66" s="1"/>
  <c r="BF6" i="66"/>
  <c r="BE6" i="66"/>
  <c r="BF35" i="66"/>
  <c r="BE35" i="66"/>
  <c r="BJ35" i="66"/>
  <c r="BK35" i="66" s="1"/>
  <c r="BJ22" i="71"/>
  <c r="BK22" i="71" s="1"/>
  <c r="BF22" i="71"/>
  <c r="BE22" i="71"/>
  <c r="AW15" i="71"/>
  <c r="AV15" i="71"/>
  <c r="BA15" i="71"/>
  <c r="BB15" i="71" s="1"/>
  <c r="AW13" i="71"/>
  <c r="AV13" i="71"/>
  <c r="BA13" i="71"/>
  <c r="BB13" i="71" s="1"/>
  <c r="BF22" i="66"/>
  <c r="BJ22" i="66"/>
  <c r="BK22" i="66" s="1"/>
  <c r="BE22" i="66"/>
  <c r="BF27" i="71"/>
  <c r="BE27" i="71"/>
  <c r="BJ27" i="71"/>
  <c r="BK27" i="71" s="1"/>
  <c r="BA13" i="66"/>
  <c r="BB13" i="66" s="1"/>
  <c r="AW13" i="66"/>
  <c r="AV13" i="66"/>
  <c r="AV15" i="66"/>
  <c r="AW15" i="66"/>
  <c r="BA15" i="66"/>
  <c r="BB15" i="66" s="1"/>
  <c r="AW23" i="66"/>
  <c r="AV23" i="66"/>
  <c r="BA23" i="66"/>
  <c r="BB23" i="66" s="1"/>
  <c r="BJ29" i="67"/>
  <c r="BK29" i="67" s="1"/>
  <c r="BF5" i="71"/>
  <c r="BJ5" i="71"/>
  <c r="BK5" i="71" s="1"/>
  <c r="BE5" i="71"/>
  <c r="AW5" i="66"/>
  <c r="BA5" i="66"/>
  <c r="BB5" i="66" s="1"/>
  <c r="AV5" i="66"/>
  <c r="BF5" i="66"/>
  <c r="BJ5" i="66"/>
  <c r="BK5" i="66" s="1"/>
  <c r="BE5" i="66"/>
  <c r="AV5" i="71"/>
  <c r="AW5" i="71"/>
  <c r="BA5" i="71"/>
  <c r="BB5" i="71" s="1"/>
  <c r="N211" i="2"/>
  <c r="F211" i="2" s="1"/>
  <c r="I211" i="2" s="1"/>
  <c r="BJ21" i="83"/>
  <c r="BK21" i="83" s="1"/>
  <c r="BA16" i="66"/>
  <c r="BB16" i="66" s="1"/>
  <c r="AW5" i="83"/>
  <c r="AW17" i="70"/>
  <c r="BJ29" i="70"/>
  <c r="BK29" i="70" s="1"/>
  <c r="AV17" i="70"/>
  <c r="BA5" i="83"/>
  <c r="BB5" i="83" s="1"/>
  <c r="BF29" i="70"/>
  <c r="BJ28" i="73"/>
  <c r="BK28" i="73" s="1"/>
  <c r="AV17" i="1"/>
  <c r="AV21" i="80"/>
  <c r="BA21" i="80"/>
  <c r="BB21" i="80" s="1"/>
  <c r="BF39" i="80"/>
  <c r="BE29" i="71"/>
  <c r="BE28" i="73"/>
  <c r="AW17" i="1"/>
  <c r="BJ29" i="71"/>
  <c r="BK29" i="71" s="1"/>
  <c r="BJ39" i="80"/>
  <c r="BK39" i="80" s="1"/>
  <c r="BE29" i="66"/>
  <c r="BF29" i="66"/>
  <c r="AW64" i="69"/>
  <c r="BE24" i="68"/>
  <c r="N107" i="2"/>
  <c r="F107" i="2" s="1"/>
  <c r="I107" i="2" s="1"/>
  <c r="N89" i="2"/>
  <c r="F89" i="2" s="1"/>
  <c r="I89" i="2" s="1"/>
  <c r="BA17" i="74"/>
  <c r="BB17" i="74" s="1"/>
  <c r="AW17" i="74"/>
  <c r="BE29" i="81"/>
  <c r="AV78" i="1"/>
  <c r="BF40" i="80"/>
  <c r="AW78" i="1"/>
  <c r="BJ40" i="80"/>
  <c r="BK40" i="80" s="1"/>
  <c r="AV64" i="69"/>
  <c r="BJ29" i="73"/>
  <c r="BK29" i="73" s="1"/>
  <c r="BJ29" i="81"/>
  <c r="BK29" i="81" s="1"/>
  <c r="BE29" i="73"/>
  <c r="N108" i="2"/>
  <c r="F108" i="2" s="1"/>
  <c r="I108" i="2" s="1"/>
  <c r="N140" i="2"/>
  <c r="F140" i="2" s="1"/>
  <c r="I140" i="2" s="1"/>
  <c r="AW51" i="80"/>
  <c r="BA16" i="81"/>
  <c r="BB16" i="81" s="1"/>
  <c r="AW16" i="70"/>
  <c r="BB129" i="71"/>
  <c r="N46" i="2"/>
  <c r="F46" i="2" s="1"/>
  <c r="I46" i="2" s="1"/>
  <c r="N201" i="2"/>
  <c r="F201" i="2" s="1"/>
  <c r="I201" i="2" s="1"/>
  <c r="N200" i="2"/>
  <c r="F200" i="2" s="1"/>
  <c r="I200" i="2" s="1"/>
  <c r="AW27" i="78"/>
  <c r="BJ24" i="68"/>
  <c r="BK24" i="68" s="1"/>
  <c r="AV27" i="78"/>
  <c r="N190" i="2"/>
  <c r="F190" i="2" s="1"/>
  <c r="I190" i="2" s="1"/>
  <c r="BA51" i="80"/>
  <c r="BB51" i="80" s="1"/>
  <c r="AV84" i="83"/>
  <c r="AW84" i="83"/>
  <c r="BA84" i="83"/>
  <c r="BB84" i="83" s="1"/>
  <c r="AW84" i="84"/>
  <c r="AV84" i="84"/>
  <c r="BA84" i="84"/>
  <c r="BB84" i="84" s="1"/>
  <c r="BA78" i="67"/>
  <c r="BB78" i="67" s="1"/>
  <c r="AW78" i="67"/>
  <c r="AV41" i="82"/>
  <c r="AW41" i="82"/>
  <c r="BA41" i="82"/>
  <c r="BB41" i="82" s="1"/>
  <c r="AW49" i="81"/>
  <c r="AV49" i="81"/>
  <c r="AV60" i="78"/>
  <c r="AW60" i="78"/>
  <c r="AW59" i="78"/>
  <c r="AV59" i="78"/>
  <c r="BA59" i="78"/>
  <c r="BB59" i="78" s="1"/>
  <c r="BJ29" i="1"/>
  <c r="BK29" i="1" s="1"/>
  <c r="BE28" i="66"/>
  <c r="BJ28" i="66"/>
  <c r="BK28" i="66" s="1"/>
  <c r="BE29" i="1"/>
  <c r="BF27" i="74"/>
  <c r="AW25" i="78"/>
  <c r="BJ30" i="83"/>
  <c r="BK30" i="83" s="1"/>
  <c r="N194" i="2"/>
  <c r="F194" i="2" s="1"/>
  <c r="I194" i="2" s="1"/>
  <c r="BJ33" i="83"/>
  <c r="BK33" i="83" s="1"/>
  <c r="BF33" i="83"/>
  <c r="BA15" i="81"/>
  <c r="BB15" i="81" s="1"/>
  <c r="AW15" i="81"/>
  <c r="BE27" i="70"/>
  <c r="BF11" i="83"/>
  <c r="BF26" i="83"/>
  <c r="BJ18" i="83"/>
  <c r="BK18" i="83" s="1"/>
  <c r="BF12" i="83"/>
  <c r="BJ5" i="83"/>
  <c r="BK5" i="83" s="1"/>
  <c r="AV10" i="83"/>
  <c r="AW11" i="83"/>
  <c r="BJ11" i="83"/>
  <c r="BK11" i="83" s="1"/>
  <c r="BF18" i="83"/>
  <c r="BJ12" i="83"/>
  <c r="BK12" i="83" s="1"/>
  <c r="AV15" i="83"/>
  <c r="N204" i="2"/>
  <c r="F204" i="2" s="1"/>
  <c r="I204" i="2" s="1"/>
  <c r="N198" i="2"/>
  <c r="F198" i="2" s="1"/>
  <c r="I198" i="2" s="1"/>
  <c r="BJ9" i="83"/>
  <c r="BK9" i="83" s="1"/>
  <c r="BF29" i="83"/>
  <c r="BE14" i="83"/>
  <c r="BJ15" i="83"/>
  <c r="BK15" i="83" s="1"/>
  <c r="BF15" i="83"/>
  <c r="BE146" i="83"/>
  <c r="AW8" i="83"/>
  <c r="BJ24" i="83"/>
  <c r="BK24" i="83" s="1"/>
  <c r="AW78" i="66"/>
  <c r="AV78" i="66"/>
  <c r="BA78" i="66"/>
  <c r="BB78" i="66" s="1"/>
  <c r="I25" i="2"/>
  <c r="BJ147" i="83"/>
  <c r="BK147" i="83" s="1"/>
  <c r="BE147" i="83"/>
  <c r="BJ19" i="83"/>
  <c r="BK19" i="83" s="1"/>
  <c r="BF31" i="83"/>
  <c r="AV11" i="83"/>
  <c r="BJ7" i="83"/>
  <c r="BK7" i="83" s="1"/>
  <c r="BE31" i="83"/>
  <c r="AV9" i="83"/>
  <c r="BF7" i="83"/>
  <c r="BE19" i="83"/>
  <c r="BJ20" i="83"/>
  <c r="BK20" i="83" s="1"/>
  <c r="BA15" i="83"/>
  <c r="BB15" i="83" s="1"/>
  <c r="AV13" i="83"/>
  <c r="BA8" i="83"/>
  <c r="BB8" i="83" s="1"/>
  <c r="AV12" i="83"/>
  <c r="BA13" i="83"/>
  <c r="BB13" i="83" s="1"/>
  <c r="BJ6" i="83"/>
  <c r="BK6" i="83" s="1"/>
  <c r="BF6" i="83"/>
  <c r="AV17" i="81"/>
  <c r="BE8" i="83"/>
  <c r="BJ8" i="83"/>
  <c r="BK8" i="83" s="1"/>
  <c r="BA17" i="71"/>
  <c r="BB17" i="71" s="1"/>
  <c r="AW16" i="1"/>
  <c r="AV17" i="71"/>
  <c r="BA25" i="78"/>
  <c r="BB25" i="78" s="1"/>
  <c r="AV16" i="1"/>
  <c r="AW17" i="73"/>
  <c r="BJ146" i="83"/>
  <c r="BK146" i="83" s="1"/>
  <c r="BE9" i="83"/>
  <c r="BJ27" i="70"/>
  <c r="BK27" i="70" s="1"/>
  <c r="BE29" i="83"/>
  <c r="AW7" i="83"/>
  <c r="BA7" i="83"/>
  <c r="BB7" i="83" s="1"/>
  <c r="BE26" i="83"/>
  <c r="BF20" i="83"/>
  <c r="BE17" i="83"/>
  <c r="BJ17" i="83"/>
  <c r="BK17" i="83" s="1"/>
  <c r="N360" i="2"/>
  <c r="F360" i="2" s="1"/>
  <c r="I360" i="2" s="1"/>
  <c r="N88" i="2"/>
  <c r="F88" i="2" s="1"/>
  <c r="I88" i="2" s="1"/>
  <c r="N54" i="2"/>
  <c r="F54" i="2" s="1"/>
  <c r="I54" i="2" s="1"/>
  <c r="N45" i="2"/>
  <c r="F45" i="2" s="1"/>
  <c r="I45" i="2" s="1"/>
  <c r="BA10" i="83"/>
  <c r="BB10" i="83" s="1"/>
  <c r="BE5" i="83"/>
  <c r="BE22" i="83"/>
  <c r="AV19" i="83"/>
  <c r="BF22" i="83"/>
  <c r="BA19" i="83"/>
  <c r="BB19" i="83" s="1"/>
  <c r="BE28" i="81"/>
  <c r="BF28" i="81"/>
  <c r="BJ25" i="83"/>
  <c r="BK25" i="83" s="1"/>
  <c r="BJ27" i="83"/>
  <c r="BK27" i="83" s="1"/>
  <c r="BE25" i="83"/>
  <c r="BE27" i="83"/>
  <c r="BJ14" i="83"/>
  <c r="BK14" i="83" s="1"/>
  <c r="BJ36" i="83"/>
  <c r="BK36" i="83" s="1"/>
  <c r="N39" i="2"/>
  <c r="F39" i="2" s="1"/>
  <c r="I39" i="2" s="1"/>
  <c r="N61" i="2"/>
  <c r="F61" i="2" s="1"/>
  <c r="I61" i="2" s="1"/>
  <c r="N67" i="2"/>
  <c r="F67" i="2" s="1"/>
  <c r="I67" i="2" s="1"/>
  <c r="N56" i="2"/>
  <c r="F56" i="2" s="1"/>
  <c r="I56" i="2" s="1"/>
  <c r="N93" i="2"/>
  <c r="F93" i="2" s="1"/>
  <c r="I93" i="2" s="1"/>
  <c r="N58" i="2"/>
  <c r="F58" i="2" s="1"/>
  <c r="I58" i="2" s="1"/>
  <c r="N53" i="2"/>
  <c r="F53" i="2" s="1"/>
  <c r="I53" i="2" s="1"/>
  <c r="N57" i="2"/>
  <c r="F57" i="2" s="1"/>
  <c r="I57" i="2" s="1"/>
  <c r="F31" i="2"/>
  <c r="I31" i="2" s="1"/>
  <c r="N52" i="2"/>
  <c r="F52" i="2" s="1"/>
  <c r="I52" i="2" s="1"/>
  <c r="F36" i="2"/>
  <c r="I36" i="2" s="1"/>
  <c r="BF35" i="83"/>
  <c r="BJ35" i="83"/>
  <c r="BK35" i="83" s="1"/>
  <c r="BE36" i="83"/>
  <c r="BJ28" i="67"/>
  <c r="BK28" i="67" s="1"/>
  <c r="BE28" i="67"/>
  <c r="BF11" i="85"/>
  <c r="BE11" i="85"/>
  <c r="BJ11" i="85"/>
  <c r="BK11" i="85" s="1"/>
  <c r="BJ28" i="71"/>
  <c r="BK28" i="71" s="1"/>
  <c r="AV16" i="67"/>
  <c r="BF10" i="83"/>
  <c r="AW29" i="87"/>
  <c r="AV29" i="87"/>
  <c r="BA29" i="87"/>
  <c r="BB29" i="87" s="1"/>
  <c r="BE6" i="86"/>
  <c r="BF6" i="86"/>
  <c r="BJ6" i="86"/>
  <c r="BK6" i="86" s="1"/>
  <c r="AV9" i="84"/>
  <c r="AW9" i="84"/>
  <c r="BA9" i="84"/>
  <c r="BB9" i="84" s="1"/>
  <c r="AV91" i="86"/>
  <c r="AW91" i="86"/>
  <c r="BA91" i="86"/>
  <c r="BB91" i="86" s="1"/>
  <c r="BF26" i="84"/>
  <c r="BE26" i="84"/>
  <c r="BJ26" i="84"/>
  <c r="BK26" i="84" s="1"/>
  <c r="BF13" i="84"/>
  <c r="BE13" i="84"/>
  <c r="BJ13" i="84"/>
  <c r="BK13" i="84" s="1"/>
  <c r="BF32" i="84"/>
  <c r="BE32" i="84"/>
  <c r="AW7" i="85"/>
  <c r="AV7" i="85"/>
  <c r="AV15" i="87"/>
  <c r="AW15" i="87"/>
  <c r="BA15" i="87"/>
  <c r="BB15" i="87" s="1"/>
  <c r="BE9" i="87"/>
  <c r="BF9" i="87"/>
  <c r="BJ9" i="87"/>
  <c r="BK9" i="87" s="1"/>
  <c r="BE143" i="86"/>
  <c r="BF143" i="86"/>
  <c r="AW22" i="87"/>
  <c r="AV22" i="87"/>
  <c r="BA22" i="87"/>
  <c r="BB22" i="87" s="1"/>
  <c r="AW25" i="86"/>
  <c r="AV25" i="86"/>
  <c r="BA25" i="86"/>
  <c r="BB25" i="86" s="1"/>
  <c r="BF41" i="87"/>
  <c r="BE41" i="87"/>
  <c r="BJ41" i="87"/>
  <c r="BK41" i="87" s="1"/>
  <c r="BE15" i="87"/>
  <c r="BF15" i="87"/>
  <c r="AW6" i="87"/>
  <c r="AV6" i="87"/>
  <c r="BE21" i="87"/>
  <c r="BF21" i="87"/>
  <c r="AV5" i="87"/>
  <c r="AW5" i="87"/>
  <c r="BF12" i="86"/>
  <c r="BE12" i="86"/>
  <c r="BJ12" i="86"/>
  <c r="BK12" i="86" s="1"/>
  <c r="BF28" i="71"/>
  <c r="BA16" i="67"/>
  <c r="BB16" i="67" s="1"/>
  <c r="BF30" i="87"/>
  <c r="BE30" i="87"/>
  <c r="BJ30" i="87"/>
  <c r="BK30" i="87" s="1"/>
  <c r="BF49" i="85"/>
  <c r="BE49" i="85"/>
  <c r="BJ49" i="85"/>
  <c r="BK49" i="85" s="1"/>
  <c r="AW9" i="86"/>
  <c r="AV9" i="86"/>
  <c r="BA9" i="86"/>
  <c r="BB9" i="86" s="1"/>
  <c r="BE47" i="84"/>
  <c r="BF47" i="84"/>
  <c r="AW8" i="84"/>
  <c r="AV8" i="84"/>
  <c r="BA8" i="84"/>
  <c r="BB8" i="84" s="1"/>
  <c r="BE26" i="86"/>
  <c r="BF26" i="86"/>
  <c r="BJ26" i="86"/>
  <c r="BK26" i="86" s="1"/>
  <c r="BF13" i="87"/>
  <c r="BE13" i="87"/>
  <c r="BJ13" i="87"/>
  <c r="BK13" i="87" s="1"/>
  <c r="AW7" i="87"/>
  <c r="AV7" i="87"/>
  <c r="AW15" i="84"/>
  <c r="AV15" i="84"/>
  <c r="BA15" i="84"/>
  <c r="BB15" i="84" s="1"/>
  <c r="BF7" i="84"/>
  <c r="BE7" i="84"/>
  <c r="BJ7" i="84"/>
  <c r="BK7" i="84" s="1"/>
  <c r="AV11" i="84"/>
  <c r="AW11" i="84"/>
  <c r="BA11" i="84"/>
  <c r="BB11" i="84" s="1"/>
  <c r="AV92" i="85"/>
  <c r="AW92" i="85"/>
  <c r="BF29" i="85"/>
  <c r="BE29" i="85"/>
  <c r="BJ29" i="85"/>
  <c r="BK29" i="85" s="1"/>
  <c r="BF12" i="84"/>
  <c r="BE12" i="84"/>
  <c r="BJ12" i="84"/>
  <c r="BK12" i="84" s="1"/>
  <c r="BF29" i="86"/>
  <c r="BE29" i="86"/>
  <c r="BJ29" i="86"/>
  <c r="BK29" i="86" s="1"/>
  <c r="BE45" i="86"/>
  <c r="BF45" i="86"/>
  <c r="BJ45" i="86"/>
  <c r="BK45" i="86" s="1"/>
  <c r="BF11" i="84"/>
  <c r="BE11" i="84"/>
  <c r="BJ11" i="84"/>
  <c r="BK11" i="84" s="1"/>
  <c r="BF25" i="84"/>
  <c r="BE25" i="84"/>
  <c r="AW21" i="85"/>
  <c r="AV21" i="85"/>
  <c r="BA21" i="85"/>
  <c r="BB21" i="85" s="1"/>
  <c r="BE15" i="86"/>
  <c r="BF15" i="86"/>
  <c r="AV6" i="86"/>
  <c r="AW6" i="86"/>
  <c r="BF24" i="83"/>
  <c r="BF30" i="86"/>
  <c r="BE30" i="86"/>
  <c r="BJ30" i="86"/>
  <c r="BK30" i="86" s="1"/>
  <c r="AW29" i="86"/>
  <c r="AV29" i="86"/>
  <c r="BA29" i="86"/>
  <c r="BB29" i="86" s="1"/>
  <c r="AV16" i="84"/>
  <c r="AW16" i="84"/>
  <c r="BA16" i="84"/>
  <c r="BB16" i="84" s="1"/>
  <c r="AW9" i="87"/>
  <c r="AV9" i="87"/>
  <c r="BA9" i="87"/>
  <c r="BB9" i="87" s="1"/>
  <c r="AV27" i="84"/>
  <c r="AW27" i="84"/>
  <c r="AW8" i="85"/>
  <c r="AV8" i="85"/>
  <c r="BA8" i="85"/>
  <c r="BB8" i="85" s="1"/>
  <c r="BF46" i="84"/>
  <c r="BE46" i="84"/>
  <c r="BJ46" i="84"/>
  <c r="BK46" i="84" s="1"/>
  <c r="BF13" i="85"/>
  <c r="BE13" i="85"/>
  <c r="BJ13" i="85"/>
  <c r="BK13" i="85" s="1"/>
  <c r="BE16" i="84"/>
  <c r="BF16" i="84"/>
  <c r="BJ16" i="84"/>
  <c r="BK16" i="84" s="1"/>
  <c r="AW15" i="86"/>
  <c r="AV15" i="86"/>
  <c r="BA15" i="86"/>
  <c r="BB15" i="86" s="1"/>
  <c r="BE7" i="86"/>
  <c r="BF7" i="86"/>
  <c r="BJ7" i="86"/>
  <c r="BK7" i="86" s="1"/>
  <c r="AW11" i="86"/>
  <c r="AV11" i="86"/>
  <c r="BA11" i="86"/>
  <c r="BB11" i="86" s="1"/>
  <c r="BE26" i="85"/>
  <c r="BF26" i="85"/>
  <c r="BF143" i="85"/>
  <c r="BE143" i="85"/>
  <c r="BE12" i="87"/>
  <c r="BF12" i="87"/>
  <c r="BJ12" i="87"/>
  <c r="BK12" i="87" s="1"/>
  <c r="BF29" i="84"/>
  <c r="BE29" i="84"/>
  <c r="BJ29" i="84"/>
  <c r="BK29" i="84" s="1"/>
  <c r="BF45" i="87"/>
  <c r="BE45" i="87"/>
  <c r="BJ45" i="87"/>
  <c r="BK45" i="87" s="1"/>
  <c r="BF11" i="86"/>
  <c r="BE11" i="86"/>
  <c r="BJ11" i="86"/>
  <c r="BK11" i="86" s="1"/>
  <c r="BF25" i="86"/>
  <c r="BE25" i="86"/>
  <c r="AV21" i="86"/>
  <c r="AW21" i="86"/>
  <c r="BA21" i="86"/>
  <c r="BB21" i="86" s="1"/>
  <c r="BF15" i="85"/>
  <c r="BE15" i="85"/>
  <c r="AW6" i="85"/>
  <c r="AV6" i="85"/>
  <c r="BF27" i="86"/>
  <c r="BE27" i="86"/>
  <c r="BJ27" i="86"/>
  <c r="BK27" i="86" s="1"/>
  <c r="BF18" i="84"/>
  <c r="BE18" i="84"/>
  <c r="BJ18" i="84"/>
  <c r="BK18" i="84" s="1"/>
  <c r="AW28" i="84"/>
  <c r="AV28" i="84"/>
  <c r="BF146" i="84"/>
  <c r="BE146" i="84"/>
  <c r="BJ146" i="84"/>
  <c r="BK146" i="84" s="1"/>
  <c r="AW9" i="83"/>
  <c r="BE30" i="84"/>
  <c r="BF30" i="84"/>
  <c r="BJ30" i="84"/>
  <c r="BK30" i="84" s="1"/>
  <c r="AV16" i="86"/>
  <c r="AW16" i="86"/>
  <c r="BA16" i="86"/>
  <c r="BB16" i="86" s="1"/>
  <c r="AW9" i="85"/>
  <c r="AV9" i="85"/>
  <c r="BA9" i="85"/>
  <c r="BB9" i="85" s="1"/>
  <c r="AW27" i="87"/>
  <c r="AV27" i="87"/>
  <c r="AV8" i="87"/>
  <c r="AW8" i="87"/>
  <c r="BA8" i="87"/>
  <c r="BB8" i="87" s="1"/>
  <c r="AV26" i="84"/>
  <c r="AW26" i="84"/>
  <c r="BA26" i="84"/>
  <c r="BB26" i="84" s="1"/>
  <c r="BF13" i="86"/>
  <c r="BE13" i="86"/>
  <c r="BJ13" i="86"/>
  <c r="BK13" i="86" s="1"/>
  <c r="BF16" i="87"/>
  <c r="BE16" i="87"/>
  <c r="BJ16" i="87"/>
  <c r="BK16" i="87" s="1"/>
  <c r="BF33" i="86"/>
  <c r="BE33" i="86"/>
  <c r="BJ33" i="86"/>
  <c r="BK33" i="86" s="1"/>
  <c r="BF24" i="84"/>
  <c r="BE24" i="84"/>
  <c r="BJ24" i="84"/>
  <c r="BK24" i="84" s="1"/>
  <c r="BF7" i="85"/>
  <c r="BE7" i="85"/>
  <c r="BJ7" i="85"/>
  <c r="BK7" i="85" s="1"/>
  <c r="AW11" i="85"/>
  <c r="AV11" i="85"/>
  <c r="BA11" i="85"/>
  <c r="BB11" i="85" s="1"/>
  <c r="BF43" i="84"/>
  <c r="BE43" i="84"/>
  <c r="BJ43" i="84"/>
  <c r="BK43" i="84" s="1"/>
  <c r="BF12" i="85"/>
  <c r="BE12" i="85"/>
  <c r="BJ12" i="85"/>
  <c r="BK12" i="85" s="1"/>
  <c r="BE29" i="87"/>
  <c r="BF29" i="87"/>
  <c r="BJ29" i="87"/>
  <c r="BK29" i="87" s="1"/>
  <c r="AW25" i="87"/>
  <c r="AV25" i="87"/>
  <c r="BA25" i="87"/>
  <c r="BB25" i="87" s="1"/>
  <c r="BF11" i="87"/>
  <c r="BE11" i="87"/>
  <c r="BJ11" i="87"/>
  <c r="BK11" i="87" s="1"/>
  <c r="BE25" i="87"/>
  <c r="BF25" i="87"/>
  <c r="AW90" i="84"/>
  <c r="AV90" i="84"/>
  <c r="BE44" i="84"/>
  <c r="BF44" i="84"/>
  <c r="BJ44" i="84"/>
  <c r="BK44" i="84" s="1"/>
  <c r="BE27" i="87"/>
  <c r="BF27" i="87"/>
  <c r="BJ27" i="87"/>
  <c r="BK27" i="87" s="1"/>
  <c r="BE18" i="86"/>
  <c r="BF18" i="86"/>
  <c r="BJ18" i="86"/>
  <c r="BK18" i="86" s="1"/>
  <c r="BF48" i="84"/>
  <c r="BE48" i="84"/>
  <c r="AV24" i="84"/>
  <c r="AW24" i="84"/>
  <c r="BA24" i="84"/>
  <c r="BB24" i="84" s="1"/>
  <c r="BA12" i="83"/>
  <c r="BB12" i="83" s="1"/>
  <c r="BE13" i="83"/>
  <c r="BF30" i="83"/>
  <c r="AW17" i="87"/>
  <c r="AV17" i="87"/>
  <c r="BA17" i="87"/>
  <c r="BB17" i="87" s="1"/>
  <c r="BF17" i="84"/>
  <c r="BE17" i="84"/>
  <c r="BJ17" i="84"/>
  <c r="BK17" i="84" s="1"/>
  <c r="AW19" i="87"/>
  <c r="AV19" i="87"/>
  <c r="BA19" i="87"/>
  <c r="BB19" i="87" s="1"/>
  <c r="AW27" i="85"/>
  <c r="AV27" i="85"/>
  <c r="AW26" i="86"/>
  <c r="AV26" i="86"/>
  <c r="BA26" i="86"/>
  <c r="BB26" i="86" s="1"/>
  <c r="BE20" i="84"/>
  <c r="BF20" i="84"/>
  <c r="BJ20" i="84"/>
  <c r="BK20" i="84" s="1"/>
  <c r="BE16" i="86"/>
  <c r="BF16" i="86"/>
  <c r="BJ16" i="86"/>
  <c r="BK16" i="86" s="1"/>
  <c r="BF33" i="84"/>
  <c r="BE33" i="84"/>
  <c r="BJ33" i="84"/>
  <c r="BK33" i="84" s="1"/>
  <c r="BE24" i="87"/>
  <c r="BF24" i="87"/>
  <c r="BJ24" i="87"/>
  <c r="BK24" i="87" s="1"/>
  <c r="BF147" i="85"/>
  <c r="BE147" i="85"/>
  <c r="AW12" i="87"/>
  <c r="AV12" i="87"/>
  <c r="BF42" i="84"/>
  <c r="BE42" i="84"/>
  <c r="BJ42" i="84"/>
  <c r="BK42" i="84" s="1"/>
  <c r="AV23" i="87"/>
  <c r="AW23" i="87"/>
  <c r="BA23" i="87"/>
  <c r="BB23" i="87" s="1"/>
  <c r="BE146" i="85"/>
  <c r="BF146" i="85"/>
  <c r="BJ146" i="85"/>
  <c r="BK146" i="85" s="1"/>
  <c r="AV90" i="85"/>
  <c r="AW90" i="85"/>
  <c r="BF10" i="86"/>
  <c r="BE10" i="86"/>
  <c r="AV24" i="86"/>
  <c r="AW24" i="86"/>
  <c r="BA24" i="86"/>
  <c r="BB24" i="86" s="1"/>
  <c r="BF18" i="87"/>
  <c r="BE18" i="87"/>
  <c r="BJ18" i="87"/>
  <c r="BK18" i="87" s="1"/>
  <c r="AV28" i="86"/>
  <c r="AW28" i="86"/>
  <c r="BE48" i="86"/>
  <c r="BF48" i="86"/>
  <c r="BJ13" i="83"/>
  <c r="BK13" i="83" s="1"/>
  <c r="BE8" i="84"/>
  <c r="BF8" i="84"/>
  <c r="BJ8" i="84"/>
  <c r="BK8" i="84" s="1"/>
  <c r="AW17" i="86"/>
  <c r="AV17" i="86"/>
  <c r="BA17" i="86"/>
  <c r="BB17" i="86" s="1"/>
  <c r="BE31" i="86"/>
  <c r="BF31" i="86"/>
  <c r="BJ31" i="86"/>
  <c r="BK31" i="86" s="1"/>
  <c r="BF17" i="87"/>
  <c r="BE17" i="87"/>
  <c r="BJ17" i="87"/>
  <c r="BK17" i="87" s="1"/>
  <c r="AW19" i="84"/>
  <c r="AV19" i="84"/>
  <c r="BA19" i="84"/>
  <c r="BB19" i="84" s="1"/>
  <c r="BE47" i="87"/>
  <c r="BF47" i="87"/>
  <c r="AW13" i="84"/>
  <c r="AV13" i="84"/>
  <c r="BA13" i="84"/>
  <c r="BB13" i="84" s="1"/>
  <c r="BF46" i="87"/>
  <c r="BE46" i="87"/>
  <c r="BJ46" i="87"/>
  <c r="BK46" i="87" s="1"/>
  <c r="BF20" i="87"/>
  <c r="BE20" i="87"/>
  <c r="BJ20" i="87"/>
  <c r="BK20" i="87" s="1"/>
  <c r="AW15" i="85"/>
  <c r="AV15" i="85"/>
  <c r="BA15" i="85"/>
  <c r="BB15" i="85" s="1"/>
  <c r="BE31" i="85"/>
  <c r="BF31" i="85"/>
  <c r="BJ31" i="85"/>
  <c r="BK31" i="85" s="1"/>
  <c r="BF147" i="86"/>
  <c r="BE147" i="86"/>
  <c r="BF19" i="84"/>
  <c r="BE19" i="84"/>
  <c r="AW12" i="85"/>
  <c r="AV12" i="85"/>
  <c r="AW22" i="84"/>
  <c r="AV22" i="84"/>
  <c r="BA22" i="84"/>
  <c r="BB22" i="84" s="1"/>
  <c r="BE43" i="86"/>
  <c r="BF43" i="86"/>
  <c r="BJ43" i="86"/>
  <c r="BK43" i="86" s="1"/>
  <c r="AV93" i="84"/>
  <c r="AW93" i="84"/>
  <c r="BA93" i="84"/>
  <c r="BB93" i="84" s="1"/>
  <c r="BF146" i="86"/>
  <c r="BE146" i="86"/>
  <c r="BJ146" i="86"/>
  <c r="BK146" i="86" s="1"/>
  <c r="AW90" i="87"/>
  <c r="AV90" i="87"/>
  <c r="BA90" i="87"/>
  <c r="BB90" i="87" s="1"/>
  <c r="BF142" i="85"/>
  <c r="BE142" i="85"/>
  <c r="BF10" i="85"/>
  <c r="BE10" i="85"/>
  <c r="BE44" i="85"/>
  <c r="BF44" i="85"/>
  <c r="BJ44" i="85"/>
  <c r="BK44" i="85" s="1"/>
  <c r="BF28" i="86"/>
  <c r="BE28" i="86"/>
  <c r="BJ28" i="86"/>
  <c r="BK28" i="86" s="1"/>
  <c r="AW28" i="87"/>
  <c r="AV28" i="87"/>
  <c r="BF142" i="84"/>
  <c r="BE142" i="84"/>
  <c r="BE8" i="87"/>
  <c r="BF8" i="87"/>
  <c r="BJ8" i="87"/>
  <c r="BK8" i="87" s="1"/>
  <c r="AW29" i="84"/>
  <c r="AV29" i="84"/>
  <c r="BA29" i="84"/>
  <c r="BB29" i="84" s="1"/>
  <c r="BF31" i="87"/>
  <c r="BE31" i="87"/>
  <c r="BJ31" i="87"/>
  <c r="BK31" i="87" s="1"/>
  <c r="BF17" i="86"/>
  <c r="BE17" i="86"/>
  <c r="BJ17" i="86"/>
  <c r="BK17" i="86" s="1"/>
  <c r="AW19" i="86"/>
  <c r="AV19" i="86"/>
  <c r="BA19" i="86"/>
  <c r="BB19" i="86" s="1"/>
  <c r="AW27" i="86"/>
  <c r="AV27" i="86"/>
  <c r="AV13" i="85"/>
  <c r="AW13" i="85"/>
  <c r="BA13" i="85"/>
  <c r="BB13" i="85" s="1"/>
  <c r="BF46" i="86"/>
  <c r="BE46" i="86"/>
  <c r="BJ46" i="86"/>
  <c r="BK46" i="86" s="1"/>
  <c r="BE20" i="85"/>
  <c r="BF20" i="85"/>
  <c r="BJ20" i="85"/>
  <c r="BK20" i="85" s="1"/>
  <c r="BF24" i="85"/>
  <c r="BE24" i="85"/>
  <c r="BJ24" i="85"/>
  <c r="BK24" i="85" s="1"/>
  <c r="BF19" i="87"/>
  <c r="BE19" i="87"/>
  <c r="AW89" i="87"/>
  <c r="AV89" i="87"/>
  <c r="AW12" i="86"/>
  <c r="AV12" i="86"/>
  <c r="BE42" i="87"/>
  <c r="BF42" i="87"/>
  <c r="BJ42" i="87"/>
  <c r="BK42" i="87" s="1"/>
  <c r="AV23" i="85"/>
  <c r="AW23" i="85"/>
  <c r="BA23" i="85"/>
  <c r="BB23" i="85" s="1"/>
  <c r="AV93" i="86"/>
  <c r="AW93" i="86"/>
  <c r="BA93" i="86"/>
  <c r="BB93" i="86" s="1"/>
  <c r="BF143" i="87"/>
  <c r="BE143" i="87"/>
  <c r="BJ143" i="87"/>
  <c r="BK143" i="87" s="1"/>
  <c r="AW21" i="84"/>
  <c r="AV21" i="84"/>
  <c r="BA21" i="84"/>
  <c r="BB21" i="84" s="1"/>
  <c r="AV90" i="86"/>
  <c r="AW90" i="86"/>
  <c r="BE10" i="87"/>
  <c r="BF10" i="87"/>
  <c r="AW24" i="87"/>
  <c r="AV24" i="87"/>
  <c r="BA24" i="87"/>
  <c r="BB24" i="87" s="1"/>
  <c r="BE28" i="84"/>
  <c r="BF28" i="84"/>
  <c r="BJ28" i="84"/>
  <c r="BK28" i="84" s="1"/>
  <c r="BE30" i="85"/>
  <c r="BF30" i="85"/>
  <c r="BJ30" i="85"/>
  <c r="BK30" i="85" s="1"/>
  <c r="BF48" i="85"/>
  <c r="BE48" i="85"/>
  <c r="AV8" i="86"/>
  <c r="AW8" i="86"/>
  <c r="BA8" i="86"/>
  <c r="BB8" i="86" s="1"/>
  <c r="BE10" i="84"/>
  <c r="BF10" i="84"/>
  <c r="BE8" i="85"/>
  <c r="BF8" i="85"/>
  <c r="BJ8" i="85"/>
  <c r="BK8" i="85" s="1"/>
  <c r="BF49" i="84"/>
  <c r="BE49" i="84"/>
  <c r="BJ49" i="84"/>
  <c r="BK49" i="84" s="1"/>
  <c r="BE31" i="84"/>
  <c r="BF31" i="84"/>
  <c r="BJ31" i="84"/>
  <c r="BK31" i="84" s="1"/>
  <c r="BE17" i="85"/>
  <c r="BF17" i="85"/>
  <c r="BJ17" i="85"/>
  <c r="BK17" i="85" s="1"/>
  <c r="BF47" i="86"/>
  <c r="BE47" i="86"/>
  <c r="AW13" i="86"/>
  <c r="AV13" i="86"/>
  <c r="BA13" i="86"/>
  <c r="BB13" i="86" s="1"/>
  <c r="AW26" i="85"/>
  <c r="AV26" i="85"/>
  <c r="BA26" i="85"/>
  <c r="BB26" i="85" s="1"/>
  <c r="BF20" i="86"/>
  <c r="BE20" i="86"/>
  <c r="BJ20" i="86"/>
  <c r="BK20" i="86" s="1"/>
  <c r="BF14" i="84"/>
  <c r="BE14" i="84"/>
  <c r="BJ14" i="84"/>
  <c r="BK14" i="84" s="1"/>
  <c r="BF22" i="84"/>
  <c r="BE22" i="84"/>
  <c r="BJ22" i="84"/>
  <c r="BK22" i="84" s="1"/>
  <c r="BF19" i="86"/>
  <c r="BE19" i="86"/>
  <c r="BF142" i="87"/>
  <c r="BE142" i="87"/>
  <c r="AV22" i="85"/>
  <c r="AW22" i="85"/>
  <c r="BA22" i="85"/>
  <c r="BB22" i="85" s="1"/>
  <c r="BF43" i="87"/>
  <c r="BE43" i="87"/>
  <c r="BJ43" i="87"/>
  <c r="BK43" i="87" s="1"/>
  <c r="AW25" i="84"/>
  <c r="AV25" i="84"/>
  <c r="BA25" i="84"/>
  <c r="BB25" i="84" s="1"/>
  <c r="AW10" i="84"/>
  <c r="AV10" i="84"/>
  <c r="BA10" i="84"/>
  <c r="BB10" i="84" s="1"/>
  <c r="BF5" i="84"/>
  <c r="BE5" i="84"/>
  <c r="BJ5" i="84"/>
  <c r="BK5" i="84" s="1"/>
  <c r="BE41" i="84"/>
  <c r="BF41" i="84"/>
  <c r="BJ41" i="84"/>
  <c r="BK41" i="84" s="1"/>
  <c r="BF142" i="86"/>
  <c r="BE142" i="86"/>
  <c r="BF44" i="86"/>
  <c r="BE44" i="86"/>
  <c r="BJ44" i="86"/>
  <c r="BK44" i="86" s="1"/>
  <c r="BE28" i="87"/>
  <c r="BF28" i="87"/>
  <c r="BJ28" i="87"/>
  <c r="BK28" i="87" s="1"/>
  <c r="AW28" i="85"/>
  <c r="AV28" i="85"/>
  <c r="AV16" i="87"/>
  <c r="AW16" i="87"/>
  <c r="BA16" i="87"/>
  <c r="BB16" i="87" s="1"/>
  <c r="BE47" i="85"/>
  <c r="BF47" i="85"/>
  <c r="BF46" i="85"/>
  <c r="BE46" i="85"/>
  <c r="BJ46" i="85"/>
  <c r="BK46" i="85" s="1"/>
  <c r="BE33" i="87"/>
  <c r="BF33" i="87"/>
  <c r="BJ33" i="87"/>
  <c r="BK33" i="87" s="1"/>
  <c r="BF24" i="86"/>
  <c r="BE24" i="86"/>
  <c r="BJ24" i="86"/>
  <c r="BK24" i="86" s="1"/>
  <c r="BE147" i="84"/>
  <c r="BF147" i="84"/>
  <c r="BF7" i="87"/>
  <c r="BE7" i="87"/>
  <c r="BJ7" i="87"/>
  <c r="BK7" i="87" s="1"/>
  <c r="AW11" i="87"/>
  <c r="AV11" i="87"/>
  <c r="BA11" i="87"/>
  <c r="BB11" i="87" s="1"/>
  <c r="AW12" i="84"/>
  <c r="AV12" i="84"/>
  <c r="AW23" i="84"/>
  <c r="AV23" i="84"/>
  <c r="BA23" i="84"/>
  <c r="BB23" i="84" s="1"/>
  <c r="BF27" i="84"/>
  <c r="BE27" i="84"/>
  <c r="BJ27" i="84"/>
  <c r="BK27" i="84" s="1"/>
  <c r="AV15" i="74"/>
  <c r="AW15" i="74"/>
  <c r="BE48" i="78"/>
  <c r="BJ47" i="86"/>
  <c r="BK47" i="86" s="1"/>
  <c r="BE8" i="86"/>
  <c r="BF8" i="86"/>
  <c r="BJ8" i="86"/>
  <c r="BK8" i="86" s="1"/>
  <c r="AW29" i="85"/>
  <c r="AV29" i="85"/>
  <c r="BA29" i="85"/>
  <c r="BB29" i="85" s="1"/>
  <c r="BF6" i="84"/>
  <c r="BE6" i="84"/>
  <c r="BJ6" i="84"/>
  <c r="BK6" i="84" s="1"/>
  <c r="AV13" i="87"/>
  <c r="AW13" i="87"/>
  <c r="BA13" i="87"/>
  <c r="BB13" i="87" s="1"/>
  <c r="AV26" i="87"/>
  <c r="AW26" i="87"/>
  <c r="BA26" i="87"/>
  <c r="BB26" i="87" s="1"/>
  <c r="AW18" i="86"/>
  <c r="AV18" i="86"/>
  <c r="BA18" i="86"/>
  <c r="BB18" i="86" s="1"/>
  <c r="BF14" i="87"/>
  <c r="BE14" i="87"/>
  <c r="BJ14" i="87"/>
  <c r="BK14" i="87" s="1"/>
  <c r="BE22" i="87"/>
  <c r="BF22" i="87"/>
  <c r="BJ22" i="87"/>
  <c r="BK22" i="87" s="1"/>
  <c r="BF19" i="85"/>
  <c r="BE19" i="85"/>
  <c r="BF9" i="84"/>
  <c r="BE9" i="84"/>
  <c r="BJ9" i="84"/>
  <c r="BK9" i="84" s="1"/>
  <c r="BF143" i="84"/>
  <c r="BE143" i="84"/>
  <c r="AV22" i="86"/>
  <c r="AW22" i="86"/>
  <c r="BA22" i="86"/>
  <c r="BB22" i="86" s="1"/>
  <c r="AV23" i="86"/>
  <c r="AW23" i="86"/>
  <c r="BA23" i="86"/>
  <c r="BB23" i="86" s="1"/>
  <c r="BF45" i="84"/>
  <c r="BE45" i="84"/>
  <c r="BJ45" i="84"/>
  <c r="BK45" i="84" s="1"/>
  <c r="AV10" i="86"/>
  <c r="AW10" i="86"/>
  <c r="BA10" i="86"/>
  <c r="BB10" i="86" s="1"/>
  <c r="BE5" i="86"/>
  <c r="BF5" i="86"/>
  <c r="BJ5" i="86"/>
  <c r="BK5" i="86" s="1"/>
  <c r="BF41" i="85"/>
  <c r="BE41" i="85"/>
  <c r="BJ41" i="85"/>
  <c r="BK41" i="85" s="1"/>
  <c r="BF33" i="85"/>
  <c r="BE33" i="85"/>
  <c r="BF44" i="87"/>
  <c r="BE44" i="87"/>
  <c r="BJ44" i="87"/>
  <c r="BK44" i="87" s="1"/>
  <c r="BF21" i="84"/>
  <c r="BE21" i="84"/>
  <c r="AW5" i="84"/>
  <c r="AV5" i="84"/>
  <c r="BF48" i="87"/>
  <c r="BE48" i="87"/>
  <c r="BF18" i="85"/>
  <c r="BE18" i="85"/>
  <c r="BJ18" i="85"/>
  <c r="BK18" i="85" s="1"/>
  <c r="BJ48" i="78"/>
  <c r="BK48" i="78" s="1"/>
  <c r="BE10" i="83"/>
  <c r="BA27" i="85"/>
  <c r="BB27" i="85" s="1"/>
  <c r="BF49" i="87"/>
  <c r="BE49" i="87"/>
  <c r="BJ49" i="87"/>
  <c r="BK49" i="87" s="1"/>
  <c r="BF6" i="85"/>
  <c r="BE6" i="85"/>
  <c r="BJ6" i="85"/>
  <c r="BK6" i="85" s="1"/>
  <c r="AW91" i="84"/>
  <c r="AV91" i="84"/>
  <c r="BA91" i="84"/>
  <c r="BB91" i="84" s="1"/>
  <c r="BF32" i="86"/>
  <c r="BE32" i="86"/>
  <c r="AW7" i="84"/>
  <c r="AV7" i="84"/>
  <c r="AW18" i="84"/>
  <c r="AV18" i="84"/>
  <c r="BA18" i="84"/>
  <c r="BB18" i="84" s="1"/>
  <c r="BE14" i="85"/>
  <c r="BF14" i="85"/>
  <c r="BJ14" i="85"/>
  <c r="BK14" i="85" s="1"/>
  <c r="BF22" i="85"/>
  <c r="BE22" i="85"/>
  <c r="BJ22" i="85"/>
  <c r="BK22" i="85" s="1"/>
  <c r="BE9" i="86"/>
  <c r="BF9" i="86"/>
  <c r="BJ9" i="86"/>
  <c r="BK9" i="86" s="1"/>
  <c r="AV92" i="84"/>
  <c r="AW92" i="84"/>
  <c r="BF42" i="85"/>
  <c r="BE42" i="85"/>
  <c r="BJ42" i="85"/>
  <c r="BK42" i="85" s="1"/>
  <c r="BF43" i="85"/>
  <c r="BE43" i="85"/>
  <c r="BJ43" i="85"/>
  <c r="BK43" i="85" s="1"/>
  <c r="AW25" i="85"/>
  <c r="AV25" i="85"/>
  <c r="BA25" i="85"/>
  <c r="BB25" i="85" s="1"/>
  <c r="AW10" i="85"/>
  <c r="AV10" i="85"/>
  <c r="BA10" i="85"/>
  <c r="BB10" i="85" s="1"/>
  <c r="BE5" i="85"/>
  <c r="BF5" i="85"/>
  <c r="BJ5" i="85"/>
  <c r="BK5" i="85" s="1"/>
  <c r="AV21" i="87"/>
  <c r="AW21" i="87"/>
  <c r="BA21" i="87"/>
  <c r="BB21" i="87" s="1"/>
  <c r="AW24" i="85"/>
  <c r="AV24" i="85"/>
  <c r="BA24" i="85"/>
  <c r="BB24" i="85" s="1"/>
  <c r="BF21" i="85"/>
  <c r="BE21" i="85"/>
  <c r="AW5" i="86"/>
  <c r="AV5" i="86"/>
  <c r="AW17" i="84"/>
  <c r="AV17" i="84"/>
  <c r="BA17" i="84"/>
  <c r="BB17" i="84" s="1"/>
  <c r="BE16" i="85"/>
  <c r="BF16" i="85"/>
  <c r="BJ16" i="85"/>
  <c r="BK16" i="85" s="1"/>
  <c r="BA12" i="84"/>
  <c r="BB12" i="84" s="1"/>
  <c r="BJ142" i="87"/>
  <c r="BK142" i="87" s="1"/>
  <c r="BJ47" i="85"/>
  <c r="BK47" i="85" s="1"/>
  <c r="BE49" i="86"/>
  <c r="BF49" i="86"/>
  <c r="BJ49" i="86"/>
  <c r="BK49" i="86" s="1"/>
  <c r="BE6" i="87"/>
  <c r="BF6" i="87"/>
  <c r="BJ6" i="87"/>
  <c r="BK6" i="87" s="1"/>
  <c r="AW91" i="85"/>
  <c r="AV91" i="85"/>
  <c r="BA91" i="85"/>
  <c r="BB91" i="85" s="1"/>
  <c r="AW19" i="85"/>
  <c r="AV19" i="85"/>
  <c r="BF26" i="87"/>
  <c r="BE26" i="87"/>
  <c r="BJ26" i="87"/>
  <c r="BK26" i="87" s="1"/>
  <c r="BF32" i="87"/>
  <c r="BE32" i="87"/>
  <c r="AW7" i="86"/>
  <c r="AV7" i="86"/>
  <c r="AW18" i="87"/>
  <c r="AV18" i="87"/>
  <c r="BA18" i="87"/>
  <c r="BB18" i="87" s="1"/>
  <c r="BF14" i="86"/>
  <c r="BE14" i="86"/>
  <c r="BJ14" i="86"/>
  <c r="BK14" i="86" s="1"/>
  <c r="BF22" i="86"/>
  <c r="BE22" i="86"/>
  <c r="BJ22" i="86"/>
  <c r="BK22" i="86" s="1"/>
  <c r="BF9" i="85"/>
  <c r="BE9" i="85"/>
  <c r="BJ9" i="85"/>
  <c r="BK9" i="85" s="1"/>
  <c r="AV92" i="86"/>
  <c r="AW92" i="86"/>
  <c r="BE42" i="86"/>
  <c r="BF42" i="86"/>
  <c r="BJ42" i="86"/>
  <c r="BK42" i="86" s="1"/>
  <c r="BF27" i="85"/>
  <c r="BE27" i="85"/>
  <c r="BJ27" i="85"/>
  <c r="BK27" i="85" s="1"/>
  <c r="BF25" i="85"/>
  <c r="BE25" i="85"/>
  <c r="BJ25" i="85"/>
  <c r="BK25" i="85" s="1"/>
  <c r="BF45" i="85"/>
  <c r="BE45" i="85"/>
  <c r="BJ45" i="85"/>
  <c r="BK45" i="85" s="1"/>
  <c r="AW10" i="87"/>
  <c r="AV10" i="87"/>
  <c r="BA10" i="87"/>
  <c r="BB10" i="87" s="1"/>
  <c r="BE5" i="87"/>
  <c r="BF5" i="87"/>
  <c r="BJ5" i="87"/>
  <c r="BK5" i="87" s="1"/>
  <c r="BF41" i="86"/>
  <c r="BE41" i="86"/>
  <c r="BJ41" i="86"/>
  <c r="BK41" i="86" s="1"/>
  <c r="BF15" i="84"/>
  <c r="BE15" i="84"/>
  <c r="AW6" i="84"/>
  <c r="AV6" i="84"/>
  <c r="BF21" i="86"/>
  <c r="BE21" i="86"/>
  <c r="AW5" i="85"/>
  <c r="AV5" i="85"/>
  <c r="BF36" i="86"/>
  <c r="BE36" i="86"/>
  <c r="BJ36" i="86"/>
  <c r="BK36" i="86" s="1"/>
  <c r="BJ35" i="87"/>
  <c r="BK35" i="87" s="1"/>
  <c r="BE35" i="87"/>
  <c r="BF35" i="87"/>
  <c r="BF35" i="84"/>
  <c r="BJ35" i="84"/>
  <c r="BK35" i="84" s="1"/>
  <c r="BE35" i="84"/>
  <c r="BF36" i="87"/>
  <c r="BJ36" i="87"/>
  <c r="BK36" i="87" s="1"/>
  <c r="BE36" i="87"/>
  <c r="BF35" i="86"/>
  <c r="BE35" i="86"/>
  <c r="BJ35" i="86"/>
  <c r="BK35" i="86" s="1"/>
  <c r="BF36" i="85"/>
  <c r="BE36" i="85"/>
  <c r="BJ36" i="85"/>
  <c r="BK36" i="85" s="1"/>
  <c r="BF36" i="84"/>
  <c r="BJ36" i="84"/>
  <c r="BK36" i="84" s="1"/>
  <c r="BE36" i="84"/>
  <c r="BF35" i="85"/>
  <c r="BE35" i="85"/>
  <c r="BJ35" i="85"/>
  <c r="BK35" i="85" s="1"/>
  <c r="N298" i="2"/>
  <c r="F298" i="2" s="1"/>
  <c r="I298" i="2" s="1"/>
  <c r="N82" i="2"/>
  <c r="F82" i="2" s="1"/>
  <c r="I82" i="2" s="1"/>
  <c r="N37" i="2"/>
  <c r="F37" i="2" s="1"/>
  <c r="I37" i="2" s="1"/>
  <c r="BF27" i="67"/>
  <c r="I109" i="2"/>
  <c r="BF27" i="73"/>
  <c r="BE27" i="81"/>
  <c r="BJ27" i="73"/>
  <c r="BK27" i="73" s="1"/>
  <c r="BE142" i="83"/>
  <c r="BF142" i="83"/>
  <c r="BJ142" i="83"/>
  <c r="BK142" i="83" s="1"/>
  <c r="AW93" i="83"/>
  <c r="AV93" i="83"/>
  <c r="BA93" i="83"/>
  <c r="BB93" i="83" s="1"/>
  <c r="BJ143" i="83"/>
  <c r="BK143" i="83" s="1"/>
  <c r="BF143" i="83"/>
  <c r="BE143" i="83"/>
  <c r="BJ16" i="83"/>
  <c r="BK16" i="83" s="1"/>
  <c r="BF16" i="83"/>
  <c r="BE16" i="83"/>
  <c r="BA6" i="83"/>
  <c r="BB6" i="83" s="1"/>
  <c r="AW6" i="83"/>
  <c r="AV6" i="83"/>
  <c r="AW18" i="83"/>
  <c r="BA18" i="83"/>
  <c r="BB18" i="83" s="1"/>
  <c r="AV18" i="83"/>
  <c r="BF28" i="83"/>
  <c r="BJ28" i="83"/>
  <c r="BK28" i="83" s="1"/>
  <c r="BE28" i="83"/>
  <c r="AV91" i="83"/>
  <c r="AW91" i="83"/>
  <c r="BA91" i="83"/>
  <c r="BB91" i="83" s="1"/>
  <c r="BJ32" i="83"/>
  <c r="BK32" i="83" s="1"/>
  <c r="BF32" i="83"/>
  <c r="BE32" i="83"/>
  <c r="BA16" i="83"/>
  <c r="BB16" i="83" s="1"/>
  <c r="AV16" i="83"/>
  <c r="AW16" i="83"/>
  <c r="AV17" i="83"/>
  <c r="BA17" i="83"/>
  <c r="BB17" i="83" s="1"/>
  <c r="AW17" i="83"/>
  <c r="BA90" i="83"/>
  <c r="BB90" i="83" s="1"/>
  <c r="AV90" i="83"/>
  <c r="AW90" i="83"/>
  <c r="BA92" i="83"/>
  <c r="BB92" i="83" s="1"/>
  <c r="AV92" i="83"/>
  <c r="AW92" i="83"/>
  <c r="BJ27" i="67"/>
  <c r="BK27" i="67" s="1"/>
  <c r="AV15" i="67"/>
  <c r="BF41" i="83"/>
  <c r="BJ41" i="83"/>
  <c r="BK41" i="83" s="1"/>
  <c r="BE41" i="83"/>
  <c r="BF46" i="83"/>
  <c r="BJ46" i="83"/>
  <c r="BK46" i="83" s="1"/>
  <c r="BE46" i="83"/>
  <c r="BJ48" i="83"/>
  <c r="BK48" i="83" s="1"/>
  <c r="BF48" i="83"/>
  <c r="BE48" i="83"/>
  <c r="BF43" i="83"/>
  <c r="BE43" i="83"/>
  <c r="BJ43" i="83"/>
  <c r="BK43" i="83" s="1"/>
  <c r="BA27" i="83"/>
  <c r="BB27" i="83" s="1"/>
  <c r="AV27" i="83"/>
  <c r="AW27" i="83"/>
  <c r="AW26" i="83"/>
  <c r="BA26" i="83"/>
  <c r="BB26" i="83" s="1"/>
  <c r="AV26" i="83"/>
  <c r="AV28" i="83"/>
  <c r="BA28" i="83"/>
  <c r="BB28" i="83" s="1"/>
  <c r="AW28" i="83"/>
  <c r="AW29" i="83"/>
  <c r="BA29" i="83"/>
  <c r="BB29" i="83" s="1"/>
  <c r="AV29" i="83"/>
  <c r="BJ45" i="83"/>
  <c r="BK45" i="83" s="1"/>
  <c r="BE45" i="83"/>
  <c r="BF45" i="83"/>
  <c r="BF47" i="83"/>
  <c r="BJ47" i="83"/>
  <c r="BK47" i="83" s="1"/>
  <c r="BE47" i="83"/>
  <c r="BF44" i="83"/>
  <c r="BE44" i="83"/>
  <c r="BJ44" i="83"/>
  <c r="BK44" i="83" s="1"/>
  <c r="BA22" i="83"/>
  <c r="BB22" i="83" s="1"/>
  <c r="AW22" i="83"/>
  <c r="AV22" i="83"/>
  <c r="BF49" i="83"/>
  <c r="BE49" i="83"/>
  <c r="BJ49" i="83"/>
  <c r="BK49" i="83" s="1"/>
  <c r="AV25" i="83"/>
  <c r="AW25" i="83"/>
  <c r="BA25" i="83"/>
  <c r="BB25" i="83" s="1"/>
  <c r="AW21" i="83"/>
  <c r="AV21" i="83"/>
  <c r="BA21" i="83"/>
  <c r="BB21" i="83" s="1"/>
  <c r="AV24" i="83"/>
  <c r="AW24" i="83"/>
  <c r="BA24" i="83"/>
  <c r="BB24" i="83" s="1"/>
  <c r="BJ42" i="83"/>
  <c r="BK42" i="83" s="1"/>
  <c r="BE42" i="83"/>
  <c r="BF42" i="83"/>
  <c r="AW23" i="83"/>
  <c r="AV23" i="83"/>
  <c r="BA23" i="83"/>
  <c r="BB23" i="83" s="1"/>
  <c r="N252" i="2"/>
  <c r="F252" i="2" s="1"/>
  <c r="I252" i="2" s="1"/>
  <c r="N99" i="2"/>
  <c r="F99" i="2" s="1"/>
  <c r="I99" i="2" s="1"/>
  <c r="N112" i="2"/>
  <c r="F112" i="2" s="1"/>
  <c r="I112" i="2" s="1"/>
  <c r="N41" i="2"/>
  <c r="F41" i="2" s="1"/>
  <c r="I41" i="2" s="1"/>
  <c r="N51" i="2"/>
  <c r="F51" i="2" s="1"/>
  <c r="I51" i="2" s="1"/>
  <c r="N65" i="2"/>
  <c r="F65" i="2" s="1"/>
  <c r="I65" i="2" s="1"/>
  <c r="N60" i="2"/>
  <c r="F60" i="2" s="1"/>
  <c r="I60" i="2" s="1"/>
  <c r="N333" i="2"/>
  <c r="F333" i="2" s="1"/>
  <c r="I333" i="2" s="1"/>
  <c r="N87" i="2"/>
  <c r="F87" i="2" s="1"/>
  <c r="I87" i="2" s="1"/>
  <c r="N125" i="2"/>
  <c r="F125" i="2" s="1"/>
  <c r="I125" i="2" s="1"/>
  <c r="N228" i="2"/>
  <c r="F228" i="2" s="1"/>
  <c r="I228" i="2" s="1"/>
  <c r="BJ27" i="74"/>
  <c r="BK27" i="74" s="1"/>
  <c r="N364" i="2"/>
  <c r="F364" i="2" s="1"/>
  <c r="I364" i="2" s="1"/>
  <c r="N55" i="2"/>
  <c r="F55" i="2" s="1"/>
  <c r="I55" i="2" s="1"/>
  <c r="N64" i="2"/>
  <c r="F64" i="2" s="1"/>
  <c r="I64" i="2" s="1"/>
  <c r="N123" i="2"/>
  <c r="F123" i="2" s="1"/>
  <c r="I123" i="2" s="1"/>
  <c r="N297" i="2"/>
  <c r="F297" i="2" s="1"/>
  <c r="I297" i="2" s="1"/>
  <c r="N315" i="2"/>
  <c r="F315" i="2" s="1"/>
  <c r="I315" i="2" s="1"/>
  <c r="N42" i="2"/>
  <c r="F42" i="2" s="1"/>
  <c r="I42" i="2" s="1"/>
  <c r="N243" i="2"/>
  <c r="F243" i="2" s="1"/>
  <c r="I243" i="2" s="1"/>
  <c r="N138" i="2"/>
  <c r="F138" i="2" s="1"/>
  <c r="I138" i="2" s="1"/>
  <c r="N295" i="2"/>
  <c r="F295" i="2" s="1"/>
  <c r="I295" i="2" s="1"/>
  <c r="N43" i="2"/>
  <c r="F43" i="2" s="1"/>
  <c r="I43" i="2" s="1"/>
  <c r="N106" i="2"/>
  <c r="F106" i="2" s="1"/>
  <c r="I106" i="2" s="1"/>
  <c r="N101" i="2"/>
  <c r="F101" i="2" s="1"/>
  <c r="I101" i="2" s="1"/>
  <c r="N47" i="2"/>
  <c r="F47" i="2" s="1"/>
  <c r="I47" i="2" s="1"/>
  <c r="N100" i="2"/>
  <c r="F100" i="2" s="1"/>
  <c r="I100" i="2" s="1"/>
  <c r="N132" i="2"/>
  <c r="F132" i="2" s="1"/>
  <c r="I132" i="2" s="1"/>
  <c r="N203" i="2"/>
  <c r="F203" i="2" s="1"/>
  <c r="I203" i="2" s="1"/>
  <c r="N40" i="2"/>
  <c r="F40" i="2" s="1"/>
  <c r="I40" i="2" s="1"/>
  <c r="N122" i="2"/>
  <c r="F122" i="2" s="1"/>
  <c r="I122" i="2" s="1"/>
  <c r="N236" i="2"/>
  <c r="F236" i="2" s="1"/>
  <c r="I236" i="2" s="1"/>
  <c r="N239" i="2"/>
  <c r="F239" i="2" s="1"/>
  <c r="I239" i="2" s="1"/>
  <c r="BF20" i="69"/>
  <c r="BE20" i="69"/>
  <c r="BJ20" i="69"/>
  <c r="BK20" i="69" s="1"/>
  <c r="N63" i="2"/>
  <c r="F63" i="2" s="1"/>
  <c r="I63" i="2" s="1"/>
  <c r="BF21" i="68"/>
  <c r="BE21" i="68"/>
  <c r="BJ21" i="68"/>
  <c r="BK21" i="68" s="1"/>
  <c r="BF44" i="78"/>
  <c r="BE44" i="78"/>
  <c r="BJ44" i="78"/>
  <c r="BK44" i="78" s="1"/>
  <c r="BE20" i="82"/>
  <c r="BF20" i="82"/>
  <c r="BJ20" i="82"/>
  <c r="BK20" i="82" s="1"/>
  <c r="BE43" i="78"/>
  <c r="BF43" i="78"/>
  <c r="BJ43" i="78"/>
  <c r="BK43" i="78" s="1"/>
  <c r="BF36" i="80"/>
  <c r="BE36" i="80"/>
  <c r="BJ36" i="80"/>
  <c r="BK36" i="80" s="1"/>
  <c r="BE24" i="67"/>
  <c r="BJ24" i="67"/>
  <c r="BK24" i="67" s="1"/>
  <c r="BF24" i="67"/>
  <c r="BJ24" i="1"/>
  <c r="BK24" i="1" s="1"/>
  <c r="BF24" i="1"/>
  <c r="BE24" i="1"/>
  <c r="N230" i="2"/>
  <c r="F230" i="2" s="1"/>
  <c r="I230" i="2" s="1"/>
  <c r="BE20" i="68"/>
  <c r="BF20" i="68"/>
  <c r="BJ20" i="68"/>
  <c r="BK20" i="68" s="1"/>
  <c r="BE24" i="81"/>
  <c r="BJ24" i="81"/>
  <c r="BK24" i="81" s="1"/>
  <c r="BF24" i="81"/>
  <c r="BF14" i="77"/>
  <c r="BE14" i="77"/>
  <c r="BJ14" i="77"/>
  <c r="BK14" i="77" s="1"/>
  <c r="BE24" i="66"/>
  <c r="BJ24" i="66"/>
  <c r="BK24" i="66" s="1"/>
  <c r="BF24" i="66"/>
  <c r="BE35" i="80"/>
  <c r="BJ35" i="80"/>
  <c r="BK35" i="80" s="1"/>
  <c r="BF35" i="80"/>
  <c r="BE31" i="81"/>
  <c r="BF31" i="81"/>
  <c r="BJ27" i="81"/>
  <c r="BK27" i="81" s="1"/>
  <c r="BA15" i="1"/>
  <c r="BB15" i="1" s="1"/>
  <c r="AV15" i="1"/>
  <c r="AW15" i="67"/>
  <c r="BA15" i="70"/>
  <c r="BB15" i="70" s="1"/>
  <c r="AW15" i="70"/>
  <c r="BJ27" i="1"/>
  <c r="BK27" i="1" s="1"/>
  <c r="BF27" i="1"/>
  <c r="BA15" i="73"/>
  <c r="BB15" i="73" s="1"/>
  <c r="AV15" i="73"/>
  <c r="BE34" i="78"/>
  <c r="BF34" i="78"/>
  <c r="BJ34" i="78"/>
  <c r="BK34" i="78" s="1"/>
  <c r="BE15" i="81"/>
  <c r="BF15" i="81"/>
  <c r="BJ15" i="81"/>
  <c r="BK15" i="81" s="1"/>
  <c r="AW13" i="70"/>
  <c r="BA13" i="70"/>
  <c r="BB13" i="70" s="1"/>
  <c r="AV13" i="70"/>
  <c r="AV10" i="66"/>
  <c r="BA10" i="66"/>
  <c r="BB10" i="66" s="1"/>
  <c r="AW10" i="66"/>
  <c r="AV8" i="67"/>
  <c r="AW8" i="67"/>
  <c r="BA8" i="67"/>
  <c r="BB8" i="67" s="1"/>
  <c r="AV5" i="74"/>
  <c r="BA5" i="74"/>
  <c r="BB5" i="74" s="1"/>
  <c r="AW5" i="74"/>
  <c r="BE8" i="76"/>
  <c r="BJ8" i="76"/>
  <c r="BK8" i="76" s="1"/>
  <c r="BF8" i="76"/>
  <c r="BF33" i="66"/>
  <c r="BJ33" i="66"/>
  <c r="BK33" i="66" s="1"/>
  <c r="BE33" i="66"/>
  <c r="BF33" i="71"/>
  <c r="BE33" i="71"/>
  <c r="BJ33" i="71"/>
  <c r="BK33" i="71" s="1"/>
  <c r="BF13" i="70"/>
  <c r="BJ13" i="70"/>
  <c r="BK13" i="70" s="1"/>
  <c r="BE13" i="70"/>
  <c r="BF31" i="80"/>
  <c r="BE31" i="80"/>
  <c r="BJ31" i="80"/>
  <c r="BK31" i="80" s="1"/>
  <c r="BJ18" i="81"/>
  <c r="BK18" i="81" s="1"/>
  <c r="BF18" i="81"/>
  <c r="BE18" i="81"/>
  <c r="BF12" i="68"/>
  <c r="BE12" i="68"/>
  <c r="BJ12" i="68"/>
  <c r="BK12" i="68" s="1"/>
  <c r="BA8" i="69"/>
  <c r="BB8" i="69" s="1"/>
  <c r="AV8" i="69"/>
  <c r="AW8" i="69"/>
  <c r="BJ17" i="80"/>
  <c r="BK17" i="80" s="1"/>
  <c r="BF17" i="80"/>
  <c r="BE17" i="80"/>
  <c r="AV5" i="1"/>
  <c r="AW5" i="1"/>
  <c r="BA5" i="1"/>
  <c r="BB5" i="1" s="1"/>
  <c r="BE11" i="80"/>
  <c r="BF11" i="80"/>
  <c r="BJ11" i="80"/>
  <c r="BK11" i="80" s="1"/>
  <c r="BF45" i="80"/>
  <c r="BE45" i="80"/>
  <c r="BJ45" i="80"/>
  <c r="BK45" i="80" s="1"/>
  <c r="BF11" i="82"/>
  <c r="BJ11" i="82"/>
  <c r="BK11" i="82" s="1"/>
  <c r="BE11" i="82"/>
  <c r="AV7" i="70"/>
  <c r="BA7" i="70"/>
  <c r="BB7" i="70" s="1"/>
  <c r="AW7" i="70"/>
  <c r="BF14" i="67"/>
  <c r="BE14" i="67"/>
  <c r="BJ14" i="67"/>
  <c r="BK14" i="67" s="1"/>
  <c r="BF52" i="78"/>
  <c r="BJ52" i="78"/>
  <c r="BK52" i="78" s="1"/>
  <c r="BE52" i="78"/>
  <c r="BA17" i="80"/>
  <c r="BB17" i="80" s="1"/>
  <c r="AV17" i="80"/>
  <c r="AW17" i="80"/>
  <c r="BE5" i="74"/>
  <c r="BJ5" i="74"/>
  <c r="BK5" i="74" s="1"/>
  <c r="BF5" i="74"/>
  <c r="BE12" i="70"/>
  <c r="BF12" i="70"/>
  <c r="BJ12" i="70"/>
  <c r="BK12" i="70" s="1"/>
  <c r="AW12" i="73"/>
  <c r="AV12" i="73"/>
  <c r="BA12" i="73"/>
  <c r="BB12" i="73" s="1"/>
  <c r="BE14" i="76"/>
  <c r="BF14" i="76"/>
  <c r="BJ14" i="76"/>
  <c r="BK14" i="76" s="1"/>
  <c r="BJ15" i="78"/>
  <c r="BK15" i="78" s="1"/>
  <c r="BF15" i="78"/>
  <c r="BE15" i="78"/>
  <c r="AW6" i="1"/>
  <c r="AV6" i="1"/>
  <c r="BA6" i="1"/>
  <c r="BB6" i="1" s="1"/>
  <c r="AW5" i="82"/>
  <c r="AV5" i="82"/>
  <c r="BA5" i="82"/>
  <c r="BB5" i="82" s="1"/>
  <c r="BE30" i="80"/>
  <c r="BF30" i="80"/>
  <c r="BJ30" i="80"/>
  <c r="BK30" i="80" s="1"/>
  <c r="BF8" i="66"/>
  <c r="BJ8" i="66"/>
  <c r="BK8" i="66" s="1"/>
  <c r="BE8" i="66"/>
  <c r="BE16" i="80"/>
  <c r="BF16" i="80"/>
  <c r="BJ16" i="80"/>
  <c r="BK16" i="80" s="1"/>
  <c r="AW8" i="73"/>
  <c r="AV8" i="73"/>
  <c r="BA8" i="73"/>
  <c r="BB8" i="73" s="1"/>
  <c r="BE102" i="76"/>
  <c r="BJ102" i="76"/>
  <c r="BK102" i="76" s="1"/>
  <c r="BF102" i="76"/>
  <c r="BJ128" i="73"/>
  <c r="BK128" i="73" s="1"/>
  <c r="BF128" i="73"/>
  <c r="BE128" i="73"/>
  <c r="BE33" i="70"/>
  <c r="BF33" i="70"/>
  <c r="BJ33" i="70"/>
  <c r="BK33" i="70" s="1"/>
  <c r="BF6" i="77"/>
  <c r="BE6" i="77"/>
  <c r="BJ6" i="77"/>
  <c r="BK6" i="77" s="1"/>
  <c r="AW8" i="75"/>
  <c r="BA8" i="75"/>
  <c r="BB8" i="75" s="1"/>
  <c r="AV8" i="75"/>
  <c r="BF9" i="71"/>
  <c r="BE9" i="71"/>
  <c r="BJ9" i="71"/>
  <c r="BK9" i="71" s="1"/>
  <c r="BJ19" i="66"/>
  <c r="BK19" i="66" s="1"/>
  <c r="BF19" i="66"/>
  <c r="BE19" i="66"/>
  <c r="BF7" i="71"/>
  <c r="BJ7" i="71"/>
  <c r="BK7" i="71" s="1"/>
  <c r="BE7" i="71"/>
  <c r="BF17" i="76"/>
  <c r="BE17" i="76"/>
  <c r="BJ17" i="76"/>
  <c r="BK17" i="76" s="1"/>
  <c r="AV7" i="66"/>
  <c r="AW7" i="66"/>
  <c r="BA7" i="66"/>
  <c r="BB7" i="66" s="1"/>
  <c r="BE13" i="71"/>
  <c r="BF13" i="71"/>
  <c r="BJ13" i="71"/>
  <c r="BK13" i="71" s="1"/>
  <c r="BE129" i="74"/>
  <c r="BJ129" i="74"/>
  <c r="BK129" i="74" s="1"/>
  <c r="BF129" i="74"/>
  <c r="BA9" i="67"/>
  <c r="BB9" i="67" s="1"/>
  <c r="AW9" i="67"/>
  <c r="AV9" i="67"/>
  <c r="BF16" i="66"/>
  <c r="BE16" i="66"/>
  <c r="BJ16" i="66"/>
  <c r="BK16" i="66" s="1"/>
  <c r="BE18" i="69"/>
  <c r="BJ18" i="69"/>
  <c r="BK18" i="69" s="1"/>
  <c r="BF18" i="69"/>
  <c r="BE5" i="81"/>
  <c r="BF5" i="81"/>
  <c r="BJ5" i="81"/>
  <c r="BK5" i="81" s="1"/>
  <c r="BE5" i="69"/>
  <c r="BF5" i="69"/>
  <c r="BJ5" i="69"/>
  <c r="BK5" i="69" s="1"/>
  <c r="BA10" i="76"/>
  <c r="BB10" i="76" s="1"/>
  <c r="AW10" i="76"/>
  <c r="AV10" i="76"/>
  <c r="BE20" i="66"/>
  <c r="BF20" i="66"/>
  <c r="BJ20" i="66"/>
  <c r="BK20" i="66" s="1"/>
  <c r="BF26" i="78"/>
  <c r="BE26" i="78"/>
  <c r="BJ26" i="78"/>
  <c r="BK26" i="78" s="1"/>
  <c r="BJ39" i="78"/>
  <c r="BK39" i="78" s="1"/>
  <c r="BE39" i="78"/>
  <c r="BF39" i="78"/>
  <c r="BF20" i="67"/>
  <c r="BJ20" i="67"/>
  <c r="BK20" i="67" s="1"/>
  <c r="BE20" i="67"/>
  <c r="AW18" i="73"/>
  <c r="AV18" i="73"/>
  <c r="BA18" i="73"/>
  <c r="BB18" i="73" s="1"/>
  <c r="BF17" i="77"/>
  <c r="BJ17" i="77"/>
  <c r="BK17" i="77" s="1"/>
  <c r="BE17" i="77"/>
  <c r="BE30" i="1"/>
  <c r="BF30" i="1"/>
  <c r="BJ30" i="1"/>
  <c r="BK30" i="1" s="1"/>
  <c r="BF12" i="71"/>
  <c r="BJ12" i="71"/>
  <c r="BK12" i="71" s="1"/>
  <c r="BE12" i="71"/>
  <c r="AV11" i="69"/>
  <c r="BA11" i="69"/>
  <c r="BB11" i="69" s="1"/>
  <c r="AW11" i="69"/>
  <c r="AV7" i="73"/>
  <c r="AW7" i="73"/>
  <c r="BA7" i="73"/>
  <c r="BB7" i="73" s="1"/>
  <c r="BF29" i="78"/>
  <c r="BE29" i="78"/>
  <c r="BJ29" i="78"/>
  <c r="BK29" i="78" s="1"/>
  <c r="BJ7" i="1"/>
  <c r="BK7" i="1" s="1"/>
  <c r="BF7" i="1"/>
  <c r="BE7" i="1"/>
  <c r="BF34" i="71"/>
  <c r="BJ34" i="71"/>
  <c r="BK34" i="71" s="1"/>
  <c r="BE34" i="71"/>
  <c r="BE34" i="1"/>
  <c r="BF34" i="1"/>
  <c r="BJ34" i="1"/>
  <c r="BK34" i="1" s="1"/>
  <c r="BJ6" i="74"/>
  <c r="BK6" i="74" s="1"/>
  <c r="BF6" i="74"/>
  <c r="BE6" i="74"/>
  <c r="AV8" i="71"/>
  <c r="AW8" i="71"/>
  <c r="BA8" i="71"/>
  <c r="BB8" i="71" s="1"/>
  <c r="BF11" i="69"/>
  <c r="BJ11" i="69"/>
  <c r="BK11" i="69" s="1"/>
  <c r="BE11" i="69"/>
  <c r="AV6" i="70"/>
  <c r="AW6" i="70"/>
  <c r="BA6" i="70"/>
  <c r="BB6" i="70" s="1"/>
  <c r="AV23" i="81"/>
  <c r="AW23" i="81"/>
  <c r="BA23" i="81"/>
  <c r="BB23" i="81" s="1"/>
  <c r="BA23" i="74"/>
  <c r="BB23" i="74" s="1"/>
  <c r="AV23" i="74"/>
  <c r="AW23" i="74"/>
  <c r="BF31" i="74"/>
  <c r="BJ31" i="74"/>
  <c r="BK31" i="74" s="1"/>
  <c r="BE31" i="74"/>
  <c r="BJ31" i="1"/>
  <c r="BK31" i="1" s="1"/>
  <c r="BE31" i="1"/>
  <c r="BF31" i="1"/>
  <c r="AV19" i="71"/>
  <c r="AW19" i="71"/>
  <c r="BA19" i="71"/>
  <c r="BB19" i="71" s="1"/>
  <c r="BE30" i="78"/>
  <c r="BF30" i="78"/>
  <c r="BJ30" i="78"/>
  <c r="BK30" i="78" s="1"/>
  <c r="BA7" i="69"/>
  <c r="BB7" i="69" s="1"/>
  <c r="AW7" i="69"/>
  <c r="AV7" i="69"/>
  <c r="BF27" i="80"/>
  <c r="BE27" i="80"/>
  <c r="BJ27" i="80"/>
  <c r="BK27" i="80" s="1"/>
  <c r="AV9" i="76"/>
  <c r="BA9" i="76"/>
  <c r="BB9" i="76" s="1"/>
  <c r="AW9" i="76"/>
  <c r="AW9" i="75"/>
  <c r="AV9" i="75"/>
  <c r="BA9" i="75"/>
  <c r="BB9" i="75" s="1"/>
  <c r="BE32" i="73"/>
  <c r="BJ32" i="73"/>
  <c r="BK32" i="73" s="1"/>
  <c r="BF32" i="73"/>
  <c r="BE32" i="67"/>
  <c r="BF32" i="67"/>
  <c r="BJ32" i="67"/>
  <c r="BK32" i="67" s="1"/>
  <c r="AV25" i="80"/>
  <c r="BA25" i="80"/>
  <c r="BB25" i="80" s="1"/>
  <c r="AW25" i="80"/>
  <c r="BF47" i="78"/>
  <c r="BJ47" i="78"/>
  <c r="BK47" i="78" s="1"/>
  <c r="BE47" i="78"/>
  <c r="BE36" i="78"/>
  <c r="BF36" i="78"/>
  <c r="BJ36" i="78"/>
  <c r="BK36" i="78" s="1"/>
  <c r="AW9" i="71"/>
  <c r="BA9" i="71"/>
  <c r="BB9" i="71" s="1"/>
  <c r="AV9" i="71"/>
  <c r="AV11" i="73"/>
  <c r="AW11" i="73"/>
  <c r="BA11" i="73"/>
  <c r="BB11" i="73" s="1"/>
  <c r="BJ5" i="70"/>
  <c r="BK5" i="70" s="1"/>
  <c r="BE5" i="70"/>
  <c r="BF5" i="70"/>
  <c r="BE22" i="70"/>
  <c r="BF22" i="70"/>
  <c r="BJ22" i="70"/>
  <c r="BK22" i="70" s="1"/>
  <c r="AV16" i="78"/>
  <c r="BA16" i="78"/>
  <c r="BB16" i="78" s="1"/>
  <c r="AW16" i="78"/>
  <c r="BA6" i="74"/>
  <c r="BB6" i="74" s="1"/>
  <c r="AW6" i="74"/>
  <c r="AV6" i="74"/>
  <c r="BJ10" i="71"/>
  <c r="BK10" i="71" s="1"/>
  <c r="BF10" i="71"/>
  <c r="BE10" i="71"/>
  <c r="BF102" i="75"/>
  <c r="BE102" i="75"/>
  <c r="BJ102" i="75"/>
  <c r="BK102" i="75" s="1"/>
  <c r="AV13" i="67"/>
  <c r="AW13" i="67"/>
  <c r="BA13" i="67"/>
  <c r="BB13" i="67" s="1"/>
  <c r="BE6" i="80"/>
  <c r="BF6" i="80"/>
  <c r="BJ6" i="80"/>
  <c r="BK6" i="80" s="1"/>
  <c r="BF18" i="71"/>
  <c r="BE18" i="71"/>
  <c r="BJ18" i="71"/>
  <c r="BK18" i="71" s="1"/>
  <c r="AW8" i="81"/>
  <c r="AV8" i="81"/>
  <c r="BA8" i="81"/>
  <c r="BB8" i="81" s="1"/>
  <c r="AV18" i="78"/>
  <c r="AW18" i="78"/>
  <c r="BA18" i="78"/>
  <c r="BB18" i="78" s="1"/>
  <c r="AV21" i="67"/>
  <c r="BA21" i="67"/>
  <c r="BB21" i="67" s="1"/>
  <c r="AW21" i="67"/>
  <c r="AV21" i="73"/>
  <c r="BA21" i="73"/>
  <c r="BB21" i="73" s="1"/>
  <c r="AW21" i="73"/>
  <c r="AV21" i="1"/>
  <c r="AW21" i="1"/>
  <c r="BA21" i="1"/>
  <c r="BB21" i="1" s="1"/>
  <c r="BE18" i="67"/>
  <c r="BJ18" i="67"/>
  <c r="BK18" i="67" s="1"/>
  <c r="BF18" i="67"/>
  <c r="BE15" i="66"/>
  <c r="BJ15" i="66"/>
  <c r="BK15" i="66" s="1"/>
  <c r="BF15" i="66"/>
  <c r="AV8" i="82"/>
  <c r="AW8" i="82"/>
  <c r="BA8" i="82"/>
  <c r="BB8" i="82" s="1"/>
  <c r="BJ21" i="1"/>
  <c r="BK21" i="1" s="1"/>
  <c r="BE21" i="1"/>
  <c r="BF21" i="1"/>
  <c r="BE14" i="68"/>
  <c r="BJ14" i="68"/>
  <c r="BK14" i="68" s="1"/>
  <c r="BF14" i="68"/>
  <c r="BF9" i="80"/>
  <c r="BJ9" i="80"/>
  <c r="BK9" i="80" s="1"/>
  <c r="BE9" i="80"/>
  <c r="AW5" i="70"/>
  <c r="BA5" i="70"/>
  <c r="BB5" i="70" s="1"/>
  <c r="AV5" i="70"/>
  <c r="BA10" i="81"/>
  <c r="BB10" i="81" s="1"/>
  <c r="AV10" i="81"/>
  <c r="AW10" i="81"/>
  <c r="AV22" i="78"/>
  <c r="BA22" i="78"/>
  <c r="BB22" i="78" s="1"/>
  <c r="AW22" i="78"/>
  <c r="BA9" i="1"/>
  <c r="BB9" i="1" s="1"/>
  <c r="AW9" i="1"/>
  <c r="AV9" i="1"/>
  <c r="BF12" i="67"/>
  <c r="BE12" i="67"/>
  <c r="BJ12" i="67"/>
  <c r="BK12" i="67" s="1"/>
  <c r="BF19" i="78"/>
  <c r="BJ19" i="78"/>
  <c r="BK19" i="78" s="1"/>
  <c r="BE19" i="78"/>
  <c r="BF9" i="1"/>
  <c r="BJ9" i="1"/>
  <c r="BK9" i="1" s="1"/>
  <c r="BE9" i="1"/>
  <c r="AW8" i="70"/>
  <c r="AV8" i="70"/>
  <c r="BA8" i="70"/>
  <c r="BB8" i="70" s="1"/>
  <c r="BE6" i="68"/>
  <c r="BF6" i="68"/>
  <c r="BJ6" i="68"/>
  <c r="BK6" i="68" s="1"/>
  <c r="BE19" i="74"/>
  <c r="BJ19" i="74"/>
  <c r="BK19" i="74" s="1"/>
  <c r="BF19" i="74"/>
  <c r="BF21" i="67"/>
  <c r="BJ21" i="67"/>
  <c r="BK21" i="67" s="1"/>
  <c r="BE21" i="67"/>
  <c r="BE7" i="73"/>
  <c r="BF7" i="73"/>
  <c r="BJ7" i="73"/>
  <c r="BK7" i="73" s="1"/>
  <c r="BF31" i="78"/>
  <c r="BE31" i="78"/>
  <c r="BJ31" i="78"/>
  <c r="BK31" i="78" s="1"/>
  <c r="AW14" i="68"/>
  <c r="BA14" i="68"/>
  <c r="BB14" i="68" s="1"/>
  <c r="AV14" i="68"/>
  <c r="BE30" i="81"/>
  <c r="BF30" i="81"/>
  <c r="BJ30" i="81"/>
  <c r="BK30" i="81" s="1"/>
  <c r="AW9" i="70"/>
  <c r="BA9" i="70"/>
  <c r="BB9" i="70" s="1"/>
  <c r="AV9" i="70"/>
  <c r="BA9" i="78"/>
  <c r="BB9" i="78" s="1"/>
  <c r="AV9" i="78"/>
  <c r="AW9" i="78"/>
  <c r="BE8" i="81"/>
  <c r="BF8" i="81"/>
  <c r="BJ8" i="81"/>
  <c r="BK8" i="81" s="1"/>
  <c r="BA11" i="75"/>
  <c r="BB11" i="75" s="1"/>
  <c r="AV11" i="75"/>
  <c r="AW11" i="75"/>
  <c r="AV11" i="80"/>
  <c r="BA11" i="80"/>
  <c r="BB11" i="80" s="1"/>
  <c r="AW11" i="80"/>
  <c r="BE7" i="70"/>
  <c r="BF7" i="70"/>
  <c r="BJ7" i="70"/>
  <c r="BK7" i="70" s="1"/>
  <c r="BE34" i="74"/>
  <c r="BF34" i="74"/>
  <c r="BJ34" i="74"/>
  <c r="BK34" i="74" s="1"/>
  <c r="BF34" i="66"/>
  <c r="BJ34" i="66"/>
  <c r="BK34" i="66" s="1"/>
  <c r="BE34" i="66"/>
  <c r="BE9" i="78"/>
  <c r="BF9" i="78"/>
  <c r="BJ9" i="78"/>
  <c r="BK9" i="78" s="1"/>
  <c r="BJ6" i="67"/>
  <c r="BK6" i="67" s="1"/>
  <c r="BF6" i="67"/>
  <c r="BE6" i="67"/>
  <c r="BF22" i="74"/>
  <c r="BJ22" i="74"/>
  <c r="BK22" i="74" s="1"/>
  <c r="BE22" i="74"/>
  <c r="BF22" i="73"/>
  <c r="BE22" i="73"/>
  <c r="BJ22" i="73"/>
  <c r="BK22" i="73" s="1"/>
  <c r="BF6" i="76"/>
  <c r="BE6" i="76"/>
  <c r="BJ6" i="76"/>
  <c r="BK6" i="76" s="1"/>
  <c r="AV23" i="70"/>
  <c r="AW23" i="70"/>
  <c r="BA23" i="70"/>
  <c r="BB23" i="70" s="1"/>
  <c r="BE35" i="67"/>
  <c r="BF35" i="67"/>
  <c r="BJ35" i="67"/>
  <c r="BK35" i="67" s="1"/>
  <c r="AW19" i="81"/>
  <c r="AV19" i="81"/>
  <c r="BA19" i="81"/>
  <c r="BB19" i="81" s="1"/>
  <c r="BJ31" i="67"/>
  <c r="BK31" i="67" s="1"/>
  <c r="BE31" i="67"/>
  <c r="BF31" i="67"/>
  <c r="BJ11" i="74"/>
  <c r="BK11" i="74" s="1"/>
  <c r="BF11" i="74"/>
  <c r="BE11" i="74"/>
  <c r="BF29" i="80"/>
  <c r="BJ29" i="80"/>
  <c r="BK29" i="80" s="1"/>
  <c r="BE29" i="80"/>
  <c r="AW7" i="76"/>
  <c r="AV7" i="76"/>
  <c r="BA7" i="76"/>
  <c r="BB7" i="76" s="1"/>
  <c r="BE15" i="82"/>
  <c r="BF15" i="82"/>
  <c r="BJ15" i="82"/>
  <c r="BK15" i="82" s="1"/>
  <c r="BJ9" i="69"/>
  <c r="BK9" i="69" s="1"/>
  <c r="BF9" i="69"/>
  <c r="BE9" i="69"/>
  <c r="AW10" i="80"/>
  <c r="AV10" i="80"/>
  <c r="BA10" i="80"/>
  <c r="BB10" i="80" s="1"/>
  <c r="BE14" i="81"/>
  <c r="BJ14" i="81"/>
  <c r="BK14" i="81" s="1"/>
  <c r="BF14" i="81"/>
  <c r="AV9" i="82"/>
  <c r="AW9" i="82"/>
  <c r="BA9" i="82"/>
  <c r="BB9" i="82" s="1"/>
  <c r="AV16" i="68"/>
  <c r="BA16" i="68"/>
  <c r="BB16" i="68" s="1"/>
  <c r="AW16" i="68"/>
  <c r="BJ27" i="68"/>
  <c r="BK27" i="68" s="1"/>
  <c r="BE27" i="68"/>
  <c r="BF27" i="68"/>
  <c r="BE9" i="68"/>
  <c r="BF9" i="68"/>
  <c r="BJ9" i="68"/>
  <c r="BK9" i="68" s="1"/>
  <c r="BF17" i="74"/>
  <c r="BE17" i="74"/>
  <c r="BJ17" i="74"/>
  <c r="BK17" i="74" s="1"/>
  <c r="AW6" i="82"/>
  <c r="BA6" i="82"/>
  <c r="BB6" i="82" s="1"/>
  <c r="AV6" i="82"/>
  <c r="BJ5" i="78"/>
  <c r="BK5" i="78" s="1"/>
  <c r="BF5" i="78"/>
  <c r="BE5" i="78"/>
  <c r="AV13" i="80"/>
  <c r="BA13" i="80"/>
  <c r="BB13" i="80" s="1"/>
  <c r="AW13" i="80"/>
  <c r="BJ128" i="74"/>
  <c r="BK128" i="74" s="1"/>
  <c r="BF128" i="74"/>
  <c r="BE128" i="74"/>
  <c r="BE15" i="67"/>
  <c r="BF15" i="67"/>
  <c r="BJ15" i="67"/>
  <c r="BK15" i="67" s="1"/>
  <c r="BE28" i="80"/>
  <c r="BF28" i="80"/>
  <c r="BJ28" i="80"/>
  <c r="BK28" i="80" s="1"/>
  <c r="BE11" i="77"/>
  <c r="BJ11" i="77"/>
  <c r="BK11" i="77" s="1"/>
  <c r="BF11" i="77"/>
  <c r="AW5" i="81"/>
  <c r="BA5" i="81"/>
  <c r="BB5" i="81" s="1"/>
  <c r="AV5" i="81"/>
  <c r="BA83" i="76"/>
  <c r="BB83" i="76" s="1"/>
  <c r="AW83" i="76"/>
  <c r="AV83" i="76"/>
  <c r="AW21" i="74"/>
  <c r="BA21" i="74"/>
  <c r="BB21" i="74" s="1"/>
  <c r="AV21" i="74"/>
  <c r="BJ53" i="78"/>
  <c r="BK53" i="78" s="1"/>
  <c r="BE53" i="78"/>
  <c r="BF53" i="78"/>
  <c r="BF20" i="77"/>
  <c r="BE20" i="77"/>
  <c r="BJ20" i="77"/>
  <c r="BK20" i="77" s="1"/>
  <c r="AW8" i="68"/>
  <c r="AV8" i="68"/>
  <c r="BA8" i="68"/>
  <c r="BB8" i="68" s="1"/>
  <c r="BF20" i="70"/>
  <c r="BJ20" i="70"/>
  <c r="BK20" i="70" s="1"/>
  <c r="BE20" i="70"/>
  <c r="BE20" i="78"/>
  <c r="BF20" i="78"/>
  <c r="BJ20" i="78"/>
  <c r="BK20" i="78" s="1"/>
  <c r="BE16" i="75"/>
  <c r="BJ16" i="75"/>
  <c r="BK16" i="75" s="1"/>
  <c r="BF16" i="75"/>
  <c r="BJ21" i="70"/>
  <c r="BK21" i="70" s="1"/>
  <c r="BE21" i="70"/>
  <c r="BF21" i="70"/>
  <c r="BF17" i="78"/>
  <c r="BJ17" i="78"/>
  <c r="BK17" i="78" s="1"/>
  <c r="BE17" i="78"/>
  <c r="BE12" i="76"/>
  <c r="BJ12" i="76"/>
  <c r="BK12" i="76" s="1"/>
  <c r="BF12" i="76"/>
  <c r="BE17" i="75"/>
  <c r="BF17" i="75"/>
  <c r="BJ17" i="75"/>
  <c r="BK17" i="75" s="1"/>
  <c r="BE5" i="82"/>
  <c r="BJ5" i="82"/>
  <c r="BK5" i="82" s="1"/>
  <c r="BF5" i="82"/>
  <c r="BJ19" i="67"/>
  <c r="BK19" i="67" s="1"/>
  <c r="BF19" i="67"/>
  <c r="BE19" i="67"/>
  <c r="BA9" i="81"/>
  <c r="BB9" i="81" s="1"/>
  <c r="AV9" i="81"/>
  <c r="AW9" i="81"/>
  <c r="BF25" i="68"/>
  <c r="BJ25" i="68"/>
  <c r="BK25" i="68" s="1"/>
  <c r="BE25" i="68"/>
  <c r="BF30" i="67"/>
  <c r="BE30" i="67"/>
  <c r="BJ30" i="67"/>
  <c r="BK30" i="67" s="1"/>
  <c r="BE7" i="78"/>
  <c r="BJ7" i="78"/>
  <c r="BK7" i="78" s="1"/>
  <c r="BF7" i="78"/>
  <c r="AW84" i="76"/>
  <c r="AV84" i="76"/>
  <c r="BA84" i="76"/>
  <c r="BB84" i="76" s="1"/>
  <c r="BA20" i="74"/>
  <c r="BB20" i="74" s="1"/>
  <c r="AW20" i="74"/>
  <c r="AV20" i="74"/>
  <c r="AW20" i="1"/>
  <c r="AV20" i="1"/>
  <c r="BA20" i="1"/>
  <c r="BB20" i="1" s="1"/>
  <c r="BE8" i="75"/>
  <c r="BF8" i="75"/>
  <c r="BJ8" i="75"/>
  <c r="BK8" i="75" s="1"/>
  <c r="BF12" i="69"/>
  <c r="BE12" i="69"/>
  <c r="BJ12" i="69"/>
  <c r="BK12" i="69" s="1"/>
  <c r="BF6" i="70"/>
  <c r="BJ6" i="70"/>
  <c r="BK6" i="70" s="1"/>
  <c r="BE6" i="70"/>
  <c r="BA84" i="74"/>
  <c r="BB84" i="74" s="1"/>
  <c r="AW84" i="74"/>
  <c r="AV84" i="74"/>
  <c r="BF16" i="78"/>
  <c r="BE16" i="78"/>
  <c r="BJ16" i="78"/>
  <c r="BK16" i="78" s="1"/>
  <c r="BE18" i="82"/>
  <c r="BF18" i="82"/>
  <c r="BJ18" i="82"/>
  <c r="BK18" i="82" s="1"/>
  <c r="AW12" i="81"/>
  <c r="AV12" i="81"/>
  <c r="BA12" i="81"/>
  <c r="BB12" i="81" s="1"/>
  <c r="BF7" i="77"/>
  <c r="BJ7" i="77"/>
  <c r="BK7" i="77" s="1"/>
  <c r="BE7" i="77"/>
  <c r="BA11" i="78"/>
  <c r="BB11" i="78" s="1"/>
  <c r="AW11" i="78"/>
  <c r="AV11" i="78"/>
  <c r="BJ18" i="78"/>
  <c r="BK18" i="78" s="1"/>
  <c r="BE18" i="78"/>
  <c r="BF18" i="78"/>
  <c r="BF32" i="80"/>
  <c r="BE32" i="80"/>
  <c r="BJ32" i="80"/>
  <c r="BK32" i="80" s="1"/>
  <c r="BE12" i="80"/>
  <c r="BJ12" i="80"/>
  <c r="BK12" i="80" s="1"/>
  <c r="BF12" i="80"/>
  <c r="AW19" i="78"/>
  <c r="BA19" i="78"/>
  <c r="BB19" i="78" s="1"/>
  <c r="AV19" i="78"/>
  <c r="BE40" i="78"/>
  <c r="BF40" i="78"/>
  <c r="BJ40" i="78"/>
  <c r="BK40" i="78" s="1"/>
  <c r="AW20" i="78"/>
  <c r="AV20" i="78"/>
  <c r="BA20" i="78"/>
  <c r="BB20" i="78" s="1"/>
  <c r="BE5" i="67"/>
  <c r="BJ5" i="67"/>
  <c r="BK5" i="67" s="1"/>
  <c r="BF5" i="67"/>
  <c r="BJ13" i="81"/>
  <c r="BK13" i="81" s="1"/>
  <c r="BE13" i="81"/>
  <c r="BF13" i="81"/>
  <c r="BE12" i="1"/>
  <c r="BF12" i="1"/>
  <c r="BJ12" i="1"/>
  <c r="BK12" i="1" s="1"/>
  <c r="BA10" i="69"/>
  <c r="BB10" i="69" s="1"/>
  <c r="AW10" i="69"/>
  <c r="AV10" i="69"/>
  <c r="BE7" i="81"/>
  <c r="BF7" i="81"/>
  <c r="BJ7" i="81"/>
  <c r="BK7" i="81" s="1"/>
  <c r="BF25" i="80"/>
  <c r="BE25" i="80"/>
  <c r="BJ25" i="80"/>
  <c r="BK25" i="80" s="1"/>
  <c r="BA12" i="74"/>
  <c r="BB12" i="74" s="1"/>
  <c r="AV12" i="74"/>
  <c r="AW12" i="74"/>
  <c r="BE33" i="80"/>
  <c r="BJ33" i="80"/>
  <c r="BK33" i="80" s="1"/>
  <c r="BF33" i="80"/>
  <c r="BE14" i="82"/>
  <c r="BF14" i="82"/>
  <c r="BJ14" i="82"/>
  <c r="BK14" i="82" s="1"/>
  <c r="BA10" i="77"/>
  <c r="BB10" i="77" s="1"/>
  <c r="AV10" i="77"/>
  <c r="AW10" i="77"/>
  <c r="BE30" i="74"/>
  <c r="BJ30" i="74"/>
  <c r="BK30" i="74" s="1"/>
  <c r="BF30" i="74"/>
  <c r="BA18" i="74"/>
  <c r="BB18" i="74" s="1"/>
  <c r="AW18" i="74"/>
  <c r="AV18" i="74"/>
  <c r="BF50" i="78"/>
  <c r="BE50" i="78"/>
  <c r="BJ50" i="78"/>
  <c r="BK50" i="78" s="1"/>
  <c r="AW84" i="75"/>
  <c r="BA84" i="75"/>
  <c r="BB84" i="75" s="1"/>
  <c r="AV84" i="75"/>
  <c r="BF105" i="76"/>
  <c r="BE105" i="76"/>
  <c r="BJ105" i="76"/>
  <c r="BK105" i="76" s="1"/>
  <c r="BA93" i="71"/>
  <c r="BB93" i="71" s="1"/>
  <c r="AV93" i="71"/>
  <c r="AW93" i="71"/>
  <c r="AV7" i="81"/>
  <c r="AW7" i="81"/>
  <c r="BA7" i="81"/>
  <c r="BB7" i="81" s="1"/>
  <c r="BF10" i="74"/>
  <c r="BJ10" i="74"/>
  <c r="BK10" i="74" s="1"/>
  <c r="BE10" i="74"/>
  <c r="BE19" i="1"/>
  <c r="BF19" i="1"/>
  <c r="BJ19" i="1"/>
  <c r="BK19" i="1" s="1"/>
  <c r="AW22" i="1"/>
  <c r="AV22" i="1"/>
  <c r="BA22" i="1"/>
  <c r="BB22" i="1" s="1"/>
  <c r="AW22" i="71"/>
  <c r="AV22" i="71"/>
  <c r="BA22" i="71"/>
  <c r="BB22" i="71" s="1"/>
  <c r="AW12" i="78"/>
  <c r="AV12" i="78"/>
  <c r="BA12" i="78"/>
  <c r="BB12" i="78" s="1"/>
  <c r="BJ22" i="81"/>
  <c r="BK22" i="81" s="1"/>
  <c r="BF22" i="81"/>
  <c r="BE22" i="81"/>
  <c r="AV8" i="77"/>
  <c r="AW8" i="77"/>
  <c r="BA8" i="77"/>
  <c r="BB8" i="77" s="1"/>
  <c r="BE13" i="68"/>
  <c r="BJ13" i="68"/>
  <c r="BK13" i="68" s="1"/>
  <c r="BF13" i="68"/>
  <c r="BF6" i="82"/>
  <c r="BE6" i="82"/>
  <c r="BJ6" i="82"/>
  <c r="BK6" i="82" s="1"/>
  <c r="AV23" i="1"/>
  <c r="AW23" i="1"/>
  <c r="BA23" i="1"/>
  <c r="BB23" i="1" s="1"/>
  <c r="BJ55" i="78"/>
  <c r="BK55" i="78" s="1"/>
  <c r="BF55" i="78"/>
  <c r="BE55" i="78"/>
  <c r="BA19" i="66"/>
  <c r="BB19" i="66" s="1"/>
  <c r="AW19" i="66"/>
  <c r="AV19" i="66"/>
  <c r="BJ31" i="71"/>
  <c r="BK31" i="71" s="1"/>
  <c r="BE31" i="71"/>
  <c r="BF31" i="71"/>
  <c r="AV15" i="68"/>
  <c r="AW15" i="68"/>
  <c r="BA15" i="68"/>
  <c r="BB15" i="68" s="1"/>
  <c r="BE16" i="74"/>
  <c r="BJ16" i="74"/>
  <c r="BK16" i="74" s="1"/>
  <c r="BF16" i="74"/>
  <c r="BE11" i="68"/>
  <c r="BF11" i="68"/>
  <c r="BJ11" i="68"/>
  <c r="BK11" i="68" s="1"/>
  <c r="BF15" i="69"/>
  <c r="BE15" i="69"/>
  <c r="BJ15" i="69"/>
  <c r="BK15" i="69" s="1"/>
  <c r="BE9" i="82"/>
  <c r="BJ9" i="82"/>
  <c r="BK9" i="82" s="1"/>
  <c r="BF9" i="82"/>
  <c r="AW11" i="71"/>
  <c r="BA11" i="71"/>
  <c r="BB11" i="71" s="1"/>
  <c r="AV11" i="71"/>
  <c r="BA20" i="70"/>
  <c r="BB20" i="70" s="1"/>
  <c r="AW20" i="70"/>
  <c r="AV20" i="70"/>
  <c r="AV20" i="66"/>
  <c r="BA20" i="66"/>
  <c r="BB20" i="66" s="1"/>
  <c r="AW20" i="66"/>
  <c r="BF32" i="74"/>
  <c r="BJ32" i="74"/>
  <c r="BK32" i="74" s="1"/>
  <c r="BE32" i="74"/>
  <c r="BE17" i="67"/>
  <c r="BF17" i="67"/>
  <c r="BJ17" i="67"/>
  <c r="BK17" i="67" s="1"/>
  <c r="BF11" i="1"/>
  <c r="BE11" i="1"/>
  <c r="BJ11" i="1"/>
  <c r="BK11" i="1" s="1"/>
  <c r="BJ10" i="68"/>
  <c r="BK10" i="68" s="1"/>
  <c r="BF10" i="68"/>
  <c r="BE10" i="68"/>
  <c r="AW6" i="76"/>
  <c r="AV6" i="76"/>
  <c r="BA6" i="76"/>
  <c r="BB6" i="76" s="1"/>
  <c r="AV11" i="74"/>
  <c r="AW11" i="74"/>
  <c r="BA11" i="74"/>
  <c r="BB11" i="74" s="1"/>
  <c r="BE8" i="80"/>
  <c r="BJ8" i="80"/>
  <c r="BK8" i="80" s="1"/>
  <c r="BF8" i="80"/>
  <c r="BF8" i="77"/>
  <c r="BE8" i="77"/>
  <c r="BJ8" i="77"/>
  <c r="BK8" i="77" s="1"/>
  <c r="AW83" i="75"/>
  <c r="AV83" i="75"/>
  <c r="BA83" i="75"/>
  <c r="BB83" i="75" s="1"/>
  <c r="AW23" i="78"/>
  <c r="AV23" i="78"/>
  <c r="BA23" i="78"/>
  <c r="BB23" i="78" s="1"/>
  <c r="BE7" i="82"/>
  <c r="BJ7" i="82"/>
  <c r="BK7" i="82" s="1"/>
  <c r="BF7" i="82"/>
  <c r="AW94" i="71"/>
  <c r="AV94" i="71"/>
  <c r="BA94" i="71"/>
  <c r="BB94" i="71" s="1"/>
  <c r="BE10" i="1"/>
  <c r="BF10" i="1"/>
  <c r="BJ10" i="1"/>
  <c r="BK10" i="1" s="1"/>
  <c r="BF8" i="71"/>
  <c r="BE8" i="71"/>
  <c r="BJ8" i="71"/>
  <c r="BK8" i="71" s="1"/>
  <c r="AV9" i="80"/>
  <c r="AW9" i="80"/>
  <c r="BA9" i="80"/>
  <c r="BB9" i="80" s="1"/>
  <c r="AV15" i="80"/>
  <c r="AW15" i="80"/>
  <c r="BA15" i="80"/>
  <c r="BB15" i="80" s="1"/>
  <c r="AV83" i="73"/>
  <c r="AW83" i="73"/>
  <c r="BA83" i="73"/>
  <c r="BB83" i="73" s="1"/>
  <c r="BJ33" i="73"/>
  <c r="BK33" i="73" s="1"/>
  <c r="BE33" i="73"/>
  <c r="BF33" i="73"/>
  <c r="BJ33" i="1"/>
  <c r="BK33" i="1" s="1"/>
  <c r="BF33" i="1"/>
  <c r="BE33" i="1"/>
  <c r="AW31" i="78"/>
  <c r="AV31" i="78"/>
  <c r="BA31" i="78"/>
  <c r="BB31" i="78" s="1"/>
  <c r="AV21" i="70"/>
  <c r="AW21" i="70"/>
  <c r="BA21" i="70"/>
  <c r="BB21" i="70" s="1"/>
  <c r="BF13" i="78"/>
  <c r="BE13" i="78"/>
  <c r="BJ13" i="78"/>
  <c r="BK13" i="78" s="1"/>
  <c r="BF13" i="69"/>
  <c r="BE13" i="69"/>
  <c r="BJ13" i="69"/>
  <c r="BK13" i="69" s="1"/>
  <c r="BE15" i="71"/>
  <c r="BJ15" i="71"/>
  <c r="BK15" i="71" s="1"/>
  <c r="BF15" i="71"/>
  <c r="BE11" i="71"/>
  <c r="BF11" i="71"/>
  <c r="BJ11" i="71"/>
  <c r="BK11" i="71" s="1"/>
  <c r="BF19" i="71"/>
  <c r="BJ19" i="71"/>
  <c r="BK19" i="71" s="1"/>
  <c r="BE19" i="71"/>
  <c r="BJ17" i="70"/>
  <c r="BK17" i="70" s="1"/>
  <c r="BE17" i="70"/>
  <c r="BF17" i="70"/>
  <c r="BF14" i="69"/>
  <c r="BE14" i="69"/>
  <c r="BJ14" i="69"/>
  <c r="BK14" i="69" s="1"/>
  <c r="BA6" i="66"/>
  <c r="BB6" i="66" s="1"/>
  <c r="AW6" i="66"/>
  <c r="AV6" i="66"/>
  <c r="BJ42" i="80"/>
  <c r="BK42" i="80" s="1"/>
  <c r="BE42" i="80"/>
  <c r="BF42" i="80"/>
  <c r="BF31" i="70"/>
  <c r="BE31" i="70"/>
  <c r="BJ31" i="70"/>
  <c r="BK31" i="70" s="1"/>
  <c r="BE31" i="66"/>
  <c r="BJ31" i="66"/>
  <c r="BK31" i="66" s="1"/>
  <c r="BF31" i="66"/>
  <c r="AW19" i="74"/>
  <c r="BA19" i="74"/>
  <c r="BB19" i="74" s="1"/>
  <c r="AV19" i="74"/>
  <c r="BJ8" i="1"/>
  <c r="BK8" i="1" s="1"/>
  <c r="BF8" i="1"/>
  <c r="BE8" i="1"/>
  <c r="BJ24" i="80"/>
  <c r="BK24" i="80" s="1"/>
  <c r="BE24" i="80"/>
  <c r="BF24" i="80"/>
  <c r="BE9" i="67"/>
  <c r="BJ9" i="67"/>
  <c r="BK9" i="67" s="1"/>
  <c r="BF9" i="67"/>
  <c r="BJ9" i="75"/>
  <c r="BK9" i="75" s="1"/>
  <c r="BE9" i="75"/>
  <c r="BF9" i="75"/>
  <c r="BA6" i="75"/>
  <c r="BB6" i="75" s="1"/>
  <c r="AW6" i="75"/>
  <c r="AV6" i="75"/>
  <c r="AV8" i="80"/>
  <c r="BA8" i="80"/>
  <c r="BB8" i="80" s="1"/>
  <c r="AW8" i="80"/>
  <c r="AW6" i="81"/>
  <c r="BA6" i="81"/>
  <c r="BB6" i="81" s="1"/>
  <c r="AV6" i="81"/>
  <c r="BE17" i="69"/>
  <c r="BF17" i="69"/>
  <c r="BJ17" i="69"/>
  <c r="BK17" i="69" s="1"/>
  <c r="AV10" i="70"/>
  <c r="BA10" i="70"/>
  <c r="BB10" i="70" s="1"/>
  <c r="AW10" i="70"/>
  <c r="BJ128" i="71"/>
  <c r="BK128" i="71" s="1"/>
  <c r="BE128" i="71"/>
  <c r="BF128" i="71"/>
  <c r="AV7" i="67"/>
  <c r="AW7" i="67"/>
  <c r="BA7" i="67"/>
  <c r="BB7" i="67" s="1"/>
  <c r="BA22" i="70"/>
  <c r="BB22" i="70" s="1"/>
  <c r="AW22" i="70"/>
  <c r="AV22" i="70"/>
  <c r="BA32" i="78"/>
  <c r="BB32" i="78" s="1"/>
  <c r="AW32" i="78"/>
  <c r="AV32" i="78"/>
  <c r="AV7" i="80"/>
  <c r="BA7" i="80"/>
  <c r="BB7" i="80" s="1"/>
  <c r="AW7" i="80"/>
  <c r="AV23" i="73"/>
  <c r="BA23" i="73"/>
  <c r="BB23" i="73" s="1"/>
  <c r="AW23" i="73"/>
  <c r="BJ35" i="81"/>
  <c r="BK35" i="81" s="1"/>
  <c r="BF35" i="81"/>
  <c r="BE35" i="81"/>
  <c r="BE35" i="73"/>
  <c r="BJ35" i="73"/>
  <c r="BK35" i="73" s="1"/>
  <c r="BF35" i="73"/>
  <c r="AW19" i="67"/>
  <c r="BA19" i="67"/>
  <c r="BB19" i="67" s="1"/>
  <c r="AV19" i="67"/>
  <c r="AV29" i="78"/>
  <c r="AW29" i="78"/>
  <c r="BA29" i="78"/>
  <c r="BB29" i="78" s="1"/>
  <c r="BE26" i="68"/>
  <c r="BJ26" i="68"/>
  <c r="BK26" i="68" s="1"/>
  <c r="BF26" i="68"/>
  <c r="BA7" i="1"/>
  <c r="BB7" i="1" s="1"/>
  <c r="AV7" i="1"/>
  <c r="AW7" i="1"/>
  <c r="BJ8" i="78"/>
  <c r="BK8" i="78" s="1"/>
  <c r="BF8" i="78"/>
  <c r="BE8" i="78"/>
  <c r="BJ11" i="67"/>
  <c r="BK11" i="67" s="1"/>
  <c r="BE11" i="67"/>
  <c r="BF11" i="67"/>
  <c r="BJ11" i="73"/>
  <c r="BK11" i="73" s="1"/>
  <c r="BF11" i="73"/>
  <c r="BE11" i="73"/>
  <c r="BE11" i="70"/>
  <c r="BF11" i="70"/>
  <c r="BJ11" i="70"/>
  <c r="BK11" i="70" s="1"/>
  <c r="BF10" i="78"/>
  <c r="BE10" i="78"/>
  <c r="BJ10" i="78"/>
  <c r="BK10" i="78" s="1"/>
  <c r="BF21" i="73"/>
  <c r="BJ21" i="73"/>
  <c r="BK21" i="73" s="1"/>
  <c r="BE21" i="73"/>
  <c r="BE12" i="78"/>
  <c r="BF12" i="78"/>
  <c r="BJ12" i="78"/>
  <c r="BK12" i="78" s="1"/>
  <c r="BJ12" i="75"/>
  <c r="BK12" i="75" s="1"/>
  <c r="BE12" i="75"/>
  <c r="BF12" i="75"/>
  <c r="BF17" i="71"/>
  <c r="BE17" i="71"/>
  <c r="BJ17" i="71"/>
  <c r="BK17" i="71" s="1"/>
  <c r="BF12" i="82"/>
  <c r="BE12" i="82"/>
  <c r="BJ12" i="82"/>
  <c r="BK12" i="82" s="1"/>
  <c r="BJ7" i="66"/>
  <c r="BK7" i="66" s="1"/>
  <c r="BE7" i="66"/>
  <c r="BF7" i="66"/>
  <c r="BJ12" i="77"/>
  <c r="BK12" i="77" s="1"/>
  <c r="BF12" i="77"/>
  <c r="BE12" i="77"/>
  <c r="AV11" i="70"/>
  <c r="AW11" i="70"/>
  <c r="BA11" i="70"/>
  <c r="BB11" i="70" s="1"/>
  <c r="BA6" i="80"/>
  <c r="BB6" i="80" s="1"/>
  <c r="AV6" i="80"/>
  <c r="AW6" i="80"/>
  <c r="BE13" i="66"/>
  <c r="BF13" i="66"/>
  <c r="BJ13" i="66"/>
  <c r="BK13" i="66" s="1"/>
  <c r="BA9" i="74"/>
  <c r="BB9" i="74" s="1"/>
  <c r="AW9" i="74"/>
  <c r="AV9" i="74"/>
  <c r="BE21" i="81"/>
  <c r="BF21" i="81"/>
  <c r="BJ21" i="81"/>
  <c r="BK21" i="81" s="1"/>
  <c r="BE16" i="71"/>
  <c r="BJ16" i="71"/>
  <c r="BK16" i="71" s="1"/>
  <c r="BF16" i="71"/>
  <c r="BF18" i="75"/>
  <c r="BE18" i="75"/>
  <c r="BJ18" i="75"/>
  <c r="BK18" i="75" s="1"/>
  <c r="BA10" i="73"/>
  <c r="BB10" i="73" s="1"/>
  <c r="AW10" i="73"/>
  <c r="AV10" i="73"/>
  <c r="BJ13" i="74"/>
  <c r="BK13" i="74" s="1"/>
  <c r="BE13" i="74"/>
  <c r="BF13" i="74"/>
  <c r="BF20" i="80"/>
  <c r="BE20" i="80"/>
  <c r="BJ20" i="80"/>
  <c r="BK20" i="80" s="1"/>
  <c r="BE12" i="81"/>
  <c r="BF12" i="81"/>
  <c r="BJ12" i="81"/>
  <c r="BK12" i="81" s="1"/>
  <c r="BF15" i="68"/>
  <c r="BE15" i="68"/>
  <c r="BJ15" i="68"/>
  <c r="BK15" i="68" s="1"/>
  <c r="BA19" i="80"/>
  <c r="BB19" i="80" s="1"/>
  <c r="AV19" i="80"/>
  <c r="AW19" i="80"/>
  <c r="BE20" i="73"/>
  <c r="BJ20" i="73"/>
  <c r="BK20" i="73" s="1"/>
  <c r="BF20" i="73"/>
  <c r="BJ14" i="1"/>
  <c r="BK14" i="1" s="1"/>
  <c r="BF14" i="1"/>
  <c r="BE14" i="1"/>
  <c r="BF30" i="71"/>
  <c r="BJ30" i="71"/>
  <c r="BK30" i="71" s="1"/>
  <c r="BE30" i="71"/>
  <c r="AW18" i="81"/>
  <c r="BA18" i="81"/>
  <c r="BB18" i="81" s="1"/>
  <c r="AV18" i="81"/>
  <c r="AV10" i="1"/>
  <c r="BA10" i="1"/>
  <c r="BB10" i="1" s="1"/>
  <c r="AW10" i="1"/>
  <c r="BJ21" i="80"/>
  <c r="BK21" i="80" s="1"/>
  <c r="BF21" i="80"/>
  <c r="BE21" i="80"/>
  <c r="BE103" i="75"/>
  <c r="BJ103" i="75"/>
  <c r="BK103" i="75" s="1"/>
  <c r="BF103" i="75"/>
  <c r="BE10" i="73"/>
  <c r="BJ10" i="73"/>
  <c r="BK10" i="73" s="1"/>
  <c r="BF10" i="73"/>
  <c r="AW22" i="81"/>
  <c r="AV22" i="81"/>
  <c r="BA22" i="81"/>
  <c r="BB22" i="81" s="1"/>
  <c r="BE34" i="81"/>
  <c r="BF34" i="81"/>
  <c r="BJ34" i="81"/>
  <c r="BK34" i="81" s="1"/>
  <c r="AV22" i="67"/>
  <c r="AW22" i="67"/>
  <c r="BA22" i="67"/>
  <c r="BB22" i="67" s="1"/>
  <c r="AV83" i="70"/>
  <c r="AW83" i="70"/>
  <c r="BA83" i="70"/>
  <c r="BB83" i="70" s="1"/>
  <c r="AV8" i="1"/>
  <c r="BA8" i="1"/>
  <c r="BB8" i="1" s="1"/>
  <c r="AW8" i="1"/>
  <c r="BF15" i="1"/>
  <c r="BE15" i="1"/>
  <c r="BJ15" i="1"/>
  <c r="BK15" i="1" s="1"/>
  <c r="BF6" i="73"/>
  <c r="BE6" i="73"/>
  <c r="BJ6" i="73"/>
  <c r="BK6" i="73" s="1"/>
  <c r="AW6" i="71"/>
  <c r="AV6" i="71"/>
  <c r="BA6" i="71"/>
  <c r="BB6" i="71" s="1"/>
  <c r="BF22" i="67"/>
  <c r="BE22" i="67"/>
  <c r="BJ22" i="67"/>
  <c r="BK22" i="67" s="1"/>
  <c r="AV5" i="77"/>
  <c r="AW5" i="77"/>
  <c r="BA5" i="77"/>
  <c r="BB5" i="77" s="1"/>
  <c r="BE11" i="75"/>
  <c r="BJ11" i="75"/>
  <c r="BK11" i="75" s="1"/>
  <c r="BF11" i="75"/>
  <c r="AW6" i="78"/>
  <c r="AV6" i="78"/>
  <c r="BA6" i="78"/>
  <c r="BB6" i="78" s="1"/>
  <c r="BJ6" i="75"/>
  <c r="BK6" i="75" s="1"/>
  <c r="BF6" i="75"/>
  <c r="BE6" i="75"/>
  <c r="AV23" i="67"/>
  <c r="AW23" i="67"/>
  <c r="BA23" i="67"/>
  <c r="BB23" i="67" s="1"/>
  <c r="BJ35" i="1"/>
  <c r="BK35" i="1" s="1"/>
  <c r="BF35" i="1"/>
  <c r="BE35" i="1"/>
  <c r="BJ18" i="77"/>
  <c r="BK18" i="77" s="1"/>
  <c r="BE18" i="77"/>
  <c r="BF18" i="77"/>
  <c r="AW19" i="1"/>
  <c r="BA19" i="1"/>
  <c r="BB19" i="1" s="1"/>
  <c r="AV19" i="1"/>
  <c r="AW24" i="80"/>
  <c r="AV24" i="80"/>
  <c r="BA24" i="80"/>
  <c r="BB24" i="80" s="1"/>
  <c r="AV7" i="78"/>
  <c r="BA7" i="78"/>
  <c r="BB7" i="78" s="1"/>
  <c r="AW7" i="78"/>
  <c r="BJ16" i="73"/>
  <c r="BK16" i="73" s="1"/>
  <c r="BE16" i="73"/>
  <c r="BF16" i="73"/>
  <c r="BF16" i="67"/>
  <c r="BE16" i="67"/>
  <c r="BJ16" i="67"/>
  <c r="BK16" i="67" s="1"/>
  <c r="AW7" i="82"/>
  <c r="AV7" i="82"/>
  <c r="BA7" i="82"/>
  <c r="BB7" i="82" s="1"/>
  <c r="BJ15" i="76"/>
  <c r="BK15" i="76" s="1"/>
  <c r="BF15" i="76"/>
  <c r="BE15" i="76"/>
  <c r="BJ28" i="78"/>
  <c r="BK28" i="78" s="1"/>
  <c r="BF28" i="78"/>
  <c r="BE28" i="78"/>
  <c r="BJ9" i="76"/>
  <c r="BK9" i="76" s="1"/>
  <c r="BE9" i="76"/>
  <c r="BF9" i="76"/>
  <c r="BA11" i="66"/>
  <c r="BB11" i="66" s="1"/>
  <c r="AV11" i="66"/>
  <c r="AW11" i="66"/>
  <c r="BE14" i="73"/>
  <c r="BF14" i="73"/>
  <c r="BJ14" i="73"/>
  <c r="BK14" i="73" s="1"/>
  <c r="AV5" i="69"/>
  <c r="AW5" i="69"/>
  <c r="BA5" i="69"/>
  <c r="BB5" i="69" s="1"/>
  <c r="BF32" i="70"/>
  <c r="BE32" i="70"/>
  <c r="BJ32" i="70"/>
  <c r="BK32" i="70" s="1"/>
  <c r="BF43" i="80"/>
  <c r="BJ43" i="80"/>
  <c r="BK43" i="80" s="1"/>
  <c r="BE43" i="80"/>
  <c r="BE32" i="1"/>
  <c r="BJ32" i="1"/>
  <c r="BK32" i="1" s="1"/>
  <c r="BF32" i="1"/>
  <c r="AW30" i="78"/>
  <c r="BA30" i="78"/>
  <c r="BB30" i="78" s="1"/>
  <c r="AV30" i="78"/>
  <c r="AV9" i="66"/>
  <c r="BA9" i="66"/>
  <c r="BB9" i="66" s="1"/>
  <c r="AW9" i="66"/>
  <c r="AV11" i="81"/>
  <c r="AW11" i="81"/>
  <c r="BA11" i="81"/>
  <c r="BB11" i="81" s="1"/>
  <c r="BJ22" i="1"/>
  <c r="BK22" i="1" s="1"/>
  <c r="BF22" i="1"/>
  <c r="BE22" i="1"/>
  <c r="BE10" i="75"/>
  <c r="BF10" i="75"/>
  <c r="BJ10" i="75"/>
  <c r="BK10" i="75" s="1"/>
  <c r="BF10" i="66"/>
  <c r="BE10" i="66"/>
  <c r="BJ10" i="66"/>
  <c r="BK10" i="66" s="1"/>
  <c r="AW13" i="73"/>
  <c r="AV13" i="73"/>
  <c r="BA13" i="73"/>
  <c r="BB13" i="73" s="1"/>
  <c r="AW84" i="73"/>
  <c r="BA84" i="73"/>
  <c r="BB84" i="73" s="1"/>
  <c r="AV84" i="73"/>
  <c r="BF7" i="69"/>
  <c r="BE7" i="69"/>
  <c r="BJ7" i="69"/>
  <c r="BK7" i="69" s="1"/>
  <c r="BE15" i="73"/>
  <c r="BF15" i="73"/>
  <c r="BJ15" i="73"/>
  <c r="BK15" i="73" s="1"/>
  <c r="AW15" i="78"/>
  <c r="AV15" i="78"/>
  <c r="BA15" i="78"/>
  <c r="BB15" i="78" s="1"/>
  <c r="BE8" i="69"/>
  <c r="BF8" i="69"/>
  <c r="BJ8" i="69"/>
  <c r="BK8" i="69" s="1"/>
  <c r="BJ33" i="67"/>
  <c r="BK33" i="67" s="1"/>
  <c r="BE33" i="67"/>
  <c r="BF33" i="67"/>
  <c r="AW26" i="80"/>
  <c r="BA26" i="80"/>
  <c r="BB26" i="80" s="1"/>
  <c r="AV26" i="80"/>
  <c r="BE28" i="68"/>
  <c r="BF28" i="68"/>
  <c r="BJ28" i="68"/>
  <c r="BK28" i="68" s="1"/>
  <c r="BE13" i="82"/>
  <c r="BF13" i="82"/>
  <c r="BJ13" i="82"/>
  <c r="BK13" i="82" s="1"/>
  <c r="BE37" i="78"/>
  <c r="BJ37" i="78"/>
  <c r="BK37" i="78" s="1"/>
  <c r="BF37" i="78"/>
  <c r="BJ13" i="80"/>
  <c r="BK13" i="80" s="1"/>
  <c r="BF13" i="80"/>
  <c r="BE13" i="80"/>
  <c r="AV8" i="76"/>
  <c r="AW8" i="76"/>
  <c r="BA8" i="76"/>
  <c r="BB8" i="76" s="1"/>
  <c r="BE16" i="69"/>
  <c r="BJ16" i="69"/>
  <c r="BK16" i="69" s="1"/>
  <c r="BF16" i="69"/>
  <c r="BE7" i="80"/>
  <c r="BF7" i="80"/>
  <c r="BJ7" i="80"/>
  <c r="BK7" i="80" s="1"/>
  <c r="BJ7" i="68"/>
  <c r="BK7" i="68" s="1"/>
  <c r="BF7" i="68"/>
  <c r="BE7" i="68"/>
  <c r="AW5" i="78"/>
  <c r="AV5" i="78"/>
  <c r="BA5" i="78"/>
  <c r="BB5" i="78" s="1"/>
  <c r="BA10" i="82"/>
  <c r="BB10" i="82" s="1"/>
  <c r="AW10" i="82"/>
  <c r="AV10" i="82"/>
  <c r="BE20" i="71"/>
  <c r="BF20" i="71"/>
  <c r="BJ20" i="71"/>
  <c r="BK20" i="71" s="1"/>
  <c r="BJ14" i="78"/>
  <c r="BK14" i="78" s="1"/>
  <c r="BF14" i="78"/>
  <c r="BE14" i="78"/>
  <c r="BJ30" i="73"/>
  <c r="BK30" i="73" s="1"/>
  <c r="BF30" i="73"/>
  <c r="BE30" i="73"/>
  <c r="BF27" i="78"/>
  <c r="BJ27" i="78"/>
  <c r="BK27" i="78" s="1"/>
  <c r="BE27" i="78"/>
  <c r="BE8" i="73"/>
  <c r="BF8" i="73"/>
  <c r="BJ8" i="73"/>
  <c r="BK8" i="73" s="1"/>
  <c r="BE54" i="78"/>
  <c r="BF54" i="78"/>
  <c r="BJ54" i="78"/>
  <c r="BK54" i="78" s="1"/>
  <c r="BF29" i="68"/>
  <c r="BE29" i="68"/>
  <c r="BJ29" i="68"/>
  <c r="BK29" i="68" s="1"/>
  <c r="AV22" i="74"/>
  <c r="AW22" i="74"/>
  <c r="BA22" i="74"/>
  <c r="BB22" i="74" s="1"/>
  <c r="BJ25" i="78"/>
  <c r="BK25" i="78" s="1"/>
  <c r="BF25" i="78"/>
  <c r="BE25" i="78"/>
  <c r="AV12" i="1"/>
  <c r="BA12" i="1"/>
  <c r="BB12" i="1" s="1"/>
  <c r="AW12" i="1"/>
  <c r="AW33" i="78"/>
  <c r="AV33" i="78"/>
  <c r="BA33" i="78"/>
  <c r="BB33" i="78" s="1"/>
  <c r="AV10" i="68"/>
  <c r="AW10" i="68"/>
  <c r="BA10" i="68"/>
  <c r="BB10" i="68" s="1"/>
  <c r="BF17" i="73"/>
  <c r="BE17" i="73"/>
  <c r="BJ17" i="73"/>
  <c r="BK17" i="73" s="1"/>
  <c r="AV6" i="69"/>
  <c r="AW6" i="69"/>
  <c r="BA6" i="69"/>
  <c r="BB6" i="69" s="1"/>
  <c r="BF18" i="1"/>
  <c r="BJ18" i="1"/>
  <c r="BK18" i="1" s="1"/>
  <c r="BE18" i="1"/>
  <c r="BF16" i="1"/>
  <c r="BE16" i="1"/>
  <c r="BJ16" i="1"/>
  <c r="BK16" i="1" s="1"/>
  <c r="BJ19" i="73"/>
  <c r="BK19" i="73" s="1"/>
  <c r="BF19" i="73"/>
  <c r="BE19" i="73"/>
  <c r="BE14" i="66"/>
  <c r="BF14" i="66"/>
  <c r="BJ14" i="66"/>
  <c r="BK14" i="66" s="1"/>
  <c r="AV10" i="75"/>
  <c r="BA10" i="75"/>
  <c r="BB10" i="75" s="1"/>
  <c r="AW10" i="75"/>
  <c r="BF14" i="70"/>
  <c r="BE14" i="70"/>
  <c r="BJ14" i="70"/>
  <c r="BK14" i="70" s="1"/>
  <c r="AV28" i="78"/>
  <c r="BA28" i="78"/>
  <c r="BB28" i="78" s="1"/>
  <c r="AW28" i="78"/>
  <c r="AW11" i="76"/>
  <c r="BA11" i="76"/>
  <c r="BB11" i="76" s="1"/>
  <c r="AV11" i="76"/>
  <c r="AW20" i="81"/>
  <c r="BA20" i="81"/>
  <c r="BB20" i="81" s="1"/>
  <c r="AV20" i="81"/>
  <c r="BA6" i="67"/>
  <c r="BB6" i="67" s="1"/>
  <c r="AV6" i="67"/>
  <c r="AW6" i="67"/>
  <c r="BE10" i="82"/>
  <c r="BJ10" i="82"/>
  <c r="BK10" i="82" s="1"/>
  <c r="BF10" i="82"/>
  <c r="AW83" i="74"/>
  <c r="AV83" i="74"/>
  <c r="BA83" i="74"/>
  <c r="BB83" i="74" s="1"/>
  <c r="BF15" i="80"/>
  <c r="BE15" i="80"/>
  <c r="BJ15" i="80"/>
  <c r="BK15" i="80" s="1"/>
  <c r="AW16" i="80"/>
  <c r="BA16" i="80"/>
  <c r="BB16" i="80" s="1"/>
  <c r="AV16" i="80"/>
  <c r="BE24" i="78"/>
  <c r="BJ24" i="78"/>
  <c r="BK24" i="78" s="1"/>
  <c r="BF24" i="78"/>
  <c r="BE32" i="78"/>
  <c r="BF32" i="78"/>
  <c r="BJ32" i="78"/>
  <c r="BK32" i="78" s="1"/>
  <c r="BE13" i="73"/>
  <c r="BF13" i="73"/>
  <c r="BJ13" i="73"/>
  <c r="BK13" i="73" s="1"/>
  <c r="AV7" i="77"/>
  <c r="BA7" i="77"/>
  <c r="BB7" i="77" s="1"/>
  <c r="AW7" i="77"/>
  <c r="BJ5" i="80"/>
  <c r="BK5" i="80" s="1"/>
  <c r="BF5" i="80"/>
  <c r="BE5" i="80"/>
  <c r="BF6" i="1"/>
  <c r="BE6" i="1"/>
  <c r="BJ6" i="1"/>
  <c r="BK6" i="1" s="1"/>
  <c r="AV11" i="1"/>
  <c r="BA11" i="1"/>
  <c r="BB11" i="1" s="1"/>
  <c r="AW11" i="1"/>
  <c r="BF5" i="68"/>
  <c r="BE5" i="68"/>
  <c r="BJ5" i="68"/>
  <c r="BK5" i="68" s="1"/>
  <c r="BF17" i="66"/>
  <c r="BE17" i="66"/>
  <c r="BJ17" i="66"/>
  <c r="BK17" i="66" s="1"/>
  <c r="BJ18" i="70"/>
  <c r="BK18" i="70" s="1"/>
  <c r="BE18" i="70"/>
  <c r="BF18" i="70"/>
  <c r="BF21" i="74"/>
  <c r="BE21" i="74"/>
  <c r="BJ21" i="74"/>
  <c r="BK21" i="74" s="1"/>
  <c r="BF18" i="76"/>
  <c r="BJ18" i="76"/>
  <c r="BK18" i="76" s="1"/>
  <c r="BE18" i="76"/>
  <c r="AV10" i="67"/>
  <c r="BA10" i="67"/>
  <c r="BB10" i="67" s="1"/>
  <c r="AW10" i="67"/>
  <c r="BF5" i="73"/>
  <c r="BJ5" i="73"/>
  <c r="BK5" i="73" s="1"/>
  <c r="BE5" i="73"/>
  <c r="BF13" i="67"/>
  <c r="BJ13" i="67"/>
  <c r="BK13" i="67" s="1"/>
  <c r="BE13" i="67"/>
  <c r="BE7" i="74"/>
  <c r="BF7" i="74"/>
  <c r="BJ7" i="74"/>
  <c r="BK7" i="74" s="1"/>
  <c r="BF20" i="81"/>
  <c r="BJ20" i="81"/>
  <c r="BK20" i="81" s="1"/>
  <c r="BE20" i="81"/>
  <c r="BF14" i="75"/>
  <c r="BE14" i="75"/>
  <c r="BJ14" i="75"/>
  <c r="BK14" i="75" s="1"/>
  <c r="AW18" i="1"/>
  <c r="BA18" i="1"/>
  <c r="BB18" i="1" s="1"/>
  <c r="AV18" i="1"/>
  <c r="AW18" i="66"/>
  <c r="BA18" i="66"/>
  <c r="BB18" i="66" s="1"/>
  <c r="AV18" i="66"/>
  <c r="BJ41" i="80"/>
  <c r="BK41" i="80" s="1"/>
  <c r="BE41" i="80"/>
  <c r="BF41" i="80"/>
  <c r="BA23" i="80"/>
  <c r="BB23" i="80" s="1"/>
  <c r="AW23" i="80"/>
  <c r="AV23" i="80"/>
  <c r="AV18" i="71"/>
  <c r="BA18" i="71"/>
  <c r="BB18" i="71" s="1"/>
  <c r="AW18" i="71"/>
  <c r="AW9" i="68"/>
  <c r="AV9" i="68"/>
  <c r="BA9" i="68"/>
  <c r="BB9" i="68" s="1"/>
  <c r="AW5" i="68"/>
  <c r="AV5" i="68"/>
  <c r="BA5" i="68"/>
  <c r="BB5" i="68" s="1"/>
  <c r="BE10" i="80"/>
  <c r="BJ10" i="80"/>
  <c r="BK10" i="80" s="1"/>
  <c r="BF10" i="80"/>
  <c r="BJ8" i="74"/>
  <c r="BK8" i="74" s="1"/>
  <c r="BF8" i="74"/>
  <c r="BE8" i="74"/>
  <c r="BA6" i="77"/>
  <c r="BB6" i="77" s="1"/>
  <c r="AW6" i="77"/>
  <c r="AV6" i="77"/>
  <c r="BA11" i="82"/>
  <c r="BB11" i="82" s="1"/>
  <c r="AW11" i="82"/>
  <c r="AV11" i="82"/>
  <c r="BA17" i="78"/>
  <c r="BB17" i="78" s="1"/>
  <c r="AW17" i="78"/>
  <c r="AV17" i="78"/>
  <c r="AV12" i="71"/>
  <c r="BA12" i="71"/>
  <c r="BB12" i="71" s="1"/>
  <c r="AW12" i="71"/>
  <c r="BJ23" i="80"/>
  <c r="BK23" i="80" s="1"/>
  <c r="BF23" i="80"/>
  <c r="BE23" i="80"/>
  <c r="BF19" i="70"/>
  <c r="BE19" i="70"/>
  <c r="BJ19" i="70"/>
  <c r="BK19" i="70" s="1"/>
  <c r="BJ34" i="67"/>
  <c r="BK34" i="67" s="1"/>
  <c r="BE34" i="67"/>
  <c r="BF34" i="67"/>
  <c r="AW18" i="68"/>
  <c r="AV18" i="68"/>
  <c r="BA18" i="68"/>
  <c r="BB18" i="68" s="1"/>
  <c r="BF34" i="73"/>
  <c r="BE34" i="73"/>
  <c r="BJ34" i="73"/>
  <c r="BK34" i="73" s="1"/>
  <c r="BJ9" i="70"/>
  <c r="BK9" i="70" s="1"/>
  <c r="BE9" i="70"/>
  <c r="BF9" i="70"/>
  <c r="AV8" i="78"/>
  <c r="AW8" i="78"/>
  <c r="BA8" i="78"/>
  <c r="BB8" i="78" s="1"/>
  <c r="BF6" i="81"/>
  <c r="BE6" i="81"/>
  <c r="BJ6" i="81"/>
  <c r="BK6" i="81" s="1"/>
  <c r="AW5" i="80"/>
  <c r="AV5" i="80"/>
  <c r="BA5" i="80"/>
  <c r="BB5" i="80" s="1"/>
  <c r="AW12" i="70"/>
  <c r="BA12" i="70"/>
  <c r="BB12" i="70" s="1"/>
  <c r="AV12" i="70"/>
  <c r="BE6" i="69"/>
  <c r="BJ6" i="69"/>
  <c r="BK6" i="69" s="1"/>
  <c r="BF6" i="69"/>
  <c r="AV19" i="68"/>
  <c r="AW19" i="68"/>
  <c r="BA19" i="68"/>
  <c r="BB19" i="68" s="1"/>
  <c r="BF35" i="70"/>
  <c r="BE35" i="70"/>
  <c r="BJ35" i="70"/>
  <c r="BK35" i="70" s="1"/>
  <c r="BE35" i="74"/>
  <c r="BF35" i="74"/>
  <c r="BJ35" i="74"/>
  <c r="BK35" i="74" s="1"/>
  <c r="AV19" i="73"/>
  <c r="BA19" i="73"/>
  <c r="BB19" i="73" s="1"/>
  <c r="AW19" i="73"/>
  <c r="BA19" i="70"/>
  <c r="BB19" i="70" s="1"/>
  <c r="AW19" i="70"/>
  <c r="AV19" i="70"/>
  <c r="BE31" i="73"/>
  <c r="BF31" i="73"/>
  <c r="BJ31" i="73"/>
  <c r="BK31" i="73" s="1"/>
  <c r="BJ51" i="78"/>
  <c r="BK51" i="78" s="1"/>
  <c r="BE51" i="78"/>
  <c r="BF51" i="78"/>
  <c r="BJ11" i="81"/>
  <c r="BK11" i="81" s="1"/>
  <c r="BF11" i="81"/>
  <c r="BE11" i="81"/>
  <c r="BF17" i="68"/>
  <c r="BE17" i="68"/>
  <c r="BJ17" i="68"/>
  <c r="BK17" i="68" s="1"/>
  <c r="BJ35" i="78"/>
  <c r="BK35" i="78" s="1"/>
  <c r="BE35" i="78"/>
  <c r="BF35" i="78"/>
  <c r="BF10" i="77"/>
  <c r="BE10" i="77"/>
  <c r="BJ10" i="77"/>
  <c r="BK10" i="77" s="1"/>
  <c r="AV7" i="75"/>
  <c r="AW7" i="75"/>
  <c r="BA7" i="75"/>
  <c r="BB7" i="75" s="1"/>
  <c r="BJ15" i="75"/>
  <c r="BK15" i="75" s="1"/>
  <c r="BF15" i="75"/>
  <c r="BE15" i="75"/>
  <c r="BE22" i="80"/>
  <c r="BJ22" i="80"/>
  <c r="BK22" i="80" s="1"/>
  <c r="BF22" i="80"/>
  <c r="BF9" i="73"/>
  <c r="BJ9" i="73"/>
  <c r="BK9" i="73" s="1"/>
  <c r="BE9" i="73"/>
  <c r="BJ14" i="74"/>
  <c r="BK14" i="74" s="1"/>
  <c r="BE14" i="74"/>
  <c r="BF14" i="74"/>
  <c r="BE33" i="78"/>
  <c r="BF33" i="78"/>
  <c r="BJ33" i="78"/>
  <c r="BK33" i="78" s="1"/>
  <c r="AW5" i="75"/>
  <c r="AV5" i="75"/>
  <c r="BA5" i="75"/>
  <c r="BB5" i="75" s="1"/>
  <c r="AV9" i="69"/>
  <c r="AW9" i="69"/>
  <c r="BA9" i="69"/>
  <c r="BB9" i="69" s="1"/>
  <c r="AV12" i="77"/>
  <c r="BA12" i="77"/>
  <c r="BB12" i="77" s="1"/>
  <c r="AW12" i="77"/>
  <c r="BE32" i="81"/>
  <c r="BF32" i="81"/>
  <c r="BJ32" i="81"/>
  <c r="BK32" i="81" s="1"/>
  <c r="BF9" i="77"/>
  <c r="BE9" i="77"/>
  <c r="BJ9" i="77"/>
  <c r="BK9" i="77" s="1"/>
  <c r="AV21" i="78"/>
  <c r="BA21" i="78"/>
  <c r="BB21" i="78" s="1"/>
  <c r="AW21" i="78"/>
  <c r="BJ22" i="78"/>
  <c r="BK22" i="78" s="1"/>
  <c r="BF22" i="78"/>
  <c r="BE22" i="78"/>
  <c r="AW6" i="73"/>
  <c r="BA6" i="73"/>
  <c r="BB6" i="73" s="1"/>
  <c r="AV6" i="73"/>
  <c r="BE10" i="76"/>
  <c r="BJ10" i="76"/>
  <c r="BK10" i="76" s="1"/>
  <c r="BF10" i="76"/>
  <c r="BE16" i="68"/>
  <c r="BF16" i="68"/>
  <c r="BJ16" i="68"/>
  <c r="BK16" i="68" s="1"/>
  <c r="AW13" i="81"/>
  <c r="AV13" i="81"/>
  <c r="BA13" i="81"/>
  <c r="BB13" i="81" s="1"/>
  <c r="AW13" i="74"/>
  <c r="AV13" i="74"/>
  <c r="BA13" i="74"/>
  <c r="BB13" i="74" s="1"/>
  <c r="BE7" i="76"/>
  <c r="BF7" i="76"/>
  <c r="BJ7" i="76"/>
  <c r="BK7" i="76" s="1"/>
  <c r="BE15" i="74"/>
  <c r="BF15" i="74"/>
  <c r="BJ15" i="74"/>
  <c r="BK15" i="74" s="1"/>
  <c r="BA13" i="1"/>
  <c r="BB13" i="1" s="1"/>
  <c r="AW13" i="1"/>
  <c r="AV13" i="1"/>
  <c r="AW10" i="71"/>
  <c r="AV10" i="71"/>
  <c r="BA10" i="71"/>
  <c r="BB10" i="71" s="1"/>
  <c r="AW8" i="74"/>
  <c r="AV8" i="74"/>
  <c r="BA8" i="74"/>
  <c r="BB8" i="74" s="1"/>
  <c r="AW5" i="73"/>
  <c r="AV5" i="73"/>
  <c r="BA5" i="73"/>
  <c r="BB5" i="73" s="1"/>
  <c r="AW5" i="67"/>
  <c r="AV5" i="67"/>
  <c r="BA5" i="67"/>
  <c r="BB5" i="67" s="1"/>
  <c r="BF8" i="82"/>
  <c r="BJ8" i="82"/>
  <c r="BK8" i="82" s="1"/>
  <c r="BE8" i="82"/>
  <c r="AW21" i="71"/>
  <c r="AV21" i="71"/>
  <c r="BA21" i="71"/>
  <c r="BB21" i="71" s="1"/>
  <c r="BJ44" i="80"/>
  <c r="BK44" i="80" s="1"/>
  <c r="BE44" i="80"/>
  <c r="BF44" i="80"/>
  <c r="AV17" i="68"/>
  <c r="BA17" i="68"/>
  <c r="BB17" i="68" s="1"/>
  <c r="AW17" i="68"/>
  <c r="BJ20" i="1"/>
  <c r="BK20" i="1" s="1"/>
  <c r="BF20" i="1"/>
  <c r="BE20" i="1"/>
  <c r="BJ13" i="75"/>
  <c r="BK13" i="75" s="1"/>
  <c r="BF13" i="75"/>
  <c r="BE13" i="75"/>
  <c r="BF18" i="73"/>
  <c r="BE18" i="73"/>
  <c r="BJ18" i="73"/>
  <c r="BK18" i="73" s="1"/>
  <c r="BJ16" i="76"/>
  <c r="BK16" i="76" s="1"/>
  <c r="BE16" i="76"/>
  <c r="BF16" i="76"/>
  <c r="BJ11" i="66"/>
  <c r="BK11" i="66" s="1"/>
  <c r="BE11" i="66"/>
  <c r="BF11" i="66"/>
  <c r="BJ19" i="81"/>
  <c r="BK19" i="81" s="1"/>
  <c r="BE19" i="81"/>
  <c r="BF19" i="81"/>
  <c r="AW18" i="67"/>
  <c r="BA18" i="67"/>
  <c r="BB18" i="67" s="1"/>
  <c r="AV18" i="67"/>
  <c r="AV14" i="80"/>
  <c r="AW14" i="80"/>
  <c r="BA14" i="80"/>
  <c r="BB14" i="80" s="1"/>
  <c r="BE128" i="70"/>
  <c r="BF128" i="70"/>
  <c r="BJ128" i="70"/>
  <c r="BK128" i="70" s="1"/>
  <c r="BE18" i="68"/>
  <c r="BJ18" i="68"/>
  <c r="BK18" i="68" s="1"/>
  <c r="BF18" i="68"/>
  <c r="AV20" i="67"/>
  <c r="AW20" i="67"/>
  <c r="BA20" i="67"/>
  <c r="BB20" i="67" s="1"/>
  <c r="BE32" i="71"/>
  <c r="BJ32" i="71"/>
  <c r="BK32" i="71" s="1"/>
  <c r="BF32" i="71"/>
  <c r="AW20" i="71"/>
  <c r="BA20" i="71"/>
  <c r="BB20" i="71" s="1"/>
  <c r="AV20" i="71"/>
  <c r="BE7" i="67"/>
  <c r="BF7" i="67"/>
  <c r="BJ7" i="67"/>
  <c r="BK7" i="67" s="1"/>
  <c r="BF9" i="74"/>
  <c r="BE9" i="74"/>
  <c r="BJ9" i="74"/>
  <c r="BK9" i="74" s="1"/>
  <c r="BJ6" i="78"/>
  <c r="BK6" i="78" s="1"/>
  <c r="BE6" i="78"/>
  <c r="BF6" i="78"/>
  <c r="BE17" i="82"/>
  <c r="BF17" i="82"/>
  <c r="BJ17" i="82"/>
  <c r="BK17" i="82" s="1"/>
  <c r="AW7" i="71"/>
  <c r="AV7" i="71"/>
  <c r="BA7" i="71"/>
  <c r="BB7" i="71" s="1"/>
  <c r="BE16" i="70"/>
  <c r="BF16" i="70"/>
  <c r="BJ16" i="70"/>
  <c r="BK16" i="70" s="1"/>
  <c r="BJ38" i="78"/>
  <c r="BK38" i="78" s="1"/>
  <c r="BE38" i="78"/>
  <c r="BF38" i="78"/>
  <c r="BE14" i="71"/>
  <c r="BF14" i="71"/>
  <c r="BJ14" i="71"/>
  <c r="BK14" i="71" s="1"/>
  <c r="BA9" i="73"/>
  <c r="BB9" i="73" s="1"/>
  <c r="AV9" i="73"/>
  <c r="AW9" i="73"/>
  <c r="BF14" i="80"/>
  <c r="BE14" i="80"/>
  <c r="BJ14" i="80"/>
  <c r="BK14" i="80" s="1"/>
  <c r="BA10" i="74"/>
  <c r="BB10" i="74" s="1"/>
  <c r="AW10" i="74"/>
  <c r="AV10" i="74"/>
  <c r="BE26" i="80"/>
  <c r="BF26" i="80"/>
  <c r="BJ26" i="80"/>
  <c r="BK26" i="80" s="1"/>
  <c r="BJ5" i="76"/>
  <c r="BK5" i="76" s="1"/>
  <c r="BF5" i="76"/>
  <c r="BE5" i="76"/>
  <c r="BE5" i="75"/>
  <c r="BF5" i="75"/>
  <c r="BJ5" i="75"/>
  <c r="BK5" i="75" s="1"/>
  <c r="BF18" i="80"/>
  <c r="BJ18" i="80"/>
  <c r="BK18" i="80" s="1"/>
  <c r="BE18" i="80"/>
  <c r="BE12" i="73"/>
  <c r="BJ12" i="73"/>
  <c r="BK12" i="73" s="1"/>
  <c r="BF12" i="73"/>
  <c r="BJ12" i="74"/>
  <c r="BK12" i="74" s="1"/>
  <c r="BF12" i="74"/>
  <c r="BE12" i="74"/>
  <c r="AV12" i="67"/>
  <c r="BA12" i="67"/>
  <c r="BB12" i="67" s="1"/>
  <c r="AW12" i="67"/>
  <c r="BJ20" i="74"/>
  <c r="BK20" i="74" s="1"/>
  <c r="BF20" i="74"/>
  <c r="BE20" i="74"/>
  <c r="BJ30" i="66"/>
  <c r="BK30" i="66" s="1"/>
  <c r="BE30" i="66"/>
  <c r="BF30" i="66"/>
  <c r="BA18" i="70"/>
  <c r="BB18" i="70" s="1"/>
  <c r="AW18" i="70"/>
  <c r="AV18" i="70"/>
  <c r="BJ30" i="70"/>
  <c r="BK30" i="70" s="1"/>
  <c r="BF30" i="70"/>
  <c r="BE30" i="70"/>
  <c r="BJ12" i="66"/>
  <c r="BK12" i="66" s="1"/>
  <c r="BF12" i="66"/>
  <c r="BE12" i="66"/>
  <c r="AV10" i="78"/>
  <c r="AW10" i="78"/>
  <c r="BA10" i="78"/>
  <c r="BB10" i="78" s="1"/>
  <c r="BE8" i="67"/>
  <c r="BF8" i="67"/>
  <c r="BJ8" i="67"/>
  <c r="BK8" i="67" s="1"/>
  <c r="BE131" i="73"/>
  <c r="BF131" i="73"/>
  <c r="BJ131" i="73"/>
  <c r="BK131" i="73" s="1"/>
  <c r="BA7" i="74"/>
  <c r="BB7" i="74" s="1"/>
  <c r="AV7" i="74"/>
  <c r="AW7" i="74"/>
  <c r="AW12" i="66"/>
  <c r="AV12" i="66"/>
  <c r="BA12" i="66"/>
  <c r="BB12" i="66" s="1"/>
  <c r="BE10" i="67"/>
  <c r="BJ10" i="67"/>
  <c r="BK10" i="67" s="1"/>
  <c r="BF10" i="67"/>
  <c r="BJ10" i="81"/>
  <c r="BK10" i="81" s="1"/>
  <c r="BE10" i="81"/>
  <c r="BF10" i="81"/>
  <c r="AV84" i="70"/>
  <c r="AW84" i="70"/>
  <c r="BA84" i="70"/>
  <c r="BB84" i="70" s="1"/>
  <c r="AV7" i="68"/>
  <c r="AW7" i="68"/>
  <c r="BA7" i="68"/>
  <c r="BB7" i="68" s="1"/>
  <c r="BA22" i="73"/>
  <c r="BB22" i="73" s="1"/>
  <c r="AV22" i="73"/>
  <c r="AW22" i="73"/>
  <c r="AW27" i="80"/>
  <c r="AV27" i="80"/>
  <c r="BA27" i="80"/>
  <c r="BB27" i="80" s="1"/>
  <c r="BE34" i="70"/>
  <c r="BF34" i="70"/>
  <c r="BJ34" i="70"/>
  <c r="BK34" i="70" s="1"/>
  <c r="AW22" i="66"/>
  <c r="AV22" i="66"/>
  <c r="BA22" i="66"/>
  <c r="BB22" i="66" s="1"/>
  <c r="BF8" i="68"/>
  <c r="BJ8" i="68"/>
  <c r="BK8" i="68" s="1"/>
  <c r="BE8" i="68"/>
  <c r="BJ15" i="70"/>
  <c r="BK15" i="70" s="1"/>
  <c r="BF15" i="70"/>
  <c r="BE15" i="70"/>
  <c r="AW8" i="66"/>
  <c r="AV8" i="66"/>
  <c r="BA8" i="66"/>
  <c r="BB8" i="66" s="1"/>
  <c r="BJ41" i="78"/>
  <c r="BK41" i="78" s="1"/>
  <c r="BF41" i="78"/>
  <c r="BE41" i="78"/>
  <c r="BF5" i="77"/>
  <c r="BE5" i="77"/>
  <c r="BJ5" i="77"/>
  <c r="BK5" i="77" s="1"/>
  <c r="BE11" i="76"/>
  <c r="BJ11" i="76"/>
  <c r="BK11" i="76" s="1"/>
  <c r="BF11" i="76"/>
  <c r="BJ30" i="68"/>
  <c r="BK30" i="68" s="1"/>
  <c r="BE30" i="68"/>
  <c r="BF30" i="68"/>
  <c r="BA11" i="77"/>
  <c r="BB11" i="77" s="1"/>
  <c r="AW11" i="77"/>
  <c r="AV11" i="77"/>
  <c r="BF8" i="70"/>
  <c r="BJ8" i="70"/>
  <c r="BK8" i="70" s="1"/>
  <c r="BE8" i="70"/>
  <c r="BF16" i="81"/>
  <c r="BE16" i="81"/>
  <c r="BJ16" i="81"/>
  <c r="BK16" i="81" s="1"/>
  <c r="BF9" i="81"/>
  <c r="BE9" i="81"/>
  <c r="BJ9" i="81"/>
  <c r="BK9" i="81" s="1"/>
  <c r="AV5" i="76"/>
  <c r="AW5" i="76"/>
  <c r="BA5" i="76"/>
  <c r="BB5" i="76" s="1"/>
  <c r="BF19" i="77"/>
  <c r="BJ19" i="77"/>
  <c r="BK19" i="77" s="1"/>
  <c r="BE19" i="77"/>
  <c r="BJ32" i="66"/>
  <c r="BK32" i="66" s="1"/>
  <c r="BE32" i="66"/>
  <c r="BF32" i="66"/>
  <c r="BA20" i="73"/>
  <c r="BB20" i="73" s="1"/>
  <c r="AV20" i="73"/>
  <c r="AW20" i="73"/>
  <c r="BE17" i="81"/>
  <c r="BF17" i="81"/>
  <c r="BJ17" i="81"/>
  <c r="BK17" i="81" s="1"/>
  <c r="BF131" i="70"/>
  <c r="BJ131" i="70"/>
  <c r="BK131" i="70" s="1"/>
  <c r="BE131" i="70"/>
  <c r="BA6" i="68"/>
  <c r="BB6" i="68" s="1"/>
  <c r="AW6" i="68"/>
  <c r="AV6" i="68"/>
  <c r="BJ11" i="78"/>
  <c r="BK11" i="78" s="1"/>
  <c r="BE11" i="78"/>
  <c r="BF11" i="78"/>
  <c r="AW11" i="68"/>
  <c r="AV11" i="68"/>
  <c r="BA11" i="68"/>
  <c r="BB11" i="68" s="1"/>
  <c r="AW11" i="67"/>
  <c r="AV11" i="67"/>
  <c r="BA11" i="67"/>
  <c r="BB11" i="67" s="1"/>
  <c r="AV18" i="80"/>
  <c r="AW18" i="80"/>
  <c r="BA18" i="80"/>
  <c r="BB18" i="80" s="1"/>
  <c r="BE5" i="1"/>
  <c r="BJ5" i="1"/>
  <c r="BK5" i="1" s="1"/>
  <c r="BF5" i="1"/>
  <c r="BE10" i="69"/>
  <c r="BJ10" i="69"/>
  <c r="BK10" i="69" s="1"/>
  <c r="BF10" i="69"/>
  <c r="BJ7" i="75"/>
  <c r="BK7" i="75" s="1"/>
  <c r="BE7" i="75"/>
  <c r="BF7" i="75"/>
  <c r="BF10" i="70"/>
  <c r="BJ10" i="70"/>
  <c r="BK10" i="70" s="1"/>
  <c r="BE10" i="70"/>
  <c r="BF131" i="71"/>
  <c r="BE131" i="71"/>
  <c r="BJ131" i="71"/>
  <c r="BK131" i="71" s="1"/>
  <c r="BE18" i="66"/>
  <c r="BF18" i="66"/>
  <c r="BJ18" i="66"/>
  <c r="BK18" i="66" s="1"/>
  <c r="BA13" i="78"/>
  <c r="BB13" i="78" s="1"/>
  <c r="AW13" i="78"/>
  <c r="AV13" i="78"/>
  <c r="BF33" i="74"/>
  <c r="BJ33" i="74"/>
  <c r="BK33" i="74" s="1"/>
  <c r="BE33" i="74"/>
  <c r="AV21" i="81"/>
  <c r="BA21" i="81"/>
  <c r="BB21" i="81" s="1"/>
  <c r="AW21" i="81"/>
  <c r="BE33" i="81"/>
  <c r="BJ33" i="81"/>
  <c r="BK33" i="81" s="1"/>
  <c r="BF33" i="81"/>
  <c r="BA21" i="66"/>
  <c r="BB21" i="66" s="1"/>
  <c r="AV21" i="66"/>
  <c r="AW21" i="66"/>
  <c r="AW13" i="77"/>
  <c r="BA13" i="77"/>
  <c r="BB13" i="77" s="1"/>
  <c r="AV13" i="77"/>
  <c r="BE13" i="1"/>
  <c r="BF13" i="1"/>
  <c r="BJ13" i="1"/>
  <c r="BK13" i="1" s="1"/>
  <c r="BF13" i="76"/>
  <c r="BE13" i="76"/>
  <c r="BJ13" i="76"/>
  <c r="BK13" i="76" s="1"/>
  <c r="BJ18" i="74"/>
  <c r="BK18" i="74" s="1"/>
  <c r="BF18" i="74"/>
  <c r="BE18" i="74"/>
  <c r="BF16" i="82"/>
  <c r="BJ16" i="82"/>
  <c r="BK16" i="82" s="1"/>
  <c r="BE16" i="82"/>
  <c r="BJ21" i="78"/>
  <c r="BK21" i="78" s="1"/>
  <c r="BE21" i="78"/>
  <c r="BF21" i="78"/>
  <c r="BF9" i="66"/>
  <c r="BE9" i="66"/>
  <c r="BJ9" i="66"/>
  <c r="BK9" i="66" s="1"/>
  <c r="BF17" i="1"/>
  <c r="BE17" i="1"/>
  <c r="BJ17" i="1"/>
  <c r="BK17" i="1" s="1"/>
  <c r="N127" i="2"/>
  <c r="F127" i="2" s="1"/>
  <c r="I127" i="2" s="1"/>
  <c r="N299" i="2"/>
  <c r="F299" i="2" s="1"/>
  <c r="I299" i="2" s="1"/>
  <c r="N117" i="2"/>
  <c r="F117" i="2" s="1"/>
  <c r="I117" i="2" s="1"/>
  <c r="N126" i="2"/>
  <c r="F126" i="2" s="1"/>
  <c r="I126" i="2" s="1"/>
  <c r="N116" i="2"/>
  <c r="F116" i="2" s="1"/>
  <c r="I116" i="2" s="1"/>
  <c r="N304" i="2"/>
  <c r="F304" i="2" s="1"/>
  <c r="I304" i="2" s="1"/>
  <c r="N237" i="2"/>
  <c r="F237" i="2" s="1"/>
  <c r="I237" i="2" s="1"/>
  <c r="N296" i="2"/>
  <c r="F296" i="2" s="1"/>
  <c r="I296" i="2" s="1"/>
  <c r="N136" i="2"/>
  <c r="F136" i="2" s="1"/>
  <c r="I136" i="2" s="1"/>
  <c r="N214" i="2"/>
  <c r="F214" i="2" s="1"/>
  <c r="I214" i="2" s="1"/>
  <c r="N314" i="2"/>
  <c r="F314" i="2" s="1"/>
  <c r="I314" i="2" s="1"/>
  <c r="N44" i="2"/>
  <c r="F44" i="2" s="1"/>
  <c r="I44" i="2" s="1"/>
  <c r="N50" i="2"/>
  <c r="F50" i="2" s="1"/>
  <c r="I50" i="2" s="1"/>
  <c r="N210" i="2"/>
  <c r="F210" i="2" s="1"/>
  <c r="I210" i="2" s="1"/>
  <c r="N253" i="2"/>
  <c r="F253" i="2" s="1"/>
  <c r="I253" i="2" s="1"/>
  <c r="N312" i="2"/>
  <c r="F312" i="2" s="1"/>
  <c r="I312" i="2" s="1"/>
  <c r="N191" i="2"/>
  <c r="N62" i="2"/>
  <c r="F62" i="2" s="1"/>
  <c r="I62" i="2" s="1"/>
  <c r="N229" i="2"/>
  <c r="F229" i="2" s="1"/>
  <c r="I229" i="2" s="1"/>
  <c r="N97" i="2"/>
  <c r="F97" i="2" s="1"/>
  <c r="I97" i="2" s="1"/>
  <c r="N309" i="2"/>
  <c r="F309" i="2" s="1"/>
  <c r="I309" i="2" s="1"/>
  <c r="N66" i="2"/>
  <c r="F66" i="2" s="1"/>
  <c r="I66" i="2" s="1"/>
  <c r="N104" i="2"/>
  <c r="F104" i="2" s="1"/>
  <c r="I104" i="2" s="1"/>
  <c r="N137" i="2"/>
  <c r="F137" i="2" s="1"/>
  <c r="I137" i="2" s="1"/>
  <c r="N120" i="2"/>
  <c r="F120" i="2" s="1"/>
  <c r="I120" i="2" s="1"/>
  <c r="N342" i="2"/>
  <c r="F342" i="2" s="1"/>
  <c r="I342" i="2" s="1"/>
  <c r="N95" i="2"/>
  <c r="F95" i="2" s="1"/>
  <c r="I95" i="2" s="1"/>
  <c r="N118" i="2"/>
  <c r="F118" i="2" s="1"/>
  <c r="I118" i="2" s="1"/>
  <c r="N294" i="2"/>
  <c r="F294" i="2" s="1"/>
  <c r="I294" i="2" s="1"/>
  <c r="N69" i="2"/>
  <c r="N86" i="2"/>
  <c r="F86" i="2" s="1"/>
  <c r="I86" i="2" s="1"/>
  <c r="N337" i="2"/>
  <c r="F337" i="2" s="1"/>
  <c r="I337" i="2" s="1"/>
  <c r="N129" i="2"/>
  <c r="F129" i="2" s="1"/>
  <c r="I129" i="2" s="1"/>
  <c r="N365" i="2"/>
  <c r="F365" i="2" s="1"/>
  <c r="I365" i="2" s="1"/>
  <c r="N254" i="2"/>
  <c r="F254" i="2" s="1"/>
  <c r="I254" i="2" s="1"/>
  <c r="N115" i="2"/>
  <c r="F115" i="2" s="1"/>
  <c r="I115" i="2" s="1"/>
  <c r="N302" i="2"/>
  <c r="F302" i="2" s="1"/>
  <c r="I302" i="2" s="1"/>
  <c r="N346" i="2"/>
  <c r="F346" i="2" s="1"/>
  <c r="I346" i="2" s="1"/>
  <c r="N110" i="2"/>
  <c r="N231" i="2"/>
  <c r="F231" i="2" s="1"/>
  <c r="I231" i="2" s="1"/>
  <c r="N354" i="2"/>
  <c r="F354" i="2" s="1"/>
  <c r="I354" i="2" s="1"/>
  <c r="N323" i="2"/>
  <c r="F323" i="2" s="1"/>
  <c r="I323" i="2" s="1"/>
  <c r="N227" i="2"/>
  <c r="F227" i="2" s="1"/>
  <c r="I227" i="2" s="1"/>
  <c r="N269" i="2"/>
  <c r="F269" i="2" s="1"/>
  <c r="I269" i="2" s="1"/>
  <c r="N287" i="2"/>
  <c r="F287" i="2" s="1"/>
  <c r="I287" i="2" s="1"/>
  <c r="N225" i="2"/>
  <c r="F225" i="2" s="1"/>
  <c r="I225" i="2" s="1"/>
  <c r="N224" i="2"/>
  <c r="F224" i="2" s="1"/>
  <c r="I224" i="2" s="1"/>
  <c r="N285" i="2"/>
  <c r="F285" i="2" s="1"/>
  <c r="I285" i="2" s="1"/>
  <c r="N335" i="2"/>
  <c r="F335" i="2" s="1"/>
  <c r="I335" i="2" s="1"/>
  <c r="N356" i="2"/>
  <c r="F356" i="2" s="1"/>
  <c r="I356" i="2" s="1"/>
  <c r="N270" i="2"/>
  <c r="F270" i="2" s="1"/>
  <c r="I270" i="2" s="1"/>
  <c r="N261" i="2"/>
  <c r="F261" i="2" s="1"/>
  <c r="I261" i="2" s="1"/>
  <c r="N318" i="2"/>
  <c r="F318" i="2" s="1"/>
  <c r="I318" i="2" s="1"/>
  <c r="N331" i="2"/>
  <c r="F331" i="2" s="1"/>
  <c r="I331" i="2" s="1"/>
  <c r="N300" i="2"/>
  <c r="F300" i="2" s="1"/>
  <c r="I300" i="2" s="1"/>
  <c r="N240" i="2"/>
  <c r="F240" i="2" s="1"/>
  <c r="I240" i="2" s="1"/>
  <c r="N71" i="2"/>
  <c r="F71" i="2" s="1"/>
  <c r="I71" i="2" s="1"/>
  <c r="N79" i="2"/>
  <c r="F79" i="2" s="1"/>
  <c r="I79" i="2" s="1"/>
  <c r="N361" i="2"/>
  <c r="F361" i="2" s="1"/>
  <c r="I361" i="2" s="1"/>
  <c r="N241" i="2"/>
  <c r="F241" i="2" s="1"/>
  <c r="I241" i="2" s="1"/>
  <c r="N284" i="2"/>
  <c r="F284" i="2" s="1"/>
  <c r="I284" i="2" s="1"/>
  <c r="N344" i="2"/>
  <c r="F344" i="2" s="1"/>
  <c r="I344" i="2" s="1"/>
  <c r="N238" i="2"/>
  <c r="F238" i="2" s="1"/>
  <c r="I238" i="2" s="1"/>
  <c r="N277" i="2"/>
  <c r="F277" i="2" s="1"/>
  <c r="I277" i="2" s="1"/>
  <c r="N113" i="2"/>
  <c r="F113" i="2" s="1"/>
  <c r="I113" i="2" s="1"/>
  <c r="N352" i="2"/>
  <c r="F352" i="2" s="1"/>
  <c r="I352" i="2" s="1"/>
  <c r="N226" i="2"/>
  <c r="F226" i="2" s="1"/>
  <c r="I226" i="2" s="1"/>
  <c r="N265" i="2"/>
  <c r="F265" i="2" s="1"/>
  <c r="I265" i="2" s="1"/>
  <c r="N308" i="2"/>
  <c r="F308" i="2" s="1"/>
  <c r="I308" i="2" s="1"/>
  <c r="N264" i="2"/>
  <c r="F264" i="2" s="1"/>
  <c r="I264" i="2" s="1"/>
  <c r="N248" i="2"/>
  <c r="F248" i="2" s="1"/>
  <c r="I248" i="2" s="1"/>
  <c r="N96" i="2"/>
  <c r="F96" i="2" s="1"/>
  <c r="I96" i="2" s="1"/>
  <c r="N103" i="2"/>
  <c r="F103" i="2" s="1"/>
  <c r="I103" i="2" s="1"/>
  <c r="N247" i="2"/>
  <c r="F247" i="2" s="1"/>
  <c r="I247" i="2" s="1"/>
  <c r="N188" i="2"/>
  <c r="F188" i="2" s="1"/>
  <c r="I188" i="2" s="1"/>
  <c r="N363" i="2"/>
  <c r="F363" i="2" s="1"/>
  <c r="I363" i="2" s="1"/>
  <c r="N272" i="2"/>
  <c r="F272" i="2" s="1"/>
  <c r="I272" i="2" s="1"/>
  <c r="N338" i="2"/>
  <c r="F338" i="2" s="1"/>
  <c r="I338" i="2" s="1"/>
  <c r="N336" i="2"/>
  <c r="F336" i="2" s="1"/>
  <c r="I336" i="2" s="1"/>
  <c r="N282" i="2"/>
  <c r="F282" i="2" s="1"/>
  <c r="I282" i="2" s="1"/>
  <c r="N347" i="2"/>
  <c r="F347" i="2" s="1"/>
  <c r="I347" i="2" s="1"/>
  <c r="N311" i="2"/>
  <c r="F311" i="2" s="1"/>
  <c r="I311" i="2" s="1"/>
  <c r="N278" i="2"/>
  <c r="F278" i="2" s="1"/>
  <c r="I278" i="2" s="1"/>
  <c r="N288" i="2"/>
  <c r="F288" i="2" s="1"/>
  <c r="I288" i="2" s="1"/>
  <c r="N266" i="2"/>
  <c r="F266" i="2" s="1"/>
  <c r="I266" i="2" s="1"/>
  <c r="N135" i="2"/>
  <c r="F135" i="2" s="1"/>
  <c r="I135" i="2" s="1"/>
  <c r="N245" i="2"/>
  <c r="F245" i="2" s="1"/>
  <c r="I245" i="2" s="1"/>
  <c r="N128" i="2"/>
  <c r="F128" i="2" s="1"/>
  <c r="I128" i="2" s="1"/>
  <c r="N301" i="2"/>
  <c r="F301" i="2" s="1"/>
  <c r="I301" i="2" s="1"/>
  <c r="N279" i="2"/>
  <c r="F279" i="2" s="1"/>
  <c r="I279" i="2" s="1"/>
  <c r="N124" i="2"/>
  <c r="F124" i="2" s="1"/>
  <c r="I124" i="2" s="1"/>
  <c r="N83" i="2"/>
  <c r="F83" i="2" s="1"/>
  <c r="I83" i="2" s="1"/>
  <c r="N169" i="2"/>
  <c r="F169" i="2" s="1"/>
  <c r="I169" i="2" s="1"/>
  <c r="N174" i="2"/>
  <c r="F174" i="2" s="1"/>
  <c r="I174" i="2" s="1"/>
  <c r="N351" i="2"/>
  <c r="F351" i="2" s="1"/>
  <c r="I351" i="2" s="1"/>
  <c r="N280" i="2"/>
  <c r="F280" i="2" s="1"/>
  <c r="I280" i="2" s="1"/>
  <c r="N263" i="2"/>
  <c r="F263" i="2" s="1"/>
  <c r="I263" i="2" s="1"/>
  <c r="N317" i="2"/>
  <c r="F317" i="2" s="1"/>
  <c r="I317" i="2" s="1"/>
  <c r="N327" i="2"/>
  <c r="F327" i="2" s="1"/>
  <c r="I327" i="2" s="1"/>
  <c r="N326" i="2"/>
  <c r="F326" i="2" s="1"/>
  <c r="I326" i="2" s="1"/>
  <c r="N319" i="2"/>
  <c r="F319" i="2" s="1"/>
  <c r="I319" i="2" s="1"/>
  <c r="N251" i="2"/>
  <c r="F251" i="2" s="1"/>
  <c r="I251" i="2" s="1"/>
  <c r="N259" i="2"/>
  <c r="F259" i="2" s="1"/>
  <c r="I259" i="2" s="1"/>
  <c r="N343" i="2"/>
  <c r="F343" i="2" s="1"/>
  <c r="I343" i="2" s="1"/>
  <c r="N133" i="2"/>
  <c r="F133" i="2" s="1"/>
  <c r="I133" i="2" s="1"/>
  <c r="N348" i="2"/>
  <c r="F348" i="2" s="1"/>
  <c r="I348" i="2" s="1"/>
  <c r="N339" i="2"/>
  <c r="F339" i="2" s="1"/>
  <c r="I339" i="2" s="1"/>
  <c r="N320" i="2"/>
  <c r="F320" i="2" s="1"/>
  <c r="I320" i="2" s="1"/>
  <c r="N74" i="2"/>
  <c r="F74" i="2" s="1"/>
  <c r="I74" i="2" s="1"/>
  <c r="N324" i="2"/>
  <c r="F324" i="2" s="1"/>
  <c r="I324" i="2" s="1"/>
  <c r="N75" i="2"/>
  <c r="F75" i="2" s="1"/>
  <c r="I75" i="2" s="1"/>
  <c r="N330" i="2"/>
  <c r="F330" i="2" s="1"/>
  <c r="I330" i="2" s="1"/>
  <c r="N250" i="2"/>
  <c r="F250" i="2" s="1"/>
  <c r="I250" i="2" s="1"/>
  <c r="N325" i="2"/>
  <c r="F325" i="2" s="1"/>
  <c r="I325" i="2" s="1"/>
  <c r="N246" i="2"/>
  <c r="F246" i="2" s="1"/>
  <c r="I246" i="2" s="1"/>
  <c r="N271" i="2"/>
  <c r="F271" i="2" s="1"/>
  <c r="I271" i="2" s="1"/>
  <c r="N258" i="2"/>
  <c r="F258" i="2" s="1"/>
  <c r="I258" i="2" s="1"/>
  <c r="N130" i="2"/>
  <c r="F130" i="2" s="1"/>
  <c r="I130" i="2" s="1"/>
  <c r="N341" i="2"/>
  <c r="F341" i="2" s="1"/>
  <c r="I341" i="2" s="1"/>
  <c r="N334" i="2"/>
  <c r="F334" i="2" s="1"/>
  <c r="I334" i="2" s="1"/>
  <c r="N313" i="2"/>
  <c r="F313" i="2" s="1"/>
  <c r="I313" i="2" s="1"/>
  <c r="N233" i="2"/>
  <c r="F233" i="2" s="1"/>
  <c r="I233" i="2" s="1"/>
  <c r="N234" i="2"/>
  <c r="F234" i="2" s="1"/>
  <c r="I234" i="2" s="1"/>
  <c r="N139" i="2"/>
  <c r="F139" i="2" s="1"/>
  <c r="I139" i="2" s="1"/>
  <c r="N268" i="2"/>
  <c r="F268" i="2" s="1"/>
  <c r="I268" i="2" s="1"/>
  <c r="N114" i="2"/>
  <c r="F114" i="2" s="1"/>
  <c r="I114" i="2" s="1"/>
  <c r="N76" i="2"/>
  <c r="F76" i="2" s="1"/>
  <c r="I76" i="2" s="1"/>
  <c r="N273" i="2"/>
  <c r="F273" i="2" s="1"/>
  <c r="I273" i="2" s="1"/>
  <c r="N286" i="2"/>
  <c r="F286" i="2" s="1"/>
  <c r="I286" i="2" s="1"/>
  <c r="N48" i="2"/>
  <c r="F48" i="2" s="1"/>
  <c r="I48" i="2" s="1"/>
  <c r="N244" i="2"/>
  <c r="F244" i="2" s="1"/>
  <c r="I244" i="2" s="1"/>
  <c r="N321" i="2"/>
  <c r="F321" i="2" s="1"/>
  <c r="I321" i="2" s="1"/>
  <c r="N307" i="2"/>
  <c r="F307" i="2" s="1"/>
  <c r="I307" i="2" s="1"/>
  <c r="N349" i="2"/>
  <c r="F349" i="2" s="1"/>
  <c r="I349" i="2" s="1"/>
  <c r="N322" i="2"/>
  <c r="F322" i="2" s="1"/>
  <c r="I322" i="2" s="1"/>
  <c r="N77" i="2"/>
  <c r="F77" i="2" s="1"/>
  <c r="I77" i="2" s="1"/>
  <c r="N131" i="2"/>
  <c r="F131" i="2" s="1"/>
  <c r="I131" i="2" s="1"/>
  <c r="N195" i="2"/>
  <c r="F195" i="2" s="1"/>
  <c r="I195" i="2" s="1"/>
  <c r="N345" i="2"/>
  <c r="F345" i="2" s="1"/>
  <c r="I345" i="2" s="1"/>
  <c r="N316" i="2"/>
  <c r="F316" i="2" s="1"/>
  <c r="I316" i="2" s="1"/>
  <c r="N255" i="2"/>
  <c r="F255" i="2" s="1"/>
  <c r="I255" i="2" s="1"/>
  <c r="N257" i="2"/>
  <c r="F257" i="2" s="1"/>
  <c r="I257" i="2" s="1"/>
  <c r="N256" i="2"/>
  <c r="F256" i="2" s="1"/>
  <c r="I256" i="2" s="1"/>
  <c r="N249" i="2"/>
  <c r="F249" i="2" s="1"/>
  <c r="I249" i="2" s="1"/>
  <c r="N276" i="2"/>
  <c r="F276" i="2" s="1"/>
  <c r="I276" i="2" s="1"/>
  <c r="N78" i="2"/>
  <c r="F78" i="2" s="1"/>
  <c r="I78" i="2" s="1"/>
  <c r="N281" i="2"/>
  <c r="F281" i="2" s="1"/>
  <c r="I281" i="2" s="1"/>
  <c r="N329" i="2"/>
  <c r="F329" i="2" s="1"/>
  <c r="I329" i="2" s="1"/>
  <c r="N305" i="2"/>
  <c r="F305" i="2" s="1"/>
  <c r="I305" i="2" s="1"/>
  <c r="N306" i="2"/>
  <c r="F306" i="2" s="1"/>
  <c r="I306" i="2" s="1"/>
  <c r="N350" i="2"/>
  <c r="F350" i="2" s="1"/>
  <c r="I350" i="2" s="1"/>
  <c r="N134" i="2"/>
  <c r="F134" i="2" s="1"/>
  <c r="I134" i="2" s="1"/>
  <c r="N119" i="2"/>
  <c r="F119" i="2" s="1"/>
  <c r="I119" i="2" s="1"/>
  <c r="N221" i="2"/>
  <c r="F221" i="2" s="1"/>
  <c r="I221" i="2" s="1"/>
  <c r="N172" i="2"/>
  <c r="F172" i="2" s="1"/>
  <c r="I172" i="2" s="1"/>
  <c r="N212" i="2"/>
  <c r="F212" i="2" s="1"/>
  <c r="I212" i="2" s="1"/>
  <c r="N362" i="2"/>
  <c r="F362" i="2" s="1"/>
  <c r="I362" i="2" s="1"/>
  <c r="N218" i="2"/>
  <c r="F218" i="2" s="1"/>
  <c r="I218" i="2" s="1"/>
  <c r="N219" i="2"/>
  <c r="F219" i="2" s="1"/>
  <c r="I219" i="2" s="1"/>
  <c r="N178" i="2"/>
  <c r="F178" i="2" s="1"/>
  <c r="I178" i="2" s="1"/>
  <c r="N170" i="2"/>
  <c r="F170" i="2" s="1"/>
  <c r="I170" i="2" s="1"/>
  <c r="N260" i="2"/>
  <c r="F260" i="2" s="1"/>
  <c r="I260" i="2" s="1"/>
  <c r="N340" i="2"/>
  <c r="F340" i="2" s="1"/>
  <c r="I340" i="2" s="1"/>
  <c r="N358" i="2"/>
  <c r="F358" i="2" s="1"/>
  <c r="I358" i="2" s="1"/>
  <c r="N94" i="2"/>
  <c r="F94" i="2" s="1"/>
  <c r="I94" i="2" s="1"/>
  <c r="N102" i="2"/>
  <c r="F102" i="2" s="1"/>
  <c r="I102" i="2" s="1"/>
  <c r="N177" i="2"/>
  <c r="F177" i="2" s="1"/>
  <c r="I177" i="2" s="1"/>
  <c r="N166" i="2"/>
  <c r="F166" i="2" s="1"/>
  <c r="I166" i="2" s="1"/>
  <c r="N355" i="2"/>
  <c r="F355" i="2" s="1"/>
  <c r="I355" i="2" s="1"/>
  <c r="N105" i="2"/>
  <c r="F105" i="2" s="1"/>
  <c r="I105" i="2" s="1"/>
  <c r="N168" i="2"/>
  <c r="F168" i="2" s="1"/>
  <c r="I168" i="2" s="1"/>
  <c r="N185" i="2"/>
  <c r="F185" i="2" s="1"/>
  <c r="I185" i="2" s="1"/>
  <c r="N184" i="2"/>
  <c r="F184" i="2" s="1"/>
  <c r="I184" i="2" s="1"/>
  <c r="N179" i="2"/>
  <c r="F179" i="2" s="1"/>
  <c r="I179" i="2" s="1"/>
  <c r="N176" i="2"/>
  <c r="F176" i="2" s="1"/>
  <c r="I176" i="2" s="1"/>
  <c r="N72" i="2"/>
  <c r="F72" i="2" s="1"/>
  <c r="I72" i="2" s="1"/>
  <c r="N73" i="2"/>
  <c r="F73" i="2" s="1"/>
  <c r="I73" i="2" s="1"/>
  <c r="N217" i="2"/>
  <c r="F217" i="2" s="1"/>
  <c r="I217" i="2" s="1"/>
  <c r="N216" i="2"/>
  <c r="F216" i="2" s="1"/>
  <c r="I216" i="2" s="1"/>
  <c r="N181" i="2"/>
  <c r="F181" i="2" s="1"/>
  <c r="I181" i="2" s="1"/>
  <c r="N180" i="2"/>
  <c r="F180" i="2" s="1"/>
  <c r="I180" i="2" s="1"/>
  <c r="V235" i="2"/>
  <c r="X235" i="2"/>
  <c r="N274" i="2"/>
  <c r="F274" i="2" s="1"/>
  <c r="I274" i="2" s="1"/>
  <c r="N353" i="2"/>
  <c r="F353" i="2" s="1"/>
  <c r="I353" i="2" s="1"/>
  <c r="N141" i="2"/>
  <c r="N182" i="2"/>
  <c r="F182" i="2" s="1"/>
  <c r="I182" i="2" s="1"/>
  <c r="N173" i="2"/>
  <c r="F173" i="2" s="1"/>
  <c r="I173" i="2" s="1"/>
  <c r="N171" i="2"/>
  <c r="F171" i="2" s="1"/>
  <c r="I171" i="2" s="1"/>
  <c r="N187" i="2"/>
  <c r="F187" i="2" s="1"/>
  <c r="I187" i="2" s="1"/>
  <c r="N189" i="2"/>
  <c r="F189" i="2" s="1"/>
  <c r="I189" i="2" s="1"/>
  <c r="N98" i="2"/>
  <c r="F98" i="2" s="1"/>
  <c r="I98" i="2" s="1"/>
  <c r="N262" i="2"/>
  <c r="F262" i="2" s="1"/>
  <c r="I262" i="2" s="1"/>
  <c r="N310" i="2"/>
  <c r="F310" i="2" s="1"/>
  <c r="I310" i="2" s="1"/>
  <c r="N59" i="2"/>
  <c r="F59" i="2" s="1"/>
  <c r="I59" i="2" s="1"/>
  <c r="N84" i="2"/>
  <c r="F84" i="2" s="1"/>
  <c r="I84" i="2" s="1"/>
  <c r="N206" i="2"/>
  <c r="F206" i="2" s="1"/>
  <c r="I206" i="2" s="1"/>
  <c r="N183" i="2"/>
  <c r="F183" i="2" s="1"/>
  <c r="I183" i="2" s="1"/>
  <c r="N222" i="2"/>
  <c r="F222" i="2" s="1"/>
  <c r="I222" i="2" s="1"/>
  <c r="N196" i="2"/>
  <c r="F196" i="2" s="1"/>
  <c r="I196" i="2" s="1"/>
  <c r="N186" i="2"/>
  <c r="F186" i="2" s="1"/>
  <c r="I186" i="2" s="1"/>
  <c r="N275" i="2"/>
  <c r="F275" i="2" s="1"/>
  <c r="I275" i="2" s="1"/>
  <c r="N85" i="2"/>
  <c r="F85" i="2" s="1"/>
  <c r="I85" i="2" s="1"/>
  <c r="N220" i="2"/>
  <c r="F220" i="2" s="1"/>
  <c r="I220" i="2" s="1"/>
  <c r="F191" i="2" l="1"/>
  <c r="I191" i="2" s="1"/>
  <c r="BK4" i="86"/>
  <c r="BB4" i="86"/>
  <c r="BB4" i="84"/>
  <c r="BB4" i="87"/>
  <c r="BK4" i="84"/>
  <c r="BK4" i="87"/>
  <c r="F141" i="2"/>
  <c r="I141" i="2" s="1"/>
  <c r="F69" i="2"/>
  <c r="I69" i="2" s="1"/>
  <c r="F110" i="2"/>
  <c r="I110" i="2" s="1"/>
  <c r="BK4" i="83"/>
  <c r="BB4" i="83"/>
  <c r="BK4" i="73"/>
  <c r="BB4" i="74"/>
  <c r="BK4" i="66"/>
  <c r="BB4" i="71"/>
  <c r="BK4" i="78"/>
  <c r="BK4" i="81"/>
  <c r="BB4" i="73"/>
  <c r="BB4" i="67"/>
  <c r="BB4" i="80"/>
  <c r="BB4" i="66"/>
  <c r="BK4" i="71"/>
  <c r="BK4" i="67"/>
  <c r="BB4" i="81"/>
  <c r="BK4" i="80"/>
  <c r="BK4" i="69"/>
  <c r="BB4" i="70"/>
  <c r="BK4" i="68"/>
  <c r="BB4" i="1"/>
  <c r="BB4" i="78"/>
  <c r="BK4" i="1"/>
  <c r="BK4" i="74"/>
  <c r="BB4" i="75"/>
  <c r="BK4" i="82"/>
  <c r="BK4" i="77"/>
  <c r="BK4" i="70"/>
  <c r="BK4" i="75"/>
  <c r="BB4" i="82"/>
  <c r="BK4" i="76"/>
  <c r="BB4" i="68"/>
  <c r="BB4" i="77"/>
  <c r="BB4" i="76"/>
  <c r="BB4" i="69"/>
  <c r="N235" i="2"/>
  <c r="F235" i="2" s="1"/>
  <c r="I235" i="2" s="1"/>
  <c r="F13" i="68" l="1"/>
  <c r="F13" i="78"/>
  <c r="F13" i="84"/>
  <c r="F13" i="87"/>
  <c r="F13" i="86"/>
  <c r="F13" i="73"/>
  <c r="F13" i="83"/>
  <c r="F13" i="76"/>
  <c r="F13" i="77"/>
  <c r="F13" i="66"/>
  <c r="F13" i="69"/>
  <c r="G383" i="2"/>
  <c r="F13" i="1"/>
  <c r="F13" i="81"/>
  <c r="F13" i="82"/>
  <c r="F13" i="75"/>
  <c r="F13" i="74"/>
  <c r="F13" i="80"/>
  <c r="F13" i="70"/>
  <c r="F13" i="67"/>
  <c r="F13" i="71"/>
  <c r="AY110" i="85"/>
  <c r="AZ110" i="85" s="1"/>
  <c r="BB107" i="85"/>
  <c r="BH155" i="85"/>
  <c r="BI155" i="85" s="1"/>
  <c r="BK155" i="85" l="1"/>
  <c r="BB110" i="85"/>
  <c r="BB4" i="85" s="1"/>
  <c r="BH158" i="85"/>
  <c r="BK158" i="85" l="1"/>
  <c r="BK4" i="85" s="1"/>
  <c r="F13" i="85" s="1"/>
  <c r="BI158" i="8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Jiří Kopenec</author>
  </authors>
  <commentList>
    <comment ref="AW4" authorId="0" shapeId="0" xr:uid="{00000000-0006-0000-0400-000001000000}">
      <text>
        <r>
          <rPr>
            <b/>
            <sz val="9"/>
            <color indexed="81"/>
            <rFont val="Tahoma"/>
            <family val="2"/>
            <charset val="238"/>
          </rPr>
          <t xml:space="preserve">podľa tohto sa vyfarbuje pole, či sa jedná o sety, alebo veľkobalenia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Jiří Kopenec</author>
  </authors>
  <commentList>
    <comment ref="AW4" authorId="0" shapeId="0" xr:uid="{00000000-0006-0000-0500-000001000000}">
      <text>
        <r>
          <rPr>
            <b/>
            <sz val="9"/>
            <color indexed="81"/>
            <rFont val="Tahoma"/>
            <family val="2"/>
            <charset val="238"/>
          </rPr>
          <t xml:space="preserve">podľa tohto sa vyfarbuje pole, či sa jedná o sety, alebo veľkobalenia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Jiří Kopenec</author>
  </authors>
  <commentList>
    <comment ref="AW4" authorId="0" shapeId="0" xr:uid="{00000000-0006-0000-0600-000001000000}">
      <text>
        <r>
          <rPr>
            <b/>
            <sz val="9"/>
            <color indexed="81"/>
            <rFont val="Tahoma"/>
            <family val="2"/>
            <charset val="238"/>
          </rPr>
          <t xml:space="preserve">podľa tohto sa vyfarbuje pole, či sa jedná o sety, alebo veľkobalenia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Jiří Kopenec</author>
  </authors>
  <commentList>
    <comment ref="AW4" authorId="0" shapeId="0" xr:uid="{00000000-0006-0000-0700-000001000000}">
      <text>
        <r>
          <rPr>
            <b/>
            <sz val="9"/>
            <color indexed="81"/>
            <rFont val="Tahoma"/>
            <family val="2"/>
            <charset val="238"/>
          </rPr>
          <t xml:space="preserve">podľa tohto sa vyfarbuje pole, či sa jedná o sety, alebo veľkobalenia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Jiří Kopenec</author>
  </authors>
  <commentList>
    <comment ref="AW4" authorId="0" shapeId="0" xr:uid="{00000000-0006-0000-0800-000001000000}">
      <text>
        <r>
          <rPr>
            <b/>
            <sz val="9"/>
            <color indexed="81"/>
            <rFont val="Tahoma"/>
            <family val="2"/>
            <charset val="238"/>
          </rPr>
          <t xml:space="preserve">podľa tohto sa vyfarbuje pole, či sa jedná o sety, alebo veľkobalenia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Jiří Kopenec</author>
  </authors>
  <commentList>
    <comment ref="AW4" authorId="0" shapeId="0" xr:uid="{00000000-0006-0000-0900-000001000000}">
      <text>
        <r>
          <rPr>
            <b/>
            <sz val="9"/>
            <color indexed="81"/>
            <rFont val="Tahoma"/>
            <family val="2"/>
            <charset val="238"/>
          </rPr>
          <t xml:space="preserve">podľa tohto sa vyfarbuje pole, či sa jedná o sety, alebo veľkobalenia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Jiří Kopenec</author>
  </authors>
  <commentList>
    <comment ref="AW4" authorId="0" shapeId="0" xr:uid="{00000000-0006-0000-0A00-000001000000}">
      <text>
        <r>
          <rPr>
            <b/>
            <sz val="9"/>
            <color indexed="81"/>
            <rFont val="Tahoma"/>
            <family val="2"/>
            <charset val="238"/>
          </rPr>
          <t xml:space="preserve">podľa tohto sa vyfarbuje pole, či sa jedná o sety, alebo veľkobalenia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Jiří Kopenec</author>
  </authors>
  <commentList>
    <comment ref="AW4" authorId="0" shapeId="0" xr:uid="{00000000-0006-0000-0B00-000001000000}">
      <text>
        <r>
          <rPr>
            <b/>
            <sz val="9"/>
            <color indexed="81"/>
            <rFont val="Tahoma"/>
            <family val="2"/>
            <charset val="238"/>
          </rPr>
          <t xml:space="preserve">podľa tohto sa vyfarbuje pole, či sa jedná o sety, alebo veľkobalenia
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Jiří Kopenec</author>
  </authors>
  <commentList>
    <comment ref="AW4" authorId="0" shapeId="0" xr:uid="{00000000-0006-0000-0C00-000001000000}">
      <text>
        <r>
          <rPr>
            <b/>
            <sz val="9"/>
            <color indexed="81"/>
            <rFont val="Tahoma"/>
            <family val="2"/>
            <charset val="238"/>
          </rPr>
          <t xml:space="preserve">podľa tohto sa vyfarbuje pole, či sa jedná o sety, alebo veľkobalenia
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Jiří Kopenec</author>
  </authors>
  <commentList>
    <comment ref="AW4" authorId="0" shapeId="0" xr:uid="{00000000-0006-0000-0D00-000001000000}">
      <text>
        <r>
          <rPr>
            <b/>
            <sz val="9"/>
            <color indexed="81"/>
            <rFont val="Tahoma"/>
            <family val="2"/>
            <charset val="238"/>
          </rPr>
          <t xml:space="preserve">podľa tohto sa vyfarbuje pole, či sa jedná o sety, alebo veľkobalenia
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Jiří Kopenec</author>
  </authors>
  <commentList>
    <comment ref="AW4" authorId="0" shapeId="0" xr:uid="{00000000-0006-0000-0E00-000001000000}">
      <text>
        <r>
          <rPr>
            <b/>
            <sz val="9"/>
            <color indexed="81"/>
            <rFont val="Tahoma"/>
            <family val="2"/>
            <charset val="238"/>
          </rPr>
          <t xml:space="preserve">podľa tohto sa vyfarbuje pole, či sa jedná o sety, alebo veľkobalenia
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Jiří Kopenec</author>
  </authors>
  <commentList>
    <comment ref="AW4" authorId="0" shapeId="0" xr:uid="{00000000-0006-0000-0F00-000001000000}">
      <text>
        <r>
          <rPr>
            <b/>
            <sz val="9"/>
            <color indexed="81"/>
            <rFont val="Tahoma"/>
            <family val="2"/>
            <charset val="238"/>
          </rPr>
          <t xml:space="preserve">podľa tohto sa vyfarbuje pole, či sa jedná o sety, alebo veľkobalenia
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Jiří Kopenec</author>
  </authors>
  <commentList>
    <comment ref="AW4" authorId="0" shapeId="0" xr:uid="{00000000-0006-0000-1000-000001000000}">
      <text>
        <r>
          <rPr>
            <b/>
            <sz val="9"/>
            <color indexed="81"/>
            <rFont val="Tahoma"/>
            <family val="2"/>
            <charset val="238"/>
          </rPr>
          <t xml:space="preserve">podľa tohto sa vyfarbuje pole, či sa jedná o sety, alebo veľkobalenia
</t>
        </r>
      </text>
    </comment>
  </commentList>
</comments>
</file>

<file path=xl/comments1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Jiří Kopenec</author>
  </authors>
  <commentList>
    <comment ref="AW4" authorId="0" shapeId="0" xr:uid="{00000000-0006-0000-1100-000001000000}">
      <text>
        <r>
          <rPr>
            <b/>
            <sz val="9"/>
            <color indexed="81"/>
            <rFont val="Tahoma"/>
            <family val="2"/>
            <charset val="238"/>
          </rPr>
          <t xml:space="preserve">podľa tohto sa vyfarbuje pole, či sa jedná o sety, alebo veľkobalenia
</t>
        </r>
      </text>
    </comment>
  </commentList>
</comments>
</file>

<file path=xl/comments1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Jiří Kopenec</author>
  </authors>
  <commentList>
    <comment ref="AW4" authorId="0" shapeId="0" xr:uid="{00000000-0006-0000-1200-000001000000}">
      <text>
        <r>
          <rPr>
            <b/>
            <sz val="9"/>
            <color indexed="81"/>
            <rFont val="Tahoma"/>
            <family val="2"/>
            <charset val="238"/>
          </rPr>
          <t xml:space="preserve">podľa tohto sa vyfarbuje pole, či sa jedná o sety, alebo veľkobalenia
</t>
        </r>
      </text>
    </comment>
  </commentList>
</comments>
</file>

<file path=xl/comments1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Jiří Kopenec</author>
  </authors>
  <commentList>
    <comment ref="AW4" authorId="0" shapeId="0" xr:uid="{00000000-0006-0000-1300-000001000000}">
      <text>
        <r>
          <rPr>
            <b/>
            <sz val="9"/>
            <color indexed="81"/>
            <rFont val="Tahoma"/>
            <family val="2"/>
            <charset val="238"/>
          </rPr>
          <t xml:space="preserve">podľa tohto sa vyfarbuje pole, či sa jedná o sety, alebo veľkobalenia
</t>
        </r>
      </text>
    </comment>
  </commentList>
</comments>
</file>

<file path=xl/comments1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Jiří Kopenec</author>
  </authors>
  <commentList>
    <comment ref="AW4" authorId="0" shapeId="0" xr:uid="{00000000-0006-0000-1400-000001000000}">
      <text>
        <r>
          <rPr>
            <b/>
            <sz val="9"/>
            <color indexed="81"/>
            <rFont val="Tahoma"/>
            <family val="2"/>
            <charset val="238"/>
          </rPr>
          <t xml:space="preserve">podľa tohto sa vyfarbuje pole, či sa jedná o sety, alebo veľkobalenia
</t>
        </r>
      </text>
    </comment>
  </commentList>
</comments>
</file>

<file path=xl/comments1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Jiří Kopenec</author>
  </authors>
  <commentList>
    <comment ref="AW4" authorId="0" shapeId="0" xr:uid="{00000000-0006-0000-1500-000001000000}">
      <text>
        <r>
          <rPr>
            <b/>
            <sz val="9"/>
            <color indexed="81"/>
            <rFont val="Tahoma"/>
            <family val="2"/>
            <charset val="238"/>
          </rPr>
          <t xml:space="preserve">podľa tohto sa vyfarbuje pole, či sa jedná o sety, alebo veľkobalenia
</t>
        </r>
      </text>
    </comment>
  </commentList>
</comments>
</file>

<file path=xl/comments1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Jiří Kopenec</author>
  </authors>
  <commentList>
    <comment ref="AW4" authorId="0" shapeId="0" xr:uid="{00000000-0006-0000-1600-000001000000}">
      <text>
        <r>
          <rPr>
            <b/>
            <sz val="9"/>
            <color indexed="81"/>
            <rFont val="Tahoma"/>
            <family val="2"/>
            <charset val="238"/>
          </rPr>
          <t xml:space="preserve">podľa tohto sa vyfarbuje pole, či sa jedná o sety, alebo veľkobalenia
</t>
        </r>
      </text>
    </comment>
  </commentList>
</comments>
</file>

<file path=xl/comments2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Jiří Kopenec</author>
  </authors>
  <commentList>
    <comment ref="AW4" authorId="0" shapeId="0" xr:uid="{00000000-0006-0000-1700-000001000000}">
      <text>
        <r>
          <rPr>
            <b/>
            <sz val="9"/>
            <color indexed="81"/>
            <rFont val="Tahoma"/>
            <family val="2"/>
            <charset val="238"/>
          </rPr>
          <t xml:space="preserve">podľa tohto sa vyfarbuje pole, či sa jedná o sety, alebo veľkobalenia
</t>
        </r>
      </text>
    </comment>
  </commentList>
</comments>
</file>

<file path=xl/comments2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Jiří Kopenec</author>
  </authors>
  <commentList>
    <comment ref="AW4" authorId="0" shapeId="0" xr:uid="{00000000-0006-0000-1800-000001000000}">
      <text>
        <r>
          <rPr>
            <b/>
            <sz val="9"/>
            <color indexed="81"/>
            <rFont val="Tahoma"/>
            <family val="2"/>
            <charset val="238"/>
          </rPr>
          <t xml:space="preserve">podľa tohto sa vyfarbuje pole, či sa jedná o sety, alebo veľkobalenia
</t>
        </r>
      </text>
    </comment>
  </commentList>
</comments>
</file>

<file path=xl/comments2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Jiří Kopenec</author>
  </authors>
  <commentList>
    <comment ref="F22" authorId="0" shapeId="0" xr:uid="{00000000-0006-0000-1A00-000001000000}">
      <text>
        <r>
          <rPr>
            <b/>
            <sz val="12"/>
            <color indexed="81"/>
            <rFont val="Arial"/>
            <family val="2"/>
            <charset val="238"/>
          </rPr>
          <t xml:space="preserve">Odfiltrujte prázdné řádky
</t>
        </r>
        <r>
          <rPr>
            <b/>
            <sz val="10"/>
            <color indexed="81"/>
            <rFont val="Arial"/>
            <family val="2"/>
            <charset val="238"/>
          </rPr>
          <t>zrušte zatržítko u poslední
volby '(Prázné)'</t>
        </r>
      </text>
    </comment>
    <comment ref="F194" authorId="0" shapeId="0" xr:uid="{00000000-0006-0000-1A00-000002000000}">
      <text>
        <r>
          <rPr>
            <b/>
            <sz val="12"/>
            <color indexed="10"/>
            <rFont val="Arial"/>
            <family val="2"/>
            <charset val="238"/>
          </rPr>
          <t>Máš upravený počet ks ?</t>
        </r>
      </text>
    </comment>
    <comment ref="F195" authorId="0" shapeId="0" xr:uid="{00000000-0006-0000-1A00-000003000000}">
      <text>
        <r>
          <rPr>
            <b/>
            <sz val="12"/>
            <color indexed="10"/>
            <rFont val="Arial"/>
            <family val="2"/>
            <charset val="238"/>
          </rPr>
          <t>Máš upravený počet ks ?</t>
        </r>
      </text>
    </comment>
    <comment ref="F196" authorId="0" shapeId="0" xr:uid="{00000000-0006-0000-1A00-000004000000}">
      <text>
        <r>
          <rPr>
            <b/>
            <sz val="12"/>
            <color indexed="10"/>
            <rFont val="Arial"/>
            <family val="2"/>
            <charset val="238"/>
          </rPr>
          <t>Máš upravený počet ks ?</t>
        </r>
      </text>
    </comment>
    <comment ref="F210" authorId="0" shapeId="0" xr:uid="{00000000-0006-0000-1A00-000005000000}">
      <text>
        <r>
          <rPr>
            <b/>
            <sz val="12"/>
            <color indexed="10"/>
            <rFont val="Arial"/>
            <family val="2"/>
            <charset val="238"/>
          </rPr>
          <t>Máš upravený počet ks ?</t>
        </r>
      </text>
    </comment>
    <comment ref="F288" authorId="0" shapeId="0" xr:uid="{00000000-0006-0000-1A00-000006000000}">
      <text>
        <r>
          <rPr>
            <b/>
            <sz val="12"/>
            <color indexed="10"/>
            <rFont val="Arial"/>
            <family val="2"/>
            <charset val="238"/>
          </rPr>
          <t>Máš upravený počet ks ?</t>
        </r>
      </text>
    </comment>
  </commentList>
</comments>
</file>

<file path=xl/sharedStrings.xml><?xml version="1.0" encoding="utf-8"?>
<sst xmlns="http://schemas.openxmlformats.org/spreadsheetml/2006/main" count="3719" uniqueCount="1998">
  <si>
    <t>Jmenovitá délka:</t>
  </si>
  <si>
    <t>30 kg</t>
  </si>
  <si>
    <t>čiastočný výsuv</t>
  </si>
  <si>
    <t>plnovýsuv</t>
  </si>
  <si>
    <t>částečný výsuv</t>
  </si>
  <si>
    <t>CZK</t>
  </si>
  <si>
    <t>SK</t>
  </si>
  <si>
    <t>Menovitá dĺžka:</t>
  </si>
  <si>
    <t xml:space="preserve"> Úvod</t>
  </si>
  <si>
    <t xml:space="preserve"> Objednávka</t>
  </si>
  <si>
    <t xml:space="preserve"> Základní údaje</t>
  </si>
  <si>
    <t>Údaje pro objednávku, zadání slevy od prodejce</t>
  </si>
  <si>
    <t>Pokračovat na:</t>
  </si>
  <si>
    <t>Zpět na:</t>
  </si>
  <si>
    <t xml:space="preserve"> Základné údaje</t>
  </si>
  <si>
    <t>Údaje pre objednávku, zadanie zľavy od predajcu</t>
  </si>
  <si>
    <t>Pokračovať na:</t>
  </si>
  <si>
    <t>Späť na:</t>
  </si>
  <si>
    <t>bočnice:</t>
  </si>
  <si>
    <t>strieborná</t>
  </si>
  <si>
    <t>na skrutky</t>
  </si>
  <si>
    <t>bočnica:</t>
  </si>
  <si>
    <t>chrbát:</t>
  </si>
  <si>
    <t>farba:</t>
  </si>
  <si>
    <t>čelné kovanie:</t>
  </si>
  <si>
    <t>cena kovania:</t>
  </si>
  <si>
    <t xml:space="preserve"> Nápověda</t>
  </si>
  <si>
    <t>Prodejce:</t>
  </si>
  <si>
    <t>Zpět na úvod</t>
  </si>
  <si>
    <t>Název</t>
  </si>
  <si>
    <t>Číslo artiklu</t>
  </si>
  <si>
    <t>Jednotková cena</t>
  </si>
  <si>
    <t>balenie</t>
  </si>
  <si>
    <t>MALOBALENIE :</t>
  </si>
  <si>
    <t>VELKOBALENIE:</t>
  </si>
  <si>
    <t>Odběratel</t>
  </si>
  <si>
    <t>Objednávka</t>
  </si>
  <si>
    <t>Dodací adresa</t>
  </si>
  <si>
    <t>Telefon, fax, e-mail</t>
  </si>
  <si>
    <t>Číslo objednávky</t>
  </si>
  <si>
    <t>Zakázka</t>
  </si>
  <si>
    <t>Počet</t>
  </si>
  <si>
    <t>Celkem</t>
  </si>
  <si>
    <t>Změna</t>
  </si>
  <si>
    <t>kusy</t>
  </si>
  <si>
    <t>celkem</t>
  </si>
  <si>
    <t xml:space="preserve">Cena celkem bez DPH </t>
  </si>
  <si>
    <t xml:space="preserve"> </t>
  </si>
  <si>
    <t>Adresa</t>
  </si>
  <si>
    <t xml:space="preserve">Sleva od prodejce [%]: </t>
  </si>
  <si>
    <t>Odberateľ</t>
  </si>
  <si>
    <t>Dodacia adresa</t>
  </si>
  <si>
    <t>Telefón, fax, e-mail</t>
  </si>
  <si>
    <t xml:space="preserve">Zľava od predajcu [%]: </t>
  </si>
  <si>
    <t>Zákazka</t>
  </si>
  <si>
    <t>Názov</t>
  </si>
  <si>
    <t>balení</t>
  </si>
  <si>
    <t>Celkom</t>
  </si>
  <si>
    <t>Zmena</t>
  </si>
  <si>
    <t>na vruty</t>
  </si>
  <si>
    <t xml:space="preserve">Verze </t>
  </si>
  <si>
    <t>barva:</t>
  </si>
  <si>
    <t>čelní kování:</t>
  </si>
  <si>
    <t>Sleva %</t>
  </si>
  <si>
    <t>Formulář pro identifikační údaje</t>
  </si>
  <si>
    <t xml:space="preserve"> Nápoveda</t>
  </si>
  <si>
    <t>Verzia</t>
  </si>
  <si>
    <t>Cenová hladina:</t>
  </si>
  <si>
    <t>Zľava %</t>
  </si>
  <si>
    <t>stříbrná</t>
  </si>
  <si>
    <t>bílá</t>
  </si>
  <si>
    <t>biela</t>
  </si>
  <si>
    <t>antracit</t>
  </si>
  <si>
    <t>s rozpěrnými pouzdry</t>
  </si>
  <si>
    <t>s rozpernými púzdrami</t>
  </si>
  <si>
    <t>záda:</t>
  </si>
  <si>
    <t>cena kování:</t>
  </si>
  <si>
    <t>Formulár pre identifikačné údaje</t>
  </si>
  <si>
    <t>Späť na úvod</t>
  </si>
  <si>
    <t>Hettich ČR k.s.</t>
  </si>
  <si>
    <t>Jihlavská 3</t>
  </si>
  <si>
    <t>591 01  Žďár nad Sázavou</t>
  </si>
  <si>
    <t>Predajca:</t>
  </si>
  <si>
    <t>Před prvním spuštěním:</t>
  </si>
  <si>
    <t>Nápověda</t>
  </si>
  <si>
    <t>Úvod</t>
  </si>
  <si>
    <t>Pred prvým spustením:</t>
  </si>
  <si>
    <t>Základní ceny</t>
  </si>
  <si>
    <t>Základné ceny</t>
  </si>
  <si>
    <t>Nákupné ceny</t>
  </si>
  <si>
    <t>Nákupní ceny</t>
  </si>
  <si>
    <t>S volitelnou slevou</t>
  </si>
  <si>
    <t>S voliteľnou zľavou</t>
  </si>
  <si>
    <t>Ceny se slevou od prodejce [Základní údaje]</t>
  </si>
  <si>
    <t>Nastavit</t>
  </si>
  <si>
    <t>Nastaviť</t>
  </si>
  <si>
    <t>Ceny so zľavou od predajcu [Základné údaje]</t>
  </si>
  <si>
    <t>Nápoveda</t>
  </si>
  <si>
    <t>Tip:</t>
  </si>
  <si>
    <t>chróm</t>
  </si>
  <si>
    <t>nerez finiš</t>
  </si>
  <si>
    <t>barva relingu:</t>
  </si>
  <si>
    <t>farba relingu:</t>
  </si>
  <si>
    <t>veľkobalenia</t>
  </si>
  <si>
    <t>zásuvka základná</t>
  </si>
  <si>
    <t>výška chrbátu :</t>
  </si>
  <si>
    <t>flexibilné sety</t>
  </si>
  <si>
    <t>STOP CONTROL - samodovieranie</t>
  </si>
  <si>
    <t>SILENT SYSTEM - s tlmením</t>
  </si>
  <si>
    <t>PUSH-TO-OPEN - bez úchytkové</t>
  </si>
  <si>
    <t>Kód predajcu</t>
  </si>
  <si>
    <t>Sklad</t>
  </si>
  <si>
    <t xml:space="preserve"> Základné údaje // Nápoveda</t>
  </si>
  <si>
    <t xml:space="preserve"> Výběr zásuvek</t>
  </si>
  <si>
    <t xml:space="preserve"> Výber zásuviek</t>
  </si>
  <si>
    <t>Vpred na:</t>
  </si>
  <si>
    <t>Vpřed na:</t>
  </si>
  <si>
    <t>Vybrané</t>
  </si>
  <si>
    <t>Vybraté</t>
  </si>
  <si>
    <t>ATIRA</t>
  </si>
  <si>
    <t>výška bočnice :</t>
  </si>
  <si>
    <t>zásuvka s TopSide oceľ.</t>
  </si>
  <si>
    <t>zásuvka s TopSide sklen.</t>
  </si>
  <si>
    <t>zásuvka s 2x relingom</t>
  </si>
  <si>
    <t>zásuvka s 2x relingem</t>
  </si>
  <si>
    <t>zásuvka s TopSide ocel.</t>
  </si>
  <si>
    <t>zásuvka s TopSide skleň.</t>
  </si>
  <si>
    <t>výška zad :</t>
  </si>
  <si>
    <t>STOP CONTROL - samodovírání</t>
  </si>
  <si>
    <t>SILENT SYSTEM - s tlumením</t>
  </si>
  <si>
    <t>flexibilní sety</t>
  </si>
  <si>
    <t>velkobalení</t>
  </si>
  <si>
    <t>Fakturační adresa</t>
  </si>
  <si>
    <t>Fakturačná adresa</t>
  </si>
  <si>
    <t>IČO</t>
  </si>
  <si>
    <t>DIČ / IČDPH</t>
  </si>
  <si>
    <t>Kód prodejce</t>
  </si>
  <si>
    <t>Platnost cenníka od</t>
  </si>
  <si>
    <t>Platnosť cenníku od</t>
  </si>
  <si>
    <t>&lt;&lt;  zpět</t>
  </si>
  <si>
    <t>vpřed  &gt;&gt;</t>
  </si>
  <si>
    <t>&lt;&lt;  späť</t>
  </si>
  <si>
    <t>vpred  &gt;&gt;</t>
  </si>
  <si>
    <t>Čelo na vnútornú zásuvku</t>
  </si>
  <si>
    <t>vonkajšie rozmery zásuvkovej skrinky [mm]</t>
  </si>
  <si>
    <t>Šírka korpusu:</t>
  </si>
  <si>
    <t>Čelo na vnitřní zásuvku</t>
  </si>
  <si>
    <t>vnější rozměry zásuvkové skřínky [mm]</t>
  </si>
  <si>
    <t>Šířka korpusu:</t>
  </si>
  <si>
    <t>Je potrebné vybrať</t>
  </si>
  <si>
    <t>Je potřebné vybrat</t>
  </si>
  <si>
    <t>ks vnitřních čel.</t>
  </si>
  <si>
    <t>ks vnútorných čiel.</t>
  </si>
  <si>
    <t>Vybral si o</t>
  </si>
  <si>
    <t>ks vnútorných čiel VIACEJ.</t>
  </si>
  <si>
    <t>Vybral jsi o</t>
  </si>
  <si>
    <t>ks vnitřních čel VÍCE.</t>
  </si>
  <si>
    <t>Ešte CHÝBA vybrať</t>
  </si>
  <si>
    <t>Ešte CHYBÍ vybrat</t>
  </si>
  <si>
    <t>Počet vnútorných čiel teraz pasuje s počtom zásuviek.</t>
  </si>
  <si>
    <t>Ku každej zásuvke je uvažované jedno predné 2m hliníkové čelo.</t>
  </si>
  <si>
    <t>Ke každé zásuvce je uvažované jedno přední 2m hliníkové čelo.</t>
  </si>
  <si>
    <t>Je nutné vybrať sklenené čelá podľa rozmerov skriniek !</t>
  </si>
  <si>
    <t>Je nutné vybrat skleněné čela podle rozměrů skříněk !</t>
  </si>
  <si>
    <t>Pre výber kliknu tu.</t>
  </si>
  <si>
    <t>Pro výběr kliknu zde.</t>
  </si>
  <si>
    <t>Ku každej zásuvke je uvažované jedno predné 2m hliníkové čelo a priečný reling.</t>
  </si>
  <si>
    <t>Ke každé zásuvce je uvažované jedno přední 2m hliníkové čelo a příčny reling.</t>
  </si>
  <si>
    <t>vonkajšia šírka skrinky</t>
  </si>
  <si>
    <t>šírka výlisku</t>
  </si>
  <si>
    <t>OrgaTray 440 / 480</t>
  </si>
  <si>
    <t>hĺbka zásuvky</t>
  </si>
  <si>
    <t>hĺbka výlisku [mm]</t>
  </si>
  <si>
    <t>vnější šířka skřínky</t>
  </si>
  <si>
    <t>šířka výlisku</t>
  </si>
  <si>
    <t>hloubka výlisku [mm]</t>
  </si>
  <si>
    <t>hloubka zásuvky</t>
  </si>
  <si>
    <t>Špeciálne zásuvky a špeciálne riešenia</t>
  </si>
  <si>
    <t>zásuvka s relingom a individuálne vysokým chrbátom</t>
  </si>
  <si>
    <t>zásuvka s relingem a individuálně vysokými zády</t>
  </si>
  <si>
    <t>zásuvka veľkokapacitná XXL</t>
  </si>
  <si>
    <t>zásuvka velkokapacitní XXL</t>
  </si>
  <si>
    <t>zásuvka s vybráním pod dřez</t>
  </si>
  <si>
    <t>zásuvka s relingem a s vybráním pod dřez</t>
  </si>
  <si>
    <t>zásuvka s vybraním pod drez</t>
  </si>
  <si>
    <t>zásuvka s relingom a s vybraním pod drez</t>
  </si>
  <si>
    <t>zásuvka velkokapacitní pod sporák</t>
  </si>
  <si>
    <t>zásuvka veľkokapacitná pod šporák</t>
  </si>
  <si>
    <t>alebo</t>
  </si>
  <si>
    <t>nebo</t>
  </si>
  <si>
    <t>potravinová skriňa vysoká výsuvná</t>
  </si>
  <si>
    <t>potravinová skriňa vysoká otváravá</t>
  </si>
  <si>
    <t>potravinová skříň vysoká výsuvná</t>
  </si>
  <si>
    <t>potravinová skříň vysoká otvíravá</t>
  </si>
  <si>
    <t>Koľko úrovňový chceš mať reling ?</t>
  </si>
  <si>
    <t>Kolik úrovňový chceš mít reling ?</t>
  </si>
  <si>
    <t>Prípadnú zmenu na inú dĺžku vykonajte v objednávke.</t>
  </si>
  <si>
    <t>Vnitřní krátke bočnice jsou uvažované v jmenovité délce 260mm.</t>
  </si>
  <si>
    <t>Vnútorné krátke bočnice sú uvažované v menovitej dĺžke 260mm.</t>
  </si>
  <si>
    <t>Případnou změnu na jinou délku vykonejte v objednávce.</t>
  </si>
  <si>
    <t>Jmenovitá délka 470 mm:</t>
  </si>
  <si>
    <t>Menovitá dĺžka 470 mm:</t>
  </si>
  <si>
    <t>Maximální výška korpusu skříňky = 750mm.   Maximální šířka korpusu skříňky = 300mm.</t>
  </si>
  <si>
    <t>Maximálna výška korpusu skrinky = 750mm.   Maximálna šírka korpusu skrinky = 300mm.</t>
  </si>
  <si>
    <t>Je potrebné vybrať vnútorné čelá na</t>
  </si>
  <si>
    <t>Je potřebné vybrat vnitřní čela na</t>
  </si>
  <si>
    <t>Ešte CHÝBA vybrať vnútorné čelá na</t>
  </si>
  <si>
    <t>skriňu (skrine).</t>
  </si>
  <si>
    <t>skříň (skříně).</t>
  </si>
  <si>
    <t>Ešte CHYBÍ vybrat vnitřní čela na</t>
  </si>
  <si>
    <t>Vybral si na</t>
  </si>
  <si>
    <t>Vybral jsi na</t>
  </si>
  <si>
    <t>Počet vnitřních čel nyní pasuje s počtem zásuvek.</t>
  </si>
  <si>
    <t>skriňu (skrine) vnútorných čiel VIACEJ.</t>
  </si>
  <si>
    <t>skříň (skříně) vnitřních čel VÍCE.</t>
  </si>
  <si>
    <t>Případnou úpravu počtu hliníkových čel (profilů) vykonej v objednávce.</t>
  </si>
  <si>
    <t>Případnou úpravu počtu hliníkových čel (profilů) a příčných relingů vykonej v objednávce.</t>
  </si>
  <si>
    <t>Prípadnú úpravu počtu hliníkových čiel (profilov) vykonaj v objednávke.</t>
  </si>
  <si>
    <t>Prípadnú úpravu počtu hliníkových čiel (profilov) a priečnych relingov vykonaj v objednávke.</t>
  </si>
  <si>
    <t xml:space="preserve">Zadaj výšku zľavy [%] </t>
  </si>
  <si>
    <t>Zadaj výšku zľavy</t>
  </si>
  <si>
    <t xml:space="preserve">Zadej výšku slevy [%] </t>
  </si>
  <si>
    <t>Zadej výšku slevy</t>
  </si>
  <si>
    <t>vyber farbu povrchovej úpravy</t>
  </si>
  <si>
    <t>vyber zpôsob montáže čelného kovania</t>
  </si>
  <si>
    <t>vyber barvu povrchové úpravy</t>
  </si>
  <si>
    <t>vyber způsob montáže čelního kování</t>
  </si>
  <si>
    <t>Na úvodnej obrazovke :</t>
  </si>
  <si>
    <t>Na úvodní obrazovce :</t>
  </si>
  <si>
    <t>vyber, aké ceny sa budú zobrazovať:</t>
  </si>
  <si>
    <t>vyber, jaké ceny se budou zobrazovat:</t>
  </si>
  <si>
    <t>V levé části obrazovky vyplň identifikační údaje.</t>
  </si>
  <si>
    <t>Ve střední části vyplň výšku slevy od prodejce.</t>
  </si>
  <si>
    <t>Vrať se na úvod a soubor ulož nebo zavři s potvzením změn.</t>
  </si>
  <si>
    <t>Identifikační údaje se budou zobrazovat v hlavičce objednávky.</t>
  </si>
  <si>
    <t>Identifikačné údaje sa budú zobrazovať v hlavičke objednávky.</t>
  </si>
  <si>
    <t>V strednej časti vyplň výšku zľavy od predajcu.</t>
  </si>
  <si>
    <t>V ľavej časti obrazovky vyplň identifikačné údaje.</t>
  </si>
  <si>
    <t>Vrať sa na úvod a súbor ulož, alebo zatvor s potvdením zmien.</t>
  </si>
  <si>
    <t>základní ceny, tj. ceníkové bez slevy</t>
  </si>
  <si>
    <t>nákupní ceny, tj. ceny se slevou od prodejce</t>
  </si>
  <si>
    <t>základné ceny, tj. cenníkové bez zľavy</t>
  </si>
  <si>
    <t>nákupné ceny, tj. ceny so zľavou od predajcu</t>
  </si>
  <si>
    <t>ceny s volitelnou slevou</t>
  </si>
  <si>
    <t>ceny s voliteľnou zľavou</t>
  </si>
  <si>
    <t>Zadáte-li slevu s mínusovým znamínkem, zobrazí se ceny o tuto hodnotu vyšší.</t>
  </si>
  <si>
    <t>Pokiaľ zadáte zľavu s mínusovým znamienkom, zobrazia sa ceny o túto hodnotu vyššie.</t>
  </si>
  <si>
    <t>…</t>
  </si>
  <si>
    <t xml:space="preserve">V stĺpci "Zmena" môžeš upraviť počty kusov jednotlivých položiek. </t>
  </si>
  <si>
    <t>Po úpravě objednávky odfiltruj prázné řádky pomocí filtru ve sloupci "Počet".</t>
  </si>
  <si>
    <t>Po úprave objednávky odfiltruj prázné riadky pomocou filtru v stĺpci "Počet".</t>
  </si>
  <si>
    <t>Pokud chceš objednávku uložit nebo odeslat jako přílohu, vytvoř nový soubor kliknutím na odkaz  'Vytvořit objednávku'.</t>
  </si>
  <si>
    <t>VYTVORIŤ  OBJEDNÁVKU</t>
  </si>
  <si>
    <t>VYTVOŘIT  OBJEDNÁVKU</t>
  </si>
  <si>
    <t>Pokiaľ chceš objednávku uložiť alebo odoslať ako prílohu, vytvor nový súbor kliknutím na odkaz  'Vytvoriť objednávku'.</t>
  </si>
  <si>
    <t>Zásuvky uzké</t>
  </si>
  <si>
    <t>Vysoké potravinové skrine</t>
  </si>
  <si>
    <t>Vysoké potravinové skříně</t>
  </si>
  <si>
    <t>………………</t>
  </si>
  <si>
    <t>Nevymazal si vnútorné čelá !</t>
  </si>
  <si>
    <t>Nevymazal jsi vnitřní čela !</t>
  </si>
  <si>
    <t>zásuvky</t>
  </si>
  <si>
    <t>závesy</t>
  </si>
  <si>
    <t>Zásuvky úzké</t>
  </si>
  <si>
    <t>zásuvka s DesignSide</t>
  </si>
  <si>
    <t>275 mm</t>
  </si>
  <si>
    <t>1200 mm</t>
  </si>
  <si>
    <t>370 mm</t>
  </si>
  <si>
    <t>620 mm</t>
  </si>
  <si>
    <t>min.šířka korp.:</t>
  </si>
  <si>
    <t>min.šírka korp.:</t>
  </si>
  <si>
    <t>max.šířka korp.:</t>
  </si>
  <si>
    <t>max.šírka korp.:</t>
  </si>
  <si>
    <t>min.hl.příbor. :</t>
  </si>
  <si>
    <t>max.hl.příbor.:</t>
  </si>
  <si>
    <t>min.hĺb.príbor.:</t>
  </si>
  <si>
    <t>max.hĺb.príbor.:</t>
  </si>
  <si>
    <t>Volné pole</t>
  </si>
  <si>
    <t>Voľné pole</t>
  </si>
  <si>
    <t>Speciální zásuvky a speciální řešení</t>
  </si>
  <si>
    <t>DIČ</t>
  </si>
  <si>
    <t xml:space="preserve"> =SVYHLEDAT(B1038;'[CP_vzor_2016-HSR-news.xlsm]CENÍK'!$B$4:$I$45000;2;NEPRAVDA)</t>
  </si>
  <si>
    <t xml:space="preserve"> =SVYHLEDAT(B1038;'[CP_vzor_2016-HSR-news.xlsm]CENÍK'!$B$4:$I$45000;8;NEPRAVDA)</t>
  </si>
  <si>
    <r>
      <rPr>
        <sz val="10"/>
        <color indexed="9"/>
        <rFont val="Arial"/>
        <family val="2"/>
        <charset val="238"/>
      </rPr>
      <t>.</t>
    </r>
    <r>
      <rPr>
        <sz val="10"/>
        <color indexed="8"/>
        <rFont val="Arial"/>
        <family val="2"/>
        <charset val="238"/>
      </rPr>
      <t>101</t>
    </r>
  </si>
  <si>
    <t>Actro YOU</t>
  </si>
  <si>
    <t>Quadro YOU</t>
  </si>
  <si>
    <t>10 kg</t>
  </si>
  <si>
    <t>40 kg</t>
  </si>
  <si>
    <t>70 kg</t>
  </si>
  <si>
    <t xml:space="preserve"> Actro YOU 10 / SiSy</t>
  </si>
  <si>
    <t xml:space="preserve"> Actro YOU 40 / SiSy</t>
  </si>
  <si>
    <t xml:space="preserve"> Actro YOU 70 / SiSy</t>
  </si>
  <si>
    <t xml:space="preserve"> Quadro YOU 10 / SiSy</t>
  </si>
  <si>
    <t>spôsob balenia:</t>
  </si>
  <si>
    <t xml:space="preserve">8 - 20 kg </t>
  </si>
  <si>
    <t xml:space="preserve">&lt; 10 kg </t>
  </si>
  <si>
    <t xml:space="preserve">10 - 40 kg </t>
  </si>
  <si>
    <t xml:space="preserve">20 - 70 kg </t>
  </si>
  <si>
    <t xml:space="preserve">10 - 30 kg </t>
  </si>
  <si>
    <t>typ</t>
  </si>
  <si>
    <t>P2O Silent pre Actro</t>
  </si>
  <si>
    <t>P2O Silent pre Quadro</t>
  </si>
  <si>
    <t>ss</t>
  </si>
  <si>
    <t>hliník</t>
  </si>
  <si>
    <t>nerez</t>
  </si>
  <si>
    <t>dub</t>
  </si>
  <si>
    <t>orech</t>
  </si>
  <si>
    <t>dekoratívny profil:</t>
  </si>
  <si>
    <t>žiadna</t>
  </si>
  <si>
    <t>strieborná s logom</t>
  </si>
  <si>
    <t>strieborná bez loga</t>
  </si>
  <si>
    <t>biela s logom</t>
  </si>
  <si>
    <t>biela bez loga</t>
  </si>
  <si>
    <t>antracitová s logom</t>
  </si>
  <si>
    <t>antracitová bez loga</t>
  </si>
  <si>
    <t>krytka:</t>
  </si>
  <si>
    <t>hrúbka boku skrinky:</t>
  </si>
  <si>
    <t>dekorativní profil:</t>
  </si>
  <si>
    <t>vo farbe bočnice</t>
  </si>
  <si>
    <t>v barvě bočnice</t>
  </si>
  <si>
    <t>ořech</t>
  </si>
  <si>
    <t>stříbrná s logem</t>
  </si>
  <si>
    <t>stříbrná bez loga</t>
  </si>
  <si>
    <t>bílá bez loga</t>
  </si>
  <si>
    <t>bílá s logem</t>
  </si>
  <si>
    <t>antracitová s logem</t>
  </si>
  <si>
    <t>tloušťka boku skřínky:</t>
  </si>
  <si>
    <r>
      <rPr>
        <sz val="10"/>
        <color indexed="9"/>
        <rFont val="Arial"/>
        <family val="2"/>
        <charset val="238"/>
      </rPr>
      <t>.</t>
    </r>
    <r>
      <rPr>
        <sz val="10"/>
        <color indexed="8"/>
        <rFont val="Arial"/>
        <family val="2"/>
        <charset val="238"/>
      </rPr>
      <t>139</t>
    </r>
  </si>
  <si>
    <r>
      <rPr>
        <sz val="10"/>
        <color indexed="9"/>
        <rFont val="Arial"/>
        <family val="2"/>
        <charset val="238"/>
      </rPr>
      <t>.</t>
    </r>
    <r>
      <rPr>
        <sz val="10"/>
        <color indexed="8"/>
        <rFont val="Arial"/>
        <family val="2"/>
        <charset val="238"/>
      </rPr>
      <t>187</t>
    </r>
  </si>
  <si>
    <t>AVT 139</t>
  </si>
  <si>
    <t>AVT 187</t>
  </si>
  <si>
    <t>AVT 101</t>
  </si>
  <si>
    <t>AVT 215</t>
  </si>
  <si>
    <t>min.vstavaná výška [mm] :</t>
  </si>
  <si>
    <t>101 mm</t>
  </si>
  <si>
    <t>139 mm</t>
  </si>
  <si>
    <t>187 mm</t>
  </si>
  <si>
    <t>251 mm</t>
  </si>
  <si>
    <t>len SiSy</t>
  </si>
  <si>
    <t xml:space="preserve"> + P2O/SiSy</t>
  </si>
  <si>
    <t>zásuvka ze skleněnou bočnicí</t>
  </si>
  <si>
    <t>zásuvka so sklenenou bočnicou</t>
  </si>
  <si>
    <r>
      <rPr>
        <sz val="10"/>
        <color indexed="9"/>
        <rFont val="Arial"/>
        <family val="2"/>
        <charset val="238"/>
      </rPr>
      <t>.</t>
    </r>
    <r>
      <rPr>
        <sz val="10"/>
        <color indexed="8"/>
        <rFont val="Arial"/>
        <family val="2"/>
        <charset val="238"/>
      </rPr>
      <t>251</t>
    </r>
  </si>
  <si>
    <r>
      <rPr>
        <sz val="10"/>
        <color indexed="9"/>
        <rFont val="Arial"/>
        <family val="2"/>
        <charset val="238"/>
      </rPr>
      <t>.</t>
    </r>
    <r>
      <rPr>
        <sz val="10"/>
        <color indexed="8"/>
        <rFont val="Arial"/>
        <family val="2"/>
        <charset val="238"/>
      </rPr>
      <t>187 Inlay</t>
    </r>
  </si>
  <si>
    <t>AVT 187-In</t>
  </si>
  <si>
    <t>zásuvka nízká (v 77mm)</t>
  </si>
  <si>
    <t>zásuvka nízka (v 77mm)</t>
  </si>
  <si>
    <t>Vnitřní zásuvka - 101 mm s ALU čelem</t>
  </si>
  <si>
    <t>Vnitřní zásuvka - 139 mm s ALU čelem</t>
  </si>
  <si>
    <t>Vnitřní zásuvka - 187 mm s ALU čelem</t>
  </si>
  <si>
    <t>Vnitřní zásuvka - 187 mm se skleněným čelem</t>
  </si>
  <si>
    <t>Vnútorná zásuvka - 101 mm s ALU čelom</t>
  </si>
  <si>
    <t>Vnútorná zásuvka - 139 mm s ALU čelom</t>
  </si>
  <si>
    <t>Vnútorná zásuvka - 187 mm s ALU čelom</t>
  </si>
  <si>
    <t>Je nutné natypovať šírky čiel ?</t>
  </si>
  <si>
    <t>Je nutné natypovat šířky čel ?</t>
  </si>
  <si>
    <t>počet zásuviek</t>
  </si>
  <si>
    <t>počet zadaných čiel</t>
  </si>
  <si>
    <t>potreba čiel v bm (aj s 4mm rezmi)</t>
  </si>
  <si>
    <t>vnútorné s ALU čelom</t>
  </si>
  <si>
    <t>ALU čelo</t>
  </si>
  <si>
    <t>Skleněné čelo</t>
  </si>
  <si>
    <t>Sklenené čelo</t>
  </si>
  <si>
    <t>Vnútorná zásuvka - 187 mm so skleneným čelom</t>
  </si>
  <si>
    <t>nízke čelo = 66 mm</t>
  </si>
  <si>
    <t>vysoké čelo = 130 mm</t>
  </si>
  <si>
    <t>vnut.s sklen. čelom</t>
  </si>
  <si>
    <t>187 In (vnS)</t>
  </si>
  <si>
    <t>187 (vnS)</t>
  </si>
  <si>
    <t>101 (vnA)</t>
  </si>
  <si>
    <t>139 (vnA)</t>
  </si>
  <si>
    <t>187 (vnA)</t>
  </si>
  <si>
    <t xml:space="preserve"> Quadro YOU 30 / SiSy</t>
  </si>
  <si>
    <t xml:space="preserve"> Quadro YOU 30 / P2O</t>
  </si>
  <si>
    <t>jenom SiSy</t>
  </si>
  <si>
    <r>
      <rPr>
        <sz val="10"/>
        <color indexed="9"/>
        <rFont val="Arial"/>
        <family val="2"/>
        <charset val="238"/>
      </rPr>
      <t>.</t>
    </r>
    <r>
      <rPr>
        <sz val="10"/>
        <color indexed="8"/>
        <rFont val="Arial"/>
        <family val="2"/>
        <charset val="238"/>
      </rPr>
      <t>77</t>
    </r>
  </si>
  <si>
    <t>77 mm</t>
  </si>
  <si>
    <t>AVT 77</t>
  </si>
  <si>
    <t>187 In (vnA)</t>
  </si>
  <si>
    <t>zásuvka úzká spodní 101/187</t>
  </si>
  <si>
    <t>zásuvka uzká spodná 101/187</t>
  </si>
  <si>
    <t>zásuvka úzká spodní 139/187</t>
  </si>
  <si>
    <t>zásuvka uzká spodná 139/187</t>
  </si>
  <si>
    <t>zásuvka úzká spodní 2x187</t>
  </si>
  <si>
    <t>zásuvka uzká spodná 2x187</t>
  </si>
  <si>
    <t>101/187 mm</t>
  </si>
  <si>
    <t>139/187 mm</t>
  </si>
  <si>
    <r>
      <rPr>
        <sz val="10"/>
        <color indexed="9"/>
        <rFont val="Arial"/>
        <family val="2"/>
        <charset val="238"/>
      </rPr>
      <t>.</t>
    </r>
    <r>
      <rPr>
        <sz val="10"/>
        <color indexed="8"/>
        <rFont val="Arial"/>
        <family val="2"/>
        <charset val="238"/>
      </rPr>
      <t>101 + 187</t>
    </r>
  </si>
  <si>
    <r>
      <rPr>
        <sz val="10"/>
        <color indexed="9"/>
        <rFont val="Arial"/>
        <family val="2"/>
        <charset val="238"/>
      </rPr>
      <t>.</t>
    </r>
    <r>
      <rPr>
        <sz val="10"/>
        <color indexed="8"/>
        <rFont val="Arial"/>
        <family val="2"/>
        <charset val="238"/>
      </rPr>
      <t>139 + 187</t>
    </r>
  </si>
  <si>
    <r>
      <rPr>
        <sz val="10"/>
        <color indexed="9"/>
        <rFont val="Arial"/>
        <family val="2"/>
        <charset val="238"/>
      </rPr>
      <t>.</t>
    </r>
    <r>
      <rPr>
        <sz val="10"/>
        <color indexed="8"/>
        <rFont val="Arial"/>
        <family val="2"/>
        <charset val="238"/>
      </rPr>
      <t>2 x 187</t>
    </r>
  </si>
  <si>
    <r>
      <rPr>
        <sz val="10"/>
        <color indexed="9"/>
        <rFont val="Arial"/>
        <family val="2"/>
        <charset val="238"/>
      </rPr>
      <t>.</t>
    </r>
    <r>
      <rPr>
        <sz val="10"/>
        <color indexed="8"/>
        <rFont val="Arial"/>
        <family val="2"/>
        <charset val="238"/>
      </rPr>
      <t>2 x 187 Inlay</t>
    </r>
  </si>
  <si>
    <t>cel-101/187</t>
  </si>
  <si>
    <t>cel-139/187</t>
  </si>
  <si>
    <t>cel-2x187</t>
  </si>
  <si>
    <t>cel-2xIn187</t>
  </si>
  <si>
    <t>Konfigurátor   AVANTECH</t>
  </si>
  <si>
    <t>na dno + stabilizátor chrbáta</t>
  </si>
  <si>
    <t>na príchytky čela</t>
  </si>
  <si>
    <t>na chrbát</t>
  </si>
  <si>
    <t>na ALU čelo</t>
  </si>
  <si>
    <t>na Quadro a Actro lišty</t>
  </si>
  <si>
    <t>na 2/2 stabilizátor chrbáta</t>
  </si>
  <si>
    <t>na dno + 1/2 stabilizátor chrbáta</t>
  </si>
  <si>
    <t>Tlačítko "RESET" funguje len pri zapnutej funkcii MAKRO. Pokiaľ nie je zapnutá, musíte polia vymazať ručne.</t>
  </si>
  <si>
    <t>Tlačítko "RESET" funguje jenom při zapnuté funkci MAKRO. Pokud není zapnutá, musíte pole vymazat ručne.</t>
  </si>
  <si>
    <r>
      <t xml:space="preserve">Konfigurátor  </t>
    </r>
    <r>
      <rPr>
        <b/>
        <sz val="16"/>
        <rFont val="Arial"/>
        <family val="2"/>
        <charset val="238"/>
      </rPr>
      <t>AvanTech YOU</t>
    </r>
  </si>
  <si>
    <t>AvanTech YOU</t>
  </si>
  <si>
    <t xml:space="preserve"> Základní údaje // Nápověda</t>
  </si>
  <si>
    <t>způsob balení:</t>
  </si>
  <si>
    <t>žádná</t>
  </si>
  <si>
    <t>chrom</t>
  </si>
  <si>
    <t>zásuvka základní</t>
  </si>
  <si>
    <t>min.vestavná výška [mm] :</t>
  </si>
  <si>
    <t>P2O Silent pro Actro</t>
  </si>
  <si>
    <t>P2O Silent pro Quadro</t>
  </si>
  <si>
    <t>Ve sloupci "Změna" můžeš upravit počty kusů jednotlivých položek.</t>
  </si>
  <si>
    <t>SiSy = tlumení Silent System</t>
  </si>
  <si>
    <t>P2O/SiSy = tlumení s otvíráním bez úchytky Push to open Silent</t>
  </si>
  <si>
    <t>SiSy = tlmenie Silent System</t>
  </si>
  <si>
    <t>P2O/SiSy = tlmenie s otváraním bez úchytky Push to open Silent</t>
  </si>
  <si>
    <t>P2O Silent = tlumení s otvíráním bez úchytky Push to open Silent</t>
  </si>
  <si>
    <t>P2O Silent = tlmenie s otváraním bez úchytky Push to open Silent</t>
  </si>
  <si>
    <t>P2O = otvírání bez úchytky Push to open</t>
  </si>
  <si>
    <t>P2O = otváranie bez úchytky Push to open</t>
  </si>
  <si>
    <t>ENG</t>
  </si>
  <si>
    <t>POL</t>
  </si>
  <si>
    <t>Basic informations</t>
  </si>
  <si>
    <t>Data for ordering, discount from dealer</t>
  </si>
  <si>
    <t>Continue to:</t>
  </si>
  <si>
    <t>Introduction</t>
  </si>
  <si>
    <t>Select drawers</t>
  </si>
  <si>
    <t>Order</t>
  </si>
  <si>
    <t>Back to:</t>
  </si>
  <si>
    <t>Forward to:</t>
  </si>
  <si>
    <t>&lt;&lt;  back</t>
  </si>
  <si>
    <t>forward  &gt;&gt;</t>
  </si>
  <si>
    <t>Basics // Help</t>
  </si>
  <si>
    <t>Help</t>
  </si>
  <si>
    <t>full extension</t>
  </si>
  <si>
    <t>part extension</t>
  </si>
  <si>
    <t>Nominal length:</t>
  </si>
  <si>
    <t>Nominal length 470 mm:</t>
  </si>
  <si>
    <t>STOP CONTROL self closing</t>
  </si>
  <si>
    <t>SILENT SYSTEM damping</t>
  </si>
  <si>
    <t>PUSH TO OPEN no handles</t>
  </si>
  <si>
    <t>packaging:</t>
  </si>
  <si>
    <t>bulk</t>
  </si>
  <si>
    <t>sets</t>
  </si>
  <si>
    <t>Dealer:</t>
  </si>
  <si>
    <t>Customer</t>
  </si>
  <si>
    <t>Billing address</t>
  </si>
  <si>
    <t>Address</t>
  </si>
  <si>
    <t>Delivery address</t>
  </si>
  <si>
    <t>Company´s tax ID number</t>
  </si>
  <si>
    <t>Company´s ID number</t>
  </si>
  <si>
    <t>Phone, fax, e-mail</t>
  </si>
  <si>
    <t>Discount from dealer (%):</t>
  </si>
  <si>
    <t>Order No.</t>
  </si>
  <si>
    <t>Commission</t>
  </si>
  <si>
    <t>Article no.</t>
  </si>
  <si>
    <t>Description</t>
  </si>
  <si>
    <t>packaging</t>
  </si>
  <si>
    <t>Stocking</t>
  </si>
  <si>
    <t>QTY</t>
  </si>
  <si>
    <t>Total</t>
  </si>
  <si>
    <t>Price per unit</t>
  </si>
  <si>
    <t>Change</t>
  </si>
  <si>
    <t>Free field</t>
  </si>
  <si>
    <t>Dealer´s own article no.</t>
  </si>
  <si>
    <t>Version</t>
  </si>
  <si>
    <t>Prices valid from</t>
  </si>
  <si>
    <t>Chosen</t>
  </si>
  <si>
    <t>colour:</t>
  </si>
  <si>
    <t>front fitting:</t>
  </si>
  <si>
    <t>Price level:</t>
  </si>
  <si>
    <t>Discount %</t>
  </si>
  <si>
    <t>silver</t>
  </si>
  <si>
    <t>white</t>
  </si>
  <si>
    <t>antracite</t>
  </si>
  <si>
    <t>chrome</t>
  </si>
  <si>
    <t>stainless finish</t>
  </si>
  <si>
    <t>screw on</t>
  </si>
  <si>
    <t>knock in</t>
  </si>
  <si>
    <t>design profile:</t>
  </si>
  <si>
    <t>same colour as sides</t>
  </si>
  <si>
    <t>aluminium finish</t>
  </si>
  <si>
    <t>oak finish</t>
  </si>
  <si>
    <t>nut finish</t>
  </si>
  <si>
    <t>cover cape:</t>
  </si>
  <si>
    <t>none</t>
  </si>
  <si>
    <t>silver with logo</t>
  </si>
  <si>
    <t>silver without logo</t>
  </si>
  <si>
    <t>white with logo</t>
  </si>
  <si>
    <t>white without logo</t>
  </si>
  <si>
    <t>antracite with logo</t>
  </si>
  <si>
    <t>antracite without logo</t>
  </si>
  <si>
    <t>side panel thickness:</t>
  </si>
  <si>
    <t>Basic prices:</t>
  </si>
  <si>
    <t>Purchase prices:</t>
  </si>
  <si>
    <t>With optional discount</t>
  </si>
  <si>
    <t>drawer side:</t>
  </si>
  <si>
    <t>rear panel:</t>
  </si>
  <si>
    <t>price of fittings:</t>
  </si>
  <si>
    <t>Form for identification data</t>
  </si>
  <si>
    <t>Back to start</t>
  </si>
  <si>
    <t>Start</t>
  </si>
  <si>
    <t>Before first use:</t>
  </si>
  <si>
    <t>Type in your discount from dealer in the middle area.</t>
  </si>
  <si>
    <t>Go back to start and save the file.</t>
  </si>
  <si>
    <t>Type in your contact data in left side area.</t>
  </si>
  <si>
    <t>Your contact data are visible in the header of order.</t>
  </si>
  <si>
    <t>On start screen:</t>
  </si>
  <si>
    <t>choose, which prices shoul be used:</t>
  </si>
  <si>
    <t>basic prices, no discount</t>
  </si>
  <si>
    <t>purchase prices incl. discount from your dealer</t>
  </si>
  <si>
    <t>prices with optional discount</t>
  </si>
  <si>
    <t>discount with negative value means surcharge</t>
  </si>
  <si>
    <t>choose colour</t>
  </si>
  <si>
    <t>choose art of front fitting</t>
  </si>
  <si>
    <t>Define discount (%)</t>
  </si>
  <si>
    <t>Set</t>
  </si>
  <si>
    <t>Prices incl. discount from dealer</t>
  </si>
  <si>
    <t>You have to delete front for internal drawer!</t>
  </si>
  <si>
    <t>basic drawer</t>
  </si>
  <si>
    <t>drawer with glass sides</t>
  </si>
  <si>
    <t>Internal drawer 101 mm with ALU front panel</t>
  </si>
  <si>
    <t>Internal drawer 187 mm with ALU front panel</t>
  </si>
  <si>
    <t>Internal drawer 139 mm with ALU front panel</t>
  </si>
  <si>
    <t>Internal drawer 187 mm with GLASS front panel</t>
  </si>
  <si>
    <t>low drawer 77 mm</t>
  </si>
  <si>
    <t>or</t>
  </si>
  <si>
    <t>narrow drawers 187 + 187 mm</t>
  </si>
  <si>
    <t>narrow drawers 101 + 187 mm</t>
  </si>
  <si>
    <t>narrow drawers 139 + 187 mm</t>
  </si>
  <si>
    <t>tall unit</t>
  </si>
  <si>
    <t>larder unit</t>
  </si>
  <si>
    <t>special drawers</t>
  </si>
  <si>
    <t>Narrow drawers</t>
  </si>
  <si>
    <t>Tall unit</t>
  </si>
  <si>
    <t>drawer side height:</t>
  </si>
  <si>
    <t>rear panel height:</t>
  </si>
  <si>
    <t>min. installation height (mm):</t>
  </si>
  <si>
    <t>SiSy only</t>
  </si>
  <si>
    <t>min. cabinet width:</t>
  </si>
  <si>
    <t>max. cabinet width:</t>
  </si>
  <si>
    <t>min. depth OrgaTray</t>
  </si>
  <si>
    <t>max. depth OrgaTray</t>
  </si>
  <si>
    <t>QTY of aluminium front profiles = QTY of internal drawers.</t>
  </si>
  <si>
    <t>Please adjust QTY of front profiles manually in order sheet.</t>
  </si>
  <si>
    <t>You have to choose glass front panels according to cabinet width.</t>
  </si>
  <si>
    <t>Front panel width necessary?</t>
  </si>
  <si>
    <t>Click here to choose.</t>
  </si>
  <si>
    <t>Front panel for internal drawer</t>
  </si>
  <si>
    <t>Cabinet width (mm)</t>
  </si>
  <si>
    <t>low front panel = 66 mm</t>
  </si>
  <si>
    <t>high front panel = 130 mm</t>
  </si>
  <si>
    <t>Cabinet width:</t>
  </si>
  <si>
    <t>Aluminium front panel</t>
  </si>
  <si>
    <t>Glass front panel</t>
  </si>
  <si>
    <t>You have to choose</t>
  </si>
  <si>
    <t>pcs of internal front panel.</t>
  </si>
  <si>
    <t>Still to choose</t>
  </si>
  <si>
    <t>You chose</t>
  </si>
  <si>
    <t>pcs of internal front panel more.</t>
  </si>
  <si>
    <t>QTY of internal front panel is now aligned with QTY of drawers.</t>
  </si>
  <si>
    <t>You have to choose internal front panels for</t>
  </si>
  <si>
    <t>cabinet(s).</t>
  </si>
  <si>
    <t>Still to choose internal front panels for</t>
  </si>
  <si>
    <t>You chose for</t>
  </si>
  <si>
    <t>cabinet(s) more.</t>
  </si>
  <si>
    <t>Cabinet width</t>
  </si>
  <si>
    <t>OrgaTray width</t>
  </si>
  <si>
    <t>OrgaTray depth</t>
  </si>
  <si>
    <t>drawer depth</t>
  </si>
  <si>
    <t>SiSy = Silent Systém = damping</t>
  </si>
  <si>
    <t>P2O/SiSy = Push to open Silent = damping + no-handle-opening</t>
  </si>
  <si>
    <t>P2O Silent = Push to open Silent = damping + no-handle-opening</t>
  </si>
  <si>
    <t>P2O = Push to open = no-handle-opening</t>
  </si>
  <si>
    <t>Push to open Silent for Actro YOU</t>
  </si>
  <si>
    <t>Push to open Silent for Quadro YOU</t>
  </si>
  <si>
    <t>CREATE ORDER</t>
  </si>
  <si>
    <t>Nominal length 260 mm for internal short drawers.</t>
  </si>
  <si>
    <t>You can change the nominal length manually in order sheet</t>
  </si>
  <si>
    <t>Max. cabinet height 750 mm. Min. cabinet geight 300 mm.</t>
  </si>
  <si>
    <t>You can adjust quantities manually in column "Change"</t>
  </si>
  <si>
    <t>After manual order adjustment you can hide the empty lines using filter in column "QTY"</t>
  </si>
  <si>
    <t>Click on button "Create order" to generate a new file with your order.</t>
  </si>
  <si>
    <t>Zásuvka</t>
  </si>
  <si>
    <t xml:space="preserve">Cena ceľkom bez DPH </t>
  </si>
  <si>
    <t>Poznámka :</t>
  </si>
  <si>
    <t>???</t>
  </si>
  <si>
    <t>AVT101</t>
  </si>
  <si>
    <t>AVT87</t>
  </si>
  <si>
    <t>AVT101-vn</t>
  </si>
  <si>
    <t>AVT87-vn</t>
  </si>
  <si>
    <t>pre 101</t>
  </si>
  <si>
    <t>pre 187</t>
  </si>
  <si>
    <t>potr-v</t>
  </si>
  <si>
    <r>
      <rPr>
        <sz val="10"/>
        <color indexed="9"/>
        <rFont val="Arial"/>
        <family val="2"/>
        <charset val="238"/>
      </rPr>
      <t>.</t>
    </r>
    <r>
      <rPr>
        <sz val="10"/>
        <color indexed="8"/>
        <rFont val="Arial"/>
        <family val="2"/>
        <charset val="238"/>
      </rPr>
      <t>101 + 187 Inlay</t>
    </r>
  </si>
  <si>
    <t>potr-v (IL)</t>
  </si>
  <si>
    <t>potr-o</t>
  </si>
  <si>
    <t>potr-o (IL)</t>
  </si>
  <si>
    <t>potr-o (č=skl)</t>
  </si>
  <si>
    <t>Univerzálny uholník  31x31mm</t>
  </si>
  <si>
    <t>AvanY-bok ľavý /v77/h400/ strieborná</t>
  </si>
  <si>
    <t>AvanY-bok pravý /v77/h400/ strieborná</t>
  </si>
  <si>
    <t>AvanY-bok ľavý /v77/h450/ strieborná</t>
  </si>
  <si>
    <t>AvanY-bok pravý /v77/h450/ strieborná</t>
  </si>
  <si>
    <t>AvanY-bok ľavý /v77/h500/ strieborná</t>
  </si>
  <si>
    <t>AvanY-bok pravý /v77/h500/ strieborná</t>
  </si>
  <si>
    <t>AvanY-bok ľavý /v77/h550/ strieborná</t>
  </si>
  <si>
    <t>AvanY-bok pravý /v77/h550/ strieborná</t>
  </si>
  <si>
    <t>AvanY-bok ľavý /v77/h400/ biela</t>
  </si>
  <si>
    <t>AvanY-bok pravý /v77/h400/ biela</t>
  </si>
  <si>
    <t>AvanY-bok ľavý /v77/h450/ biela</t>
  </si>
  <si>
    <t>AvanY-bok pravý /v77/h450/ biela</t>
  </si>
  <si>
    <t>AvanY-bok ľavý /v77/h500/ biela</t>
  </si>
  <si>
    <t>AvanY-bok pravý /v77/h500/ biela</t>
  </si>
  <si>
    <t>AvanY-bok ľavý /v77/h550/ biela</t>
  </si>
  <si>
    <t>AvanY-bok pravý /v77/h550/ biela</t>
  </si>
  <si>
    <t>AvanY-bok ľavý /v77/h400/ antracit</t>
  </si>
  <si>
    <t>AvanY-bok pravý /v77/h400/ antracit</t>
  </si>
  <si>
    <t>AvanY-bok ľavý /v77/h450/ antracit</t>
  </si>
  <si>
    <t>AvanY-bok pravý /v77/h450/ antracit</t>
  </si>
  <si>
    <t>AvanY-bok ľavý /v77/h500/ antracit</t>
  </si>
  <si>
    <t>AvanY-bok pravý /v77/h500/ antracit</t>
  </si>
  <si>
    <t>AvanY-bok ľavý /v77/h550/ antracit</t>
  </si>
  <si>
    <t>AvanY-bok pravý /v77/h550/ antracit</t>
  </si>
  <si>
    <t>AvanY-príchytka čela k naskrutk./ v77</t>
  </si>
  <si>
    <t>AvanY-príchytka čela s rozp.púzdrom/ v77</t>
  </si>
  <si>
    <t>AvanY-sólo oceľ.boky 101/550mm/antracit</t>
  </si>
  <si>
    <t>AvanY-sólo oceľ.boky 101/600mm/antracit</t>
  </si>
  <si>
    <t>AvanY-sólo oceľ.boky 101/650mm/antracit</t>
  </si>
  <si>
    <t>AvanY-stabilizátor chrbáta</t>
  </si>
  <si>
    <t>AvanY-bok ľavý /v101/h270/ strieborná</t>
  </si>
  <si>
    <t>AvanY-bok pravý /v101/h270/ strieborná</t>
  </si>
  <si>
    <t>AvanY-bok ľavý /v101/h300/ strieborná</t>
  </si>
  <si>
    <t>AvanY-bok pravý /v101/h300/ strieborná</t>
  </si>
  <si>
    <t>AvanY-bok ľavý /v101/h350/ strieborná</t>
  </si>
  <si>
    <t>AvanY-bok pravý /v101/h350/ strieborná</t>
  </si>
  <si>
    <t>AvanY-bok ľavý /v101/h400/ strieborná</t>
  </si>
  <si>
    <t>AvanY-bok pravý /v101/h400/ strieborná</t>
  </si>
  <si>
    <t>AvanY-bok ľavý /v101/h450/ strieborná</t>
  </si>
  <si>
    <t>AvanY-bok pravý /v101/h450/ strieborná</t>
  </si>
  <si>
    <t>AvanY-bok ľavý /v101/h500/ strieborná</t>
  </si>
  <si>
    <t>AvanY-bok pravý /v101/h500/ strieborná</t>
  </si>
  <si>
    <t>AvanY-bok ľavý /v101/h550/ strieborná</t>
  </si>
  <si>
    <t>AvanY-bok pravý /v101/h550/ strieborná</t>
  </si>
  <si>
    <t>AvanY-bok ľavý /v101/h600/ strieborná</t>
  </si>
  <si>
    <t>AvanY-bok pravý /v101/h600/ strieborná</t>
  </si>
  <si>
    <t>AvanY-bok ľavý /v101/h650/ strieborná</t>
  </si>
  <si>
    <t>AvanY-bok pravý /v101/h650/ strieborná</t>
  </si>
  <si>
    <t>AvanY-bok ľavý /v101/h270/ biela</t>
  </si>
  <si>
    <t>AvanY-bok pravý /v101/h270/ biela</t>
  </si>
  <si>
    <t>AvanY-bok ľavý /v101/h300/ biela</t>
  </si>
  <si>
    <t>AvanY-bok pravý /v101/h300/ biela</t>
  </si>
  <si>
    <t>AvanY-bok ľavý /v101/h350/ biela</t>
  </si>
  <si>
    <t>AvanY-bok pravý /v101/h350/ biela</t>
  </si>
  <si>
    <t>AvanY-bok ľavý /v101/h400/ biela</t>
  </si>
  <si>
    <t>AvanY-bok pravý /v101/h400/ biela</t>
  </si>
  <si>
    <t>AvanY-bok ľavý /v101/h450/ biela</t>
  </si>
  <si>
    <t>AvanY-bok pravý /v101/h450/ biela</t>
  </si>
  <si>
    <t>AvanY-bok ľavý /v101/h500/ biela</t>
  </si>
  <si>
    <t>AvanY-bok pravý /v101/h500/ biela</t>
  </si>
  <si>
    <t>AvanY-bok ľavý /v101/h550/ biela</t>
  </si>
  <si>
    <t>AvanY-bok pravý /v101/h550/ biela</t>
  </si>
  <si>
    <t>AvanY-bok ľavý /v101/h600/ biela</t>
  </si>
  <si>
    <t>AvanY-bok pravý /v101/h600/ biela</t>
  </si>
  <si>
    <t>AvanY-bok ľavý /v101/h650/ biela</t>
  </si>
  <si>
    <t>AvanY-bok pravý /v101/h650/ biela</t>
  </si>
  <si>
    <t>AvanY-bok ľavý /v101/h270/ antracit</t>
  </si>
  <si>
    <t>AvanY-bok pravý /v101/h270/ antracit</t>
  </si>
  <si>
    <t>AvanY-bok ľavý /v101/h300/ antracit</t>
  </si>
  <si>
    <t>AvanY-bok pravý /v101/h300/ antracit</t>
  </si>
  <si>
    <t>AvanY-bok ľavý /v101/h350/ antracit</t>
  </si>
  <si>
    <t>AvanY-bok pravý /v101/h350/ antracit</t>
  </si>
  <si>
    <t>AvanY-bok ľavý /v101/h400/ antracit</t>
  </si>
  <si>
    <t>AvanY-bok pravý /v101/h400/ antracit</t>
  </si>
  <si>
    <t>AvanY-bok ľavý /v101/h450/ antracit</t>
  </si>
  <si>
    <t>AvanY-bok pravý /v101/h450/ antracit</t>
  </si>
  <si>
    <t>AvanY-bok ľavý /v101/h500/ antracit</t>
  </si>
  <si>
    <t>AvanY-bok pravý /v101/h500/ antracit</t>
  </si>
  <si>
    <t>AvanY-bok ľavý /v101/h550/ antracit</t>
  </si>
  <si>
    <t>AvanY-bok pravý /v101/h550/ antracit</t>
  </si>
  <si>
    <t>AvanY-bok ľavý /v101/h600/ antracit</t>
  </si>
  <si>
    <t>AvanY-bok pravý /v101/h600/ antracit</t>
  </si>
  <si>
    <t>AvanY-bok ľavý /v101/h650/ antracit</t>
  </si>
  <si>
    <t>AvanY-bok pravý /v101/h650/ antracit</t>
  </si>
  <si>
    <t>AvanY-príchytka čela k naskrutk./ v101</t>
  </si>
  <si>
    <t>AvanY-príchytka čela s rozp.púzdrom/ v101</t>
  </si>
  <si>
    <t>AvanY-bok ľavý /v139/h300/ strieborná</t>
  </si>
  <si>
    <t>AvanY-bok pravý /v139/h300/ strieborná</t>
  </si>
  <si>
    <t>AvanY-bok ľavý /v139/h350/ strieborná</t>
  </si>
  <si>
    <t>AvanY-bok pravý /v139/h350/ strieborná</t>
  </si>
  <si>
    <t>AvanY-bok ľavý /v139/h400/ strieborná</t>
  </si>
  <si>
    <t>AvanY-bok pravý /v139/h400/ strieborná</t>
  </si>
  <si>
    <t>AvanY-bok ľavý /v139/h450/ strieborná</t>
  </si>
  <si>
    <t>AvanY-bok pravý /v139/h450/ strieborná</t>
  </si>
  <si>
    <t>AvanY-bok ľavý /v139/h500/ strieborná</t>
  </si>
  <si>
    <t>AvanY-bok pravý /v139/h500/ strieborná</t>
  </si>
  <si>
    <t>AvanY-bok ľavý /v139/h550/ strieborná</t>
  </si>
  <si>
    <t>AvanY-bok pravý /v139/h550/ strieborná</t>
  </si>
  <si>
    <t>AvanY-bok ľavý /v139/h600/ strieborná</t>
  </si>
  <si>
    <t>AvanY-bok pravý /v139/h600/ strieborná</t>
  </si>
  <si>
    <t>AvanY-bok ľavý /v139/h300/ biela</t>
  </si>
  <si>
    <t>AvanY-bok pravý /v139/h300/ biela</t>
  </si>
  <si>
    <t>AvanY-bok ľavý /v139/h350/ biela</t>
  </si>
  <si>
    <t>AvanY-bok pravý /v139/h350/ biela</t>
  </si>
  <si>
    <t>AvanY-bok ľavý /v139/h400/ biela</t>
  </si>
  <si>
    <t>AvanY-bok pravý /v139/h400/ biela</t>
  </si>
  <si>
    <t>AvanY-bok ľavý /v139/h450/ biela</t>
  </si>
  <si>
    <t>AvanY-bok pravý /v139/h450/ biela</t>
  </si>
  <si>
    <t>AvanY-bok ľavý /v139/h500/ biela</t>
  </si>
  <si>
    <t>AvanY-bok pravý /v139/h500/ biela</t>
  </si>
  <si>
    <t>AvanY-bok ľavý /v139/h550/ biela</t>
  </si>
  <si>
    <t>AvanY-bok pravý /v139/h550/ biela</t>
  </si>
  <si>
    <t>AvanY-bok ľavý /v139/h600/ biela</t>
  </si>
  <si>
    <t>AvanY-bok pravý /v139/h600/ biela</t>
  </si>
  <si>
    <t>AvanY-bok ľavý /v139/h300/ antracit</t>
  </si>
  <si>
    <t>AvanY-bok pravý /v139/h300/ antracit</t>
  </si>
  <si>
    <t>AvanY-bok ľavý /v139/h350/ antracit</t>
  </si>
  <si>
    <t>AvanY-bok pravý /v139/h350/ antracit</t>
  </si>
  <si>
    <t>AvanY-bok ľavý /v139/h400/ antracit</t>
  </si>
  <si>
    <t>AvanY-bok pravý /v139/h400/ antracit</t>
  </si>
  <si>
    <t>AvanY-bok ľavý /v139/h450/ antracit</t>
  </si>
  <si>
    <t>AvanY-bok pravý /v139/h450/ antracit</t>
  </si>
  <si>
    <t>AvanY-bok ľavý /v139/h500/ antracit</t>
  </si>
  <si>
    <t>AvanY-bok pravý /v139/h500/ antracit</t>
  </si>
  <si>
    <t>AvanY-bok ľavý /v139/h550/ antracit</t>
  </si>
  <si>
    <t>AvanY-bok pravý /v139/h550/ antracit</t>
  </si>
  <si>
    <t>AvanY-bok ľavý /v139/h600/ antracit</t>
  </si>
  <si>
    <t>AvanY-bok pravý /v139/h600/ antracit</t>
  </si>
  <si>
    <t>AvanY-príchytka čela k naskrutk./ v139</t>
  </si>
  <si>
    <t>AvanY-príchytka čela s rozp.púzdrom/ v139</t>
  </si>
  <si>
    <t>AvanY-bok ľavý /v187/h270/ strieborná</t>
  </si>
  <si>
    <t>AvanY-bok pravý /v187/h270/ strieborná</t>
  </si>
  <si>
    <t>AvanY-bok ľavý /v187/h300/ strieborná</t>
  </si>
  <si>
    <t>AvanY-bok pravý /v187/h300/ strieborná</t>
  </si>
  <si>
    <t>AvanY-bok ľavý /v187/h350/ strieborná</t>
  </si>
  <si>
    <t>AvanY-bok pravý /v187/h350/ strieborná</t>
  </si>
  <si>
    <t>AvanY-bok ľavý /v187/h400/ strieborná</t>
  </si>
  <si>
    <t>AvanY-bok pravý /v187/h400/ strieborná</t>
  </si>
  <si>
    <t>AvanY-bok ľavý /v187/h450/ strieborná</t>
  </si>
  <si>
    <t>AvanY-bok pravý /v187/h450/ strieborná</t>
  </si>
  <si>
    <t>AvanY-bok ľavý /v187/h500/ strieborná</t>
  </si>
  <si>
    <t>AvanY-bok pravý /v187/h500/ strieborná</t>
  </si>
  <si>
    <t>AvanY-bok ľavý /v187/h550/ strieborná</t>
  </si>
  <si>
    <t>AvanY-bok pravý /v187/h550/ strieborná</t>
  </si>
  <si>
    <t>AvanY-bok ľavý /v187/h600/ strieborná</t>
  </si>
  <si>
    <t>AvanY-bok pravý /v187/h600/ strieborná</t>
  </si>
  <si>
    <t>AvanY-bok ľavý /v187/h650/ strieborná</t>
  </si>
  <si>
    <t>AvanY-bok pravý /v187/h650/ strieborná</t>
  </si>
  <si>
    <t>AvanY-bok ľavý /v187/h270/ biela</t>
  </si>
  <si>
    <t>AvanY-bok pravý /v187/h270/ biela</t>
  </si>
  <si>
    <t>AvanY-bok ľavý /v187/h300/ biela</t>
  </si>
  <si>
    <t>AvanY-bok pravý /v187/h300/ biela</t>
  </si>
  <si>
    <t>AvanY-bok ľavý /v187/h350/ biela</t>
  </si>
  <si>
    <t>AvanY-bok pravý /v187/h350/ biela</t>
  </si>
  <si>
    <t>AvanY-bok ľavý /v187/h400/ biela</t>
  </si>
  <si>
    <t>AvanY-bok pravý /v187/h400/ biela</t>
  </si>
  <si>
    <t>AvanY-bok ľavý /v187/h450/ biela</t>
  </si>
  <si>
    <t>AvanY-bok pravý /v187/h450/ biela</t>
  </si>
  <si>
    <t>AvanY-bok ľavý /v187/h500/ biela</t>
  </si>
  <si>
    <t>AvanY-bok pravý /v187/h500/ biela</t>
  </si>
  <si>
    <t>AvanY-bok ľavý /v187/h550/ biela</t>
  </si>
  <si>
    <t>AvanY-bok pravý /v187/h550/ biela</t>
  </si>
  <si>
    <t>AvanY-bok ľavý /v187/h600/ biela</t>
  </si>
  <si>
    <t>AvanY-bok pravý /v187/h600/ biela</t>
  </si>
  <si>
    <t>AvanY-bok ľavý /v187/h650/ biela</t>
  </si>
  <si>
    <t>AvanY-bok pravý /v187/h650/ biela</t>
  </si>
  <si>
    <t>AvanY-bok ľavý /v187/h270/ antracit</t>
  </si>
  <si>
    <t>AvanY-bok pravý /v187/h270/ antracit</t>
  </si>
  <si>
    <t>AvanY-bok ľavý /v187/h300/ antracit</t>
  </si>
  <si>
    <t>AvanY-bok pravý /v187/h300/ antracit</t>
  </si>
  <si>
    <t>AvanY-bok ľavý /v187/h350/ antracit</t>
  </si>
  <si>
    <t>AvanY-bok pravý /v187/h350/ antracit</t>
  </si>
  <si>
    <t>AvanY-bok ľavý /v187/h400/ antracit</t>
  </si>
  <si>
    <t>AvanY-bok pravý /v187/h400/ antracit</t>
  </si>
  <si>
    <t>AvanY-bok ľavý /v187/h450/ antracit</t>
  </si>
  <si>
    <t>AvanY-bok pravý /v187/h450/ antracit</t>
  </si>
  <si>
    <t>AvanY-bok ľavý /v187/h500/ antracit</t>
  </si>
  <si>
    <t>AvanY-bok pravý /v187/h500/ antracit</t>
  </si>
  <si>
    <t>AvanY-bok ľavý /v187/h550/ antracit</t>
  </si>
  <si>
    <t>AvanY-bok pravý /v187/h550/ antracit</t>
  </si>
  <si>
    <t>AvanY-bok ľavý /v187/h600/ antracit</t>
  </si>
  <si>
    <t>AvanY-bok pravý /v187/h600/ antracit</t>
  </si>
  <si>
    <t>AvanY-bok ľavý /v187/h650/ antracit</t>
  </si>
  <si>
    <t>AvanY-bok pravý /v187/h650/ antracit</t>
  </si>
  <si>
    <t>AvanY-prích.čela k naskrutk./ v187-251</t>
  </si>
  <si>
    <t>AvanY-prích.čela s rozp.púzdrom/ v187-251</t>
  </si>
  <si>
    <t>AvanY-bok ľavý /v251/h350/ strieborná</t>
  </si>
  <si>
    <t>AvanY-bok pravý /v251/h350/ strieborná</t>
  </si>
  <si>
    <t>AvanY-bok ľavý /v251/h400/ strieborná</t>
  </si>
  <si>
    <t>AvanY-bok pravý /v251/h400/ strieborná</t>
  </si>
  <si>
    <t>AvanY-bok ľavý /v251/h450/ strieborná</t>
  </si>
  <si>
    <t>AvanY-bok pravý /v251/h450/ strieborná</t>
  </si>
  <si>
    <t>AvanY-bok ľavý /v251/h500/ strieborná</t>
  </si>
  <si>
    <t>AvanY-bok pravý /v251/h500/ strieborná</t>
  </si>
  <si>
    <t>AvanY-bok ľavý /v251/h550/ strieborná</t>
  </si>
  <si>
    <t>AvanY-bok pravý /v251/h550/ strieborná</t>
  </si>
  <si>
    <t>AvanY-bok ľavý /v251/h600/ strieborná</t>
  </si>
  <si>
    <t>AvanY-bok pravý /v251/h600/ strieborná</t>
  </si>
  <si>
    <t>AvanY-bok ľavý /v251/h650/ strieborná</t>
  </si>
  <si>
    <t>AvanY-bok pravý /v251/h650/ strieborná</t>
  </si>
  <si>
    <t>AvanY-bok ľavý /v251/h350/ biela</t>
  </si>
  <si>
    <t>AvanY-bok pravý /v251/h350/ biela</t>
  </si>
  <si>
    <t>AvanY-bok ľavý /v251/h400/ biela</t>
  </si>
  <si>
    <t>AvanY-bok pravý /v251/h400/ biela</t>
  </si>
  <si>
    <t>AvanY-bok ľavý /v251/h450/ biela</t>
  </si>
  <si>
    <t>AvanY-bok pravý /v251/h450/ biela</t>
  </si>
  <si>
    <t>AvanY-bok ľavý /v251/h500/ biela</t>
  </si>
  <si>
    <t>AvanY-bok pravý /v251/h500/ biela</t>
  </si>
  <si>
    <t>AvanY-bok ľavý /v251/h550/ biela</t>
  </si>
  <si>
    <t>AvanY-bok pravý /v251/h550/ biela</t>
  </si>
  <si>
    <t>AvanY-bok ľavý /v251/h600/ biela</t>
  </si>
  <si>
    <t>AvanY-bok pravý /v251/h600/ biela</t>
  </si>
  <si>
    <t>AvanY-bok ľavý /v251/h650/ biela</t>
  </si>
  <si>
    <t>AvanY-bok pravý /v251/h650/ biela</t>
  </si>
  <si>
    <t>AvanY-bok ľavý /v251/h350/ antracit</t>
  </si>
  <si>
    <t>AvanY-bok pravý /v251/h350/ antracit</t>
  </si>
  <si>
    <t>AvanY-bok ľavý /v251/h400/ antracit</t>
  </si>
  <si>
    <t>AvanY-bok pravý /v251/h400/ antracit</t>
  </si>
  <si>
    <t>AvanY-bok ľavý /v251/h450/ antracit</t>
  </si>
  <si>
    <t>AvanY-bok pravý /v251/h450/ antracit</t>
  </si>
  <si>
    <t>AvanY-bok ľavý /v251/h500/ antracit</t>
  </si>
  <si>
    <t>AvanY-bok pravý /v251/h500/ antracit</t>
  </si>
  <si>
    <t>AvanY-bok ľavý /v251/h550/ antracit</t>
  </si>
  <si>
    <t>AvanY-bok pravý /v251/h550/ antracit</t>
  </si>
  <si>
    <t>AvanY-bok ľavý /v251/h600/ antracit</t>
  </si>
  <si>
    <t>AvanY-bok pravý /v251/h600/ antracit</t>
  </si>
  <si>
    <t>AvanY-bok ľavý /v251/h650/ antracit</t>
  </si>
  <si>
    <t>AvanY-bok pravý /v251/h650/ antracit</t>
  </si>
  <si>
    <t>AvanY-stabiliz.čela k naskrutk./ v251</t>
  </si>
  <si>
    <t>AvanY-stabiliz.čela s rozp.púzdrom/ v251</t>
  </si>
  <si>
    <t>AvanY-bok Inlay ľavý /v187/h350/ strieb.</t>
  </si>
  <si>
    <t>AvanY-bok Inlay pravý /v187/h350/ strieb.</t>
  </si>
  <si>
    <t>AvanY-bok Inlay ľavý /v187/h400/ strieb.</t>
  </si>
  <si>
    <t>AvanY-bok Inlay pravý /v187/h400/ strieb.</t>
  </si>
  <si>
    <t>AvanY-bok Inlay ľavý /v187/h450/ strieb.</t>
  </si>
  <si>
    <t>AvanY-bok Inlay pravý /v187/h450/ strieb.</t>
  </si>
  <si>
    <t>AvanY-bok Inlay ľavý /v187/h500/ strieb.</t>
  </si>
  <si>
    <t>AvanY-bok Inlay pravý /v187/h500/ strieb.</t>
  </si>
  <si>
    <t>AvanY-bok Inlay ľavý /v187/h550/ strieb.</t>
  </si>
  <si>
    <t>AvanY-bok Inlay pravý /v187/h550/ strieb.</t>
  </si>
  <si>
    <t>AvanY-bok Inlay ľavý /v187/h600/ strieb.</t>
  </si>
  <si>
    <t>AvanY-bok Inlay pravý /v187/h600/ strieb.</t>
  </si>
  <si>
    <t>AvanY-bok Inlay ľavý /v187/h650/ strieb.</t>
  </si>
  <si>
    <t>AvanY-bok Inlay pravý /v187/h650/ strieb.</t>
  </si>
  <si>
    <t>AvanY-bok Inlay ľavý /v187/h350/ biela</t>
  </si>
  <si>
    <t>AvanY-bok Inlay pravý /v187/h350/ biela</t>
  </si>
  <si>
    <t>AvanY-bok Inlay ľavý /v187/h400/ biela</t>
  </si>
  <si>
    <t>AvanY-bok Inlay pravý /v187/h400/ biela</t>
  </si>
  <si>
    <t>AvanY-bok Inlay ľavý /v187/h450/ biela</t>
  </si>
  <si>
    <t>AvanY-bok Inlay pravý /v187/h450/ biela</t>
  </si>
  <si>
    <t>AvanY-bok Inlay ľavý /v187/h500/ biela</t>
  </si>
  <si>
    <t>AvanY-bok Inlay pravý /v187/h500/ biela</t>
  </si>
  <si>
    <t>AvanY-bok Inlay ľavý /v187/h550/ biela</t>
  </si>
  <si>
    <t>AvanY-bok Inlay pravý /v187/h550/ biela</t>
  </si>
  <si>
    <t>AvanY-bok Inlay ľavý /v187/h600/ biela</t>
  </si>
  <si>
    <t>AvanY-bok Inlay pravý /v187/h600/ biela</t>
  </si>
  <si>
    <t>AvanY-bok Inlay ľavý /v187/h650/ biela</t>
  </si>
  <si>
    <t>AvanY-bok Inlay pravý /v187/h650/ biela</t>
  </si>
  <si>
    <t>AvanY-bok Inlay ľavý /v187/h350/ antr.</t>
  </si>
  <si>
    <t>AvanY-bok Inlay pravý /v187/h350/ antr.</t>
  </si>
  <si>
    <t>AvanY-bok Inlay ľavý /v187/h400/ antr.</t>
  </si>
  <si>
    <t>AvanY-bok Inlay pravý /v187/h400/ antr.</t>
  </si>
  <si>
    <t>AvanY-bok Inlay ľavý /v187/h450/ antr.</t>
  </si>
  <si>
    <t>AvanY-bok Inlay pravý /v187/h450/ antr.</t>
  </si>
  <si>
    <t>AvanY-bok Inlay ľavý /v187/h500/ antr.</t>
  </si>
  <si>
    <t>AvanY-bok Inlay pravý /v187/h500/ antr.</t>
  </si>
  <si>
    <t>AvanY-bok Inlay ľavý /v187/h550/ antr.</t>
  </si>
  <si>
    <t>AvanY-bok Inlay pravý /v187/h550/ antr.</t>
  </si>
  <si>
    <t>AvanY-bok Inlay ľavý /v187/h600/ antr.</t>
  </si>
  <si>
    <t>AvanY-bok Inlay pravý /v187/h600/ antr.</t>
  </si>
  <si>
    <t>AvanY-bok Inlay ľavý /v187/h650/ antr.</t>
  </si>
  <si>
    <t>AvanY-bok Inlay pravý /v187/h650/ antr.</t>
  </si>
  <si>
    <t>AvanY-prích.čela Inlay k naskrutk./ v187</t>
  </si>
  <si>
    <t>AvanY-prích.čela Inlay s rozp.púzdrom/ v187</t>
  </si>
  <si>
    <t>AvanY-adaptér pre bok Inlay /pre 8mm hr.</t>
  </si>
  <si>
    <t>AvanY-čelo vnút.zásuvky /v101/d2000/strieb.</t>
  </si>
  <si>
    <t>AvanY-čelo vnút.zásuvky /v139/d2000/strieb.</t>
  </si>
  <si>
    <t>AvanY-čelo vnút.zásuvky /v187/d2000/strieb.</t>
  </si>
  <si>
    <t>AvanY-čelo vnút.zásuvky /v101/d2000/biela</t>
  </si>
  <si>
    <t>AvanY-čelo vnút.zásuvky /v139/d2000/biela</t>
  </si>
  <si>
    <t>AvanY-čelo vnút.zásuvky /v187/d2000/biela</t>
  </si>
  <si>
    <t>AvanY-čelo vnút.zásuvky /v101/d2000/antr.</t>
  </si>
  <si>
    <t>AvanY-čelo vnút.zásuvky /v139/d2000/antr.</t>
  </si>
  <si>
    <t>AvanY-čelo vnút.zásuvky /v187/d2000/antr.</t>
  </si>
  <si>
    <t>AvanY-spojky čela vnút.zás./v101/strieb.</t>
  </si>
  <si>
    <t>AvanY-spojky čela vnút.zás./v139/strieb.</t>
  </si>
  <si>
    <t>AvanY-spojky čela vnút.zás./v187/strieb.</t>
  </si>
  <si>
    <t>AvanY-spojky čela vnút.zás./v101/biela</t>
  </si>
  <si>
    <t>AvanY-spojky čela vnút.zás./v139/biela</t>
  </si>
  <si>
    <t>AvanY-spojky čela vnút.zás./v187/biela</t>
  </si>
  <si>
    <t>AvanY-spojky čela vnút.zás./v101/antr.</t>
  </si>
  <si>
    <t>AvanY-spojky čela vnút.zás./v139/antr.</t>
  </si>
  <si>
    <t>AvanY-spojky čela vnút.zás./v187/antr.</t>
  </si>
  <si>
    <t>AvanY-spojky čela vnút.Inlay/v187/strieb.</t>
  </si>
  <si>
    <t>AvanY-spojky čela vnút.Inlay/v187/biela</t>
  </si>
  <si>
    <t>AvanY-spojky čela vnút.Inlay/v187/antr.</t>
  </si>
  <si>
    <t>AvanY-stabilizátor čela vnút.zásuvky</t>
  </si>
  <si>
    <t>AvanY-unášač vnútornej zásuvky ; sivá</t>
  </si>
  <si>
    <t>AvanY-unášač vnútornej zásuvky ; biela</t>
  </si>
  <si>
    <t>AvanY-unášač vnútornej zásuvky ; antracit</t>
  </si>
  <si>
    <t>AvanY-krytka čela vnút.zás./v101/strieb.</t>
  </si>
  <si>
    <t>AvanY-krytka čela vnút.zás./v139/strieb.</t>
  </si>
  <si>
    <t>AvanY-krytka čela vnút.zás./v187/strieb.</t>
  </si>
  <si>
    <t>AvanY-krytka čela vnút.zás./v101/biela</t>
  </si>
  <si>
    <t>AvanY-krytka čela vnút.zás./v139/biela</t>
  </si>
  <si>
    <t>AvanY-krytka čela vnút.zás./v187/biela</t>
  </si>
  <si>
    <t>AvanY-krytka čela vnút.zás./v101/antr.</t>
  </si>
  <si>
    <t>AvanY-krytka čela vnút.zás./v139/antr.</t>
  </si>
  <si>
    <t>AvanY-krytka čela vnút.zás./v187/ant.</t>
  </si>
  <si>
    <t>AvanY-indiv.čelo vnút.zásuv./d2000/strieb.</t>
  </si>
  <si>
    <t>AvanY-indiv.čelo vnút.zásuv./d2000/biela</t>
  </si>
  <si>
    <t>AvanY-indiv.čelo vnút.zásuv./d2000/antr.</t>
  </si>
  <si>
    <t>AvanY-spojky indiv.čela vnút./v187/strieb.</t>
  </si>
  <si>
    <t>AvanY-spojky indiv.čela vnút./v187/biela</t>
  </si>
  <si>
    <t>AvanY-spojky indiv.čela vnút./v187/antr.</t>
  </si>
  <si>
    <t>AvanY-spojky indiv.čela vn.Inlay/v187/strieb.</t>
  </si>
  <si>
    <t>AvanY-spojky indiv.čela vn.Inlay/v187/biela</t>
  </si>
  <si>
    <t>AvanY-spojky indiv.čela vn.Inlay/v187/antr.</t>
  </si>
  <si>
    <t>AvanY-design profil na bok 270/ hliník</t>
  </si>
  <si>
    <t>AvanY-design profil na bok 300/ hliník</t>
  </si>
  <si>
    <t>AvanY-design profil na bok 350/ hliník</t>
  </si>
  <si>
    <t>AvanY-design profil na bok 400/ hliník</t>
  </si>
  <si>
    <t>AvanY-design profil na bok 450/ hliník</t>
  </si>
  <si>
    <t>AvanY-design profil na bok 500/ hliník</t>
  </si>
  <si>
    <t>AvanY-design profil na bok 550/ hliník</t>
  </si>
  <si>
    <t>AvanY-design profil na bok 600/ hliník</t>
  </si>
  <si>
    <t>AvanY-design profil na bok 650/ hliník</t>
  </si>
  <si>
    <t>AvanY-design profil na bok 270/ chróm</t>
  </si>
  <si>
    <t>AvanY-design profil na bok 300/ chróm</t>
  </si>
  <si>
    <t>AvanY-design profil na bok 350/ chróm</t>
  </si>
  <si>
    <t>AvanY-design profil na bok 400/ chróm</t>
  </si>
  <si>
    <t>AvanY-design profil na bok 450/ chróm</t>
  </si>
  <si>
    <t>AvanY-design profil na bok 500/ chróm</t>
  </si>
  <si>
    <t>AvanY-design profil na bok 550/ chróm</t>
  </si>
  <si>
    <t>AvanY-design profil na bok 600/ chróm</t>
  </si>
  <si>
    <t>AvanY-design profil na bok 650/ chróm</t>
  </si>
  <si>
    <t>AvanY-design profil na bok 270/ dub</t>
  </si>
  <si>
    <t>AvanY-design profil na bok 300/ dub</t>
  </si>
  <si>
    <t>AvanY-design profil na bok 350/ dub</t>
  </si>
  <si>
    <t>AvanY-design profil na bok 400/ dub</t>
  </si>
  <si>
    <t>AvanY-design profil na bok 450/ dub</t>
  </si>
  <si>
    <t>AvanY-design profil na bok 500/ dub</t>
  </si>
  <si>
    <t>AvanY-design profil na bok 550/ dub</t>
  </si>
  <si>
    <t>AvanY-design profil na bok 600/ dub</t>
  </si>
  <si>
    <t>AvanY-design profil na bok 650/ dub</t>
  </si>
  <si>
    <t>AvanY-design profil na bok 270/ orech</t>
  </si>
  <si>
    <t>AvanY-design profil na bok 300/ orech</t>
  </si>
  <si>
    <t>AvanY-design profil na bok 350/ orech</t>
  </si>
  <si>
    <t>AvanY-design profil na bok 400/ orech</t>
  </si>
  <si>
    <t>AvanY-design profil na bok 450/ orech</t>
  </si>
  <si>
    <t>AvanY-design profil na bok 500/ orech</t>
  </si>
  <si>
    <t>AvanY-design profil na bok 550/ orech</t>
  </si>
  <si>
    <t>AvanY-design profil na bok 600/ orech</t>
  </si>
  <si>
    <t>AvanY-design profil na bok 650/ orech</t>
  </si>
  <si>
    <t>AvanY-design profil na bok /2000mm/sivá</t>
  </si>
  <si>
    <t>AvanY-DesignCape /v101/dĺ-2000mm/ALU</t>
  </si>
  <si>
    <t>AvanY-DesignCape /v187/dĺ-2000mm/ALU</t>
  </si>
  <si>
    <t>AvanY-DesignCape /v101/dĺ-2000mm/nerez</t>
  </si>
  <si>
    <t>AvanY-DesignCape /v187/dĺ-2000mm/nerez</t>
  </si>
  <si>
    <t>AvanY-krytka s logom Hettich/strieb.</t>
  </si>
  <si>
    <t>AvanY-krytka s logom Hettich/biela</t>
  </si>
  <si>
    <t>AvanY-krytka s logom Hettich/antr.</t>
  </si>
  <si>
    <t>AvanY-krytka bez loga Hettich/strieb.</t>
  </si>
  <si>
    <t>AvanY-krytka bez loga Hettich/biela</t>
  </si>
  <si>
    <t>AvanY-krytka bez loga Hettich/antr.</t>
  </si>
  <si>
    <t>AvanY-Inlay sklenené boky 350mm; 2 x sklo</t>
  </si>
  <si>
    <t>AvanY-Inlay sklenené boky 400mm; 2 x sklo</t>
  </si>
  <si>
    <t>AvanY-Inlay sklenené boky 450mm; 2 x sklo</t>
  </si>
  <si>
    <t>AvanY-Inlay sklenené boky 500mm; 2 x sklo</t>
  </si>
  <si>
    <t>AvanY-Inlay sklenené boky 550mm; 2 x sklo</t>
  </si>
  <si>
    <t>AvanY-Inlay sklenené boky 600mm; 2 x sklo</t>
  </si>
  <si>
    <t>AvanY-Inlay sklenené boky 650mm; 2 x sklo</t>
  </si>
  <si>
    <t>AvanY-sklo pre vnút.čelo /v66/s450/hr16</t>
  </si>
  <si>
    <t>AvanY-sklo pre vnút.čelo /v66/s600/hr16</t>
  </si>
  <si>
    <t>AvanY-sklo pre vnút.čelo /v66/s900/hr16</t>
  </si>
  <si>
    <t>AvanY-sklo pre vnút.čelo /v66/s1200/hr16</t>
  </si>
  <si>
    <t>AvanY-sklo pre vnút.čelo /v66/s450/hr18</t>
  </si>
  <si>
    <t>AvanY-sklo pre vnút.čelo /v66/s600/hr18</t>
  </si>
  <si>
    <t>AvanY-sklo pre vnút.čelo /v66/s900/hr18</t>
  </si>
  <si>
    <t>AvanY-sklo pre vnút.čelo /v66/s1200/hr18</t>
  </si>
  <si>
    <t>AvanY-sklo pre vnút.čelo /v66/s450/hr19</t>
  </si>
  <si>
    <t>AvanY-sklo pre vnút.čelo /v66/s600/hr19</t>
  </si>
  <si>
    <t>AvanY-sklo pre vnút.čelo /v66/s900/hr19</t>
  </si>
  <si>
    <t>AvanY-sklo pre vnút.čelo /v66/s1200/hr19</t>
  </si>
  <si>
    <t>AvanY-sklo pre vnút.čelo /v130/s450/hr16</t>
  </si>
  <si>
    <t>AvanY-sklo pre vnút.čelo /v130/s600/hr16</t>
  </si>
  <si>
    <t>AvanY-sklo pre vnút.čelo /v130/s900/hr16</t>
  </si>
  <si>
    <t>AvanY-sklo pre vnút.čelo /v130/s1200/hr16</t>
  </si>
  <si>
    <t>AvanY-sklo pre vnút.čelo /v130/s450/hr18</t>
  </si>
  <si>
    <t>AvanY-sklo pre vnút.čelo /v130/s600/hr18</t>
  </si>
  <si>
    <t>AvanY-sklo pre vnút.čelo /v130/s900/hr18</t>
  </si>
  <si>
    <t>AvanY-sklo pre vnút.čelo /v130/s1200/hr18</t>
  </si>
  <si>
    <t>AvanY-sklo pre vnút.čelo /v130/s450/hr19</t>
  </si>
  <si>
    <t>AvanY-sklo pre vnút.čelo /v130/s600/hr19</t>
  </si>
  <si>
    <t>AvanY-sklo pre vnút.čelo /v130/s900/hr19</t>
  </si>
  <si>
    <t>AvanY-sklo pre vnút.čelo /v130/s1200/hr19</t>
  </si>
  <si>
    <t>Skrutka s polgul.hlavou 3,5x6,5mm</t>
  </si>
  <si>
    <t>Skrutka s polgul.hlavou 3,5x12mm</t>
  </si>
  <si>
    <t>Skrutka s polgul.hlavou 3,5x20mm</t>
  </si>
  <si>
    <t>Skrutka s polgul.hlavou 3,5x30mm</t>
  </si>
  <si>
    <t>Skrutka s polgul.hlavou M3,5x12mm</t>
  </si>
  <si>
    <t>EURO-skrutka  6,0x14mm / niklovaná</t>
  </si>
  <si>
    <t>Actro You(S) 270/SiSy 10kg; EB21</t>
  </si>
  <si>
    <t>Actro You(S) 300/SiSy 10kg; EB21</t>
  </si>
  <si>
    <t>Actro You(S) 350/SiSy 10kg; EB21</t>
  </si>
  <si>
    <t>Actro You(S) 270/SiSy 10kg; EB21; ľavý</t>
  </si>
  <si>
    <t>Actro You(S) 270/SiSy 10kg; EB21; pravý</t>
  </si>
  <si>
    <t>Actro You(S) 300/SiSy 10kg; EB21; ľavý</t>
  </si>
  <si>
    <t>Actro You(S) 300/SiSy 10kg; EB21; pravý</t>
  </si>
  <si>
    <t>Actro You(S) 350/SiSy 10kg; EB21; ľavý</t>
  </si>
  <si>
    <t>Actro You(S) 350/SiSy 10kg; EB21; pravý</t>
  </si>
  <si>
    <t>Actro You(L) 270/SiSy 40kg; EB21</t>
  </si>
  <si>
    <t>Actro You(L) 300/SiSy 40kg; EB21</t>
  </si>
  <si>
    <t>Actro You(L) 350/SiSy 40kg; EB21</t>
  </si>
  <si>
    <t>Actro You(L) 400/SiSy 40kg; EB21</t>
  </si>
  <si>
    <t>Actro You(L) 450/SiSy 40kg; EB21</t>
  </si>
  <si>
    <t>Actro You(L) 500/SiSy 40kg; EB21</t>
  </si>
  <si>
    <t>Actro You(L) 550/SiSy 40kg; EB21</t>
  </si>
  <si>
    <t>Actro You(L) 600/SiSy 40kg; EB21</t>
  </si>
  <si>
    <t>Actro You(L) 270/SiSy 40kg; EB21; ľavý</t>
  </si>
  <si>
    <t>Actro You(L) 270/SiSy 40kg; EB21; pravý</t>
  </si>
  <si>
    <t>Actro You(L) 300/SiSy 40kg; EB21; ľavý</t>
  </si>
  <si>
    <t>Actro You(L) 300/SiSy 40kg; EB21; pravý</t>
  </si>
  <si>
    <t>Actro You(L) 350/SiSy 40kg; EB21; ľavý</t>
  </si>
  <si>
    <t>Actro You(L) 350/SiSy 40kg; EB21; pravý</t>
  </si>
  <si>
    <t>Actro You(L) 400/SiSy 40kg; EB21; ľavý</t>
  </si>
  <si>
    <t>Actro You(L) 400/SiSy 40kg; EB21; pravý</t>
  </si>
  <si>
    <t>Actro You(L) 450/SiSy 40kg; EB21; ľavý</t>
  </si>
  <si>
    <t>Actro You(L) 450/SiSy 40kg; EB21; pravý</t>
  </si>
  <si>
    <t>Actro You(L) 500/SiSy 40kg; EB21; ľavý</t>
  </si>
  <si>
    <t>Actro You(L) 500/SiSy 40kg; EB21; pravý</t>
  </si>
  <si>
    <t>Actro You(L) 550/SiSy 40kg; EB21; ľavý</t>
  </si>
  <si>
    <t>Actro You(L) 550/SiSy 40kg; EB21; pravý</t>
  </si>
  <si>
    <t>Actro You(L) 600/SiSy 40kg; EB21; ľavý</t>
  </si>
  <si>
    <t>Actro You(L) 600/SiSy 40kg; EB21; pravý</t>
  </si>
  <si>
    <t>Actro You(XL) 450/SiSy 70kg; EB21</t>
  </si>
  <si>
    <t>Actro You(XL) 500/SiSy 70kg; EB21</t>
  </si>
  <si>
    <t>Actro You(XL) 550/SiSy 70kg; EB21</t>
  </si>
  <si>
    <t>Actro You(XL) 600/SiSy 70kg; EB21</t>
  </si>
  <si>
    <t>Actro You(XL) 650/SiSy 70kg; EB21</t>
  </si>
  <si>
    <t>Actro You(XL) 450/SiSy 70kg; EB21; ľavý</t>
  </si>
  <si>
    <t>Actro You(XL) 450/SiSy 70kg; EB21; pravý</t>
  </si>
  <si>
    <t>Actro You(XL) 500/SiSy 70kg; EB21; ľavý</t>
  </si>
  <si>
    <t>Actro You(XL) 500/SiSy 70kg; EB21; pravý</t>
  </si>
  <si>
    <t>Actro You(XL) 550/SiSy 70kg; EB21; ľavý</t>
  </si>
  <si>
    <t>Actro You(XL) 550/SiSy 70kg; EB21; pravý</t>
  </si>
  <si>
    <t>Actro You(XL) 600/SiSy 70kg; EB21; ľavý</t>
  </si>
  <si>
    <t>Actro You(XL) 600/SiSy 70kg; EB21; pravý</t>
  </si>
  <si>
    <t>Actro You(XL) 650/SiSy 70kg; EB21; ľavý</t>
  </si>
  <si>
    <t>Actro You(XL) 650/SiSy 70kg; EB21; pravý</t>
  </si>
  <si>
    <t>Actro You - Push to open Silent; &lt;10kg</t>
  </si>
  <si>
    <t>Actro You - Push to open Silent; 8-20kg</t>
  </si>
  <si>
    <t>Actro You - Push to open Silent; 10-40kg</t>
  </si>
  <si>
    <t>Actro You - Push to open Silent; 20-70kg</t>
  </si>
  <si>
    <t>Push to open Synchro / tyč 2.000 mm</t>
  </si>
  <si>
    <t>Push to open Synchro / spojka</t>
  </si>
  <si>
    <t>Push to open Synchro /dvojitý adap.Actro</t>
  </si>
  <si>
    <t>Push to open Synchro /flexibilný adaptér</t>
  </si>
  <si>
    <t>Push to open Synchro /posunutie tyče</t>
  </si>
  <si>
    <t>Quadro You(S) 270/SiSy 10kg; EB21</t>
  </si>
  <si>
    <t>Quadro You(S) 300/SiSy 10kg; EB21</t>
  </si>
  <si>
    <t>Quadro You(S) 350/SiSy 10kg; EB21</t>
  </si>
  <si>
    <t>Quadro You(S) 270/SiSy 10kg; EB21; ľavý</t>
  </si>
  <si>
    <t>Quadro You(S) 270/SiSy 10kg; EB21; pravý</t>
  </si>
  <si>
    <t>Quadro You(S) 300/SiSy 10kg; EB21; ľavý</t>
  </si>
  <si>
    <t>Quadro You(S) 300/SiSy 10kg; EB21; pravý</t>
  </si>
  <si>
    <t>Quadro You(S) 350/SiSy 10kg; EB21; ľavý</t>
  </si>
  <si>
    <t>Quadro You(S) 350/SiSy 10kg; EB21; pravý</t>
  </si>
  <si>
    <t>Quadro You(M) 270/SiSy 20kg; EB21</t>
  </si>
  <si>
    <t>Quadro You(M) 300/SiSy 20kg; EB21</t>
  </si>
  <si>
    <t>Quadro You(M) 350/SiSy 25kg; EB21</t>
  </si>
  <si>
    <t>Quadro You(M) 400/SiSy 30kg; EB21</t>
  </si>
  <si>
    <t>Quadro You(M) 450/SiSy 30kg; EB21</t>
  </si>
  <si>
    <t>Quadro You(M) 500/SiSy 30kg; EB21</t>
  </si>
  <si>
    <t>Quadro You(M) 550/SiSy 30kg; EB21</t>
  </si>
  <si>
    <t>Quadro You(M) 600/SiSy 25kg; EB21</t>
  </si>
  <si>
    <t>Quadro You(M) 270/SiSy 20kg; EB21; ľavý</t>
  </si>
  <si>
    <t>Quadro You(M) 270/SiSy 20kg; EB21; pravý</t>
  </si>
  <si>
    <t>Quadro You(M) 300/SiSy 20kg; EB21; ľavý</t>
  </si>
  <si>
    <t>Quadro You(M) 300/SiSy 20kg; EB21; pravý</t>
  </si>
  <si>
    <t>Quadro You(M) 350/SiSy 25kg; EB21; ľavý</t>
  </si>
  <si>
    <t>Quadro You(M) 350/SiSy 25kg; EB21; pravý</t>
  </si>
  <si>
    <t>Quadro You(M) 400/SiSy 30kg; EB21; ľavý</t>
  </si>
  <si>
    <t>Quadro You(M) 400/SiSy 30kg; EB21; pravý</t>
  </si>
  <si>
    <t>Quadro You(M) 450/SiSy 30kg; EB21; ľavý</t>
  </si>
  <si>
    <t>Quadro You(M) 450/SiSy 30kg; EB21; pravý</t>
  </si>
  <si>
    <t>Quadro You(M) 500/SiSy 30kg; EB21; ľavý</t>
  </si>
  <si>
    <t>Quadro You(M) 500/SiSy 30kg; EB21; pravý</t>
  </si>
  <si>
    <t>Quadro You(M) 550/SiSy 30kg; EB21; ľavý</t>
  </si>
  <si>
    <t>Quadro You(M) 550/SiSy 30kg; EB21; pravý</t>
  </si>
  <si>
    <t>Quadro You(M) 600/SiSy 25kg; EB21; ľavý</t>
  </si>
  <si>
    <t>Quadro You(M) 600/SiSy 25kg; EB21; pravý</t>
  </si>
  <si>
    <t>Quadro You - Push to open Silent; &lt;10kg</t>
  </si>
  <si>
    <t>Quadro You - Push to open Silent; 8-20kg</t>
  </si>
  <si>
    <t>Quadro You - Push to open Silent; 10-30kg</t>
  </si>
  <si>
    <t>Quadro You(M) 270/P2O 20kg; EB21</t>
  </si>
  <si>
    <t>Quadro You(M) 300/P2O 20kg; EB21</t>
  </si>
  <si>
    <t>Quadro You(M) 350/P2O 25kg; EB21</t>
  </si>
  <si>
    <t>Quadro You(M) 400/P2O 30kg; EB21</t>
  </si>
  <si>
    <t>Quadro You(M) 450/P2O 30kg; EB21</t>
  </si>
  <si>
    <t>Quadro You(M) 500/P2O 30kg; EB21</t>
  </si>
  <si>
    <t>Quadro You(M) 550/P2O 30kg; EB21</t>
  </si>
  <si>
    <t>Quadro You(M) 600/P2O 25kg; EB21</t>
  </si>
  <si>
    <t>Quadro You(M) 270/P2O 20kg; EB21; ľavý</t>
  </si>
  <si>
    <t>Quadro You(M) 270/P2O 20kg; EB21; pravý</t>
  </si>
  <si>
    <t>Quadro You(M) 300/P2O 20kg; EB21; ľavý</t>
  </si>
  <si>
    <t>Quadro You(M) 300/P2O 20kg; EB21; pravý</t>
  </si>
  <si>
    <t>Quadro You(M) 350/P2O 25kg; EB21; ľavý</t>
  </si>
  <si>
    <t>Quadro You(M) 350/P2O 25kg; EB21; pravý</t>
  </si>
  <si>
    <t>Quadro You(M) 400/P2O 30kg; EB21; ľavý</t>
  </si>
  <si>
    <t>Quadro You(M) 400/P2O 30kg; EB21; pravý</t>
  </si>
  <si>
    <t>Quadro You(M) 450/P2O 30kg; EB21; ľavý</t>
  </si>
  <si>
    <t>Quadro You(M) 450/P2O 30kg; EB21; pravý</t>
  </si>
  <si>
    <t>Quadro You(M) 500/P2O 30kg; EB21; ľavý</t>
  </si>
  <si>
    <t>Quadro You(M) 500/P2O 30kg; EB21; pravý</t>
  </si>
  <si>
    <t>Quadro You(M) 550/P2O 30kg; EB21; ľavý</t>
  </si>
  <si>
    <t>Quadro You(M) 550/P2O 30kg; EB21; pravý</t>
  </si>
  <si>
    <t>Quadro You(M) 600/P2O 25kg; EB21; ľavý</t>
  </si>
  <si>
    <t>Quadro You(M) 600/P2O 25kg; EB21; pravý</t>
  </si>
  <si>
    <t>Push to open Synchro / adaptér typ A</t>
  </si>
  <si>
    <t>SENSYS 8657i 165st. B12,5/TH52</t>
  </si>
  <si>
    <t>SENSYS 8657 165st. B12,5/TH52 (bez SiSy)</t>
  </si>
  <si>
    <t>SENSYS 8687 165st. B12,5/TH52 (pre P2O)</t>
  </si>
  <si>
    <t>Podložka SENSYS k naskrut./D=1,5 mm</t>
  </si>
  <si>
    <t>Podlož.SENSYS s predm.skr.D=1,5(exc.)</t>
  </si>
  <si>
    <t>tel. (+421) 032 65 83 885</t>
  </si>
  <si>
    <t>fax (+420) 032 65 83 884</t>
  </si>
  <si>
    <t>hcr-objednavkysr@hettich.com</t>
  </si>
  <si>
    <t>AvanY-design ALprofil Hybrid na bok 270/ strieb.</t>
  </si>
  <si>
    <t>AvanY-design ALprofil Hybrid na bok 300/ strieb.</t>
  </si>
  <si>
    <t>AvanY-design ALprofil Hybrid na bok 350/ strieb.</t>
  </si>
  <si>
    <t>AvanY-design ALprofil Hybrid na bok 400/ strieb.</t>
  </si>
  <si>
    <t>AvanY-design ALprofil Hybrid na bok 450/ strieb.</t>
  </si>
  <si>
    <t>AvanY-design ALprofil Hybrid na bok 500/ strieb.</t>
  </si>
  <si>
    <t>AvanY-design ALprofil Hybrid na bok 550/ strieb.</t>
  </si>
  <si>
    <t>AvanY-design ALprofil Hybrid na bok 600/ strieb.</t>
  </si>
  <si>
    <t>AvanY-design ALprofil Hybrid na bok 650/ strieb.</t>
  </si>
  <si>
    <t>AvanY-design ALprofil Hybrid na bok 270/ biela</t>
  </si>
  <si>
    <t>AvanY-design ALprofil Hybrid na bok 300/ biela</t>
  </si>
  <si>
    <t>AvanY-design ALprofil Hybrid na bok 350/ biela</t>
  </si>
  <si>
    <t>AvanY-design ALprofil Hybrid na bok 400/ biela</t>
  </si>
  <si>
    <t>AvanY-design ALprofil Hybrid na bok 450/ biela</t>
  </si>
  <si>
    <t>AvanY-design ALprofil Hybrid na bok 500/ biela</t>
  </si>
  <si>
    <t>AvanY-design ALprofil Hybrid na bok 550/ biela</t>
  </si>
  <si>
    <t>AvanY-design ALprofil Hybrid na bok 600/ biela</t>
  </si>
  <si>
    <t>AvanY-design ALprofil Hybrid na bok 650/ biela</t>
  </si>
  <si>
    <t>AvanY-design ALprofil Hybrid na bok 270/ antracit</t>
  </si>
  <si>
    <t>AvanY-design ALprofil Hybrid na bok 300/ antracit</t>
  </si>
  <si>
    <t>AvanY-design ALprofil Hybrid na bok 350/ antracit</t>
  </si>
  <si>
    <t>AvanY-design ALprofil Hybrid na bok 400/ antracit</t>
  </si>
  <si>
    <t>AvanY-design ALprofil Hybrid na bok 450/ antracit</t>
  </si>
  <si>
    <t>AvanY-design ALprofil Hybrid na bok 500/ antracit</t>
  </si>
  <si>
    <t>AvanY-design ALprofil Hybrid na bok 550/ antracit</t>
  </si>
  <si>
    <t>AvanY-design ALprofil Hybrid na bok 600/ antracit</t>
  </si>
  <si>
    <t>AvanY-design ALprofil Hybrid na bok 650/ antracit</t>
  </si>
  <si>
    <t>AvanY-design ALprofil Hybrid na bok 270/ nerez</t>
  </si>
  <si>
    <t>AvanY-design ALprofil Hybrid na bok 300/ nerez</t>
  </si>
  <si>
    <t>AvanY-design ALprofil Hybrid na bok 350/ nerez</t>
  </si>
  <si>
    <t>AvanY-design ALprofil Hybrid na bok 400/ nerez</t>
  </si>
  <si>
    <t>AvanY-design ALprofil Hybrid na bok 450/ nerez</t>
  </si>
  <si>
    <t>AvanY-design ALprofil Hybrid na bok 500/ nerez</t>
  </si>
  <si>
    <t>AvanY-design ALprofil Hybrid na bok 550/ nerez</t>
  </si>
  <si>
    <t>AvanY-design ALprofil Hybrid na bok 600/ nerez</t>
  </si>
  <si>
    <t>AvanY-design ALprofil Hybrid na bok 650/ nerez</t>
  </si>
  <si>
    <t>AvanY-sólo oceľ.boky-NW 77/400mm/strieb.</t>
  </si>
  <si>
    <t>AvanY-sólo oceľ.boky-NW 77/450mm/strieb.</t>
  </si>
  <si>
    <t>AvanY-sólo oceľ.boky-NW 77/500mm/strieb.</t>
  </si>
  <si>
    <t>AvanY-sólo oceľ.boky-NW 77/550mm/strieb.</t>
  </si>
  <si>
    <t>AvanY-sólo oceľ.boky-NW 77/400mm/biela</t>
  </si>
  <si>
    <t>AvanY-sólo oceľ.boky-NW 77/450mm/biela</t>
  </si>
  <si>
    <t>AvanY-sólo oceľ.boky-NW 77/500mm/biela</t>
  </si>
  <si>
    <t>AvanY-sólo oceľ.boky-NW 77/550mm/biela</t>
  </si>
  <si>
    <t>AvanY-sólo oceľ.boky-NW 77/400mm/antracit</t>
  </si>
  <si>
    <t>AvanY-sólo oceľ.boky-NW 77/450mm/antracit</t>
  </si>
  <si>
    <t>AvanY-sólo oceľ.boky-NW 77/500mm/antracit</t>
  </si>
  <si>
    <t>AvanY-sólo oceľ.boky-NW 77/550mm/antracit</t>
  </si>
  <si>
    <t>AvanY-sólo oceľ.boky-NW 101/400mm/strieb.</t>
  </si>
  <si>
    <t>AvanY-sólo oceľ.boky-NW 101/450mm/strieb.</t>
  </si>
  <si>
    <t>AvanY-sólo oceľ.boky-NW 101/500mm/strieb.</t>
  </si>
  <si>
    <t>AvanY-sólo oceľ.boky-NW 101/550mm/strieb.</t>
  </si>
  <si>
    <t>AvanY-sólo oceľ.boky-NW 101/600mm/strieb.</t>
  </si>
  <si>
    <t>AvanY-sólo oceľ.boky-NW 101/650mm/strieb.</t>
  </si>
  <si>
    <t>AvanY-sólo oceľ.boky-NW 101/270mm/biela</t>
  </si>
  <si>
    <t>AvanY-sólo oceľ.boky-NW 101/300mm/biela</t>
  </si>
  <si>
    <t>AvanY-sólo oceľ.boky-NW 101/350mm/biela</t>
  </si>
  <si>
    <t>AvanY-sólo oceľ.boky-NW 101/400mm/biela</t>
  </si>
  <si>
    <t>AvanY-sólo oceľ.boky-NW 101/450mm/biela</t>
  </si>
  <si>
    <t>AvanY-sólo oceľ.boky-NW 101/500mm/biela</t>
  </si>
  <si>
    <t>AvanY-sólo oceľ.boky-NW 101/550mm/biela</t>
  </si>
  <si>
    <t>AvanY-sólo oceľ.boky-NW 101/600mm/biela</t>
  </si>
  <si>
    <t>AvanY-sólo oceľ.boky-NW 101/650mm/biela</t>
  </si>
  <si>
    <t>AvanY-sólo oceľ.boky-NW 101/270mm/antracit</t>
  </si>
  <si>
    <t>AvanY-sólo oceľ.boky-NW 101/300mm/antracit</t>
  </si>
  <si>
    <t>AvanY-sólo oceľ.boky-NW 101/350mm/antracit</t>
  </si>
  <si>
    <t>AvanY-sólo oceľ.boky-NW 101/400mm/antracit</t>
  </si>
  <si>
    <t>AvanY-sólo oceľ.boky-NW 101/450mm/antracit</t>
  </si>
  <si>
    <t>AvanY-sólo oceľ.boky-NW 101/500mm/antracit</t>
  </si>
  <si>
    <t>AvanY-sólo oceľ.boky-NW 101/550mm/antracit</t>
  </si>
  <si>
    <t>AvanY-sólo oceľ.boky-NW 101/600mm/antracit</t>
  </si>
  <si>
    <t>AvanY-sólo oceľ.boky-NW 101/650mm/antracit</t>
  </si>
  <si>
    <t>AvanY-sólo oceľ.boky-NW 139/270mm/strieb.</t>
  </si>
  <si>
    <t>AvanY-sólo oceľ.boky-NW 139/300mm/strieb.</t>
  </si>
  <si>
    <t>AvanY-sólo oceľ.boky-NW 139/350mm/strieb.</t>
  </si>
  <si>
    <t>AvanY-sólo oceľ.boky-NW 139/400mm/strieb.</t>
  </si>
  <si>
    <t>AvanY-sólo oceľ.boky-NW 139/450mm/strieb.</t>
  </si>
  <si>
    <t>AvanY-sólo oceľ.boky-NW 139/500mm/strieb.</t>
  </si>
  <si>
    <t>AvanY-sólo oceľ.boky-NW 139/550mm/strieb.</t>
  </si>
  <si>
    <t>AvanY-sólo oceľ.boky-NW 139/600mm/strieb.</t>
  </si>
  <si>
    <t>AvanY-sólo oceľ.boky-NW 139/650mm/strieb.</t>
  </si>
  <si>
    <t>AvanY-sólo oceľ.boky-NW 139/270mm/biela</t>
  </si>
  <si>
    <t>AvanY-sólo oceľ.boky-NW 139/300mm/biela</t>
  </si>
  <si>
    <t>AvanY-sólo oceľ.boky-NW 139/350mm/biela</t>
  </si>
  <si>
    <t>AvanY-sólo oceľ.boky-NW 139/400mm/biela</t>
  </si>
  <si>
    <t>AvanY-sólo oceľ.boky-NW 139/450mm/biela</t>
  </si>
  <si>
    <t>AvanY-sólo oceľ.boky-NW 139/500mm/biela</t>
  </si>
  <si>
    <t>AvanY-sólo oceľ.boky-NW 139/550mm/biela</t>
  </si>
  <si>
    <t>AvanY-sólo oceľ.boky-NW 139/600mm/biela</t>
  </si>
  <si>
    <t>AvanY-sólo oceľ.boky-NW 139/650mm/biela</t>
  </si>
  <si>
    <t>AvanY-sólo oceľ.boky-NW 139/270mm/antracit</t>
  </si>
  <si>
    <t>AvanY-sólo oceľ.boky-NW 139/300mm/antracit</t>
  </si>
  <si>
    <t>AvanY-sólo oceľ.boky-NW 139/350mm/antracit</t>
  </si>
  <si>
    <t>AvanY-sólo oceľ.boky-NW 139/400mm/antracit</t>
  </si>
  <si>
    <t>AvanY-sólo oceľ.boky-NW 139/450mm/antracit</t>
  </si>
  <si>
    <t>AvanY-sólo oceľ.boky-NW 139/500mm/antracit</t>
  </si>
  <si>
    <t>AvanY-sólo oceľ.boky-NW 139/550mm/antracit</t>
  </si>
  <si>
    <t>AvanY-sólo oceľ.boky-NW 139/600mm/antracit</t>
  </si>
  <si>
    <t>AvanY-sólo oceľ.boky-NW 139/650mm/antracit</t>
  </si>
  <si>
    <t>AvanY-sólo oceľ.boky-NW 187/270mm/strieb.</t>
  </si>
  <si>
    <t>AvanY-sólo oceľ.boky-NW 187/300mm/strieb.</t>
  </si>
  <si>
    <t>AvanY-sólo oceľ.boky-NW 187/350mm/strieb.</t>
  </si>
  <si>
    <t>AvanY-sólo oceľ.boky-NW 187/400mm/strieb.</t>
  </si>
  <si>
    <t>AvanY-sólo oceľ.boky-NW 187/450mm/strieb.</t>
  </si>
  <si>
    <t>AvanY-sólo oceľ.boky-NW 187/500mm/strieb.</t>
  </si>
  <si>
    <t>AvanY-sólo oceľ.boky-NW 187/550mm/strieb.</t>
  </si>
  <si>
    <t>AvanY-sólo oceľ.boky-NW 187/600mm/strieb.</t>
  </si>
  <si>
    <t>AvanY-sólo oceľ.boky-NW 187/650mm/strieb.</t>
  </si>
  <si>
    <t>AvanY-sólo oceľ.boky-NW 187/270mm/biela</t>
  </si>
  <si>
    <t>AvanY-sólo oceľ.boky-NW 187/300mm/biela</t>
  </si>
  <si>
    <t>AvanY-sólo oceľ.boky-NW 187/350mm/biela</t>
  </si>
  <si>
    <t>AvanY-sólo oceľ.boky-NW 187/400mm/biela</t>
  </si>
  <si>
    <t>AvanY-sólo oceľ.boky-NW 187/450mm/biela</t>
  </si>
  <si>
    <t>AvanY-sólo oceľ.boky-NW 187/500mm/biela</t>
  </si>
  <si>
    <t>AvanY-sólo oceľ.boky-NW 187/550mm/biela</t>
  </si>
  <si>
    <t>AvanY-sólo oceľ.boky-NW 187/600mm/biela</t>
  </si>
  <si>
    <t>AvanY-sólo oceľ.boky-NW 187/650mm/biela</t>
  </si>
  <si>
    <t>AvanY-sólo oceľ.boky-NW 187/270mm/antracit</t>
  </si>
  <si>
    <t>AvanY-sólo oceľ.boky-NW 187/300mm/antracit</t>
  </si>
  <si>
    <t>AvanY-sólo oceľ.boky-NW 187/350mm/antracit</t>
  </si>
  <si>
    <t>AvanY-sólo oceľ.boky-NW 187/400mm/antracit</t>
  </si>
  <si>
    <t>AvanY-sólo oceľ.boky-NW 187/450mm/antracit</t>
  </si>
  <si>
    <t>AvanY-sólo oceľ.boky-NW 187/500mm/antracit</t>
  </si>
  <si>
    <t>AvanY-sólo oceľ.boky-NW 187/550mm/antracit</t>
  </si>
  <si>
    <t>AvanY-sólo oceľ.boky-NW 187/600mm/antracit</t>
  </si>
  <si>
    <t>AvanY-sólo oceľ.boky-NW 187/650mm/antracit</t>
  </si>
  <si>
    <t>AvanY-sólo oceľ.boky-NW 251/350mm/strieb.</t>
  </si>
  <si>
    <t>AvanY-sólo oceľ.boky-NW 251/400mm/strieb.</t>
  </si>
  <si>
    <t>AvanY-sólo oceľ.boky-NW 251/450mm/strieb.</t>
  </si>
  <si>
    <t>AvanY-sólo oceľ.boky-NW 251/500mm/strieb.</t>
  </si>
  <si>
    <t>AvanY-sólo oceľ.boky-NW 251/550mm/strieb.</t>
  </si>
  <si>
    <t>AvanY-sólo oceľ.boky-NW 251/600mm/strieb.</t>
  </si>
  <si>
    <t>AvanY-sólo oceľ.boky-NW 251/650mm/strieb.</t>
  </si>
  <si>
    <t>AvanY-sólo oceľ.boky-NW 251/350mm/biela</t>
  </si>
  <si>
    <t>AvanY-sólo oceľ.boky-NW 251/400mm/biela</t>
  </si>
  <si>
    <t>AvanY-sólo oceľ.boky-NW 251/450mm/biela</t>
  </si>
  <si>
    <t>AvanY-sólo oceľ.boky-NW 251/500mm/biela</t>
  </si>
  <si>
    <t>AvanY-sólo oceľ.boky-NW 251/550mm/biela</t>
  </si>
  <si>
    <t>AvanY-sólo oceľ.boky-NW 251/600mm/biela</t>
  </si>
  <si>
    <t>AvanY-sólo oceľ.boky-NW 251/650mm/biela</t>
  </si>
  <si>
    <t>AvanY-sólo oceľ.boky-NW 251/350mm/antracit</t>
  </si>
  <si>
    <t>AvanY-sólo oceľ.boky-NW 251/400mm/antracit</t>
  </si>
  <si>
    <t>AvanY-sólo oceľ.boky-NW 251/450mm/antracit</t>
  </si>
  <si>
    <t>AvanY-sólo oceľ.boky-NW 251/500mm/antracit</t>
  </si>
  <si>
    <t>AvanY-sólo oceľ.boky-NW 251/550mm/antracit</t>
  </si>
  <si>
    <t>AvanY-sólo oceľ.boky-NW 251/600mm/antracit</t>
  </si>
  <si>
    <t>AvanY-sólo oceľ.boky-NW 251/650mm/antracit</t>
  </si>
  <si>
    <t>AvanY-sólo boky Inlay-NW 187/350mm/strieb.</t>
  </si>
  <si>
    <t>AvanY-sólo boky Inlay-NW 187/400mm/strieb.</t>
  </si>
  <si>
    <t>AvanY-sólo boky Inlay-NW 187/450mm/strieb.</t>
  </si>
  <si>
    <t>AvanY-sólo boky Inlay-NW 187/500mm/strieb.</t>
  </si>
  <si>
    <t>AvanY-sólo boky Inlay-NW 187/550mm/strieb.</t>
  </si>
  <si>
    <t>AvanY-sólo boky Inlay-NW 187/600mm/strieb.</t>
  </si>
  <si>
    <t>AvanY-sólo boky Inlay-NW 187/650mm/strieb.</t>
  </si>
  <si>
    <t>AvanY-sólo boky Inlay-NW 187/350mm/biela</t>
  </si>
  <si>
    <t>AvanY-sólo boky Inlay-NW 187/400mm/biela</t>
  </si>
  <si>
    <t>AvanY-sólo boky Inlay-NW 187/450mm/biela</t>
  </si>
  <si>
    <t>AvanY-sólo boky Inlay-NW 187/500mm/biela</t>
  </si>
  <si>
    <t>AvanY-sólo boky Inlay-NW 187/550mm/biela</t>
  </si>
  <si>
    <t>AvanY-sólo boky Inlay-NW 187/600mm/biela</t>
  </si>
  <si>
    <t>AvanY-sólo boky Inlay-NW 187/650mm/biela</t>
  </si>
  <si>
    <t>AvanY-sólo boky Inlay-NW 187/350mm/antracit</t>
  </si>
  <si>
    <t>AvanY-sólo boky Inlay-NW 187/400mm/antracit</t>
  </si>
  <si>
    <t>AvanY-sólo boky Inlay-NW 187/450mm/antracit</t>
  </si>
  <si>
    <t>AvanY-sólo boky Inlay-NW 187/500mm/antracit</t>
  </si>
  <si>
    <t>AvanY-sólo boky Inlay-NW 187/550mm/antracit</t>
  </si>
  <si>
    <t>AvanY-sólo boky Inlay-NW 187/600mm/antracit</t>
  </si>
  <si>
    <t>AvanY-sólo boky Inlay-NW 187/650mm/antracit</t>
  </si>
  <si>
    <t>AVAN/AT stabilizátor čela; pre š&gt;600mm</t>
  </si>
  <si>
    <t>Konfik</t>
  </si>
  <si>
    <t>AvanY-prích.čela k naskrutk./ v251 (kompl)</t>
  </si>
  <si>
    <t>AvanY-prích.čela s rozp.púzdrom/ v251 (kompl)</t>
  </si>
  <si>
    <t>AvanY-bok ľavý /v139/h270/ strieborná</t>
  </si>
  <si>
    <t>AvanY-bok pravý /v139/h270/ strieborná</t>
  </si>
  <si>
    <t>AvanY-bok ľavý /v139/h650/ strieborná</t>
  </si>
  <si>
    <t>AvanY-bok pravý /v139/h650/ strieborná</t>
  </si>
  <si>
    <t>AvanY-bok ľavý /v139/h270/ biela</t>
  </si>
  <si>
    <t>AvanY-bok pravý /v139/h270/ biela</t>
  </si>
  <si>
    <t>AvanY-bok ľavý /v139/h650/ biela</t>
  </si>
  <si>
    <t>AvanY-bok pravý /v139/h650/ biela</t>
  </si>
  <si>
    <t>AvanY-bok ľavý /v139/h270/ antracit</t>
  </si>
  <si>
    <t>AvanY-bok pravý /v139/h270/ antracit</t>
  </si>
  <si>
    <t>AvanY-bok ľavý /v139/h650/ antracit</t>
  </si>
  <si>
    <t>AvanY-bok pravý /v139/h650/ antracit</t>
  </si>
  <si>
    <t>2.0.0</t>
  </si>
  <si>
    <t>119084</t>
  </si>
  <si>
    <t>177538</t>
  </si>
  <si>
    <t>178288</t>
  </si>
  <si>
    <t>106403</t>
  </si>
  <si>
    <t>106416</t>
  </si>
  <si>
    <t>264246</t>
  </si>
  <si>
    <t>264266</t>
  </si>
  <si>
    <t>264278</t>
  </si>
  <si>
    <t>210282</t>
  </si>
  <si>
    <t>318282</t>
  </si>
  <si>
    <t>318281</t>
  </si>
  <si>
    <t>318279</t>
  </si>
  <si>
    <t>396535</t>
  </si>
  <si>
    <t>396536</t>
  </si>
  <si>
    <t>396537</t>
  </si>
  <si>
    <t>396538</t>
  </si>
  <si>
    <t>396539</t>
  </si>
  <si>
    <t>396540</t>
  </si>
  <si>
    <t>396661</t>
  </si>
  <si>
    <t>396662</t>
  </si>
  <si>
    <t>396663</t>
  </si>
  <si>
    <t>396664</t>
  </si>
  <si>
    <t>396665</t>
  </si>
  <si>
    <t>396666</t>
  </si>
  <si>
    <t>396667</t>
  </si>
  <si>
    <t>396668</t>
  </si>
  <si>
    <t>396669</t>
  </si>
  <si>
    <t>396670</t>
  </si>
  <si>
    <t>396671</t>
  </si>
  <si>
    <t>396672</t>
  </si>
  <si>
    <t>396673</t>
  </si>
  <si>
    <t>396674</t>
  </si>
  <si>
    <t>396675</t>
  </si>
  <si>
    <t>396676</t>
  </si>
  <si>
    <t>396677</t>
  </si>
  <si>
    <t>396678</t>
  </si>
  <si>
    <t>396738</t>
  </si>
  <si>
    <t>396739</t>
  </si>
  <si>
    <t>396740</t>
  </si>
  <si>
    <t>396741</t>
  </si>
  <si>
    <t>396742</t>
  </si>
  <si>
    <t>396743</t>
  </si>
  <si>
    <t>396744</t>
  </si>
  <si>
    <t>396745</t>
  </si>
  <si>
    <t>396746</t>
  </si>
  <si>
    <t>396747</t>
  </si>
  <si>
    <t>396748</t>
  </si>
  <si>
    <t>396749</t>
  </si>
  <si>
    <t>396750</t>
  </si>
  <si>
    <t>396751</t>
  </si>
  <si>
    <t>470810</t>
  </si>
  <si>
    <t>470811</t>
  </si>
  <si>
    <t>396809</t>
  </si>
  <si>
    <t>396810</t>
  </si>
  <si>
    <t>396811</t>
  </si>
  <si>
    <t>396812</t>
  </si>
  <si>
    <t>396813</t>
  </si>
  <si>
    <t>396814</t>
  </si>
  <si>
    <t>396815</t>
  </si>
  <si>
    <t>396816</t>
  </si>
  <si>
    <t>396817</t>
  </si>
  <si>
    <t>396818</t>
  </si>
  <si>
    <t>396819</t>
  </si>
  <si>
    <t>396820</t>
  </si>
  <si>
    <t>396821</t>
  </si>
  <si>
    <t>396822</t>
  </si>
  <si>
    <t>396823</t>
  </si>
  <si>
    <t>396824</t>
  </si>
  <si>
    <t>396825</t>
  </si>
  <si>
    <t>396826</t>
  </si>
  <si>
    <t>396886</t>
  </si>
  <si>
    <t>396887</t>
  </si>
  <si>
    <t>396888</t>
  </si>
  <si>
    <t>396889</t>
  </si>
  <si>
    <t>396890</t>
  </si>
  <si>
    <t>396891</t>
  </si>
  <si>
    <t>396892</t>
  </si>
  <si>
    <t>396893</t>
  </si>
  <si>
    <t>396894</t>
  </si>
  <si>
    <t>396895</t>
  </si>
  <si>
    <t>396896</t>
  </si>
  <si>
    <t>396897</t>
  </si>
  <si>
    <t>396898</t>
  </si>
  <si>
    <t>396899</t>
  </si>
  <si>
    <t>396543</t>
  </si>
  <si>
    <t>396544</t>
  </si>
  <si>
    <t>396545</t>
  </si>
  <si>
    <t>396546</t>
  </si>
  <si>
    <t>396547</t>
  </si>
  <si>
    <t>396548</t>
  </si>
  <si>
    <t>396549</t>
  </si>
  <si>
    <t>396550</t>
  </si>
  <si>
    <t>396679</t>
  </si>
  <si>
    <t>396680</t>
  </si>
  <si>
    <t>396681</t>
  </si>
  <si>
    <t>396682</t>
  </si>
  <si>
    <t>396683</t>
  </si>
  <si>
    <t>396684</t>
  </si>
  <si>
    <t>396685</t>
  </si>
  <si>
    <t>396686</t>
  </si>
  <si>
    <t>396687</t>
  </si>
  <si>
    <t>396688</t>
  </si>
  <si>
    <t>396689</t>
  </si>
  <si>
    <t>396690</t>
  </si>
  <si>
    <t>396691</t>
  </si>
  <si>
    <t>396692</t>
  </si>
  <si>
    <t>396693</t>
  </si>
  <si>
    <t>396694</t>
  </si>
  <si>
    <t>396695</t>
  </si>
  <si>
    <t>396696</t>
  </si>
  <si>
    <t>396752</t>
  </si>
  <si>
    <t>396753</t>
  </si>
  <si>
    <t>396754</t>
  </si>
  <si>
    <t>396755</t>
  </si>
  <si>
    <t>396756</t>
  </si>
  <si>
    <t>396757</t>
  </si>
  <si>
    <t>396758</t>
  </si>
  <si>
    <t>396759</t>
  </si>
  <si>
    <t>396760</t>
  </si>
  <si>
    <t>396761</t>
  </si>
  <si>
    <t>396762</t>
  </si>
  <si>
    <t>396763</t>
  </si>
  <si>
    <t>396764</t>
  </si>
  <si>
    <t>396765</t>
  </si>
  <si>
    <t>470812</t>
  </si>
  <si>
    <t>470813</t>
  </si>
  <si>
    <t>396827</t>
  </si>
  <si>
    <t>396828</t>
  </si>
  <si>
    <t>396829</t>
  </si>
  <si>
    <t>396830</t>
  </si>
  <si>
    <t>396831</t>
  </si>
  <si>
    <t>396832</t>
  </si>
  <si>
    <t>396833</t>
  </si>
  <si>
    <t>396834</t>
  </si>
  <si>
    <t>396835</t>
  </si>
  <si>
    <t>396836</t>
  </si>
  <si>
    <t>396837</t>
  </si>
  <si>
    <t>396838</t>
  </si>
  <si>
    <t>396839</t>
  </si>
  <si>
    <t>396840</t>
  </si>
  <si>
    <t>396841</t>
  </si>
  <si>
    <t>396842</t>
  </si>
  <si>
    <t>396843</t>
  </si>
  <si>
    <t>396844</t>
  </si>
  <si>
    <t>396900</t>
  </si>
  <si>
    <t>396901</t>
  </si>
  <si>
    <t>396902</t>
  </si>
  <si>
    <t>396903</t>
  </si>
  <si>
    <t>396904</t>
  </si>
  <si>
    <t>396905</t>
  </si>
  <si>
    <t>396906</t>
  </si>
  <si>
    <t>396907</t>
  </si>
  <si>
    <t>396908</t>
  </si>
  <si>
    <t>396909</t>
  </si>
  <si>
    <t>396910</t>
  </si>
  <si>
    <t>396911</t>
  </si>
  <si>
    <t>396912</t>
  </si>
  <si>
    <t>396913</t>
  </si>
  <si>
    <t>396551</t>
  </si>
  <si>
    <t>396552</t>
  </si>
  <si>
    <t>396553</t>
  </si>
  <si>
    <t>396554</t>
  </si>
  <si>
    <t>396555</t>
  </si>
  <si>
    <t>396556</t>
  </si>
  <si>
    <t>396557</t>
  </si>
  <si>
    <t>396558</t>
  </si>
  <si>
    <t>396697</t>
  </si>
  <si>
    <t>396698</t>
  </si>
  <si>
    <t>396699</t>
  </si>
  <si>
    <t>396700</t>
  </si>
  <si>
    <t>396701</t>
  </si>
  <si>
    <t>396702</t>
  </si>
  <si>
    <t>396703</t>
  </si>
  <si>
    <t>396704</t>
  </si>
  <si>
    <t>396705</t>
  </si>
  <si>
    <t>396706</t>
  </si>
  <si>
    <t>396707</t>
  </si>
  <si>
    <t>396708</t>
  </si>
  <si>
    <t>396709</t>
  </si>
  <si>
    <t>396710</t>
  </si>
  <si>
    <t>396711</t>
  </si>
  <si>
    <t>396712</t>
  </si>
  <si>
    <t>396713</t>
  </si>
  <si>
    <t>396714</t>
  </si>
  <si>
    <t>396766</t>
  </si>
  <si>
    <t>396767</t>
  </si>
  <si>
    <t>396768</t>
  </si>
  <si>
    <t>396769</t>
  </si>
  <si>
    <t>396770</t>
  </si>
  <si>
    <t>396771</t>
  </si>
  <si>
    <t>396772</t>
  </si>
  <si>
    <t>396773</t>
  </si>
  <si>
    <t>396774</t>
  </si>
  <si>
    <t>396775</t>
  </si>
  <si>
    <t>396776</t>
  </si>
  <si>
    <t>396777</t>
  </si>
  <si>
    <t>396778</t>
  </si>
  <si>
    <t>396779</t>
  </si>
  <si>
    <t>470814</t>
  </si>
  <si>
    <t>470815</t>
  </si>
  <si>
    <t>396845</t>
  </si>
  <si>
    <t>396846</t>
  </si>
  <si>
    <t>396847</t>
  </si>
  <si>
    <t>396848</t>
  </si>
  <si>
    <t>396849</t>
  </si>
  <si>
    <t>396850</t>
  </si>
  <si>
    <t>396851</t>
  </si>
  <si>
    <t>396852</t>
  </si>
  <si>
    <t>396853</t>
  </si>
  <si>
    <t>396854</t>
  </si>
  <si>
    <t>396855</t>
  </si>
  <si>
    <t>396856</t>
  </si>
  <si>
    <t>396857</t>
  </si>
  <si>
    <t>396858</t>
  </si>
  <si>
    <t>396859</t>
  </si>
  <si>
    <t>396860</t>
  </si>
  <si>
    <t>396861</t>
  </si>
  <si>
    <t>396862</t>
  </si>
  <si>
    <t>396914</t>
  </si>
  <si>
    <t>396915</t>
  </si>
  <si>
    <t>396916</t>
  </si>
  <si>
    <t>396917</t>
  </si>
  <si>
    <t>396918</t>
  </si>
  <si>
    <t>396919</t>
  </si>
  <si>
    <t>396920</t>
  </si>
  <si>
    <t>396921</t>
  </si>
  <si>
    <t>396922</t>
  </si>
  <si>
    <t>396923</t>
  </si>
  <si>
    <t>396924</t>
  </si>
  <si>
    <t>396925</t>
  </si>
  <si>
    <t>396926</t>
  </si>
  <si>
    <t>396927</t>
  </si>
  <si>
    <t>396541</t>
  </si>
  <si>
    <t>396542</t>
  </si>
  <si>
    <t>396586</t>
  </si>
  <si>
    <t>396587</t>
  </si>
  <si>
    <t>396588</t>
  </si>
  <si>
    <t>396589</t>
  </si>
  <si>
    <t>396590</t>
  </si>
  <si>
    <t>396591</t>
  </si>
  <si>
    <t>396592</t>
  </si>
  <si>
    <t>396593</t>
  </si>
  <si>
    <t>396594</t>
  </si>
  <si>
    <t>396604</t>
  </si>
  <si>
    <t>396605</t>
  </si>
  <si>
    <t>396606</t>
  </si>
  <si>
    <t>396607</t>
  </si>
  <si>
    <t>396608</t>
  </si>
  <si>
    <t>396609</t>
  </si>
  <si>
    <t>396610</t>
  </si>
  <si>
    <t>396611</t>
  </si>
  <si>
    <t>396612</t>
  </si>
  <si>
    <t>396613</t>
  </si>
  <si>
    <t>396614</t>
  </si>
  <si>
    <t>396615</t>
  </si>
  <si>
    <t>396616</t>
  </si>
  <si>
    <t>396617</t>
  </si>
  <si>
    <t>396618</t>
  </si>
  <si>
    <t>396619</t>
  </si>
  <si>
    <t>396620</t>
  </si>
  <si>
    <t>396621</t>
  </si>
  <si>
    <t>396622</t>
  </si>
  <si>
    <t>396623</t>
  </si>
  <si>
    <t>396625</t>
  </si>
  <si>
    <t>396626</t>
  </si>
  <si>
    <t>396627</t>
  </si>
  <si>
    <t>396630</t>
  </si>
  <si>
    <t>397764</t>
  </si>
  <si>
    <t>396631</t>
  </si>
  <si>
    <t>396632</t>
  </si>
  <si>
    <t>396715</t>
  </si>
  <si>
    <t>396716</t>
  </si>
  <si>
    <t>396863</t>
  </si>
  <si>
    <t>396864</t>
  </si>
  <si>
    <t>397812</t>
  </si>
  <si>
    <t>397813</t>
  </si>
  <si>
    <t>397814</t>
  </si>
  <si>
    <t>397815</t>
  </si>
  <si>
    <t>397816</t>
  </si>
  <si>
    <t>397817</t>
  </si>
  <si>
    <t>397818</t>
  </si>
  <si>
    <t>397819</t>
  </si>
  <si>
    <t>397820</t>
  </si>
  <si>
    <t>397821</t>
  </si>
  <si>
    <t>397822</t>
  </si>
  <si>
    <t>397823</t>
  </si>
  <si>
    <t>397824</t>
  </si>
  <si>
    <t>397825</t>
  </si>
  <si>
    <t>397826</t>
  </si>
  <si>
    <t>397827</t>
  </si>
  <si>
    <t>518550</t>
  </si>
  <si>
    <t>518551</t>
  </si>
  <si>
    <t>527985</t>
  </si>
  <si>
    <t>518552</t>
  </si>
  <si>
    <t>422190</t>
  </si>
  <si>
    <t>518553</t>
  </si>
  <si>
    <t>397834</t>
  </si>
  <si>
    <t>397835</t>
  </si>
  <si>
    <t>397836</t>
  </si>
  <si>
    <t>397837</t>
  </si>
  <si>
    <t>397838</t>
  </si>
  <si>
    <t>397839</t>
  </si>
  <si>
    <t>397840</t>
  </si>
  <si>
    <t>397841</t>
  </si>
  <si>
    <t>397842</t>
  </si>
  <si>
    <t>397843</t>
  </si>
  <si>
    <t>397844</t>
  </si>
  <si>
    <t>397845</t>
  </si>
  <si>
    <t>397846</t>
  </si>
  <si>
    <t>397847</t>
  </si>
  <si>
    <t>397848</t>
  </si>
  <si>
    <t>397849</t>
  </si>
  <si>
    <t>518554</t>
  </si>
  <si>
    <t>518555</t>
  </si>
  <si>
    <t>518556</t>
  </si>
  <si>
    <t>518557</t>
  </si>
  <si>
    <t>518558</t>
  </si>
  <si>
    <t>518559</t>
  </si>
  <si>
    <t>518560</t>
  </si>
  <si>
    <t>397806</t>
  </si>
  <si>
    <t>397807</t>
  </si>
  <si>
    <t>397808</t>
  </si>
  <si>
    <t>397809</t>
  </si>
  <si>
    <t>397810</t>
  </si>
  <si>
    <t>397811</t>
  </si>
  <si>
    <t>518547</t>
  </si>
  <si>
    <t>518548</t>
  </si>
  <si>
    <t>518549</t>
  </si>
  <si>
    <t>396951</t>
  </si>
  <si>
    <t>396952</t>
  </si>
  <si>
    <t>396953</t>
  </si>
  <si>
    <t>396954</t>
  </si>
  <si>
    <t>396955</t>
  </si>
  <si>
    <t>396956</t>
  </si>
  <si>
    <t>396957</t>
  </si>
  <si>
    <t>396958</t>
  </si>
  <si>
    <t>396959</t>
  </si>
  <si>
    <t>396960</t>
  </si>
  <si>
    <t>396961</t>
  </si>
  <si>
    <t>396962</t>
  </si>
  <si>
    <t>396963</t>
  </si>
  <si>
    <t>396964</t>
  </si>
  <si>
    <t>396965</t>
  </si>
  <si>
    <t>396966</t>
  </si>
  <si>
    <t>396967</t>
  </si>
  <si>
    <t>396968</t>
  </si>
  <si>
    <t>396969</t>
  </si>
  <si>
    <t>396970</t>
  </si>
  <si>
    <t>396971</t>
  </si>
  <si>
    <t>396972</t>
  </si>
  <si>
    <t>396973</t>
  </si>
  <si>
    <t>396974</t>
  </si>
  <si>
    <t>396975</t>
  </si>
  <si>
    <t>396976</t>
  </si>
  <si>
    <t>396977</t>
  </si>
  <si>
    <t>396978</t>
  </si>
  <si>
    <t>396979</t>
  </si>
  <si>
    <t>396980</t>
  </si>
  <si>
    <t>396981</t>
  </si>
  <si>
    <t>396982</t>
  </si>
  <si>
    <t>396983</t>
  </si>
  <si>
    <t>396984</t>
  </si>
  <si>
    <t>396985</t>
  </si>
  <si>
    <t>396986</t>
  </si>
  <si>
    <t>396987</t>
  </si>
  <si>
    <t>396988</t>
  </si>
  <si>
    <t>396989</t>
  </si>
  <si>
    <t>396990</t>
  </si>
  <si>
    <t>396991</t>
  </si>
  <si>
    <t>396992</t>
  </si>
  <si>
    <t>396993</t>
  </si>
  <si>
    <t>396994</t>
  </si>
  <si>
    <t>397369</t>
  </si>
  <si>
    <t>397370</t>
  </si>
  <si>
    <t>397371</t>
  </si>
  <si>
    <t>397372</t>
  </si>
  <si>
    <t>397373</t>
  </si>
  <si>
    <t>397374</t>
  </si>
  <si>
    <t>397375</t>
  </si>
  <si>
    <t>397376</t>
  </si>
  <si>
    <t>397377</t>
  </si>
  <si>
    <t>397378</t>
  </si>
  <si>
    <t>397379</t>
  </si>
  <si>
    <t>397380</t>
  </si>
  <si>
    <t>397381</t>
  </si>
  <si>
    <t>397382</t>
  </si>
  <si>
    <t>397383</t>
  </si>
  <si>
    <t>397384</t>
  </si>
  <si>
    <t>397385</t>
  </si>
  <si>
    <t>397386</t>
  </si>
  <si>
    <t>397387</t>
  </si>
  <si>
    <t>397388</t>
  </si>
  <si>
    <t>397389</t>
  </si>
  <si>
    <t>397391</t>
  </si>
  <si>
    <t>397392</t>
  </si>
  <si>
    <t>397393</t>
  </si>
  <si>
    <t>397394</t>
  </si>
  <si>
    <t>397395</t>
  </si>
  <si>
    <t>397396</t>
  </si>
  <si>
    <t>397397</t>
  </si>
  <si>
    <t>397398</t>
  </si>
  <si>
    <t>397399</t>
  </si>
  <si>
    <t>397390</t>
  </si>
  <si>
    <t>397757</t>
  </si>
  <si>
    <t>397759</t>
  </si>
  <si>
    <t>397760</t>
  </si>
  <si>
    <t>397762</t>
  </si>
  <si>
    <t>397751</t>
  </si>
  <si>
    <t>397752</t>
  </si>
  <si>
    <t>397753</t>
  </si>
  <si>
    <t>397754</t>
  </si>
  <si>
    <t>397755</t>
  </si>
  <si>
    <t>397756</t>
  </si>
  <si>
    <t>397748</t>
  </si>
  <si>
    <t>397749</t>
  </si>
  <si>
    <t>397750</t>
  </si>
  <si>
    <t>396633</t>
  </si>
  <si>
    <t>397765</t>
  </si>
  <si>
    <t>397766</t>
  </si>
  <si>
    <t>397767</t>
  </si>
  <si>
    <t>481350</t>
  </si>
  <si>
    <t>461088</t>
  </si>
  <si>
    <t>417299</t>
  </si>
  <si>
    <t>396780</t>
  </si>
  <si>
    <t>396781</t>
  </si>
  <si>
    <t>396928</t>
  </si>
  <si>
    <t>396929</t>
  </si>
  <si>
    <t>397802</t>
  </si>
  <si>
    <t>397803</t>
  </si>
  <si>
    <t>397804</t>
  </si>
  <si>
    <t>397805</t>
  </si>
  <si>
    <t>397831</t>
  </si>
  <si>
    <t>397832</t>
  </si>
  <si>
    <t>397833</t>
  </si>
  <si>
    <t>489987</t>
  </si>
  <si>
    <t>454363</t>
  </si>
  <si>
    <t>468849</t>
  </si>
  <si>
    <t>459760</t>
  </si>
  <si>
    <t>468850</t>
  </si>
  <si>
    <t>518511</t>
  </si>
  <si>
    <t>462468</t>
  </si>
  <si>
    <t>467233</t>
  </si>
  <si>
    <t>421346</t>
  </si>
  <si>
    <t>421347</t>
  </si>
  <si>
    <t>421348</t>
  </si>
  <si>
    <t>421349</t>
  </si>
  <si>
    <t>421350</t>
  </si>
  <si>
    <t>421351</t>
  </si>
  <si>
    <t>421352</t>
  </si>
  <si>
    <t>489687</t>
  </si>
  <si>
    <t>518509</t>
  </si>
  <si>
    <t>518502</t>
  </si>
  <si>
    <t>518494</t>
  </si>
  <si>
    <t>475081</t>
  </si>
  <si>
    <t>518499</t>
  </si>
  <si>
    <t>518491</t>
  </si>
  <si>
    <t>397769</t>
  </si>
  <si>
    <t>397770</t>
  </si>
  <si>
    <t>397771</t>
  </si>
  <si>
    <t>397772</t>
  </si>
  <si>
    <t>397773</t>
  </si>
  <si>
    <t>397774</t>
  </si>
  <si>
    <t>518516</t>
  </si>
  <si>
    <t>518519</t>
  </si>
  <si>
    <t>518520</t>
  </si>
  <si>
    <t>397775</t>
  </si>
  <si>
    <t>397776</t>
  </si>
  <si>
    <t>397777</t>
  </si>
  <si>
    <t>397778</t>
  </si>
  <si>
    <t>397779</t>
  </si>
  <si>
    <t>397780</t>
  </si>
  <si>
    <t>397781</t>
  </si>
  <si>
    <t>397782</t>
  </si>
  <si>
    <t>397783</t>
  </si>
  <si>
    <t>397784</t>
  </si>
  <si>
    <t>397785</t>
  </si>
  <si>
    <t>397786</t>
  </si>
  <si>
    <t>397787</t>
  </si>
  <si>
    <t>397788</t>
  </si>
  <si>
    <t>397789</t>
  </si>
  <si>
    <t>397790</t>
  </si>
  <si>
    <t>518523</t>
  </si>
  <si>
    <t>518524</t>
  </si>
  <si>
    <t>518526</t>
  </si>
  <si>
    <t>422188</t>
  </si>
  <si>
    <t>421497</t>
  </si>
  <si>
    <t>518532</t>
  </si>
  <si>
    <t>397791</t>
  </si>
  <si>
    <t>397792</t>
  </si>
  <si>
    <t>397793</t>
  </si>
  <si>
    <t>397794</t>
  </si>
  <si>
    <t>397795</t>
  </si>
  <si>
    <t>397796</t>
  </si>
  <si>
    <t>398924</t>
  </si>
  <si>
    <t>398925</t>
  </si>
  <si>
    <t>397797</t>
  </si>
  <si>
    <t>397798</t>
  </si>
  <si>
    <t>422189</t>
  </si>
  <si>
    <t>518538</t>
  </si>
  <si>
    <t>462510</t>
  </si>
  <si>
    <t>518543</t>
  </si>
  <si>
    <t>226256</t>
  </si>
  <si>
    <t>532199</t>
  </si>
  <si>
    <t>532200</t>
  </si>
  <si>
    <t>532201</t>
  </si>
  <si>
    <t>532202</t>
  </si>
  <si>
    <t>532203</t>
  </si>
  <si>
    <t>532204</t>
  </si>
  <si>
    <t>532205</t>
  </si>
  <si>
    <t>532206</t>
  </si>
  <si>
    <t>532207</t>
  </si>
  <si>
    <t>532174</t>
  </si>
  <si>
    <t>532177</t>
  </si>
  <si>
    <t>532180</t>
  </si>
  <si>
    <t>532183</t>
  </si>
  <si>
    <t>532186</t>
  </si>
  <si>
    <t>532189</t>
  </si>
  <si>
    <t>532192</t>
  </si>
  <si>
    <t>532195</t>
  </si>
  <si>
    <t>532198</t>
  </si>
  <si>
    <t>532173</t>
  </si>
  <si>
    <t>532176</t>
  </si>
  <si>
    <t>532179</t>
  </si>
  <si>
    <t>532182</t>
  </si>
  <si>
    <t>532185</t>
  </si>
  <si>
    <t>532188</t>
  </si>
  <si>
    <t>532191</t>
  </si>
  <si>
    <t>532194</t>
  </si>
  <si>
    <t>532197</t>
  </si>
  <si>
    <t>532172</t>
  </si>
  <si>
    <t>532175</t>
  </si>
  <si>
    <t>532178</t>
  </si>
  <si>
    <t>532181</t>
  </si>
  <si>
    <t>532184</t>
  </si>
  <si>
    <t>532187</t>
  </si>
  <si>
    <t>532190</t>
  </si>
  <si>
    <t>532193</t>
  </si>
  <si>
    <t>532196</t>
  </si>
  <si>
    <t>530109</t>
  </si>
  <si>
    <t>530110</t>
  </si>
  <si>
    <t>530111</t>
  </si>
  <si>
    <t>530112</t>
  </si>
  <si>
    <t>530113</t>
  </si>
  <si>
    <t>530114</t>
  </si>
  <si>
    <t>530115</t>
  </si>
  <si>
    <t>530116</t>
  </si>
  <si>
    <t>530117</t>
  </si>
  <si>
    <t>530118</t>
  </si>
  <si>
    <t>530119</t>
  </si>
  <si>
    <t>530120</t>
  </si>
  <si>
    <t>530121</t>
  </si>
  <si>
    <t>530122</t>
  </si>
  <si>
    <t>530123</t>
  </si>
  <si>
    <t>530124</t>
  </si>
  <si>
    <t>530125</t>
  </si>
  <si>
    <t>530126</t>
  </si>
  <si>
    <t>530127</t>
  </si>
  <si>
    <t>530128</t>
  </si>
  <si>
    <t>530129</t>
  </si>
  <si>
    <t>529995</t>
  </si>
  <si>
    <t>529996</t>
  </si>
  <si>
    <t>529997</t>
  </si>
  <si>
    <t>529998</t>
  </si>
  <si>
    <t>530007</t>
  </si>
  <si>
    <t>530008</t>
  </si>
  <si>
    <t>530009</t>
  </si>
  <si>
    <t>530010</t>
  </si>
  <si>
    <t>530011</t>
  </si>
  <si>
    <t>530012</t>
  </si>
  <si>
    <t>530013</t>
  </si>
  <si>
    <t>530014</t>
  </si>
  <si>
    <t>530015</t>
  </si>
  <si>
    <t>530034</t>
  </si>
  <si>
    <t>530035</t>
  </si>
  <si>
    <t>530036</t>
  </si>
  <si>
    <t>530037</t>
  </si>
  <si>
    <t>530038</t>
  </si>
  <si>
    <t>530039</t>
  </si>
  <si>
    <t>530040</t>
  </si>
  <si>
    <t>530041</t>
  </si>
  <si>
    <t>530042</t>
  </si>
  <si>
    <t>530061</t>
  </si>
  <si>
    <t>530062</t>
  </si>
  <si>
    <t>530063</t>
  </si>
  <si>
    <t>530064</t>
  </si>
  <si>
    <t>530065</t>
  </si>
  <si>
    <t>530066</t>
  </si>
  <si>
    <t>530067</t>
  </si>
  <si>
    <t>530068</t>
  </si>
  <si>
    <t>530069</t>
  </si>
  <si>
    <t>530088</t>
  </si>
  <si>
    <t>530089</t>
  </si>
  <si>
    <t>530090</t>
  </si>
  <si>
    <t>530091</t>
  </si>
  <si>
    <t>530092</t>
  </si>
  <si>
    <t>530093</t>
  </si>
  <si>
    <t>530094</t>
  </si>
  <si>
    <t>529999</t>
  </si>
  <si>
    <t>530000</t>
  </si>
  <si>
    <t>530001</t>
  </si>
  <si>
    <t>530002</t>
  </si>
  <si>
    <t>530016</t>
  </si>
  <si>
    <t>530017</t>
  </si>
  <si>
    <t>530018</t>
  </si>
  <si>
    <t>530019</t>
  </si>
  <si>
    <t>530020</t>
  </si>
  <si>
    <t>530022</t>
  </si>
  <si>
    <t>530023</t>
  </si>
  <si>
    <t>530024</t>
  </si>
  <si>
    <t>530043</t>
  </si>
  <si>
    <t>530044</t>
  </si>
  <si>
    <t>530045</t>
  </si>
  <si>
    <t>530046</t>
  </si>
  <si>
    <t>530047</t>
  </si>
  <si>
    <t>530048</t>
  </si>
  <si>
    <t>530049</t>
  </si>
  <si>
    <t>530050</t>
  </si>
  <si>
    <t>530051</t>
  </si>
  <si>
    <t>530070</t>
  </si>
  <si>
    <t>530071</t>
  </si>
  <si>
    <t>530072</t>
  </si>
  <si>
    <t>530073</t>
  </si>
  <si>
    <t>530074</t>
  </si>
  <si>
    <t>530075</t>
  </si>
  <si>
    <t>530076</t>
  </si>
  <si>
    <t>530077</t>
  </si>
  <si>
    <t>530078</t>
  </si>
  <si>
    <t>530095</t>
  </si>
  <si>
    <t>530096</t>
  </si>
  <si>
    <t>530097</t>
  </si>
  <si>
    <t>530098</t>
  </si>
  <si>
    <t>530099</t>
  </si>
  <si>
    <t>530100</t>
  </si>
  <si>
    <t>530101</t>
  </si>
  <si>
    <t>530003</t>
  </si>
  <si>
    <t>530004</t>
  </si>
  <si>
    <t>530005</t>
  </si>
  <si>
    <t>530006</t>
  </si>
  <si>
    <t>530025</t>
  </si>
  <si>
    <t>530026</t>
  </si>
  <si>
    <t>530027</t>
  </si>
  <si>
    <t>530028</t>
  </si>
  <si>
    <t>530029</t>
  </si>
  <si>
    <t>530030</t>
  </si>
  <si>
    <t>530031</t>
  </si>
  <si>
    <t>530032</t>
  </si>
  <si>
    <t>530033</t>
  </si>
  <si>
    <t>530052</t>
  </si>
  <si>
    <t>530053</t>
  </si>
  <si>
    <t>530054</t>
  </si>
  <si>
    <t>530055</t>
  </si>
  <si>
    <t>530056</t>
  </si>
  <si>
    <t>530057</t>
  </si>
  <si>
    <t>530058</t>
  </si>
  <si>
    <t>530059</t>
  </si>
  <si>
    <t>530060</t>
  </si>
  <si>
    <t>530079</t>
  </si>
  <si>
    <t>530080</t>
  </si>
  <si>
    <t>530081</t>
  </si>
  <si>
    <t>530082</t>
  </si>
  <si>
    <t>530083</t>
  </si>
  <si>
    <t>530084</t>
  </si>
  <si>
    <t>530085</t>
  </si>
  <si>
    <t>530086</t>
  </si>
  <si>
    <t>530087</t>
  </si>
  <si>
    <t>530102</t>
  </si>
  <si>
    <t>530103</t>
  </si>
  <si>
    <t>530104</t>
  </si>
  <si>
    <t>530105</t>
  </si>
  <si>
    <t>530106</t>
  </si>
  <si>
    <t>530107</t>
  </si>
  <si>
    <t>530108</t>
  </si>
  <si>
    <t>494286</t>
  </si>
  <si>
    <t>494284</t>
  </si>
  <si>
    <t>474963</t>
  </si>
  <si>
    <t>504786</t>
  </si>
  <si>
    <t>491192</t>
  </si>
  <si>
    <t>503827</t>
  </si>
  <si>
    <t>531158</t>
  </si>
  <si>
    <t>537689</t>
  </si>
  <si>
    <t>535780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</si>
</sst>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-* #,##0.00\ &quot;Kč&quot;_-;\-* #,##0.00\ &quot;Kč&quot;_-;_-* &quot;-&quot;??\ &quot;Kč&quot;_-;_-@_-"/>
    <numFmt numFmtId="164" formatCode="_-* #,##0.00\ &quot;€&quot;_-;\-* #,##0.00\ &quot;€&quot;_-;_-* &quot;-&quot;??\ &quot;€&quot;_-;_-@_-"/>
    <numFmt numFmtId="165" formatCode="_-* #,##0.0000\ [$€-1]_-;\-* #,##0.0000\ [$€-1]_-;_-* &quot;-&quot;??\ [$€-1]_-;_-@_-"/>
    <numFmt numFmtId="166" formatCode="#,##0.0000_ ;\-#,##0.0000\ "/>
    <numFmt numFmtId="167" formatCode="0.0"/>
    <numFmt numFmtId="168" formatCode="#,##0&quot; ks&quot;"/>
    <numFmt numFmtId="169" formatCode="#,##0.00_ ;\-#,##0.00\ "/>
    <numFmt numFmtId="170" formatCode="#,##0&quot; mm&quot;"/>
    <numFmt numFmtId="171" formatCode="#,###,###.00000"/>
    <numFmt numFmtId="172" formatCode="##,###,###,###.00000"/>
  </numFmts>
  <fonts count="87">
    <font>
      <sz val="11"/>
      <color theme="1"/>
      <name val="RotisSanSerTEE"/>
      <family val="2"/>
      <charset val="238"/>
    </font>
    <font>
      <b/>
      <sz val="12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name val="Arial"/>
      <family val="2"/>
      <charset val="238"/>
    </font>
    <font>
      <sz val="11"/>
      <color indexed="8"/>
      <name val="Arial"/>
      <family val="2"/>
      <charset val="238"/>
    </font>
    <font>
      <b/>
      <sz val="11"/>
      <name val="Arial"/>
      <family val="2"/>
      <charset val="238"/>
    </font>
    <font>
      <sz val="11"/>
      <color indexed="9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color indexed="8"/>
      <name val="Arial"/>
      <family val="2"/>
      <charset val="238"/>
    </font>
    <font>
      <sz val="16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name val="Arial"/>
      <family val="2"/>
      <charset val="238"/>
    </font>
    <font>
      <sz val="9"/>
      <color indexed="10"/>
      <name val="Arial"/>
      <family val="2"/>
      <charset val="238"/>
    </font>
    <font>
      <b/>
      <sz val="16"/>
      <color indexed="8"/>
      <name val="Arial"/>
      <family val="2"/>
      <charset val="238"/>
    </font>
    <font>
      <sz val="7"/>
      <color indexed="8"/>
      <name val="Arial"/>
      <family val="2"/>
      <charset val="238"/>
    </font>
    <font>
      <sz val="8"/>
      <color indexed="9"/>
      <name val="Arial"/>
      <family val="2"/>
      <charset val="238"/>
    </font>
    <font>
      <b/>
      <sz val="9"/>
      <color indexed="10"/>
      <name val="Arial"/>
      <family val="2"/>
      <charset val="238"/>
    </font>
    <font>
      <b/>
      <sz val="10"/>
      <color indexed="10"/>
      <name val="Arial"/>
      <family val="2"/>
      <charset val="238"/>
    </font>
    <font>
      <sz val="9"/>
      <name val="Verdana"/>
      <family val="2"/>
      <charset val="238"/>
    </font>
    <font>
      <b/>
      <sz val="14"/>
      <color indexed="10"/>
      <name val="Arial"/>
      <family val="2"/>
      <charset val="238"/>
    </font>
    <font>
      <b/>
      <sz val="9"/>
      <color indexed="8"/>
      <name val="Arial"/>
      <family val="2"/>
      <charset val="238"/>
    </font>
    <font>
      <i/>
      <sz val="9"/>
      <name val="Arial"/>
      <family val="2"/>
      <charset val="238"/>
    </font>
    <font>
      <sz val="10"/>
      <color indexed="30"/>
      <name val="Arial"/>
      <family val="2"/>
      <charset val="238"/>
    </font>
    <font>
      <b/>
      <sz val="16"/>
      <name val="Arial"/>
      <family val="2"/>
      <charset val="238"/>
    </font>
    <font>
      <b/>
      <sz val="9"/>
      <color indexed="81"/>
      <name val="Tahoma"/>
      <family val="2"/>
      <charset val="238"/>
    </font>
    <font>
      <b/>
      <sz val="9"/>
      <color indexed="9"/>
      <name val="Arial"/>
      <family val="2"/>
      <charset val="238"/>
    </font>
    <font>
      <sz val="10"/>
      <color indexed="9"/>
      <name val="Arial"/>
      <family val="2"/>
      <charset val="238"/>
    </font>
    <font>
      <b/>
      <sz val="12"/>
      <color indexed="81"/>
      <name val="Arial"/>
      <family val="2"/>
      <charset val="238"/>
    </font>
    <font>
      <b/>
      <sz val="10"/>
      <color indexed="81"/>
      <name val="Arial"/>
      <family val="2"/>
      <charset val="238"/>
    </font>
    <font>
      <b/>
      <sz val="12"/>
      <color indexed="10"/>
      <name val="Arial"/>
      <family val="2"/>
      <charset val="238"/>
    </font>
    <font>
      <sz val="11"/>
      <color theme="1"/>
      <name val="RotisSanSerTEE"/>
      <family val="2"/>
      <charset val="238"/>
    </font>
    <font>
      <u/>
      <sz val="11"/>
      <color theme="10"/>
      <name val="Calibri"/>
      <family val="2"/>
      <scheme val="minor"/>
    </font>
    <font>
      <u/>
      <sz val="9"/>
      <color theme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9"/>
      <color theme="0"/>
      <name val="Arial"/>
      <family val="2"/>
      <charset val="238"/>
    </font>
    <font>
      <sz val="10"/>
      <color rgb="FF0066CC"/>
      <name val="Arial"/>
      <family val="2"/>
      <charset val="238"/>
    </font>
    <font>
      <sz val="10"/>
      <color theme="0" tint="-0.499984740745262"/>
      <name val="Arial"/>
      <family val="2"/>
      <charset val="238"/>
    </font>
    <font>
      <sz val="10"/>
      <color theme="1"/>
      <name val="Arial"/>
      <family val="2"/>
      <charset val="238"/>
    </font>
    <font>
      <b/>
      <sz val="12"/>
      <color rgb="FF0070C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6"/>
      <color theme="0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u/>
      <sz val="9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20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6"/>
      <color theme="0" tint="-0.34998626667073579"/>
      <name val="Arial"/>
      <family val="2"/>
      <charset val="238"/>
    </font>
    <font>
      <sz val="9"/>
      <color theme="0" tint="-0.34998626667073579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rgb="FF0070C0"/>
      <name val="Arial"/>
      <family val="2"/>
      <charset val="238"/>
    </font>
    <font>
      <sz val="11"/>
      <color rgb="FF0070C0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10"/>
      <color rgb="FF0070C0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0"/>
      <color theme="0"/>
      <name val="Berdana"/>
      <charset val="238"/>
    </font>
    <font>
      <b/>
      <sz val="8"/>
      <color theme="1"/>
      <name val="Arial"/>
      <family val="2"/>
      <charset val="238"/>
    </font>
    <font>
      <sz val="9"/>
      <color theme="0" tint="-0.249977111117893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6"/>
      <color theme="6" tint="-0.249977111117893"/>
      <name val="Arial"/>
      <family val="2"/>
      <charset val="238"/>
    </font>
    <font>
      <sz val="11"/>
      <color theme="0" tint="-0.499984740745262"/>
      <name val="Arial"/>
      <family val="2"/>
      <charset val="238"/>
    </font>
    <font>
      <b/>
      <sz val="11"/>
      <color theme="0" tint="-0.499984740745262"/>
      <name val="Arial"/>
      <family val="2"/>
      <charset val="238"/>
    </font>
    <font>
      <b/>
      <sz val="11"/>
      <color theme="0"/>
      <name val="Arial"/>
      <family val="2"/>
      <charset val="238"/>
    </font>
    <font>
      <sz val="12"/>
      <color rgb="FFFFFF00"/>
      <name val="Arial"/>
      <family val="2"/>
      <charset val="238"/>
    </font>
    <font>
      <sz val="11"/>
      <color theme="0" tint="-0.34998626667073579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14"/>
      <color rgb="FFFF0000"/>
      <name val="Verdana"/>
      <family val="2"/>
      <charset val="238"/>
    </font>
    <font>
      <b/>
      <sz val="9"/>
      <color rgb="FF000000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0" tint="-0.14999847407452621"/>
      <name val="Arial"/>
      <family val="2"/>
      <charset val="238"/>
    </font>
    <font>
      <sz val="8"/>
      <color rgb="FFFF0000"/>
      <name val="Verdana"/>
      <family val="2"/>
      <charset val="238"/>
    </font>
    <font>
      <b/>
      <sz val="8"/>
      <color rgb="FFFF0000"/>
      <name val="Verdana"/>
      <family val="2"/>
      <charset val="238"/>
    </font>
    <font>
      <b/>
      <sz val="10"/>
      <color theme="0" tint="-0.249977111117893"/>
      <name val="Arial"/>
      <family val="2"/>
      <charset val="238"/>
    </font>
    <font>
      <sz val="10"/>
      <color theme="0" tint="-0.249977111117893"/>
      <name val="Arial"/>
      <family val="2"/>
      <charset val="238"/>
    </font>
    <font>
      <b/>
      <sz val="9"/>
      <color theme="0" tint="-0.249977111117893"/>
      <name val="Arial"/>
      <family val="2"/>
      <charset val="238"/>
    </font>
    <font>
      <sz val="11"/>
      <name val="Calibri"/>
      <family val="2"/>
      <charset val="238"/>
    </font>
  </fonts>
  <fills count="4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2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rgb="FF0066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9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0000"/>
        <bgColor indexed="9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D5B41"/>
        <bgColor indexed="64"/>
      </patternFill>
    </fill>
    <fill>
      <patternFill patternType="solid">
        <fgColor rgb="FF72B9E7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9" tint="0.79998168889431442"/>
        <bgColor indexed="9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2A4A7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4376B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3" tint="-0.499984740745262"/>
        <bgColor indexed="64"/>
      </patternFill>
    </fill>
    <fill>
      <gradientFill degree="90">
        <stop position="0">
          <color rgb="FF72B9E7"/>
        </stop>
        <stop position="1">
          <color rgb="FFDD5B41"/>
        </stop>
      </gradientFill>
    </fill>
    <fill>
      <patternFill patternType="solid">
        <fgColor rgb="FF008000"/>
        <bgColor indexed="64"/>
      </patternFill>
    </fill>
    <fill>
      <patternFill patternType="solid">
        <fgColor rgb="FF92D050"/>
        <bgColor indexed="9"/>
      </patternFill>
    </fill>
    <fill>
      <patternFill patternType="solid">
        <fgColor theme="5" tint="0.79998168889431442"/>
        <bgColor indexed="9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9"/>
      </patternFill>
    </fill>
  </fills>
  <borders count="14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ashed">
        <color indexed="64"/>
      </top>
      <bottom style="dashed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ash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ashed">
        <color indexed="64"/>
      </bottom>
      <diagonal/>
    </border>
    <border>
      <left style="dotted">
        <color indexed="64"/>
      </left>
      <right style="dotted">
        <color indexed="64"/>
      </right>
      <top style="dash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medium">
        <color indexed="22"/>
      </top>
      <bottom style="medium">
        <color indexed="22"/>
      </bottom>
      <diagonal/>
    </border>
    <border>
      <left/>
      <right/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ashed">
        <color indexed="64"/>
      </bottom>
      <diagonal/>
    </border>
    <border>
      <left/>
      <right style="medium">
        <color indexed="9"/>
      </right>
      <top/>
      <bottom style="medium">
        <color indexed="22"/>
      </bottom>
      <diagonal/>
    </border>
    <border>
      <left/>
      <right/>
      <top/>
      <bottom style="medium">
        <color indexed="2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ashed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tted">
        <color indexed="64"/>
      </right>
      <top style="medium">
        <color indexed="64"/>
      </top>
      <bottom/>
      <diagonal/>
    </border>
    <border>
      <left style="thin">
        <color indexed="64"/>
      </left>
      <right style="dotted">
        <color indexed="64"/>
      </right>
      <top style="dash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ashed">
        <color indexed="64"/>
      </bottom>
      <diagonal/>
    </border>
    <border>
      <left style="thin">
        <color indexed="64"/>
      </left>
      <right style="dott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dashed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ash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medium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theme="1" tint="0.499984740745262"/>
      </left>
      <right/>
      <top style="medium">
        <color theme="1" tint="0.499984740745262"/>
      </top>
      <bottom style="medium">
        <color theme="0" tint="-0.14996795556505021"/>
      </bottom>
      <diagonal/>
    </border>
    <border>
      <left style="thick">
        <color theme="0" tint="-0.24994659260841701"/>
      </left>
      <right/>
      <top style="thick">
        <color theme="0" tint="-0.24994659260841701"/>
      </top>
      <bottom/>
      <diagonal/>
    </border>
    <border>
      <left/>
      <right/>
      <top style="thick">
        <color theme="0" tint="-0.24994659260841701"/>
      </top>
      <bottom/>
      <diagonal/>
    </border>
    <border>
      <left/>
      <right style="thick">
        <color theme="0" tint="-0.24994659260841701"/>
      </right>
      <top style="thick">
        <color theme="0" tint="-0.24994659260841701"/>
      </top>
      <bottom/>
      <diagonal/>
    </border>
    <border>
      <left style="thick">
        <color theme="0" tint="-0.24994659260841701"/>
      </left>
      <right/>
      <top/>
      <bottom/>
      <diagonal/>
    </border>
    <border>
      <left/>
      <right style="thick">
        <color theme="0" tint="-0.24994659260841701"/>
      </right>
      <top/>
      <bottom/>
      <diagonal/>
    </border>
    <border>
      <left style="thick">
        <color theme="0" tint="-0.24994659260841701"/>
      </left>
      <right/>
      <top/>
      <bottom style="thick">
        <color theme="0" tint="-0.24994659260841701"/>
      </bottom>
      <diagonal/>
    </border>
    <border>
      <left/>
      <right/>
      <top/>
      <bottom style="thick">
        <color theme="0" tint="-0.24994659260841701"/>
      </bottom>
      <diagonal/>
    </border>
    <border>
      <left/>
      <right style="thick">
        <color theme="0" tint="-0.24994659260841701"/>
      </right>
      <top/>
      <bottom style="thick">
        <color theme="0" tint="-0.24994659260841701"/>
      </bottom>
      <diagonal/>
    </border>
    <border>
      <left style="medium">
        <color theme="1" tint="0.499984740745262"/>
      </left>
      <right style="medium">
        <color theme="1" tint="0.499984740745262"/>
      </right>
      <top style="medium">
        <color theme="1" tint="0.499984740745262"/>
      </top>
      <bottom style="medium">
        <color theme="0"/>
      </bottom>
      <diagonal/>
    </border>
    <border>
      <left style="medium">
        <color theme="1" tint="0.499984740745262"/>
      </left>
      <right style="medium">
        <color theme="1" tint="0.499984740745262"/>
      </right>
      <top style="medium">
        <color theme="0"/>
      </top>
      <bottom style="medium">
        <color theme="0"/>
      </bottom>
      <diagonal/>
    </border>
    <border>
      <left style="medium">
        <color theme="1" tint="0.499984740745262"/>
      </left>
      <right style="medium">
        <color theme="1" tint="0.499984740745262"/>
      </right>
      <top style="medium">
        <color theme="0"/>
      </top>
      <bottom style="medium">
        <color theme="1" tint="0.499984740745262"/>
      </bottom>
      <diagonal/>
    </border>
    <border>
      <left style="medium">
        <color indexed="9"/>
      </left>
      <right/>
      <top style="medium">
        <color theme="0"/>
      </top>
      <bottom style="medium">
        <color indexed="9"/>
      </bottom>
      <diagonal/>
    </border>
    <border>
      <left/>
      <right style="medium">
        <color indexed="9"/>
      </right>
      <top style="medium">
        <color theme="0"/>
      </top>
      <bottom style="medium">
        <color indexed="9"/>
      </bottom>
      <diagonal/>
    </border>
    <border>
      <left style="medium">
        <color theme="0"/>
      </left>
      <right/>
      <top/>
      <bottom style="medium">
        <color indexed="22"/>
      </bottom>
      <diagonal/>
    </border>
    <border>
      <left style="medium">
        <color theme="0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theme="0"/>
      </right>
      <top style="medium">
        <color rgb="FFC0C0C0"/>
      </top>
      <bottom style="medium">
        <color rgb="FFC0C0C0"/>
      </bottom>
      <diagonal/>
    </border>
    <border>
      <left style="medium">
        <color theme="0"/>
      </left>
      <right/>
      <top style="medium">
        <color theme="0"/>
      </top>
      <bottom style="medium">
        <color rgb="FFC0C0C0"/>
      </bottom>
      <diagonal/>
    </border>
    <border>
      <left/>
      <right style="medium">
        <color theme="0"/>
      </right>
      <top style="medium">
        <color theme="0"/>
      </top>
      <bottom style="medium">
        <color rgb="FFC0C0C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rgb="FFC0C0C0"/>
      </top>
      <bottom style="medium">
        <color theme="0"/>
      </bottom>
      <diagonal/>
    </border>
    <border>
      <left/>
      <right style="medium">
        <color indexed="9"/>
      </right>
      <top style="medium">
        <color rgb="FFC0C0C0"/>
      </top>
      <bottom style="medium">
        <color theme="0"/>
      </bottom>
      <diagonal/>
    </border>
    <border>
      <left/>
      <right/>
      <top style="medium">
        <color theme="1" tint="0.499984740745262"/>
      </top>
      <bottom style="medium">
        <color theme="0" tint="-0.14996795556505021"/>
      </bottom>
      <diagonal/>
    </border>
    <border>
      <left/>
      <right style="medium">
        <color theme="0" tint="-0.14996795556505021"/>
      </right>
      <top style="medium">
        <color theme="1" tint="0.499984740745262"/>
      </top>
      <bottom style="medium">
        <color theme="0" tint="-0.14996795556505021"/>
      </bottom>
      <diagonal/>
    </border>
    <border>
      <left/>
      <right/>
      <top style="dashed">
        <color theme="0" tint="-0.499984740745262"/>
      </top>
      <bottom style="dashed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 style="medium">
        <color theme="0" tint="-0.499984740745262"/>
      </bottom>
      <diagonal/>
    </border>
    <border>
      <left/>
      <right/>
      <top style="medium">
        <color indexed="64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medium">
        <color indexed="64"/>
      </top>
      <bottom style="medium">
        <color theme="0" tint="-0.499984740745262"/>
      </bottom>
      <diagonal/>
    </border>
    <border>
      <left/>
      <right/>
      <top style="dashed">
        <color theme="0" tint="-0.499984740745262"/>
      </top>
      <bottom/>
      <diagonal/>
    </border>
    <border>
      <left style="medium">
        <color theme="1" tint="0.34998626667073579"/>
      </left>
      <right/>
      <top style="medium">
        <color theme="1" tint="0.34998626667073579"/>
      </top>
      <bottom style="medium">
        <color theme="0" tint="-0.14996795556505021"/>
      </bottom>
      <diagonal/>
    </border>
    <border>
      <left/>
      <right/>
      <top style="medium">
        <color theme="1" tint="0.34998626667073579"/>
      </top>
      <bottom style="medium">
        <color theme="0" tint="-0.14996795556505021"/>
      </bottom>
      <diagonal/>
    </border>
    <border>
      <left/>
      <right style="medium">
        <color theme="0" tint="-0.14996795556505021"/>
      </right>
      <top style="medium">
        <color theme="1" tint="0.34998626667073579"/>
      </top>
      <bottom style="medium">
        <color theme="0" tint="-0.14996795556505021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/>
      </left>
      <right/>
      <top style="medium">
        <color indexed="22"/>
      </top>
      <bottom style="medium">
        <color rgb="FFC0C0C0"/>
      </bottom>
      <diagonal/>
    </border>
    <border>
      <left/>
      <right style="medium">
        <color theme="0"/>
      </right>
      <top style="medium">
        <color indexed="22"/>
      </top>
      <bottom style="medium">
        <color rgb="FFC0C0C0"/>
      </bottom>
      <diagonal/>
    </border>
    <border>
      <left/>
      <right/>
      <top style="medium">
        <color theme="0"/>
      </top>
      <bottom style="medium">
        <color indexed="22"/>
      </bottom>
      <diagonal/>
    </border>
    <border>
      <left/>
      <right/>
      <top style="medium">
        <color indexed="22"/>
      </top>
      <bottom style="medium">
        <color rgb="FFC0C0C0"/>
      </bottom>
      <diagonal/>
    </border>
    <border>
      <left/>
      <right/>
      <top style="medium">
        <color theme="0"/>
      </top>
      <bottom/>
      <diagonal/>
    </border>
    <border>
      <left/>
      <right style="medium">
        <color theme="0"/>
      </right>
      <top style="thin">
        <color indexed="64"/>
      </top>
      <bottom style="medium">
        <color indexed="22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 style="medium">
        <color indexed="22"/>
      </top>
      <bottom style="medium">
        <color indexed="22"/>
      </bottom>
      <diagonal/>
    </border>
    <border>
      <left style="thin">
        <color indexed="64"/>
      </left>
      <right/>
      <top style="thin">
        <color indexed="64"/>
      </top>
      <bottom style="medium">
        <color theme="0"/>
      </bottom>
      <diagonal/>
    </border>
    <border>
      <left/>
      <right/>
      <top style="thin">
        <color indexed="64"/>
      </top>
      <bottom style="medium">
        <color theme="0"/>
      </bottom>
      <diagonal/>
    </border>
    <border>
      <left/>
      <right style="thin">
        <color indexed="64"/>
      </right>
      <top style="thin">
        <color indexed="64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 style="medium">
        <color indexed="22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indexed="22"/>
      </top>
      <bottom style="medium">
        <color indexed="22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 style="medium">
        <color theme="0" tint="-0.24994659260841701"/>
      </bottom>
      <diagonal/>
    </border>
    <border>
      <left/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/>
      <right style="medium">
        <color theme="0"/>
      </right>
      <top style="medium">
        <color theme="0"/>
      </top>
      <bottom style="medium">
        <color indexed="22"/>
      </bottom>
      <diagonal/>
    </border>
    <border>
      <left/>
      <right/>
      <top style="medium">
        <color rgb="FFC0C0C0"/>
      </top>
      <bottom/>
      <diagonal/>
    </border>
    <border>
      <left/>
      <right/>
      <top style="medium">
        <color theme="0"/>
      </top>
      <bottom style="medium">
        <color rgb="FFC0C0C0"/>
      </bottom>
      <diagonal/>
    </border>
    <border>
      <left style="thick">
        <color rgb="FF006600"/>
      </left>
      <right/>
      <top style="thick">
        <color rgb="FF006600"/>
      </top>
      <bottom/>
      <diagonal/>
    </border>
    <border>
      <left/>
      <right/>
      <top style="thick">
        <color rgb="FF006600"/>
      </top>
      <bottom/>
      <diagonal/>
    </border>
    <border>
      <left/>
      <right style="thin">
        <color rgb="FF33CC33"/>
      </right>
      <top style="thick">
        <color rgb="FF006600"/>
      </top>
      <bottom/>
      <diagonal/>
    </border>
    <border>
      <left style="thick">
        <color rgb="FF006600"/>
      </left>
      <right/>
      <top/>
      <bottom style="thin">
        <color rgb="FF33CC33"/>
      </bottom>
      <diagonal/>
    </border>
    <border>
      <left/>
      <right/>
      <top/>
      <bottom style="thin">
        <color rgb="FF33CC33"/>
      </bottom>
      <diagonal/>
    </border>
    <border>
      <left/>
      <right style="thin">
        <color rgb="FF33CC33"/>
      </right>
      <top/>
      <bottom style="thin">
        <color rgb="FF33CC33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rgb="FFC0C0C0"/>
      </bottom>
      <diagonal/>
    </border>
    <border>
      <left/>
      <right style="medium">
        <color indexed="9"/>
      </right>
      <top style="medium">
        <color theme="0"/>
      </top>
      <bottom style="medium">
        <color theme="0"/>
      </bottom>
      <diagonal/>
    </border>
    <border>
      <left style="medium">
        <color indexed="9"/>
      </left>
      <right/>
      <top style="medium">
        <color theme="0"/>
      </top>
      <bottom style="medium">
        <color theme="0"/>
      </bottom>
      <diagonal/>
    </border>
    <border>
      <left/>
      <right style="medium">
        <color indexed="9"/>
      </right>
      <top style="medium">
        <color theme="0"/>
      </top>
      <bottom style="medium">
        <color rgb="FFC0C0C0"/>
      </bottom>
      <diagonal/>
    </border>
    <border>
      <left style="medium">
        <color indexed="9"/>
      </left>
      <right/>
      <top style="medium">
        <color theme="0"/>
      </top>
      <bottom style="medium">
        <color rgb="FFC0C0C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dashed">
        <color indexed="64"/>
      </top>
      <bottom/>
      <diagonal/>
    </border>
    <border>
      <left style="dotted">
        <color indexed="64"/>
      </left>
      <right style="dotted">
        <color indexed="64"/>
      </right>
      <top style="dashed">
        <color indexed="64"/>
      </top>
      <bottom/>
      <diagonal/>
    </border>
  </borders>
  <cellStyleXfs count="7">
    <xf numFmtId="0" fontId="0" fillId="0" borderId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>
      <alignment vertical="top"/>
      <protection locked="0"/>
    </xf>
    <xf numFmtId="164" fontId="36" fillId="0" borderId="0" applyFont="0" applyFill="0" applyBorder="0" applyAlignment="0" applyProtection="0"/>
    <xf numFmtId="0" fontId="24" fillId="0" borderId="0"/>
    <xf numFmtId="0" fontId="39" fillId="0" borderId="0"/>
    <xf numFmtId="0" fontId="86" fillId="0" borderId="0"/>
  </cellStyleXfs>
  <cellXfs count="629">
    <xf numFmtId="0" fontId="0" fillId="0" borderId="0" xfId="0"/>
    <xf numFmtId="0" fontId="1" fillId="0" borderId="1" xfId="0" applyFont="1" applyBorder="1" applyAlignment="1" applyProtection="1">
      <alignment horizontal="left" vertical="center"/>
      <protection hidden="1"/>
    </xf>
    <xf numFmtId="0" fontId="8" fillId="0" borderId="1" xfId="0" applyFont="1" applyBorder="1" applyAlignment="1" applyProtection="1">
      <alignment horizontal="left"/>
      <protection hidden="1"/>
    </xf>
    <xf numFmtId="0" fontId="40" fillId="0" borderId="0" xfId="0" applyFont="1"/>
    <xf numFmtId="0" fontId="2" fillId="0" borderId="0" xfId="0" applyFont="1" applyProtection="1">
      <protection hidden="1"/>
    </xf>
    <xf numFmtId="0" fontId="2" fillId="0" borderId="0" xfId="0" applyFont="1" applyAlignment="1" applyProtection="1">
      <alignment horizontal="right"/>
      <protection hidden="1"/>
    </xf>
    <xf numFmtId="0" fontId="2" fillId="0" borderId="0" xfId="0" applyFont="1" applyAlignment="1" applyProtection="1">
      <alignment horizontal="center"/>
      <protection hidden="1"/>
    </xf>
    <xf numFmtId="0" fontId="2" fillId="0" borderId="0" xfId="0" applyFont="1" applyAlignment="1" applyProtection="1">
      <alignment vertical="top" wrapText="1"/>
      <protection hidden="1"/>
    </xf>
    <xf numFmtId="0" fontId="9" fillId="0" borderId="0" xfId="0" applyFont="1" applyProtection="1">
      <protection hidden="1"/>
    </xf>
    <xf numFmtId="0" fontId="9" fillId="0" borderId="0" xfId="0" applyFont="1" applyAlignment="1" applyProtection="1">
      <alignment horizontal="right" vertical="center"/>
      <protection hidden="1"/>
    </xf>
    <xf numFmtId="14" fontId="9" fillId="0" borderId="2" xfId="0" applyNumberFormat="1" applyFont="1" applyBorder="1" applyAlignment="1" applyProtection="1">
      <alignment horizontal="center" vertical="center"/>
      <protection hidden="1"/>
    </xf>
    <xf numFmtId="0" fontId="14" fillId="0" borderId="3" xfId="0" applyFont="1" applyBorder="1" applyProtection="1">
      <protection hidden="1"/>
    </xf>
    <xf numFmtId="0" fontId="9" fillId="0" borderId="4" xfId="0" applyFont="1" applyBorder="1" applyProtection="1">
      <protection hidden="1"/>
    </xf>
    <xf numFmtId="0" fontId="9" fillId="0" borderId="5" xfId="0" applyFont="1" applyBorder="1" applyProtection="1">
      <protection hidden="1"/>
    </xf>
    <xf numFmtId="0" fontId="9" fillId="0" borderId="6" xfId="0" applyFont="1" applyBorder="1" applyProtection="1">
      <protection hidden="1"/>
    </xf>
    <xf numFmtId="0" fontId="9" fillId="0" borderId="7" xfId="0" applyFont="1" applyBorder="1" applyProtection="1">
      <protection hidden="1"/>
    </xf>
    <xf numFmtId="0" fontId="14" fillId="0" borderId="8" xfId="0" applyFont="1" applyBorder="1" applyProtection="1">
      <protection hidden="1"/>
    </xf>
    <xf numFmtId="44" fontId="14" fillId="0" borderId="3" xfId="3" applyNumberFormat="1" applyFont="1" applyFill="1" applyBorder="1" applyAlignment="1" applyProtection="1">
      <alignment horizontal="center" wrapText="1"/>
      <protection hidden="1"/>
    </xf>
    <xf numFmtId="0" fontId="10" fillId="2" borderId="9" xfId="0" applyFont="1" applyFill="1" applyBorder="1" applyAlignment="1" applyProtection="1">
      <alignment horizontal="left" vertical="center"/>
      <protection hidden="1"/>
    </xf>
    <xf numFmtId="0" fontId="9" fillId="2" borderId="6" xfId="0" applyFont="1" applyFill="1" applyBorder="1" applyAlignment="1" applyProtection="1">
      <alignment horizontal="center" vertical="center"/>
      <protection hidden="1"/>
    </xf>
    <xf numFmtId="0" fontId="15" fillId="2" borderId="10" xfId="0" applyFont="1" applyFill="1" applyBorder="1" applyAlignment="1" applyProtection="1">
      <alignment horizontal="left" vertical="center"/>
      <protection hidden="1"/>
    </xf>
    <xf numFmtId="0" fontId="15" fillId="0" borderId="10" xfId="0" applyFont="1" applyBorder="1" applyProtection="1">
      <protection hidden="1"/>
    </xf>
    <xf numFmtId="0" fontId="15" fillId="2" borderId="10" xfId="0" applyFont="1" applyFill="1" applyBorder="1" applyAlignment="1" applyProtection="1">
      <alignment horizontal="center" vertical="center"/>
      <protection hidden="1"/>
    </xf>
    <xf numFmtId="0" fontId="17" fillId="0" borderId="11" xfId="0" applyFont="1" applyBorder="1" applyAlignment="1" applyProtection="1">
      <alignment horizontal="center"/>
      <protection hidden="1"/>
    </xf>
    <xf numFmtId="0" fontId="16" fillId="0" borderId="0" xfId="0" applyFont="1" applyProtection="1">
      <protection hidden="1"/>
    </xf>
    <xf numFmtId="4" fontId="16" fillId="0" borderId="0" xfId="0" applyNumberFormat="1" applyFont="1" applyAlignment="1" applyProtection="1">
      <alignment horizontal="right"/>
      <protection hidden="1"/>
    </xf>
    <xf numFmtId="49" fontId="2" fillId="0" borderId="0" xfId="0" applyNumberFormat="1" applyFont="1" applyProtection="1">
      <protection hidden="1"/>
    </xf>
    <xf numFmtId="0" fontId="13" fillId="0" borderId="12" xfId="0" applyFont="1" applyBorder="1" applyAlignment="1" applyProtection="1">
      <alignment wrapText="1"/>
      <protection hidden="1"/>
    </xf>
    <xf numFmtId="0" fontId="13" fillId="0" borderId="12" xfId="0" applyFont="1" applyBorder="1" applyAlignment="1" applyProtection="1">
      <alignment horizontal="left" textRotation="90" wrapText="1"/>
      <protection hidden="1"/>
    </xf>
    <xf numFmtId="0" fontId="13" fillId="0" borderId="12" xfId="0" applyFont="1" applyBorder="1" applyAlignment="1" applyProtection="1">
      <alignment horizontal="center" wrapText="1"/>
      <protection hidden="1"/>
    </xf>
    <xf numFmtId="0" fontId="13" fillId="0" borderId="12" xfId="0" applyFont="1" applyBorder="1" applyAlignment="1" applyProtection="1">
      <alignment horizontal="right" wrapText="1"/>
      <protection hidden="1"/>
    </xf>
    <xf numFmtId="0" fontId="13" fillId="0" borderId="12" xfId="0" applyFont="1" applyBorder="1" applyAlignment="1" applyProtection="1">
      <alignment horizontal="center" textRotation="90" wrapText="1"/>
      <protection hidden="1"/>
    </xf>
    <xf numFmtId="0" fontId="16" fillId="0" borderId="0" xfId="0" applyFont="1" applyAlignment="1" applyProtection="1">
      <alignment horizontal="center"/>
      <protection hidden="1"/>
    </xf>
    <xf numFmtId="0" fontId="16" fillId="0" borderId="13" xfId="0" applyFont="1" applyBorder="1" applyProtection="1">
      <protection hidden="1"/>
    </xf>
    <xf numFmtId="0" fontId="16" fillId="0" borderId="13" xfId="0" applyFont="1" applyBorder="1" applyAlignment="1" applyProtection="1">
      <alignment horizontal="center"/>
      <protection hidden="1"/>
    </xf>
    <xf numFmtId="0" fontId="15" fillId="0" borderId="0" xfId="0" applyFont="1" applyAlignment="1" applyProtection="1">
      <alignment horizontal="center" vertical="center"/>
      <protection hidden="1"/>
    </xf>
    <xf numFmtId="4" fontId="15" fillId="0" borderId="0" xfId="0" applyNumberFormat="1" applyFont="1" applyAlignment="1" applyProtection="1">
      <alignment horizontal="right" vertical="center"/>
      <protection hidden="1"/>
    </xf>
    <xf numFmtId="0" fontId="16" fillId="4" borderId="0" xfId="0" applyFont="1" applyFill="1" applyAlignment="1" applyProtection="1">
      <alignment horizontal="center"/>
      <protection hidden="1"/>
    </xf>
    <xf numFmtId="0" fontId="16" fillId="5" borderId="0" xfId="0" applyFont="1" applyFill="1" applyAlignment="1" applyProtection="1">
      <alignment horizontal="center"/>
      <protection hidden="1"/>
    </xf>
    <xf numFmtId="0" fontId="16" fillId="0" borderId="14" xfId="0" applyFont="1" applyBorder="1" applyProtection="1">
      <protection hidden="1"/>
    </xf>
    <xf numFmtId="0" fontId="17" fillId="0" borderId="14" xfId="0" applyFont="1" applyBorder="1" applyAlignment="1" applyProtection="1">
      <alignment horizontal="center" vertical="center"/>
      <protection hidden="1"/>
    </xf>
    <xf numFmtId="4" fontId="16" fillId="0" borderId="14" xfId="0" applyNumberFormat="1" applyFont="1" applyBorder="1" applyProtection="1">
      <protection hidden="1"/>
    </xf>
    <xf numFmtId="0" fontId="16" fillId="0" borderId="14" xfId="0" applyFont="1" applyBorder="1" applyAlignment="1" applyProtection="1">
      <alignment horizontal="center"/>
      <protection hidden="1"/>
    </xf>
    <xf numFmtId="2" fontId="16" fillId="0" borderId="14" xfId="0" applyNumberFormat="1" applyFont="1" applyBorder="1" applyProtection="1">
      <protection hidden="1"/>
    </xf>
    <xf numFmtId="2" fontId="16" fillId="0" borderId="0" xfId="0" applyNumberFormat="1" applyFont="1" applyProtection="1">
      <protection hidden="1"/>
    </xf>
    <xf numFmtId="49" fontId="16" fillId="0" borderId="0" xfId="0" applyNumberFormat="1" applyFont="1" applyAlignment="1" applyProtection="1">
      <alignment horizontal="center"/>
      <protection hidden="1"/>
    </xf>
    <xf numFmtId="49" fontId="10" fillId="0" borderId="14" xfId="0" applyNumberFormat="1" applyFont="1" applyBorder="1" applyAlignment="1" applyProtection="1">
      <alignment horizontal="center"/>
      <protection hidden="1"/>
    </xf>
    <xf numFmtId="0" fontId="10" fillId="0" borderId="14" xfId="0" applyFont="1" applyBorder="1" applyAlignment="1" applyProtection="1">
      <alignment horizontal="right"/>
      <protection hidden="1"/>
    </xf>
    <xf numFmtId="2" fontId="18" fillId="0" borderId="0" xfId="0" applyNumberFormat="1" applyFont="1" applyProtection="1">
      <protection hidden="1"/>
    </xf>
    <xf numFmtId="0" fontId="15" fillId="0" borderId="0" xfId="0" applyFont="1" applyProtection="1">
      <protection hidden="1"/>
    </xf>
    <xf numFmtId="0" fontId="16" fillId="0" borderId="0" xfId="0" applyFont="1" applyAlignment="1" applyProtection="1">
      <alignment horizontal="center" vertical="top"/>
      <protection locked="0" hidden="1"/>
    </xf>
    <xf numFmtId="2" fontId="16" fillId="0" borderId="13" xfId="0" applyNumberFormat="1" applyFont="1" applyBorder="1" applyAlignment="1" applyProtection="1">
      <alignment horizontal="right"/>
      <protection hidden="1"/>
    </xf>
    <xf numFmtId="2" fontId="16" fillId="0" borderId="14" xfId="0" applyNumberFormat="1" applyFont="1" applyBorder="1" applyAlignment="1" applyProtection="1">
      <alignment horizontal="right"/>
      <protection hidden="1"/>
    </xf>
    <xf numFmtId="2" fontId="20" fillId="0" borderId="13" xfId="0" applyNumberFormat="1" applyFont="1" applyBorder="1" applyAlignment="1" applyProtection="1">
      <alignment horizontal="center"/>
      <protection hidden="1"/>
    </xf>
    <xf numFmtId="2" fontId="20" fillId="0" borderId="14" xfId="0" applyNumberFormat="1" applyFont="1" applyBorder="1" applyAlignment="1" applyProtection="1">
      <alignment horizontal="center"/>
      <protection hidden="1"/>
    </xf>
    <xf numFmtId="0" fontId="21" fillId="3" borderId="0" xfId="0" applyFont="1" applyFill="1" applyAlignment="1" applyProtection="1">
      <alignment horizontal="center" textRotation="90"/>
      <protection hidden="1"/>
    </xf>
    <xf numFmtId="49" fontId="22" fillId="0" borderId="14" xfId="0" applyNumberFormat="1" applyFont="1" applyBorder="1" applyAlignment="1" applyProtection="1">
      <alignment horizontal="center"/>
      <protection hidden="1"/>
    </xf>
    <xf numFmtId="49" fontId="23" fillId="0" borderId="14" xfId="0" applyNumberFormat="1" applyFont="1" applyBorder="1" applyAlignment="1" applyProtection="1">
      <alignment horizontal="center"/>
      <protection hidden="1"/>
    </xf>
    <xf numFmtId="0" fontId="40" fillId="0" borderId="14" xfId="0" applyFont="1" applyBorder="1" applyProtection="1">
      <protection hidden="1"/>
    </xf>
    <xf numFmtId="0" fontId="17" fillId="0" borderId="14" xfId="0" applyFont="1" applyBorder="1" applyAlignment="1" applyProtection="1">
      <alignment horizontal="right"/>
      <protection hidden="1"/>
    </xf>
    <xf numFmtId="0" fontId="41" fillId="0" borderId="14" xfId="0" applyFont="1" applyBorder="1" applyAlignment="1" applyProtection="1">
      <alignment horizontal="center" vertical="center"/>
      <protection hidden="1"/>
    </xf>
    <xf numFmtId="0" fontId="0" fillId="0" borderId="0" xfId="0" applyProtection="1">
      <protection hidden="1"/>
    </xf>
    <xf numFmtId="0" fontId="27" fillId="0" borderId="0" xfId="4" applyFont="1" applyAlignment="1" applyProtection="1">
      <alignment horizontal="center"/>
      <protection hidden="1"/>
    </xf>
    <xf numFmtId="0" fontId="15" fillId="0" borderId="0" xfId="4" applyFont="1" applyAlignment="1" applyProtection="1">
      <alignment vertical="center"/>
      <protection hidden="1"/>
    </xf>
    <xf numFmtId="0" fontId="7" fillId="0" borderId="0" xfId="0" applyFont="1" applyAlignment="1" applyProtection="1">
      <alignment horizontal="center"/>
      <protection hidden="1"/>
    </xf>
    <xf numFmtId="0" fontId="25" fillId="0" borderId="0" xfId="0" applyFont="1" applyProtection="1">
      <protection hidden="1"/>
    </xf>
    <xf numFmtId="0" fontId="26" fillId="0" borderId="0" xfId="0" applyFont="1" applyAlignment="1" applyProtection="1">
      <alignment horizontal="center"/>
      <protection hidden="1"/>
    </xf>
    <xf numFmtId="0" fontId="42" fillId="0" borderId="0" xfId="0" applyFont="1" applyProtection="1">
      <protection hidden="1"/>
    </xf>
    <xf numFmtId="0" fontId="17" fillId="7" borderId="11" xfId="0" applyFont="1" applyFill="1" applyBorder="1" applyAlignment="1" applyProtection="1">
      <alignment horizontal="center"/>
      <protection hidden="1"/>
    </xf>
    <xf numFmtId="0" fontId="26" fillId="0" borderId="0" xfId="0" applyFont="1" applyProtection="1">
      <protection hidden="1"/>
    </xf>
    <xf numFmtId="0" fontId="2" fillId="0" borderId="0" xfId="0" applyFont="1" applyAlignment="1" applyProtection="1">
      <alignment vertical="center"/>
      <protection hidden="1"/>
    </xf>
    <xf numFmtId="0" fontId="43" fillId="0" borderId="0" xfId="0" applyFont="1" applyProtection="1">
      <protection hidden="1"/>
    </xf>
    <xf numFmtId="0" fontId="3" fillId="0" borderId="15" xfId="0" applyFont="1" applyBorder="1" applyAlignment="1" applyProtection="1">
      <alignment horizontal="right" vertical="center"/>
      <protection hidden="1"/>
    </xf>
    <xf numFmtId="0" fontId="7" fillId="0" borderId="0" xfId="0" applyFont="1" applyProtection="1">
      <protection hidden="1"/>
    </xf>
    <xf numFmtId="0" fontId="10" fillId="0" borderId="0" xfId="1" applyFont="1" applyBorder="1" applyAlignment="1" applyProtection="1">
      <alignment horizontal="left"/>
      <protection hidden="1"/>
    </xf>
    <xf numFmtId="0" fontId="28" fillId="0" borderId="0" xfId="1" applyFont="1" applyBorder="1" applyAlignment="1" applyProtection="1">
      <protection hidden="1"/>
    </xf>
    <xf numFmtId="0" fontId="44" fillId="0" borderId="0" xfId="0" applyFont="1" applyProtection="1">
      <protection hidden="1"/>
    </xf>
    <xf numFmtId="0" fontId="10" fillId="0" borderId="0" xfId="1" applyFont="1" applyBorder="1" applyAlignment="1" applyProtection="1">
      <alignment horizontal="right"/>
      <protection hidden="1"/>
    </xf>
    <xf numFmtId="0" fontId="2" fillId="0" borderId="0" xfId="0" applyFont="1" applyAlignment="1" applyProtection="1">
      <alignment horizontal="left" vertical="center"/>
      <protection hidden="1"/>
    </xf>
    <xf numFmtId="0" fontId="11" fillId="0" borderId="0" xfId="0" applyFont="1" applyProtection="1">
      <protection hidden="1"/>
    </xf>
    <xf numFmtId="0" fontId="7" fillId="0" borderId="0" xfId="0" applyFont="1" applyAlignment="1" applyProtection="1">
      <alignment horizontal="right"/>
      <protection hidden="1"/>
    </xf>
    <xf numFmtId="0" fontId="45" fillId="0" borderId="0" xfId="0" applyFont="1" applyAlignment="1" applyProtection="1">
      <alignment horizontal="right"/>
      <protection hidden="1"/>
    </xf>
    <xf numFmtId="0" fontId="4" fillId="0" borderId="0" xfId="0" applyFont="1" applyProtection="1">
      <protection hidden="1"/>
    </xf>
    <xf numFmtId="0" fontId="11" fillId="0" borderId="0" xfId="0" applyFont="1" applyAlignment="1" applyProtection="1">
      <alignment horizontal="right"/>
      <protection hidden="1"/>
    </xf>
    <xf numFmtId="0" fontId="9" fillId="0" borderId="0" xfId="0" applyFont="1" applyAlignment="1" applyProtection="1">
      <alignment horizontal="center" vertical="center"/>
      <protection hidden="1"/>
    </xf>
    <xf numFmtId="167" fontId="2" fillId="0" borderId="0" xfId="0" applyNumberFormat="1" applyFont="1" applyAlignment="1" applyProtection="1">
      <alignment horizontal="center" vertical="center"/>
      <protection hidden="1"/>
    </xf>
    <xf numFmtId="0" fontId="40" fillId="0" borderId="0" xfId="0" applyFont="1" applyProtection="1">
      <protection hidden="1"/>
    </xf>
    <xf numFmtId="0" fontId="8" fillId="0" borderId="0" xfId="0" applyFont="1" applyProtection="1">
      <protection hidden="1"/>
    </xf>
    <xf numFmtId="0" fontId="46" fillId="0" borderId="0" xfId="0" applyFont="1" applyProtection="1">
      <protection hidden="1"/>
    </xf>
    <xf numFmtId="0" fontId="40" fillId="8" borderId="0" xfId="0" applyFont="1" applyFill="1" applyProtection="1">
      <protection hidden="1"/>
    </xf>
    <xf numFmtId="0" fontId="47" fillId="8" borderId="0" xfId="0" applyFont="1" applyFill="1" applyAlignment="1" applyProtection="1">
      <alignment vertical="center"/>
      <protection hidden="1"/>
    </xf>
    <xf numFmtId="0" fontId="48" fillId="8" borderId="0" xfId="0" applyFont="1" applyFill="1" applyAlignment="1" applyProtection="1">
      <alignment vertical="center"/>
      <protection hidden="1"/>
    </xf>
    <xf numFmtId="0" fontId="3" fillId="0" borderId="0" xfId="0" applyFont="1" applyAlignment="1" applyProtection="1">
      <alignment horizontal="right" vertical="center"/>
      <protection hidden="1"/>
    </xf>
    <xf numFmtId="0" fontId="19" fillId="8" borderId="0" xfId="0" applyFont="1" applyFill="1" applyAlignment="1" applyProtection="1">
      <alignment vertical="center"/>
      <protection hidden="1"/>
    </xf>
    <xf numFmtId="0" fontId="40" fillId="0" borderId="0" xfId="0" applyFont="1" applyAlignment="1" applyProtection="1">
      <alignment vertical="center"/>
      <protection hidden="1"/>
    </xf>
    <xf numFmtId="166" fontId="15" fillId="0" borderId="10" xfId="5" applyNumberFormat="1" applyFont="1" applyBorder="1" applyProtection="1">
      <protection hidden="1"/>
    </xf>
    <xf numFmtId="0" fontId="40" fillId="0" borderId="15" xfId="0" applyFont="1" applyBorder="1" applyProtection="1">
      <protection hidden="1"/>
    </xf>
    <xf numFmtId="0" fontId="50" fillId="0" borderId="0" xfId="0" applyFont="1" applyProtection="1">
      <protection hidden="1"/>
    </xf>
    <xf numFmtId="0" fontId="50" fillId="0" borderId="0" xfId="0" applyFont="1" applyAlignment="1" applyProtection="1">
      <alignment vertical="center"/>
      <protection hidden="1"/>
    </xf>
    <xf numFmtId="0" fontId="51" fillId="0" borderId="0" xfId="0" applyFont="1" applyAlignment="1" applyProtection="1">
      <alignment vertical="center"/>
      <protection hidden="1"/>
    </xf>
    <xf numFmtId="0" fontId="44" fillId="0" borderId="0" xfId="0" applyFont="1" applyAlignment="1" applyProtection="1">
      <alignment vertical="center"/>
      <protection hidden="1"/>
    </xf>
    <xf numFmtId="0" fontId="52" fillId="0" borderId="16" xfId="0" applyFont="1" applyBorder="1" applyAlignment="1" applyProtection="1">
      <alignment vertical="center"/>
      <protection hidden="1"/>
    </xf>
    <xf numFmtId="0" fontId="44" fillId="0" borderId="17" xfId="0" applyFont="1" applyBorder="1" applyAlignment="1" applyProtection="1">
      <alignment vertical="center"/>
      <protection hidden="1"/>
    </xf>
    <xf numFmtId="0" fontId="44" fillId="0" borderId="18" xfId="0" applyFont="1" applyBorder="1" applyAlignment="1" applyProtection="1">
      <alignment vertical="center"/>
      <protection hidden="1"/>
    </xf>
    <xf numFmtId="0" fontId="44" fillId="0" borderId="15" xfId="0" applyFont="1" applyBorder="1" applyAlignment="1" applyProtection="1">
      <alignment vertical="center"/>
      <protection hidden="1"/>
    </xf>
    <xf numFmtId="0" fontId="44" fillId="0" borderId="19" xfId="0" applyFont="1" applyBorder="1" applyAlignment="1" applyProtection="1">
      <alignment vertical="center"/>
      <protection hidden="1"/>
    </xf>
    <xf numFmtId="0" fontId="44" fillId="0" borderId="20" xfId="0" applyFont="1" applyBorder="1" applyAlignment="1" applyProtection="1">
      <alignment vertical="center"/>
      <protection hidden="1"/>
    </xf>
    <xf numFmtId="0" fontId="44" fillId="0" borderId="21" xfId="0" applyFont="1" applyBorder="1" applyAlignment="1" applyProtection="1">
      <alignment vertical="center"/>
      <protection hidden="1"/>
    </xf>
    <xf numFmtId="0" fontId="44" fillId="0" borderId="22" xfId="0" applyFont="1" applyBorder="1" applyAlignment="1" applyProtection="1">
      <alignment vertical="center"/>
      <protection hidden="1"/>
    </xf>
    <xf numFmtId="0" fontId="44" fillId="0" borderId="23" xfId="0" applyFont="1" applyBorder="1" applyAlignment="1" applyProtection="1">
      <alignment vertical="center"/>
      <protection hidden="1"/>
    </xf>
    <xf numFmtId="0" fontId="44" fillId="0" borderId="24" xfId="0" applyFont="1" applyBorder="1" applyAlignment="1" applyProtection="1">
      <alignment vertical="center"/>
      <protection hidden="1"/>
    </xf>
    <xf numFmtId="0" fontId="44" fillId="0" borderId="25" xfId="0" applyFont="1" applyBorder="1" applyAlignment="1" applyProtection="1">
      <alignment vertical="center"/>
      <protection hidden="1"/>
    </xf>
    <xf numFmtId="0" fontId="44" fillId="0" borderId="26" xfId="0" applyFont="1" applyBorder="1" applyAlignment="1" applyProtection="1">
      <alignment vertical="center"/>
      <protection hidden="1"/>
    </xf>
    <xf numFmtId="0" fontId="44" fillId="0" borderId="1" xfId="0" applyFont="1" applyBorder="1" applyAlignment="1" applyProtection="1">
      <alignment vertical="center"/>
      <protection hidden="1"/>
    </xf>
    <xf numFmtId="0" fontId="44" fillId="0" borderId="27" xfId="0" applyFont="1" applyBorder="1" applyAlignment="1" applyProtection="1">
      <alignment vertical="center"/>
      <protection hidden="1"/>
    </xf>
    <xf numFmtId="0" fontId="44" fillId="0" borderId="18" xfId="0" applyFont="1" applyBorder="1" applyAlignment="1" applyProtection="1">
      <alignment horizontal="left" vertical="center"/>
      <protection hidden="1"/>
    </xf>
    <xf numFmtId="0" fontId="44" fillId="0" borderId="26" xfId="0" applyFont="1" applyBorder="1" applyAlignment="1" applyProtection="1">
      <alignment horizontal="left" vertical="center"/>
      <protection hidden="1"/>
    </xf>
    <xf numFmtId="0" fontId="53" fillId="9" borderId="0" xfId="0" applyFont="1" applyFill="1" applyAlignment="1" applyProtection="1">
      <alignment vertical="center"/>
      <protection hidden="1"/>
    </xf>
    <xf numFmtId="0" fontId="44" fillId="9" borderId="0" xfId="0" applyFont="1" applyFill="1" applyAlignment="1" applyProtection="1">
      <alignment vertical="center"/>
      <protection hidden="1"/>
    </xf>
    <xf numFmtId="0" fontId="7" fillId="9" borderId="0" xfId="0" applyFont="1" applyFill="1" applyAlignment="1" applyProtection="1">
      <alignment horizontal="left" vertical="center"/>
      <protection hidden="1"/>
    </xf>
    <xf numFmtId="0" fontId="7" fillId="9" borderId="0" xfId="0" applyFont="1" applyFill="1" applyAlignment="1" applyProtection="1">
      <alignment horizontal="right" vertical="center"/>
      <protection hidden="1"/>
    </xf>
    <xf numFmtId="1" fontId="16" fillId="9" borderId="13" xfId="0" applyNumberFormat="1" applyFont="1" applyFill="1" applyBorder="1" applyAlignment="1" applyProtection="1">
      <alignment horizontal="center"/>
      <protection locked="0"/>
    </xf>
    <xf numFmtId="1" fontId="16" fillId="9" borderId="14" xfId="0" applyNumberFormat="1" applyFont="1" applyFill="1" applyBorder="1" applyAlignment="1" applyProtection="1">
      <alignment horizontal="center"/>
      <protection locked="0"/>
    </xf>
    <xf numFmtId="1" fontId="16" fillId="9" borderId="28" xfId="0" applyNumberFormat="1" applyFont="1" applyFill="1" applyBorder="1" applyAlignment="1" applyProtection="1">
      <alignment horizontal="center"/>
      <protection locked="0"/>
    </xf>
    <xf numFmtId="1" fontId="16" fillId="9" borderId="4" xfId="0" applyNumberFormat="1" applyFont="1" applyFill="1" applyBorder="1" applyAlignment="1" applyProtection="1">
      <alignment horizontal="center"/>
      <protection locked="0"/>
    </xf>
    <xf numFmtId="49" fontId="18" fillId="9" borderId="4" xfId="0" applyNumberFormat="1" applyFont="1" applyFill="1" applyBorder="1" applyAlignment="1" applyProtection="1">
      <alignment horizontal="center"/>
      <protection locked="0"/>
    </xf>
    <xf numFmtId="0" fontId="16" fillId="0" borderId="14" xfId="0" applyFont="1" applyBorder="1" applyAlignment="1" applyProtection="1">
      <alignment horizontal="left" indent="2"/>
      <protection hidden="1"/>
    </xf>
    <xf numFmtId="0" fontId="40" fillId="8" borderId="70" xfId="1" applyFont="1" applyFill="1" applyBorder="1" applyAlignment="1" applyProtection="1">
      <alignment horizontal="center" vertical="center"/>
      <protection hidden="1"/>
    </xf>
    <xf numFmtId="44" fontId="2" fillId="0" borderId="0" xfId="3" applyNumberFormat="1" applyFont="1" applyProtection="1">
      <protection hidden="1"/>
    </xf>
    <xf numFmtId="44" fontId="2" fillId="0" borderId="0" xfId="3" applyNumberFormat="1" applyFont="1" applyBorder="1" applyProtection="1">
      <protection hidden="1"/>
    </xf>
    <xf numFmtId="0" fontId="40" fillId="9" borderId="0" xfId="0" applyFont="1" applyFill="1" applyProtection="1">
      <protection hidden="1"/>
    </xf>
    <xf numFmtId="165" fontId="15" fillId="0" borderId="4" xfId="5" applyNumberFormat="1" applyFont="1" applyBorder="1" applyProtection="1">
      <protection hidden="1"/>
    </xf>
    <xf numFmtId="165" fontId="15" fillId="0" borderId="6" xfId="5" applyNumberFormat="1" applyFont="1" applyBorder="1" applyProtection="1">
      <protection hidden="1"/>
    </xf>
    <xf numFmtId="165" fontId="15" fillId="0" borderId="29" xfId="5" applyNumberFormat="1" applyFont="1" applyBorder="1" applyProtection="1">
      <protection hidden="1"/>
    </xf>
    <xf numFmtId="165" fontId="15" fillId="0" borderId="30" xfId="5" applyNumberFormat="1" applyFont="1" applyBorder="1" applyProtection="1">
      <protection hidden="1"/>
    </xf>
    <xf numFmtId="165" fontId="15" fillId="0" borderId="5" xfId="5" applyNumberFormat="1" applyFont="1" applyBorder="1" applyProtection="1">
      <protection hidden="1"/>
    </xf>
    <xf numFmtId="165" fontId="15" fillId="0" borderId="7" xfId="5" applyNumberFormat="1" applyFont="1" applyBorder="1" applyProtection="1">
      <protection hidden="1"/>
    </xf>
    <xf numFmtId="0" fontId="40" fillId="10" borderId="0" xfId="0" applyFont="1" applyFill="1" applyProtection="1">
      <protection hidden="1"/>
    </xf>
    <xf numFmtId="165" fontId="15" fillId="0" borderId="31" xfId="5" applyNumberFormat="1" applyFont="1" applyBorder="1" applyProtection="1">
      <protection hidden="1"/>
    </xf>
    <xf numFmtId="0" fontId="40" fillId="11" borderId="0" xfId="0" applyFont="1" applyFill="1" applyProtection="1">
      <protection hidden="1"/>
    </xf>
    <xf numFmtId="0" fontId="40" fillId="7" borderId="0" xfId="0" applyFont="1" applyFill="1" applyProtection="1">
      <protection hidden="1"/>
    </xf>
    <xf numFmtId="165" fontId="15" fillId="0" borderId="32" xfId="5" applyNumberFormat="1" applyFont="1" applyBorder="1" applyProtection="1">
      <protection hidden="1"/>
    </xf>
    <xf numFmtId="165" fontId="15" fillId="0" borderId="33" xfId="5" applyNumberFormat="1" applyFont="1" applyBorder="1" applyProtection="1">
      <protection hidden="1"/>
    </xf>
    <xf numFmtId="0" fontId="50" fillId="0" borderId="0" xfId="0" applyFont="1" applyAlignment="1" applyProtection="1">
      <alignment horizontal="center"/>
      <protection hidden="1"/>
    </xf>
    <xf numFmtId="0" fontId="22" fillId="0" borderId="13" xfId="0" applyFont="1" applyBorder="1" applyAlignment="1" applyProtection="1">
      <alignment horizontal="center"/>
      <protection hidden="1"/>
    </xf>
    <xf numFmtId="0" fontId="0" fillId="0" borderId="0" xfId="0" applyAlignment="1" applyProtection="1">
      <alignment horizontal="left"/>
      <protection hidden="1"/>
    </xf>
    <xf numFmtId="0" fontId="0" fillId="0" borderId="0" xfId="0" applyAlignment="1" applyProtection="1">
      <alignment horizontal="right"/>
      <protection hidden="1"/>
    </xf>
    <xf numFmtId="0" fontId="12" fillId="0" borderId="0" xfId="0" applyFont="1" applyAlignment="1" applyProtection="1">
      <alignment horizontal="right"/>
      <protection hidden="1"/>
    </xf>
    <xf numFmtId="0" fontId="0" fillId="8" borderId="0" xfId="0" applyFill="1" applyProtection="1">
      <protection hidden="1"/>
    </xf>
    <xf numFmtId="0" fontId="48" fillId="8" borderId="0" xfId="0" applyFont="1" applyFill="1" applyAlignment="1" applyProtection="1">
      <alignment horizontal="right" vertical="center"/>
      <protection hidden="1"/>
    </xf>
    <xf numFmtId="0" fontId="12" fillId="8" borderId="0" xfId="0" applyFont="1" applyFill="1" applyAlignment="1" applyProtection="1">
      <alignment horizontal="right"/>
      <protection hidden="1"/>
    </xf>
    <xf numFmtId="0" fontId="52" fillId="0" borderId="0" xfId="0" applyFont="1" applyAlignment="1" applyProtection="1">
      <alignment horizontal="center"/>
      <protection hidden="1"/>
    </xf>
    <xf numFmtId="0" fontId="13" fillId="7" borderId="12" xfId="0" applyFont="1" applyFill="1" applyBorder="1" applyAlignment="1" applyProtection="1">
      <alignment vertical="top" wrapText="1"/>
      <protection hidden="1"/>
    </xf>
    <xf numFmtId="14" fontId="16" fillId="0" borderId="0" xfId="0" applyNumberFormat="1" applyFont="1" applyProtection="1">
      <protection hidden="1"/>
    </xf>
    <xf numFmtId="0" fontId="44" fillId="7" borderId="0" xfId="0" applyFont="1" applyFill="1" applyProtection="1">
      <protection hidden="1"/>
    </xf>
    <xf numFmtId="0" fontId="40" fillId="7" borderId="0" xfId="0" applyFont="1" applyFill="1"/>
    <xf numFmtId="165" fontId="15" fillId="0" borderId="34" xfId="5" applyNumberFormat="1" applyFont="1" applyBorder="1" applyProtection="1">
      <protection hidden="1"/>
    </xf>
    <xf numFmtId="0" fontId="10" fillId="0" borderId="0" xfId="0" applyFont="1" applyAlignment="1" applyProtection="1">
      <alignment horizontal="right"/>
      <protection hidden="1"/>
    </xf>
    <xf numFmtId="0" fontId="6" fillId="12" borderId="35" xfId="0" applyFont="1" applyFill="1" applyBorder="1" applyAlignment="1" applyProtection="1">
      <alignment vertical="center"/>
      <protection hidden="1"/>
    </xf>
    <xf numFmtId="168" fontId="56" fillId="0" borderId="0" xfId="0" applyNumberFormat="1" applyFont="1" applyAlignment="1" applyProtection="1">
      <alignment horizontal="center"/>
      <protection hidden="1"/>
    </xf>
    <xf numFmtId="0" fontId="21" fillId="6" borderId="0" xfId="0" applyFont="1" applyFill="1" applyAlignment="1" applyProtection="1">
      <alignment horizontal="center" textRotation="90"/>
      <protection hidden="1"/>
    </xf>
    <xf numFmtId="0" fontId="9" fillId="0" borderId="4" xfId="0" applyFont="1" applyBorder="1" applyAlignment="1" applyProtection="1">
      <alignment horizontal="center" vertical="center"/>
      <protection hidden="1"/>
    </xf>
    <xf numFmtId="0" fontId="9" fillId="0" borderId="6" xfId="0" applyFont="1" applyBorder="1" applyAlignment="1" applyProtection="1">
      <alignment horizontal="center" vertical="center"/>
      <protection hidden="1"/>
    </xf>
    <xf numFmtId="0" fontId="9" fillId="0" borderId="5" xfId="0" applyFont="1" applyBorder="1" applyAlignment="1" applyProtection="1">
      <alignment horizontal="center" vertical="center"/>
      <protection hidden="1"/>
    </xf>
    <xf numFmtId="0" fontId="9" fillId="0" borderId="30" xfId="0" applyFont="1" applyBorder="1" applyProtection="1">
      <protection hidden="1"/>
    </xf>
    <xf numFmtId="0" fontId="16" fillId="4" borderId="0" xfId="0" applyFont="1" applyFill="1" applyAlignment="1" applyProtection="1">
      <alignment horizontal="center" textRotation="90"/>
      <protection hidden="1"/>
    </xf>
    <xf numFmtId="0" fontId="2" fillId="9" borderId="0" xfId="0" applyFont="1" applyFill="1" applyProtection="1">
      <protection hidden="1"/>
    </xf>
    <xf numFmtId="0" fontId="7" fillId="9" borderId="0" xfId="0" applyFont="1" applyFill="1" applyAlignment="1" applyProtection="1">
      <alignment horizontal="right"/>
      <protection hidden="1"/>
    </xf>
    <xf numFmtId="0" fontId="45" fillId="9" borderId="0" xfId="0" applyFont="1" applyFill="1" applyAlignment="1" applyProtection="1">
      <alignment horizontal="right"/>
      <protection hidden="1"/>
    </xf>
    <xf numFmtId="0" fontId="4" fillId="9" borderId="0" xfId="0" applyFont="1" applyFill="1" applyProtection="1">
      <protection hidden="1"/>
    </xf>
    <xf numFmtId="0" fontId="11" fillId="9" borderId="0" xfId="0" applyFont="1" applyFill="1" applyProtection="1">
      <protection hidden="1"/>
    </xf>
    <xf numFmtId="0" fontId="11" fillId="9" borderId="0" xfId="0" applyFont="1" applyFill="1" applyAlignment="1" applyProtection="1">
      <alignment horizontal="right"/>
      <protection hidden="1"/>
    </xf>
    <xf numFmtId="0" fontId="19" fillId="9" borderId="0" xfId="0" applyFont="1" applyFill="1" applyAlignment="1" applyProtection="1">
      <alignment vertical="center"/>
      <protection hidden="1"/>
    </xf>
    <xf numFmtId="0" fontId="2" fillId="0" borderId="71" xfId="0" applyFont="1" applyBorder="1" applyProtection="1">
      <protection hidden="1"/>
    </xf>
    <xf numFmtId="0" fontId="10" fillId="0" borderId="72" xfId="1" applyFont="1" applyBorder="1" applyAlignment="1" applyProtection="1">
      <alignment horizontal="left"/>
      <protection hidden="1"/>
    </xf>
    <xf numFmtId="0" fontId="28" fillId="0" borderId="72" xfId="1" applyFont="1" applyBorder="1" applyAlignment="1" applyProtection="1">
      <protection hidden="1"/>
    </xf>
    <xf numFmtId="0" fontId="44" fillId="0" borderId="72" xfId="0" applyFont="1" applyBorder="1" applyProtection="1">
      <protection hidden="1"/>
    </xf>
    <xf numFmtId="0" fontId="44" fillId="0" borderId="73" xfId="0" applyFont="1" applyBorder="1" applyProtection="1">
      <protection hidden="1"/>
    </xf>
    <xf numFmtId="0" fontId="2" fillId="0" borderId="74" xfId="0" applyFont="1" applyBorder="1" applyProtection="1">
      <protection hidden="1"/>
    </xf>
    <xf numFmtId="0" fontId="2" fillId="0" borderId="75" xfId="0" applyFont="1" applyBorder="1" applyProtection="1">
      <protection hidden="1"/>
    </xf>
    <xf numFmtId="0" fontId="16" fillId="0" borderId="74" xfId="0" applyFont="1" applyBorder="1" applyProtection="1">
      <protection hidden="1"/>
    </xf>
    <xf numFmtId="0" fontId="2" fillId="0" borderId="76" xfId="0" applyFont="1" applyBorder="1" applyProtection="1">
      <protection hidden="1"/>
    </xf>
    <xf numFmtId="0" fontId="7" fillId="0" borderId="77" xfId="0" applyFont="1" applyBorder="1" applyProtection="1">
      <protection hidden="1"/>
    </xf>
    <xf numFmtId="0" fontId="2" fillId="0" borderId="77" xfId="0" applyFont="1" applyBorder="1" applyProtection="1">
      <protection hidden="1"/>
    </xf>
    <xf numFmtId="0" fontId="2" fillId="0" borderId="78" xfId="0" applyFont="1" applyBorder="1" applyProtection="1">
      <protection hidden="1"/>
    </xf>
    <xf numFmtId="0" fontId="16" fillId="0" borderId="76" xfId="0" applyFont="1" applyBorder="1" applyProtection="1">
      <protection hidden="1"/>
    </xf>
    <xf numFmtId="0" fontId="16" fillId="0" borderId="77" xfId="0" applyFont="1" applyBorder="1" applyProtection="1">
      <protection hidden="1"/>
    </xf>
    <xf numFmtId="0" fontId="57" fillId="0" borderId="77" xfId="0" applyFont="1" applyBorder="1" applyAlignment="1" applyProtection="1">
      <alignment horizontal="center"/>
      <protection hidden="1"/>
    </xf>
    <xf numFmtId="0" fontId="17" fillId="0" borderId="77" xfId="0" applyFont="1" applyBorder="1" applyAlignment="1" applyProtection="1">
      <alignment horizontal="center"/>
      <protection hidden="1"/>
    </xf>
    <xf numFmtId="0" fontId="15" fillId="0" borderId="77" xfId="0" applyFont="1" applyBorder="1" applyAlignment="1" applyProtection="1">
      <alignment horizontal="center"/>
      <protection hidden="1"/>
    </xf>
    <xf numFmtId="168" fontId="56" fillId="0" borderId="77" xfId="0" applyNumberFormat="1" applyFont="1" applyBorder="1" applyAlignment="1" applyProtection="1">
      <alignment horizontal="center"/>
      <protection hidden="1"/>
    </xf>
    <xf numFmtId="168" fontId="56" fillId="0" borderId="78" xfId="0" applyNumberFormat="1" applyFont="1" applyBorder="1" applyAlignment="1" applyProtection="1">
      <alignment horizontal="center"/>
      <protection hidden="1"/>
    </xf>
    <xf numFmtId="0" fontId="58" fillId="0" borderId="0" xfId="0" applyFont="1" applyProtection="1">
      <protection hidden="1"/>
    </xf>
    <xf numFmtId="0" fontId="10" fillId="0" borderId="75" xfId="1" applyFont="1" applyBorder="1" applyAlignment="1" applyProtection="1">
      <alignment horizontal="right"/>
      <protection hidden="1"/>
    </xf>
    <xf numFmtId="0" fontId="44" fillId="0" borderId="77" xfId="0" applyFont="1" applyBorder="1" applyProtection="1">
      <protection hidden="1"/>
    </xf>
    <xf numFmtId="0" fontId="10" fillId="0" borderId="78" xfId="1" applyFont="1" applyBorder="1" applyAlignment="1" applyProtection="1">
      <alignment horizontal="right"/>
      <protection hidden="1"/>
    </xf>
    <xf numFmtId="0" fontId="59" fillId="0" borderId="0" xfId="0" applyFont="1" applyAlignment="1" applyProtection="1">
      <alignment horizontal="right"/>
      <protection hidden="1"/>
    </xf>
    <xf numFmtId="0" fontId="60" fillId="0" borderId="0" xfId="0" applyFont="1" applyProtection="1">
      <protection hidden="1"/>
    </xf>
    <xf numFmtId="0" fontId="50" fillId="0" borderId="77" xfId="0" applyFont="1" applyBorder="1" applyAlignment="1" applyProtection="1">
      <alignment horizontal="center"/>
      <protection hidden="1"/>
    </xf>
    <xf numFmtId="0" fontId="50" fillId="0" borderId="76" xfId="0" applyFont="1" applyBorder="1" applyAlignment="1" applyProtection="1">
      <alignment horizontal="center"/>
      <protection hidden="1"/>
    </xf>
    <xf numFmtId="0" fontId="16" fillId="0" borderId="78" xfId="0" applyFont="1" applyBorder="1" applyProtection="1">
      <protection hidden="1"/>
    </xf>
    <xf numFmtId="0" fontId="44" fillId="0" borderId="76" xfId="0" applyFont="1" applyBorder="1" applyProtection="1">
      <protection hidden="1"/>
    </xf>
    <xf numFmtId="0" fontId="10" fillId="0" borderId="77" xfId="1" applyFont="1" applyBorder="1" applyAlignment="1" applyProtection="1">
      <alignment horizontal="right"/>
      <protection hidden="1"/>
    </xf>
    <xf numFmtId="0" fontId="16" fillId="0" borderId="36" xfId="0" applyFont="1" applyBorder="1" applyProtection="1">
      <protection hidden="1"/>
    </xf>
    <xf numFmtId="0" fontId="22" fillId="0" borderId="36" xfId="0" applyFont="1" applyBorder="1" applyAlignment="1" applyProtection="1">
      <alignment horizontal="center"/>
      <protection hidden="1"/>
    </xf>
    <xf numFmtId="0" fontId="17" fillId="0" borderId="36" xfId="0" applyFont="1" applyBorder="1" applyAlignment="1" applyProtection="1">
      <alignment horizontal="center" vertical="center"/>
      <protection hidden="1"/>
    </xf>
    <xf numFmtId="2" fontId="16" fillId="0" borderId="36" xfId="0" applyNumberFormat="1" applyFont="1" applyBorder="1" applyAlignment="1" applyProtection="1">
      <alignment horizontal="right"/>
      <protection hidden="1"/>
    </xf>
    <xf numFmtId="2" fontId="20" fillId="0" borderId="36" xfId="0" applyNumberFormat="1" applyFont="1" applyBorder="1" applyAlignment="1" applyProtection="1">
      <alignment horizontal="center"/>
      <protection hidden="1"/>
    </xf>
    <xf numFmtId="4" fontId="16" fillId="0" borderId="36" xfId="0" applyNumberFormat="1" applyFont="1" applyBorder="1" applyProtection="1">
      <protection hidden="1"/>
    </xf>
    <xf numFmtId="1" fontId="16" fillId="9" borderId="36" xfId="0" applyNumberFormat="1" applyFont="1" applyFill="1" applyBorder="1" applyAlignment="1" applyProtection="1">
      <alignment horizontal="center"/>
      <protection locked="0"/>
    </xf>
    <xf numFmtId="0" fontId="16" fillId="0" borderId="36" xfId="0" applyFont="1" applyBorder="1" applyAlignment="1" applyProtection="1">
      <alignment horizontal="center"/>
      <protection hidden="1"/>
    </xf>
    <xf numFmtId="165" fontId="15" fillId="0" borderId="37" xfId="5" applyNumberFormat="1" applyFont="1" applyBorder="1" applyProtection="1">
      <protection hidden="1"/>
    </xf>
    <xf numFmtId="0" fontId="46" fillId="0" borderId="0" xfId="0" applyFont="1" applyAlignment="1" applyProtection="1">
      <alignment horizontal="center" vertical="center"/>
      <protection hidden="1"/>
    </xf>
    <xf numFmtId="0" fontId="62" fillId="0" borderId="0" xfId="0" applyFont="1" applyProtection="1">
      <protection hidden="1"/>
    </xf>
    <xf numFmtId="0" fontId="9" fillId="0" borderId="34" xfId="0" applyFont="1" applyBorder="1" applyProtection="1">
      <protection hidden="1"/>
    </xf>
    <xf numFmtId="0" fontId="9" fillId="0" borderId="34" xfId="0" applyFont="1" applyBorder="1" applyAlignment="1" applyProtection="1">
      <alignment horizontal="center" vertical="center"/>
      <protection hidden="1"/>
    </xf>
    <xf numFmtId="0" fontId="9" fillId="0" borderId="32" xfId="0" applyFont="1" applyBorder="1" applyProtection="1">
      <protection hidden="1"/>
    </xf>
    <xf numFmtId="0" fontId="9" fillId="0" borderId="32" xfId="0" applyFont="1" applyBorder="1" applyAlignment="1" applyProtection="1">
      <alignment horizontal="center" vertical="center"/>
      <protection hidden="1"/>
    </xf>
    <xf numFmtId="0" fontId="9" fillId="0" borderId="29" xfId="0" applyFont="1" applyBorder="1" applyProtection="1">
      <protection hidden="1"/>
    </xf>
    <xf numFmtId="0" fontId="9" fillId="0" borderId="29" xfId="0" applyFont="1" applyBorder="1" applyAlignment="1" applyProtection="1">
      <alignment horizontal="center" vertical="center"/>
      <protection hidden="1"/>
    </xf>
    <xf numFmtId="0" fontId="9" fillId="0" borderId="30" xfId="0" applyFont="1" applyBorder="1" applyAlignment="1" applyProtection="1">
      <alignment horizontal="center" vertical="center"/>
      <protection hidden="1"/>
    </xf>
    <xf numFmtId="0" fontId="9" fillId="0" borderId="7" xfId="0" applyFont="1" applyBorder="1" applyAlignment="1" applyProtection="1">
      <alignment horizontal="center" vertical="center"/>
      <protection hidden="1"/>
    </xf>
    <xf numFmtId="0" fontId="9" fillId="0" borderId="37" xfId="0" applyFont="1" applyBorder="1" applyProtection="1">
      <protection hidden="1"/>
    </xf>
    <xf numFmtId="0" fontId="9" fillId="0" borderId="37" xfId="0" applyFont="1" applyBorder="1" applyAlignment="1" applyProtection="1">
      <alignment horizontal="center" vertical="center"/>
      <protection hidden="1"/>
    </xf>
    <xf numFmtId="0" fontId="9" fillId="0" borderId="31" xfId="0" applyFont="1" applyBorder="1" applyProtection="1">
      <protection hidden="1"/>
    </xf>
    <xf numFmtId="0" fontId="9" fillId="0" borderId="31" xfId="0" applyFont="1" applyBorder="1" applyAlignment="1" applyProtection="1">
      <alignment horizontal="center" vertical="center"/>
      <protection hidden="1"/>
    </xf>
    <xf numFmtId="0" fontId="9" fillId="0" borderId="33" xfId="0" applyFont="1" applyBorder="1" applyAlignment="1" applyProtection="1">
      <alignment horizontal="center" vertical="center"/>
      <protection hidden="1"/>
    </xf>
    <xf numFmtId="0" fontId="63" fillId="15" borderId="0" xfId="0" applyFont="1" applyFill="1" applyAlignment="1" applyProtection="1">
      <alignment horizontal="center"/>
      <protection locked="0" hidden="1"/>
    </xf>
    <xf numFmtId="0" fontId="0" fillId="0" borderId="0" xfId="0" applyAlignment="1" applyProtection="1">
      <alignment horizontal="center"/>
      <protection hidden="1"/>
    </xf>
    <xf numFmtId="2" fontId="16" fillId="9" borderId="14" xfId="0" applyNumberFormat="1" applyFont="1" applyFill="1" applyBorder="1" applyAlignment="1" applyProtection="1">
      <alignment horizontal="right"/>
      <protection locked="0"/>
    </xf>
    <xf numFmtId="0" fontId="54" fillId="9" borderId="0" xfId="0" applyFont="1" applyFill="1" applyAlignment="1" applyProtection="1">
      <alignment horizontal="center" textRotation="90"/>
      <protection hidden="1"/>
    </xf>
    <xf numFmtId="0" fontId="10" fillId="0" borderId="72" xfId="1" applyFont="1" applyBorder="1" applyAlignment="1" applyProtection="1">
      <alignment vertical="center" wrapText="1"/>
      <protection hidden="1"/>
    </xf>
    <xf numFmtId="0" fontId="10" fillId="0" borderId="0" xfId="1" applyFont="1" applyBorder="1" applyAlignment="1" applyProtection="1">
      <alignment vertical="center" wrapText="1"/>
      <protection hidden="1"/>
    </xf>
    <xf numFmtId="0" fontId="40" fillId="0" borderId="0" xfId="0" applyFont="1" applyAlignment="1" applyProtection="1">
      <alignment horizontal="right"/>
      <protection hidden="1"/>
    </xf>
    <xf numFmtId="0" fontId="16" fillId="0" borderId="0" xfId="0" applyFont="1" applyAlignment="1" applyProtection="1">
      <alignment horizontal="right"/>
      <protection hidden="1"/>
    </xf>
    <xf numFmtId="0" fontId="55" fillId="0" borderId="78" xfId="0" applyFont="1" applyBorder="1" applyAlignment="1" applyProtection="1">
      <alignment horizontal="right"/>
      <protection hidden="1"/>
    </xf>
    <xf numFmtId="0" fontId="64" fillId="0" borderId="0" xfId="0" applyFont="1" applyProtection="1">
      <protection hidden="1"/>
    </xf>
    <xf numFmtId="0" fontId="64" fillId="2" borderId="0" xfId="0" applyFont="1" applyFill="1" applyAlignment="1" applyProtection="1">
      <alignment horizontal="center" vertical="center"/>
      <protection hidden="1"/>
    </xf>
    <xf numFmtId="0" fontId="15" fillId="0" borderId="0" xfId="0" applyFont="1" applyAlignment="1" applyProtection="1">
      <alignment horizontal="left"/>
      <protection hidden="1"/>
    </xf>
    <xf numFmtId="0" fontId="0" fillId="19" borderId="10" xfId="0" applyFill="1" applyBorder="1" applyAlignment="1" applyProtection="1">
      <alignment horizontal="left"/>
      <protection hidden="1"/>
    </xf>
    <xf numFmtId="0" fontId="0" fillId="20" borderId="10" xfId="0" applyFill="1" applyBorder="1" applyAlignment="1" applyProtection="1">
      <alignment horizontal="left"/>
      <protection hidden="1"/>
    </xf>
    <xf numFmtId="0" fontId="0" fillId="21" borderId="10" xfId="0" applyFill="1" applyBorder="1" applyProtection="1">
      <protection hidden="1"/>
    </xf>
    <xf numFmtId="0" fontId="0" fillId="22" borderId="10" xfId="0" applyFill="1" applyBorder="1" applyProtection="1">
      <protection hidden="1"/>
    </xf>
    <xf numFmtId="0" fontId="0" fillId="19" borderId="10" xfId="0" applyFill="1" applyBorder="1" applyProtection="1">
      <protection hidden="1"/>
    </xf>
    <xf numFmtId="0" fontId="0" fillId="20" borderId="10" xfId="0" applyFill="1" applyBorder="1" applyProtection="1">
      <protection hidden="1"/>
    </xf>
    <xf numFmtId="0" fontId="16" fillId="19" borderId="10" xfId="0" applyFont="1" applyFill="1" applyBorder="1" applyProtection="1">
      <protection hidden="1"/>
    </xf>
    <xf numFmtId="0" fontId="16" fillId="20" borderId="10" xfId="0" applyFont="1" applyFill="1" applyBorder="1" applyProtection="1">
      <protection hidden="1"/>
    </xf>
    <xf numFmtId="0" fontId="0" fillId="0" borderId="40" xfId="0" applyBorder="1" applyAlignment="1" applyProtection="1">
      <alignment horizontal="right"/>
      <protection hidden="1"/>
    </xf>
    <xf numFmtId="0" fontId="0" fillId="0" borderId="41" xfId="0" applyBorder="1" applyAlignment="1" applyProtection="1">
      <alignment horizontal="right"/>
      <protection hidden="1"/>
    </xf>
    <xf numFmtId="0" fontId="0" fillId="0" borderId="42" xfId="0" applyBorder="1" applyAlignment="1" applyProtection="1">
      <alignment horizontal="right"/>
      <protection hidden="1"/>
    </xf>
    <xf numFmtId="0" fontId="0" fillId="0" borderId="10" xfId="0" applyBorder="1" applyAlignment="1" applyProtection="1">
      <alignment horizontal="left"/>
      <protection hidden="1"/>
    </xf>
    <xf numFmtId="0" fontId="0" fillId="0" borderId="10" xfId="0" applyBorder="1" applyProtection="1">
      <protection hidden="1"/>
    </xf>
    <xf numFmtId="49" fontId="44" fillId="0" borderId="18" xfId="0" applyNumberFormat="1" applyFont="1" applyBorder="1" applyAlignment="1" applyProtection="1">
      <alignment horizontal="left" vertical="center"/>
      <protection hidden="1"/>
    </xf>
    <xf numFmtId="49" fontId="44" fillId="0" borderId="22" xfId="0" applyNumberFormat="1" applyFont="1" applyBorder="1" applyAlignment="1" applyProtection="1">
      <alignment horizontal="left" vertical="center"/>
      <protection hidden="1"/>
    </xf>
    <xf numFmtId="49" fontId="44" fillId="0" borderId="26" xfId="0" applyNumberFormat="1" applyFont="1" applyBorder="1" applyAlignment="1" applyProtection="1">
      <alignment vertical="center"/>
      <protection hidden="1"/>
    </xf>
    <xf numFmtId="166" fontId="15" fillId="23" borderId="10" xfId="5" applyNumberFormat="1" applyFont="1" applyFill="1" applyBorder="1" applyAlignment="1" applyProtection="1">
      <alignment horizontal="center" vertical="center" wrapText="1"/>
      <protection hidden="1"/>
    </xf>
    <xf numFmtId="166" fontId="15" fillId="23" borderId="5" xfId="5" applyNumberFormat="1" applyFont="1" applyFill="1" applyBorder="1" applyProtection="1">
      <protection hidden="1"/>
    </xf>
    <xf numFmtId="0" fontId="10" fillId="0" borderId="5" xfId="0" applyFont="1" applyBorder="1" applyProtection="1">
      <protection hidden="1"/>
    </xf>
    <xf numFmtId="0" fontId="10" fillId="0" borderId="4" xfId="0" applyFont="1" applyBorder="1" applyProtection="1">
      <protection hidden="1"/>
    </xf>
    <xf numFmtId="0" fontId="10" fillId="0" borderId="6" xfId="0" applyFont="1" applyBorder="1" applyProtection="1">
      <protection hidden="1"/>
    </xf>
    <xf numFmtId="166" fontId="3" fillId="0" borderId="6" xfId="5" applyNumberFormat="1" applyFont="1" applyBorder="1" applyProtection="1">
      <protection hidden="1"/>
    </xf>
    <xf numFmtId="0" fontId="10" fillId="0" borderId="34" xfId="0" applyFont="1" applyBorder="1" applyProtection="1">
      <protection hidden="1"/>
    </xf>
    <xf numFmtId="0" fontId="10" fillId="0" borderId="32" xfId="0" applyFont="1" applyBorder="1" applyProtection="1">
      <protection hidden="1"/>
    </xf>
    <xf numFmtId="0" fontId="10" fillId="0" borderId="29" xfId="0" applyFont="1" applyBorder="1" applyProtection="1">
      <protection hidden="1"/>
    </xf>
    <xf numFmtId="0" fontId="10" fillId="0" borderId="30" xfId="0" applyFont="1" applyBorder="1" applyProtection="1">
      <protection hidden="1"/>
    </xf>
    <xf numFmtId="0" fontId="10" fillId="0" borderId="7" xfId="0" applyFont="1" applyBorder="1" applyProtection="1">
      <protection hidden="1"/>
    </xf>
    <xf numFmtId="0" fontId="10" fillId="0" borderId="37" xfId="0" applyFont="1" applyBorder="1" applyProtection="1">
      <protection hidden="1"/>
    </xf>
    <xf numFmtId="0" fontId="10" fillId="0" borderId="31" xfId="0" applyFont="1" applyBorder="1" applyProtection="1">
      <protection hidden="1"/>
    </xf>
    <xf numFmtId="0" fontId="10" fillId="0" borderId="33" xfId="0" applyFont="1" applyBorder="1" applyProtection="1">
      <protection hidden="1"/>
    </xf>
    <xf numFmtId="0" fontId="63" fillId="2" borderId="0" xfId="0" applyFont="1" applyFill="1" applyAlignment="1" applyProtection="1">
      <alignment horizontal="center" vertical="center"/>
      <protection hidden="1"/>
    </xf>
    <xf numFmtId="0" fontId="63" fillId="0" borderId="0" xfId="0" applyFont="1" applyProtection="1">
      <protection hidden="1"/>
    </xf>
    <xf numFmtId="166" fontId="65" fillId="0" borderId="0" xfId="5" applyNumberFormat="1" applyFont="1" applyProtection="1">
      <protection hidden="1"/>
    </xf>
    <xf numFmtId="169" fontId="3" fillId="0" borderId="4" xfId="5" applyNumberFormat="1" applyFont="1" applyBorder="1" applyProtection="1">
      <protection hidden="1"/>
    </xf>
    <xf numFmtId="169" fontId="3" fillId="0" borderId="32" xfId="5" applyNumberFormat="1" applyFont="1" applyBorder="1" applyProtection="1">
      <protection hidden="1"/>
    </xf>
    <xf numFmtId="0" fontId="14" fillId="13" borderId="3" xfId="0" applyFont="1" applyFill="1" applyBorder="1" applyProtection="1">
      <protection hidden="1"/>
    </xf>
    <xf numFmtId="0" fontId="14" fillId="13" borderId="3" xfId="0" applyFont="1" applyFill="1" applyBorder="1" applyAlignment="1" applyProtection="1">
      <alignment horizontal="center" textRotation="90"/>
      <protection hidden="1"/>
    </xf>
    <xf numFmtId="44" fontId="14" fillId="13" borderId="3" xfId="3" applyNumberFormat="1" applyFont="1" applyFill="1" applyBorder="1" applyAlignment="1" applyProtection="1">
      <alignment horizontal="center"/>
      <protection hidden="1"/>
    </xf>
    <xf numFmtId="0" fontId="14" fillId="13" borderId="3" xfId="0" applyFont="1" applyFill="1" applyBorder="1" applyAlignment="1" applyProtection="1">
      <alignment horizontal="center" wrapText="1"/>
      <protection hidden="1"/>
    </xf>
    <xf numFmtId="0" fontId="14" fillId="13" borderId="50" xfId="0" applyFont="1" applyFill="1" applyBorder="1" applyAlignment="1" applyProtection="1">
      <alignment horizontal="center"/>
      <protection hidden="1"/>
    </xf>
    <xf numFmtId="0" fontId="50" fillId="7" borderId="0" xfId="0" applyFont="1" applyFill="1" applyAlignment="1" applyProtection="1">
      <alignment horizontal="center"/>
      <protection hidden="1"/>
    </xf>
    <xf numFmtId="0" fontId="5" fillId="16" borderId="82" xfId="0" applyFont="1" applyFill="1" applyBorder="1" applyAlignment="1" applyProtection="1">
      <alignment horizontal="center" vertical="center"/>
      <protection hidden="1"/>
    </xf>
    <xf numFmtId="0" fontId="5" fillId="16" borderId="83" xfId="0" applyFont="1" applyFill="1" applyBorder="1" applyAlignment="1" applyProtection="1">
      <alignment horizontal="center" vertical="center"/>
      <protection hidden="1"/>
    </xf>
    <xf numFmtId="0" fontId="2" fillId="7" borderId="0" xfId="0" applyFont="1" applyFill="1" applyProtection="1">
      <protection hidden="1"/>
    </xf>
    <xf numFmtId="0" fontId="5" fillId="16" borderId="84" xfId="0" applyFont="1" applyFill="1" applyBorder="1" applyAlignment="1" applyProtection="1">
      <alignment horizontal="center" vertical="center"/>
      <protection hidden="1"/>
    </xf>
    <xf numFmtId="0" fontId="5" fillId="16" borderId="38" xfId="0" applyFont="1" applyFill="1" applyBorder="1" applyAlignment="1" applyProtection="1">
      <alignment horizontal="center" vertical="center"/>
      <protection hidden="1"/>
    </xf>
    <xf numFmtId="0" fontId="66" fillId="24" borderId="0" xfId="0" applyFont="1" applyFill="1" applyAlignment="1" applyProtection="1">
      <alignment horizontal="center" vertical="center"/>
      <protection hidden="1"/>
    </xf>
    <xf numFmtId="0" fontId="4" fillId="0" borderId="85" xfId="0" applyFont="1" applyBorder="1" applyAlignment="1" applyProtection="1">
      <alignment horizontal="right" vertical="center"/>
      <protection hidden="1"/>
    </xf>
    <xf numFmtId="0" fontId="4" fillId="0" borderId="85" xfId="0" applyFont="1" applyBorder="1" applyAlignment="1" applyProtection="1">
      <alignment vertical="center"/>
      <protection hidden="1"/>
    </xf>
    <xf numFmtId="0" fontId="4" fillId="0" borderId="86" xfId="0" applyFont="1" applyBorder="1" applyAlignment="1" applyProtection="1">
      <alignment vertical="center"/>
      <protection hidden="1"/>
    </xf>
    <xf numFmtId="0" fontId="4" fillId="0" borderId="87" xfId="0" applyFont="1" applyBorder="1" applyAlignment="1" applyProtection="1">
      <alignment vertical="center"/>
      <protection hidden="1"/>
    </xf>
    <xf numFmtId="0" fontId="4" fillId="0" borderId="88" xfId="0" applyFont="1" applyBorder="1" applyAlignment="1" applyProtection="1">
      <alignment vertical="center"/>
      <protection hidden="1"/>
    </xf>
    <xf numFmtId="0" fontId="4" fillId="0" borderId="87" xfId="0" applyFont="1" applyBorder="1" applyAlignment="1" applyProtection="1">
      <alignment horizontal="right" vertical="center"/>
      <protection hidden="1"/>
    </xf>
    <xf numFmtId="0" fontId="9" fillId="0" borderId="51" xfId="0" applyFont="1" applyBorder="1" applyProtection="1">
      <protection hidden="1"/>
    </xf>
    <xf numFmtId="0" fontId="9" fillId="0" borderId="51" xfId="0" applyFont="1" applyBorder="1" applyAlignment="1" applyProtection="1">
      <alignment horizontal="center" vertical="center"/>
      <protection hidden="1"/>
    </xf>
    <xf numFmtId="0" fontId="10" fillId="0" borderId="51" xfId="0" applyFont="1" applyBorder="1" applyProtection="1">
      <protection hidden="1"/>
    </xf>
    <xf numFmtId="169" fontId="3" fillId="0" borderId="51" xfId="5" applyNumberFormat="1" applyFont="1" applyBorder="1" applyProtection="1">
      <protection hidden="1"/>
    </xf>
    <xf numFmtId="165" fontId="15" fillId="0" borderId="51" xfId="5" applyNumberFormat="1" applyFont="1" applyBorder="1" applyProtection="1">
      <protection hidden="1"/>
    </xf>
    <xf numFmtId="3" fontId="10" fillId="2" borderId="9" xfId="0" applyNumberFormat="1" applyFont="1" applyFill="1" applyBorder="1" applyAlignment="1" applyProtection="1">
      <alignment horizontal="left" vertical="center"/>
      <protection hidden="1"/>
    </xf>
    <xf numFmtId="3" fontId="10" fillId="2" borderId="58" xfId="0" applyNumberFormat="1" applyFont="1" applyFill="1" applyBorder="1" applyAlignment="1" applyProtection="1">
      <alignment horizontal="left" vertical="center"/>
      <protection hidden="1"/>
    </xf>
    <xf numFmtId="3" fontId="10" fillId="2" borderId="59" xfId="0" applyNumberFormat="1" applyFont="1" applyFill="1" applyBorder="1" applyAlignment="1" applyProtection="1">
      <alignment horizontal="left" vertical="center"/>
      <protection hidden="1"/>
    </xf>
    <xf numFmtId="3" fontId="10" fillId="2" borderId="60" xfId="0" applyNumberFormat="1" applyFont="1" applyFill="1" applyBorder="1" applyAlignment="1" applyProtection="1">
      <alignment horizontal="left" vertical="center"/>
      <protection hidden="1"/>
    </xf>
    <xf numFmtId="3" fontId="10" fillId="2" borderId="61" xfId="0" applyNumberFormat="1" applyFont="1" applyFill="1" applyBorder="1" applyAlignment="1" applyProtection="1">
      <alignment horizontal="left" vertical="center"/>
      <protection hidden="1"/>
    </xf>
    <xf numFmtId="3" fontId="10" fillId="2" borderId="62" xfId="0" applyNumberFormat="1" applyFont="1" applyFill="1" applyBorder="1" applyAlignment="1" applyProtection="1">
      <alignment horizontal="left" vertical="center"/>
      <protection hidden="1"/>
    </xf>
    <xf numFmtId="3" fontId="10" fillId="2" borderId="63" xfId="0" applyNumberFormat="1" applyFont="1" applyFill="1" applyBorder="1" applyAlignment="1" applyProtection="1">
      <alignment horizontal="left" vertical="center"/>
      <protection hidden="1"/>
    </xf>
    <xf numFmtId="0" fontId="9" fillId="0" borderId="33" xfId="0" applyFont="1" applyBorder="1" applyProtection="1">
      <protection hidden="1"/>
    </xf>
    <xf numFmtId="3" fontId="10" fillId="0" borderId="62" xfId="0" applyNumberFormat="1" applyFont="1" applyBorder="1" applyAlignment="1" applyProtection="1">
      <alignment horizontal="left" vertical="center"/>
      <protection hidden="1"/>
    </xf>
    <xf numFmtId="3" fontId="10" fillId="25" borderId="58" xfId="0" applyNumberFormat="1" applyFont="1" applyFill="1" applyBorder="1" applyAlignment="1" applyProtection="1">
      <alignment horizontal="left" vertical="center"/>
      <protection hidden="1"/>
    </xf>
    <xf numFmtId="0" fontId="9" fillId="26" borderId="32" xfId="0" applyFont="1" applyFill="1" applyBorder="1" applyProtection="1">
      <protection hidden="1"/>
    </xf>
    <xf numFmtId="0" fontId="9" fillId="26" borderId="32" xfId="0" applyFont="1" applyFill="1" applyBorder="1" applyAlignment="1" applyProtection="1">
      <alignment horizontal="center" vertical="center"/>
      <protection hidden="1"/>
    </xf>
    <xf numFmtId="0" fontId="10" fillId="26" borderId="32" xfId="0" applyFont="1" applyFill="1" applyBorder="1" applyProtection="1">
      <protection hidden="1"/>
    </xf>
    <xf numFmtId="165" fontId="15" fillId="26" borderId="32" xfId="5" applyNumberFormat="1" applyFont="1" applyFill="1" applyBorder="1" applyProtection="1">
      <protection hidden="1"/>
    </xf>
    <xf numFmtId="3" fontId="10" fillId="25" borderId="61" xfId="0" applyNumberFormat="1" applyFont="1" applyFill="1" applyBorder="1" applyAlignment="1" applyProtection="1">
      <alignment horizontal="left" vertical="center"/>
      <protection hidden="1"/>
    </xf>
    <xf numFmtId="0" fontId="9" fillId="26" borderId="37" xfId="0" applyFont="1" applyFill="1" applyBorder="1" applyProtection="1">
      <protection hidden="1"/>
    </xf>
    <xf numFmtId="0" fontId="9" fillId="26" borderId="37" xfId="0" applyFont="1" applyFill="1" applyBorder="1" applyAlignment="1" applyProtection="1">
      <alignment horizontal="center" vertical="center"/>
      <protection hidden="1"/>
    </xf>
    <xf numFmtId="0" fontId="10" fillId="26" borderId="37" xfId="0" applyFont="1" applyFill="1" applyBorder="1" applyProtection="1">
      <protection hidden="1"/>
    </xf>
    <xf numFmtId="165" fontId="15" fillId="26" borderId="37" xfId="5" applyNumberFormat="1" applyFont="1" applyFill="1" applyBorder="1" applyProtection="1">
      <protection hidden="1"/>
    </xf>
    <xf numFmtId="3" fontId="10" fillId="0" borderId="60" xfId="0" applyNumberFormat="1" applyFont="1" applyBorder="1" applyAlignment="1" applyProtection="1">
      <alignment horizontal="left" vertical="center"/>
      <protection hidden="1"/>
    </xf>
    <xf numFmtId="3" fontId="16" fillId="0" borderId="14" xfId="0" applyNumberFormat="1" applyFont="1" applyBorder="1" applyAlignment="1" applyProtection="1">
      <alignment horizontal="left" indent="2"/>
      <protection hidden="1"/>
    </xf>
    <xf numFmtId="3" fontId="16" fillId="13" borderId="14" xfId="0" applyNumberFormat="1" applyFont="1" applyFill="1" applyBorder="1" applyAlignment="1" applyProtection="1">
      <alignment horizontal="left" indent="2"/>
      <protection hidden="1"/>
    </xf>
    <xf numFmtId="3" fontId="15" fillId="2" borderId="10" xfId="0" applyNumberFormat="1" applyFont="1" applyFill="1" applyBorder="1" applyAlignment="1" applyProtection="1">
      <alignment horizontal="left" vertical="center"/>
      <protection hidden="1"/>
    </xf>
    <xf numFmtId="3" fontId="15" fillId="27" borderId="10" xfId="0" applyNumberFormat="1" applyFont="1" applyFill="1" applyBorder="1" applyAlignment="1" applyProtection="1">
      <alignment horizontal="left" vertical="center"/>
      <protection hidden="1"/>
    </xf>
    <xf numFmtId="0" fontId="15" fillId="7" borderId="10" xfId="0" applyFont="1" applyFill="1" applyBorder="1" applyProtection="1">
      <protection hidden="1"/>
    </xf>
    <xf numFmtId="166" fontId="67" fillId="0" borderId="0" xfId="0" applyNumberFormat="1" applyFont="1" applyProtection="1">
      <protection hidden="1"/>
    </xf>
    <xf numFmtId="0" fontId="22" fillId="0" borderId="14" xfId="0" applyFont="1" applyBorder="1" applyAlignment="1" applyProtection="1">
      <alignment horizontal="center"/>
      <protection hidden="1"/>
    </xf>
    <xf numFmtId="166" fontId="15" fillId="7" borderId="10" xfId="5" applyNumberFormat="1" applyFont="1" applyFill="1" applyBorder="1" applyProtection="1">
      <protection hidden="1"/>
    </xf>
    <xf numFmtId="0" fontId="16" fillId="28" borderId="0" xfId="0" applyFont="1" applyFill="1" applyAlignment="1" applyProtection="1">
      <alignment horizontal="center"/>
      <protection hidden="1"/>
    </xf>
    <xf numFmtId="0" fontId="17" fillId="28" borderId="11" xfId="0" applyFont="1" applyFill="1" applyBorder="1" applyAlignment="1" applyProtection="1">
      <alignment horizontal="center"/>
      <protection hidden="1"/>
    </xf>
    <xf numFmtId="0" fontId="2" fillId="0" borderId="72" xfId="0" applyFont="1" applyBorder="1" applyProtection="1">
      <protection hidden="1"/>
    </xf>
    <xf numFmtId="0" fontId="2" fillId="0" borderId="73" xfId="0" applyFont="1" applyBorder="1" applyProtection="1">
      <protection hidden="1"/>
    </xf>
    <xf numFmtId="0" fontId="50" fillId="0" borderId="10" xfId="0" applyFont="1" applyBorder="1" applyProtection="1">
      <protection hidden="1"/>
    </xf>
    <xf numFmtId="0" fontId="50" fillId="0" borderId="10" xfId="0" applyFont="1" applyBorder="1" applyAlignment="1" applyProtection="1">
      <alignment horizontal="center" vertical="center"/>
      <protection hidden="1"/>
    </xf>
    <xf numFmtId="0" fontId="15" fillId="2" borderId="10" xfId="0" applyFont="1" applyFill="1" applyBorder="1" applyAlignment="1" applyProtection="1">
      <alignment horizontal="center"/>
      <protection hidden="1"/>
    </xf>
    <xf numFmtId="0" fontId="46" fillId="0" borderId="0" xfId="0" applyFont="1" applyAlignment="1" applyProtection="1">
      <alignment horizontal="right"/>
      <protection hidden="1"/>
    </xf>
    <xf numFmtId="0" fontId="16" fillId="18" borderId="0" xfId="0" applyFont="1" applyFill="1" applyAlignment="1" applyProtection="1">
      <alignment horizontal="center"/>
      <protection hidden="1"/>
    </xf>
    <xf numFmtId="0" fontId="4" fillId="16" borderId="89" xfId="0" applyFont="1" applyFill="1" applyBorder="1" applyAlignment="1" applyProtection="1">
      <alignment horizontal="center" vertical="center"/>
      <protection hidden="1"/>
    </xf>
    <xf numFmtId="0" fontId="68" fillId="17" borderId="10" xfId="0" applyFont="1" applyFill="1" applyBorder="1" applyAlignment="1" applyProtection="1">
      <alignment horizontal="left" vertical="center"/>
      <protection hidden="1"/>
    </xf>
    <xf numFmtId="0" fontId="5" fillId="16" borderId="89" xfId="0" applyFont="1" applyFill="1" applyBorder="1" applyAlignment="1" applyProtection="1">
      <alignment horizontal="center" vertical="center"/>
      <protection hidden="1"/>
    </xf>
    <xf numFmtId="0" fontId="16" fillId="10" borderId="0" xfId="0" applyFont="1" applyFill="1" applyAlignment="1" applyProtection="1">
      <alignment horizontal="center"/>
      <protection hidden="1"/>
    </xf>
    <xf numFmtId="0" fontId="65" fillId="26" borderId="0" xfId="0" applyFont="1" applyFill="1" applyAlignment="1">
      <alignment horizontal="center" vertical="center"/>
    </xf>
    <xf numFmtId="0" fontId="69" fillId="0" borderId="0" xfId="0" applyFont="1" applyAlignment="1" applyProtection="1">
      <alignment vertical="center" wrapText="1"/>
      <protection hidden="1"/>
    </xf>
    <xf numFmtId="0" fontId="16" fillId="0" borderId="77" xfId="0" applyFont="1" applyBorder="1" applyAlignment="1" applyProtection="1">
      <alignment horizontal="right"/>
      <protection hidden="1"/>
    </xf>
    <xf numFmtId="0" fontId="49" fillId="0" borderId="0" xfId="0" applyFont="1" applyProtection="1">
      <protection hidden="1"/>
    </xf>
    <xf numFmtId="0" fontId="5" fillId="16" borderId="90" xfId="0" applyFont="1" applyFill="1" applyBorder="1" applyAlignment="1" applyProtection="1">
      <alignment horizontal="center" vertical="center"/>
      <protection hidden="1"/>
    </xf>
    <xf numFmtId="0" fontId="5" fillId="16" borderId="91" xfId="0" applyFont="1" applyFill="1" applyBorder="1" applyAlignment="1" applyProtection="1">
      <alignment horizontal="center" vertical="center"/>
      <protection hidden="1"/>
    </xf>
    <xf numFmtId="0" fontId="55" fillId="0" borderId="71" xfId="0" applyFont="1" applyBorder="1" applyProtection="1">
      <protection hidden="1"/>
    </xf>
    <xf numFmtId="0" fontId="55" fillId="0" borderId="72" xfId="0" applyFont="1" applyBorder="1" applyProtection="1">
      <protection hidden="1"/>
    </xf>
    <xf numFmtId="0" fontId="55" fillId="0" borderId="73" xfId="0" applyFont="1" applyBorder="1" applyProtection="1">
      <protection hidden="1"/>
    </xf>
    <xf numFmtId="0" fontId="55" fillId="0" borderId="74" xfId="0" applyFont="1" applyBorder="1" applyProtection="1">
      <protection hidden="1"/>
    </xf>
    <xf numFmtId="0" fontId="55" fillId="0" borderId="0" xfId="0" applyFont="1" applyProtection="1">
      <protection hidden="1"/>
    </xf>
    <xf numFmtId="0" fontId="55" fillId="0" borderId="75" xfId="0" applyFont="1" applyBorder="1" applyProtection="1">
      <protection hidden="1"/>
    </xf>
    <xf numFmtId="0" fontId="55" fillId="0" borderId="76" xfId="0" applyFont="1" applyBorder="1" applyProtection="1">
      <protection hidden="1"/>
    </xf>
    <xf numFmtId="0" fontId="55" fillId="0" borderId="77" xfId="0" applyFont="1" applyBorder="1" applyProtection="1">
      <protection hidden="1"/>
    </xf>
    <xf numFmtId="0" fontId="55" fillId="0" borderId="78" xfId="0" applyFont="1" applyBorder="1" applyProtection="1">
      <protection hidden="1"/>
    </xf>
    <xf numFmtId="0" fontId="15" fillId="29" borderId="14" xfId="0" applyFont="1" applyFill="1" applyBorder="1" applyAlignment="1" applyProtection="1">
      <alignment horizontal="right"/>
      <protection locked="0"/>
    </xf>
    <xf numFmtId="0" fontId="16" fillId="29" borderId="14" xfId="0" applyFont="1" applyFill="1" applyBorder="1" applyProtection="1">
      <protection hidden="1"/>
    </xf>
    <xf numFmtId="0" fontId="16" fillId="30" borderId="14" xfId="0" applyFont="1" applyFill="1" applyBorder="1" applyProtection="1">
      <protection hidden="1"/>
    </xf>
    <xf numFmtId="3" fontId="10" fillId="2" borderId="64" xfId="0" applyNumberFormat="1" applyFont="1" applyFill="1" applyBorder="1" applyAlignment="1" applyProtection="1">
      <alignment horizontal="left" vertical="center"/>
      <protection hidden="1"/>
    </xf>
    <xf numFmtId="0" fontId="9" fillId="0" borderId="65" xfId="0" applyFont="1" applyBorder="1" applyProtection="1">
      <protection hidden="1"/>
    </xf>
    <xf numFmtId="0" fontId="9" fillId="0" borderId="65" xfId="0" applyFont="1" applyBorder="1" applyAlignment="1" applyProtection="1">
      <alignment horizontal="center" vertical="center"/>
      <protection hidden="1"/>
    </xf>
    <xf numFmtId="0" fontId="10" fillId="0" borderId="65" xfId="0" applyFont="1" applyBorder="1" applyProtection="1">
      <protection hidden="1"/>
    </xf>
    <xf numFmtId="0" fontId="17" fillId="31" borderId="11" xfId="0" applyFont="1" applyFill="1" applyBorder="1" applyAlignment="1" applyProtection="1">
      <alignment horizontal="center"/>
      <protection hidden="1"/>
    </xf>
    <xf numFmtId="0" fontId="70" fillId="2" borderId="10" xfId="0" applyFont="1" applyFill="1" applyBorder="1" applyAlignment="1" applyProtection="1">
      <alignment horizontal="center" vertical="center"/>
      <protection hidden="1"/>
    </xf>
    <xf numFmtId="0" fontId="70" fillId="32" borderId="10" xfId="0" applyFont="1" applyFill="1" applyBorder="1" applyAlignment="1" applyProtection="1">
      <alignment horizontal="center" vertical="center"/>
      <protection hidden="1"/>
    </xf>
    <xf numFmtId="0" fontId="15" fillId="30" borderId="13" xfId="0" applyFont="1" applyFill="1" applyBorder="1" applyAlignment="1" applyProtection="1">
      <alignment horizontal="right"/>
      <protection locked="0"/>
    </xf>
    <xf numFmtId="0" fontId="15" fillId="30" borderId="14" xfId="0" applyFont="1" applyFill="1" applyBorder="1" applyAlignment="1" applyProtection="1">
      <alignment horizontal="right"/>
      <protection locked="0"/>
    </xf>
    <xf numFmtId="0" fontId="13" fillId="0" borderId="0" xfId="0" applyFont="1" applyProtection="1">
      <protection hidden="1"/>
    </xf>
    <xf numFmtId="0" fontId="79" fillId="0" borderId="0" xfId="0" applyFont="1" applyProtection="1">
      <protection hidden="1"/>
    </xf>
    <xf numFmtId="0" fontId="61" fillId="0" borderId="0" xfId="0" applyFont="1" applyAlignment="1" applyProtection="1">
      <alignment horizontal="left" vertical="center"/>
      <protection hidden="1"/>
    </xf>
    <xf numFmtId="0" fontId="15" fillId="2" borderId="69" xfId="0" applyFont="1" applyFill="1" applyBorder="1" applyAlignment="1" applyProtection="1">
      <alignment horizontal="center" vertical="center"/>
      <protection hidden="1"/>
    </xf>
    <xf numFmtId="0" fontId="17" fillId="0" borderId="140" xfId="0" applyFont="1" applyBorder="1" applyAlignment="1" applyProtection="1">
      <alignment horizontal="center"/>
      <protection hidden="1"/>
    </xf>
    <xf numFmtId="0" fontId="15" fillId="2" borderId="141" xfId="0" applyFont="1" applyFill="1" applyBorder="1" applyAlignment="1" applyProtection="1">
      <alignment horizontal="center" vertical="center"/>
      <protection hidden="1"/>
    </xf>
    <xf numFmtId="0" fontId="17" fillId="0" borderId="142" xfId="0" applyFont="1" applyBorder="1" applyAlignment="1" applyProtection="1">
      <alignment horizontal="center"/>
      <protection hidden="1"/>
    </xf>
    <xf numFmtId="3" fontId="61" fillId="41" borderId="10" xfId="0" applyNumberFormat="1" applyFont="1" applyFill="1" applyBorder="1" applyAlignment="1" applyProtection="1">
      <alignment horizontal="center" vertical="center"/>
      <protection hidden="1"/>
    </xf>
    <xf numFmtId="0" fontId="80" fillId="0" borderId="0" xfId="0" applyFont="1" applyProtection="1">
      <protection hidden="1"/>
    </xf>
    <xf numFmtId="3" fontId="15" fillId="42" borderId="10" xfId="0" applyNumberFormat="1" applyFont="1" applyFill="1" applyBorder="1" applyAlignment="1" applyProtection="1">
      <alignment horizontal="left" vertical="center"/>
      <protection hidden="1"/>
    </xf>
    <xf numFmtId="0" fontId="15" fillId="43" borderId="10" xfId="0" applyFont="1" applyFill="1" applyBorder="1" applyProtection="1">
      <protection hidden="1"/>
    </xf>
    <xf numFmtId="0" fontId="81" fillId="0" borderId="0" xfId="0" applyFont="1" applyProtection="1">
      <protection hidden="1"/>
    </xf>
    <xf numFmtId="0" fontId="81" fillId="0" borderId="0" xfId="0" applyFont="1" applyAlignment="1" applyProtection="1">
      <alignment horizontal="center"/>
      <protection hidden="1"/>
    </xf>
    <xf numFmtId="0" fontId="82" fillId="0" borderId="0" xfId="0" applyFont="1" applyAlignment="1" applyProtection="1">
      <alignment horizontal="center"/>
      <protection hidden="1"/>
    </xf>
    <xf numFmtId="0" fontId="82" fillId="0" borderId="0" xfId="0" applyFont="1" applyAlignment="1" applyProtection="1">
      <alignment horizontal="right"/>
      <protection hidden="1"/>
    </xf>
    <xf numFmtId="0" fontId="82" fillId="0" borderId="0" xfId="0" applyFont="1" applyAlignment="1" applyProtection="1">
      <alignment horizontal="left"/>
      <protection hidden="1"/>
    </xf>
    <xf numFmtId="0" fontId="50" fillId="7" borderId="10" xfId="0" applyFont="1" applyFill="1" applyBorder="1" applyAlignment="1" applyProtection="1">
      <alignment horizontal="center" vertical="center"/>
      <protection hidden="1"/>
    </xf>
    <xf numFmtId="0" fontId="15" fillId="27" borderId="10" xfId="0" applyFont="1" applyFill="1" applyBorder="1" applyAlignment="1" applyProtection="1">
      <alignment horizontal="center"/>
      <protection hidden="1"/>
    </xf>
    <xf numFmtId="0" fontId="15" fillId="27" borderId="10" xfId="0" applyFont="1" applyFill="1" applyBorder="1" applyAlignment="1" applyProtection="1">
      <alignment horizontal="center" vertical="center"/>
      <protection hidden="1"/>
    </xf>
    <xf numFmtId="14" fontId="9" fillId="7" borderId="2" xfId="0" applyNumberFormat="1" applyFont="1" applyFill="1" applyBorder="1" applyAlignment="1" applyProtection="1">
      <alignment horizontal="center" vertical="center"/>
      <protection hidden="1"/>
    </xf>
    <xf numFmtId="0" fontId="10" fillId="2" borderId="51" xfId="0" applyFont="1" applyFill="1" applyBorder="1" applyAlignment="1" applyProtection="1">
      <alignment horizontal="center" vertical="center"/>
      <protection locked="0"/>
    </xf>
    <xf numFmtId="0" fontId="10" fillId="2" borderId="31" xfId="0" applyFont="1" applyFill="1" applyBorder="1" applyAlignment="1" applyProtection="1">
      <alignment horizontal="center" vertical="center"/>
      <protection locked="0"/>
    </xf>
    <xf numFmtId="0" fontId="10" fillId="2" borderId="4" xfId="0" applyFont="1" applyFill="1" applyBorder="1" applyAlignment="1" applyProtection="1">
      <alignment horizontal="center" vertical="center"/>
      <protection locked="0"/>
    </xf>
    <xf numFmtId="0" fontId="10" fillId="2" borderId="6" xfId="0" applyFont="1" applyFill="1" applyBorder="1" applyAlignment="1" applyProtection="1">
      <alignment horizontal="center" vertical="center"/>
      <protection locked="0"/>
    </xf>
    <xf numFmtId="0" fontId="10" fillId="2" borderId="5" xfId="0" applyFont="1" applyFill="1" applyBorder="1" applyAlignment="1" applyProtection="1">
      <alignment horizontal="center" vertical="center"/>
      <protection locked="0"/>
    </xf>
    <xf numFmtId="0" fontId="10" fillId="2" borderId="34" xfId="0" applyFont="1" applyFill="1" applyBorder="1" applyAlignment="1" applyProtection="1">
      <alignment horizontal="center" vertical="center"/>
      <protection locked="0"/>
    </xf>
    <xf numFmtId="0" fontId="10" fillId="2" borderId="32" xfId="0" applyFont="1" applyFill="1" applyBorder="1" applyAlignment="1" applyProtection="1">
      <alignment horizontal="center" vertical="center"/>
      <protection locked="0"/>
    </xf>
    <xf numFmtId="0" fontId="10" fillId="2" borderId="29" xfId="0" applyFont="1" applyFill="1" applyBorder="1" applyAlignment="1" applyProtection="1">
      <alignment horizontal="center" vertical="center"/>
      <protection locked="0"/>
    </xf>
    <xf numFmtId="0" fontId="10" fillId="2" borderId="30" xfId="0" applyFont="1" applyFill="1" applyBorder="1" applyAlignment="1" applyProtection="1">
      <alignment horizontal="center" vertical="center"/>
      <protection locked="0"/>
    </xf>
    <xf numFmtId="0" fontId="10" fillId="2" borderId="7" xfId="0" applyFont="1" applyFill="1" applyBorder="1" applyAlignment="1" applyProtection="1">
      <alignment horizontal="center" vertical="center"/>
      <protection locked="0"/>
    </xf>
    <xf numFmtId="0" fontId="10" fillId="2" borderId="37" xfId="0" applyFont="1" applyFill="1" applyBorder="1" applyAlignment="1" applyProtection="1">
      <alignment horizontal="center" vertical="center"/>
      <protection locked="0"/>
    </xf>
    <xf numFmtId="0" fontId="10" fillId="2" borderId="33" xfId="0" applyFont="1" applyFill="1" applyBorder="1" applyAlignment="1" applyProtection="1">
      <alignment horizontal="center" vertical="center"/>
      <protection locked="0"/>
    </xf>
    <xf numFmtId="0" fontId="10" fillId="0" borderId="7" xfId="0" applyFont="1" applyBorder="1" applyAlignment="1" applyProtection="1">
      <alignment horizontal="center" vertical="center"/>
      <protection locked="0"/>
    </xf>
    <xf numFmtId="0" fontId="10" fillId="2" borderId="65" xfId="0" applyFont="1" applyFill="1" applyBorder="1" applyAlignment="1" applyProtection="1">
      <alignment horizontal="center" vertical="center"/>
      <protection locked="0"/>
    </xf>
    <xf numFmtId="0" fontId="10" fillId="0" borderId="30" xfId="0" applyFont="1" applyBorder="1" applyAlignment="1" applyProtection="1">
      <alignment horizontal="center" vertical="center"/>
      <protection locked="0"/>
    </xf>
    <xf numFmtId="0" fontId="10" fillId="25" borderId="37" xfId="0" applyFont="1" applyFill="1" applyBorder="1" applyAlignment="1" applyProtection="1">
      <alignment horizontal="center" vertical="center"/>
      <protection locked="0"/>
    </xf>
    <xf numFmtId="0" fontId="10" fillId="25" borderId="32" xfId="0" applyFont="1" applyFill="1" applyBorder="1" applyAlignment="1" applyProtection="1">
      <alignment horizontal="center" vertical="center"/>
      <protection locked="0"/>
    </xf>
    <xf numFmtId="0" fontId="9" fillId="0" borderId="51" xfId="0" applyFont="1" applyBorder="1" applyAlignment="1" applyProtection="1">
      <alignment horizontal="center" vertical="center"/>
      <protection locked="0"/>
    </xf>
    <xf numFmtId="0" fontId="9" fillId="0" borderId="31" xfId="0" applyFont="1" applyBorder="1" applyAlignment="1" applyProtection="1">
      <alignment horizontal="center" vertical="center"/>
      <protection locked="0"/>
    </xf>
    <xf numFmtId="0" fontId="9" fillId="0" borderId="4" xfId="0" applyFont="1" applyBorder="1" applyAlignment="1" applyProtection="1">
      <alignment horizontal="center" vertical="center"/>
      <protection locked="0"/>
    </xf>
    <xf numFmtId="1" fontId="9" fillId="0" borderId="6" xfId="0" applyNumberFormat="1" applyFont="1" applyBorder="1" applyAlignment="1" applyProtection="1">
      <alignment horizontal="center"/>
      <protection locked="0"/>
    </xf>
    <xf numFmtId="49" fontId="9" fillId="0" borderId="44" xfId="0" applyNumberFormat="1" applyFont="1" applyBorder="1" applyAlignment="1" applyProtection="1">
      <alignment horizontal="center"/>
      <protection locked="0"/>
    </xf>
    <xf numFmtId="1" fontId="9" fillId="0" borderId="5" xfId="0" applyNumberFormat="1" applyFont="1" applyBorder="1" applyAlignment="1" applyProtection="1">
      <alignment horizontal="center"/>
      <protection locked="0"/>
    </xf>
    <xf numFmtId="1" fontId="9" fillId="0" borderId="34" xfId="0" applyNumberFormat="1" applyFont="1" applyBorder="1" applyAlignment="1" applyProtection="1">
      <alignment horizontal="center"/>
      <protection locked="0"/>
    </xf>
    <xf numFmtId="1" fontId="9" fillId="0" borderId="32" xfId="0" applyNumberFormat="1" applyFont="1" applyBorder="1" applyAlignment="1" applyProtection="1">
      <alignment horizontal="center"/>
      <protection locked="0"/>
    </xf>
    <xf numFmtId="49" fontId="9" fillId="0" borderId="45" xfId="0" applyNumberFormat="1" applyFont="1" applyBorder="1" applyAlignment="1" applyProtection="1">
      <alignment horizontal="center"/>
      <protection locked="0"/>
    </xf>
    <xf numFmtId="1" fontId="9" fillId="0" borderId="29" xfId="0" applyNumberFormat="1" applyFont="1" applyBorder="1" applyAlignment="1" applyProtection="1">
      <alignment horizontal="center"/>
      <protection locked="0"/>
    </xf>
    <xf numFmtId="1" fontId="9" fillId="0" borderId="30" xfId="0" applyNumberFormat="1" applyFont="1" applyBorder="1" applyAlignment="1" applyProtection="1">
      <alignment horizontal="center"/>
      <protection locked="0"/>
    </xf>
    <xf numFmtId="49" fontId="9" fillId="0" borderId="46" xfId="0" applyNumberFormat="1" applyFont="1" applyBorder="1" applyAlignment="1" applyProtection="1">
      <alignment horizontal="center"/>
      <protection locked="0"/>
    </xf>
    <xf numFmtId="1" fontId="9" fillId="0" borderId="7" xfId="0" applyNumberFormat="1" applyFont="1" applyBorder="1" applyAlignment="1" applyProtection="1">
      <alignment horizontal="center"/>
      <protection locked="0"/>
    </xf>
    <xf numFmtId="49" fontId="9" fillId="0" borderId="48" xfId="0" applyNumberFormat="1" applyFont="1" applyBorder="1" applyAlignment="1" applyProtection="1">
      <alignment horizontal="center"/>
      <protection locked="0"/>
    </xf>
    <xf numFmtId="1" fontId="9" fillId="0" borderId="37" xfId="0" applyNumberFormat="1" applyFont="1" applyBorder="1" applyAlignment="1" applyProtection="1">
      <alignment horizontal="center"/>
      <protection locked="0"/>
    </xf>
    <xf numFmtId="1" fontId="9" fillId="0" borderId="33" xfId="0" applyNumberFormat="1" applyFont="1" applyBorder="1" applyAlignment="1" applyProtection="1">
      <alignment horizontal="center"/>
      <protection locked="0"/>
    </xf>
    <xf numFmtId="49" fontId="9" fillId="0" borderId="49" xfId="0" applyNumberFormat="1" applyFont="1" applyBorder="1" applyAlignment="1" applyProtection="1">
      <alignment horizontal="center"/>
      <protection locked="0"/>
    </xf>
    <xf numFmtId="1" fontId="9" fillId="26" borderId="37" xfId="0" applyNumberFormat="1" applyFont="1" applyFill="1" applyBorder="1" applyAlignment="1" applyProtection="1">
      <alignment horizontal="center"/>
      <protection locked="0"/>
    </xf>
    <xf numFmtId="1" fontId="9" fillId="26" borderId="32" xfId="0" applyNumberFormat="1" applyFont="1" applyFill="1" applyBorder="1" applyAlignment="1" applyProtection="1">
      <alignment horizontal="center"/>
      <protection locked="0"/>
    </xf>
    <xf numFmtId="0" fontId="2" fillId="9" borderId="79" xfId="0" applyFont="1" applyFill="1" applyBorder="1" applyProtection="1">
      <protection locked="0"/>
    </xf>
    <xf numFmtId="0" fontId="2" fillId="9" borderId="80" xfId="0" applyFont="1" applyFill="1" applyBorder="1" applyProtection="1">
      <protection locked="0"/>
    </xf>
    <xf numFmtId="0" fontId="2" fillId="9" borderId="81" xfId="0" applyFont="1" applyFill="1" applyBorder="1" applyProtection="1">
      <protection locked="0"/>
    </xf>
    <xf numFmtId="3" fontId="10" fillId="41" borderId="61" xfId="0" applyNumberFormat="1" applyFont="1" applyFill="1" applyBorder="1" applyAlignment="1" applyProtection="1">
      <alignment horizontal="left" vertical="center"/>
      <protection hidden="1"/>
    </xf>
    <xf numFmtId="3" fontId="10" fillId="41" borderId="58" xfId="0" applyNumberFormat="1" applyFont="1" applyFill="1" applyBorder="1" applyAlignment="1" applyProtection="1">
      <alignment horizontal="left" vertical="center"/>
      <protection hidden="1"/>
    </xf>
    <xf numFmtId="3" fontId="10" fillId="41" borderId="63" xfId="0" applyNumberFormat="1" applyFont="1" applyFill="1" applyBorder="1" applyAlignment="1" applyProtection="1">
      <alignment horizontal="left" vertical="center"/>
      <protection hidden="1"/>
    </xf>
    <xf numFmtId="3" fontId="83" fillId="2" borderId="58" xfId="0" applyNumberFormat="1" applyFont="1" applyFill="1" applyBorder="1" applyAlignment="1" applyProtection="1">
      <alignment horizontal="left" vertical="center"/>
      <protection hidden="1"/>
    </xf>
    <xf numFmtId="0" fontId="84" fillId="0" borderId="32" xfId="0" applyFont="1" applyBorder="1" applyProtection="1">
      <protection hidden="1"/>
    </xf>
    <xf numFmtId="3" fontId="83" fillId="2" borderId="63" xfId="0" applyNumberFormat="1" applyFont="1" applyFill="1" applyBorder="1" applyAlignment="1" applyProtection="1">
      <alignment horizontal="left" vertical="center"/>
      <protection hidden="1"/>
    </xf>
    <xf numFmtId="0" fontId="84" fillId="0" borderId="33" xfId="0" applyFont="1" applyBorder="1" applyProtection="1">
      <protection hidden="1"/>
    </xf>
    <xf numFmtId="3" fontId="83" fillId="2" borderId="61" xfId="0" applyNumberFormat="1" applyFont="1" applyFill="1" applyBorder="1" applyAlignment="1" applyProtection="1">
      <alignment horizontal="left" vertical="center"/>
      <protection hidden="1"/>
    </xf>
    <xf numFmtId="0" fontId="84" fillId="0" borderId="37" xfId="0" applyFont="1" applyBorder="1" applyProtection="1">
      <protection hidden="1"/>
    </xf>
    <xf numFmtId="3" fontId="10" fillId="41" borderId="53" xfId="0" applyNumberFormat="1" applyFont="1" applyFill="1" applyBorder="1" applyAlignment="1" applyProtection="1">
      <alignment horizontal="left" vertical="center"/>
      <protection hidden="1"/>
    </xf>
    <xf numFmtId="3" fontId="10" fillId="41" borderId="54" xfId="0" applyNumberFormat="1" applyFont="1" applyFill="1" applyBorder="1" applyAlignment="1" applyProtection="1">
      <alignment horizontal="left" vertical="center"/>
      <protection hidden="1"/>
    </xf>
    <xf numFmtId="3" fontId="10" fillId="41" borderId="55" xfId="0" applyNumberFormat="1" applyFont="1" applyFill="1" applyBorder="1" applyAlignment="1" applyProtection="1">
      <alignment horizontal="left" vertical="center"/>
      <protection hidden="1"/>
    </xf>
    <xf numFmtId="3" fontId="10" fillId="41" borderId="9" xfId="0" applyNumberFormat="1" applyFont="1" applyFill="1" applyBorder="1" applyAlignment="1" applyProtection="1">
      <alignment horizontal="left" vertical="center"/>
      <protection hidden="1"/>
    </xf>
    <xf numFmtId="3" fontId="10" fillId="41" borderId="56" xfId="0" applyNumberFormat="1" applyFont="1" applyFill="1" applyBorder="1" applyAlignment="1" applyProtection="1">
      <alignment horizontal="left" vertical="center"/>
      <protection hidden="1"/>
    </xf>
    <xf numFmtId="3" fontId="10" fillId="41" borderId="57" xfId="0" applyNumberFormat="1" applyFont="1" applyFill="1" applyBorder="1" applyAlignment="1" applyProtection="1">
      <alignment horizontal="left" vertical="center"/>
      <protection hidden="1"/>
    </xf>
    <xf numFmtId="3" fontId="10" fillId="41" borderId="59" xfId="0" applyNumberFormat="1" applyFont="1" applyFill="1" applyBorder="1" applyAlignment="1" applyProtection="1">
      <alignment horizontal="left" vertical="center"/>
      <protection hidden="1"/>
    </xf>
    <xf numFmtId="3" fontId="10" fillId="41" borderId="60" xfId="0" applyNumberFormat="1" applyFont="1" applyFill="1" applyBorder="1" applyAlignment="1" applyProtection="1">
      <alignment horizontal="left" vertical="center"/>
      <protection hidden="1"/>
    </xf>
    <xf numFmtId="3" fontId="10" fillId="44" borderId="58" xfId="0" applyNumberFormat="1" applyFont="1" applyFill="1" applyBorder="1" applyAlignment="1" applyProtection="1">
      <alignment horizontal="left" vertical="center"/>
      <protection hidden="1"/>
    </xf>
    <xf numFmtId="3" fontId="15" fillId="41" borderId="10" xfId="0" applyNumberFormat="1" applyFont="1" applyFill="1" applyBorder="1" applyAlignment="1" applyProtection="1">
      <alignment horizontal="left" vertical="center"/>
      <protection hidden="1"/>
    </xf>
    <xf numFmtId="0" fontId="15" fillId="13" borderId="10" xfId="0" applyFont="1" applyFill="1" applyBorder="1" applyProtection="1">
      <protection hidden="1"/>
    </xf>
    <xf numFmtId="165" fontId="15" fillId="0" borderId="65" xfId="5" applyNumberFormat="1" applyFont="1" applyBorder="1" applyProtection="1">
      <protection hidden="1"/>
    </xf>
    <xf numFmtId="1" fontId="9" fillId="0" borderId="65" xfId="0" applyNumberFormat="1" applyFont="1" applyBorder="1" applyAlignment="1" applyProtection="1">
      <alignment horizontal="center"/>
      <protection locked="0"/>
    </xf>
    <xf numFmtId="3" fontId="10" fillId="41" borderId="64" xfId="0" applyNumberFormat="1" applyFont="1" applyFill="1" applyBorder="1" applyAlignment="1" applyProtection="1">
      <alignment horizontal="left" vertical="center"/>
      <protection hidden="1"/>
    </xf>
    <xf numFmtId="3" fontId="10" fillId="2" borderId="143" xfId="0" applyNumberFormat="1" applyFont="1" applyFill="1" applyBorder="1" applyAlignment="1" applyProtection="1">
      <alignment horizontal="left" vertical="center"/>
      <protection hidden="1"/>
    </xf>
    <xf numFmtId="0" fontId="9" fillId="0" borderId="144" xfId="0" applyFont="1" applyBorder="1" applyProtection="1">
      <protection hidden="1"/>
    </xf>
    <xf numFmtId="0" fontId="9" fillId="0" borderId="144" xfId="0" applyFont="1" applyBorder="1" applyAlignment="1" applyProtection="1">
      <alignment horizontal="center" vertical="center"/>
      <protection hidden="1"/>
    </xf>
    <xf numFmtId="0" fontId="10" fillId="2" borderId="144" xfId="0" applyFont="1" applyFill="1" applyBorder="1" applyAlignment="1" applyProtection="1">
      <alignment horizontal="center" vertical="center"/>
      <protection locked="0"/>
    </xf>
    <xf numFmtId="0" fontId="10" fillId="0" borderId="144" xfId="0" applyFont="1" applyBorder="1" applyProtection="1">
      <protection hidden="1"/>
    </xf>
    <xf numFmtId="165" fontId="15" fillId="0" borderId="144" xfId="5" applyNumberFormat="1" applyFont="1" applyBorder="1" applyProtection="1">
      <protection hidden="1"/>
    </xf>
    <xf numFmtId="1" fontId="9" fillId="0" borderId="144" xfId="0" applyNumberFormat="1" applyFont="1" applyBorder="1" applyAlignment="1" applyProtection="1">
      <alignment horizontal="center"/>
      <protection locked="0"/>
    </xf>
    <xf numFmtId="3" fontId="68" fillId="27" borderId="10" xfId="0" applyNumberFormat="1" applyFont="1" applyFill="1" applyBorder="1" applyAlignment="1" applyProtection="1">
      <alignment horizontal="left" vertical="center"/>
      <protection hidden="1"/>
    </xf>
    <xf numFmtId="0" fontId="68" fillId="7" borderId="10" xfId="0" applyFont="1" applyFill="1" applyBorder="1" applyProtection="1">
      <protection hidden="1"/>
    </xf>
    <xf numFmtId="0" fontId="68" fillId="2" borderId="10" xfId="0" applyFont="1" applyFill="1" applyBorder="1" applyAlignment="1" applyProtection="1">
      <alignment horizontal="center" vertical="center"/>
      <protection hidden="1"/>
    </xf>
    <xf numFmtId="0" fontId="85" fillId="7" borderId="11" xfId="0" applyFont="1" applyFill="1" applyBorder="1" applyAlignment="1" applyProtection="1">
      <alignment horizontal="center"/>
      <protection hidden="1"/>
    </xf>
    <xf numFmtId="0" fontId="85" fillId="28" borderId="11" xfId="0" applyFont="1" applyFill="1" applyBorder="1" applyAlignment="1" applyProtection="1">
      <alignment horizontal="center"/>
      <protection hidden="1"/>
    </xf>
    <xf numFmtId="166" fontId="68" fillId="0" borderId="10" xfId="5" applyNumberFormat="1" applyFont="1" applyBorder="1" applyProtection="1">
      <protection hidden="1"/>
    </xf>
    <xf numFmtId="0" fontId="16" fillId="26" borderId="0" xfId="0" applyFont="1" applyFill="1" applyAlignment="1" applyProtection="1">
      <alignment horizontal="center"/>
      <protection hidden="1"/>
    </xf>
    <xf numFmtId="2" fontId="0" fillId="0" borderId="0" xfId="0" applyNumberFormat="1"/>
    <xf numFmtId="49" fontId="86" fillId="0" borderId="0" xfId="6" applyNumberFormat="1"/>
    <xf numFmtId="49" fontId="0" fillId="0" borderId="0" xfId="0" applyNumberFormat="1"/>
    <xf numFmtId="171" fontId="86" fillId="0" borderId="0" xfId="6" applyNumberFormat="1"/>
    <xf numFmtId="172" fontId="86" fillId="0" borderId="0" xfId="6" applyNumberFormat="1"/>
    <xf numFmtId="0" fontId="9" fillId="0" borderId="43" xfId="0" applyFont="1" applyBorder="1" applyAlignment="1" applyProtection="1">
      <alignment horizontal="center" vertical="center"/>
      <protection locked="0"/>
    </xf>
    <xf numFmtId="0" fontId="9" fillId="0" borderId="47" xfId="0" applyFont="1" applyBorder="1" applyAlignment="1" applyProtection="1">
      <alignment horizontal="center" vertical="center"/>
      <protection locked="0"/>
    </xf>
    <xf numFmtId="0" fontId="9" fillId="0" borderId="48" xfId="0" applyFont="1" applyBorder="1" applyAlignment="1" applyProtection="1">
      <alignment horizontal="center" vertical="center"/>
      <protection locked="0"/>
    </xf>
    <xf numFmtId="0" fontId="2" fillId="0" borderId="99" xfId="0" applyFont="1" applyBorder="1" applyAlignment="1" applyProtection="1">
      <alignment horizontal="left" vertical="center"/>
      <protection locked="0" hidden="1"/>
    </xf>
    <xf numFmtId="0" fontId="2" fillId="0" borderId="100" xfId="0" applyFont="1" applyBorder="1" applyAlignment="1" applyProtection="1">
      <alignment horizontal="left" vertical="center"/>
      <protection locked="0" hidden="1"/>
    </xf>
    <xf numFmtId="0" fontId="2" fillId="0" borderId="101" xfId="0" applyFont="1" applyBorder="1" applyAlignment="1" applyProtection="1">
      <alignment horizontal="left" vertical="center"/>
      <protection locked="0" hidden="1"/>
    </xf>
    <xf numFmtId="0" fontId="74" fillId="33" borderId="70" xfId="0" applyFont="1" applyFill="1" applyBorder="1" applyAlignment="1" applyProtection="1">
      <alignment horizontal="center" vertical="center"/>
      <protection hidden="1"/>
    </xf>
    <xf numFmtId="0" fontId="74" fillId="33" borderId="92" xfId="0" applyFont="1" applyFill="1" applyBorder="1" applyAlignment="1" applyProtection="1">
      <alignment horizontal="center" vertical="center"/>
      <protection hidden="1"/>
    </xf>
    <xf numFmtId="0" fontId="74" fillId="33" borderId="93" xfId="0" applyFont="1" applyFill="1" applyBorder="1" applyAlignment="1" applyProtection="1">
      <alignment horizontal="center" vertical="center"/>
      <protection hidden="1"/>
    </xf>
    <xf numFmtId="0" fontId="72" fillId="33" borderId="95" xfId="0" applyFont="1" applyFill="1" applyBorder="1" applyAlignment="1" applyProtection="1">
      <alignment horizontal="center" vertical="center"/>
      <protection hidden="1"/>
    </xf>
    <xf numFmtId="0" fontId="72" fillId="33" borderId="96" xfId="0" applyFont="1" applyFill="1" applyBorder="1" applyAlignment="1" applyProtection="1">
      <alignment horizontal="center" vertical="center"/>
      <protection hidden="1"/>
    </xf>
    <xf numFmtId="0" fontId="72" fillId="33" borderId="97" xfId="0" applyFont="1" applyFill="1" applyBorder="1" applyAlignment="1" applyProtection="1">
      <alignment horizontal="center" vertical="center"/>
      <protection hidden="1"/>
    </xf>
    <xf numFmtId="0" fontId="71" fillId="8" borderId="70" xfId="0" applyFont="1" applyFill="1" applyBorder="1" applyAlignment="1" applyProtection="1">
      <alignment horizontal="center" vertical="center"/>
      <protection hidden="1"/>
    </xf>
    <xf numFmtId="0" fontId="71" fillId="8" borderId="92" xfId="0" applyFont="1" applyFill="1" applyBorder="1" applyAlignment="1" applyProtection="1">
      <alignment horizontal="center" vertical="center"/>
      <protection hidden="1"/>
    </xf>
    <xf numFmtId="0" fontId="71" fillId="8" borderId="93" xfId="0" applyFont="1" applyFill="1" applyBorder="1" applyAlignment="1" applyProtection="1">
      <alignment horizontal="center" vertical="center"/>
      <protection hidden="1"/>
    </xf>
    <xf numFmtId="0" fontId="40" fillId="8" borderId="70" xfId="0" applyFont="1" applyFill="1" applyBorder="1" applyAlignment="1" applyProtection="1">
      <alignment horizontal="center" vertical="center"/>
      <protection hidden="1"/>
    </xf>
    <xf numFmtId="0" fontId="40" fillId="8" borderId="92" xfId="0" applyFont="1" applyFill="1" applyBorder="1" applyAlignment="1" applyProtection="1">
      <alignment horizontal="center" vertical="center"/>
      <protection hidden="1"/>
    </xf>
    <xf numFmtId="0" fontId="40" fillId="8" borderId="93" xfId="0" applyFont="1" applyFill="1" applyBorder="1" applyAlignment="1" applyProtection="1">
      <alignment horizontal="center" vertical="center"/>
      <protection hidden="1"/>
    </xf>
    <xf numFmtId="0" fontId="73" fillId="33" borderId="95" xfId="0" applyFont="1" applyFill="1" applyBorder="1" applyAlignment="1" applyProtection="1">
      <alignment horizontal="center" vertical="center"/>
      <protection hidden="1"/>
    </xf>
    <xf numFmtId="0" fontId="73" fillId="33" borderId="96" xfId="0" applyFont="1" applyFill="1" applyBorder="1" applyAlignment="1" applyProtection="1">
      <alignment horizontal="center" vertical="center"/>
      <protection hidden="1"/>
    </xf>
    <xf numFmtId="0" fontId="73" fillId="33" borderId="97" xfId="0" applyFont="1" applyFill="1" applyBorder="1" applyAlignment="1" applyProtection="1">
      <alignment horizontal="center" vertical="center"/>
      <protection hidden="1"/>
    </xf>
    <xf numFmtId="0" fontId="2" fillId="0" borderId="14" xfId="0" applyFont="1" applyBorder="1" applyAlignment="1" applyProtection="1">
      <alignment horizontal="left"/>
      <protection hidden="1"/>
    </xf>
    <xf numFmtId="167" fontId="2" fillId="0" borderId="102" xfId="0" applyNumberFormat="1" applyFont="1" applyBorder="1" applyAlignment="1" applyProtection="1">
      <alignment horizontal="center" vertical="center"/>
      <protection hidden="1"/>
    </xf>
    <xf numFmtId="167" fontId="2" fillId="0" borderId="103" xfId="0" applyNumberFormat="1" applyFont="1" applyBorder="1" applyAlignment="1" applyProtection="1">
      <alignment horizontal="center" vertical="center"/>
      <protection hidden="1"/>
    </xf>
    <xf numFmtId="167" fontId="2" fillId="0" borderId="104" xfId="0" applyNumberFormat="1" applyFont="1" applyBorder="1" applyAlignment="1" applyProtection="1">
      <alignment horizontal="center" vertical="center"/>
      <protection hidden="1"/>
    </xf>
    <xf numFmtId="0" fontId="2" fillId="0" borderId="36" xfId="0" applyFont="1" applyBorder="1" applyAlignment="1" applyProtection="1">
      <alignment horizontal="left"/>
      <protection hidden="1"/>
    </xf>
    <xf numFmtId="170" fontId="2" fillId="0" borderId="99" xfId="0" applyNumberFormat="1" applyFont="1" applyBorder="1" applyAlignment="1" applyProtection="1">
      <alignment horizontal="left" vertical="center"/>
      <protection locked="0" hidden="1"/>
    </xf>
    <xf numFmtId="170" fontId="2" fillId="0" borderId="100" xfId="0" applyNumberFormat="1" applyFont="1" applyBorder="1" applyAlignment="1" applyProtection="1">
      <alignment horizontal="left" vertical="center"/>
      <protection locked="0" hidden="1"/>
    </xf>
    <xf numFmtId="170" fontId="2" fillId="0" borderId="101" xfId="0" applyNumberFormat="1" applyFont="1" applyBorder="1" applyAlignment="1" applyProtection="1">
      <alignment horizontal="left" vertical="center"/>
      <protection locked="0" hidden="1"/>
    </xf>
    <xf numFmtId="0" fontId="9" fillId="9" borderId="94" xfId="0" applyFont="1" applyFill="1" applyBorder="1" applyAlignment="1" applyProtection="1">
      <alignment horizontal="left" vertical="center"/>
      <protection locked="0" hidden="1"/>
    </xf>
    <xf numFmtId="167" fontId="9" fillId="9" borderId="94" xfId="0" applyNumberFormat="1" applyFont="1" applyFill="1" applyBorder="1" applyAlignment="1" applyProtection="1">
      <alignment horizontal="center" vertical="center"/>
      <protection locked="0" hidden="1"/>
    </xf>
    <xf numFmtId="0" fontId="2" fillId="0" borderId="0" xfId="0" applyFont="1" applyAlignment="1" applyProtection="1">
      <alignment horizontal="left"/>
      <protection hidden="1"/>
    </xf>
    <xf numFmtId="167" fontId="9" fillId="0" borderId="98" xfId="0" applyNumberFormat="1" applyFont="1" applyBorder="1" applyAlignment="1" applyProtection="1">
      <alignment horizontal="center" vertical="center"/>
      <protection locked="0" hidden="1"/>
    </xf>
    <xf numFmtId="0" fontId="8" fillId="0" borderId="0" xfId="0" applyFont="1" applyAlignment="1" applyProtection="1">
      <alignment horizontal="left"/>
      <protection hidden="1"/>
    </xf>
    <xf numFmtId="0" fontId="3" fillId="8" borderId="70" xfId="0" applyFont="1" applyFill="1" applyBorder="1" applyAlignment="1" applyProtection="1">
      <alignment horizontal="center" vertical="center"/>
      <protection hidden="1"/>
    </xf>
    <xf numFmtId="0" fontId="3" fillId="8" borderId="92" xfId="0" applyFont="1" applyFill="1" applyBorder="1" applyAlignment="1" applyProtection="1">
      <alignment horizontal="center" vertical="center"/>
      <protection hidden="1"/>
    </xf>
    <xf numFmtId="0" fontId="3" fillId="8" borderId="93" xfId="0" applyFont="1" applyFill="1" applyBorder="1" applyAlignment="1" applyProtection="1">
      <alignment horizontal="center" vertical="center"/>
      <protection hidden="1"/>
    </xf>
    <xf numFmtId="49" fontId="9" fillId="9" borderId="94" xfId="0" applyNumberFormat="1" applyFont="1" applyFill="1" applyBorder="1" applyAlignment="1" applyProtection="1">
      <alignment horizontal="left" vertical="center"/>
      <protection locked="0" hidden="1"/>
    </xf>
    <xf numFmtId="0" fontId="2" fillId="0" borderId="0" xfId="0" applyFont="1" applyAlignment="1" applyProtection="1">
      <alignment horizontal="center"/>
      <protection hidden="1"/>
    </xf>
    <xf numFmtId="168" fontId="56" fillId="0" borderId="0" xfId="0" applyNumberFormat="1" applyFont="1" applyAlignment="1" applyProtection="1">
      <alignment horizontal="center"/>
      <protection hidden="1"/>
    </xf>
    <xf numFmtId="168" fontId="56" fillId="0" borderId="75" xfId="0" applyNumberFormat="1" applyFont="1" applyBorder="1" applyAlignment="1" applyProtection="1">
      <alignment horizontal="center"/>
      <protection hidden="1"/>
    </xf>
    <xf numFmtId="0" fontId="54" fillId="0" borderId="15" xfId="0" applyFont="1" applyBorder="1" applyAlignment="1" applyProtection="1">
      <alignment horizontal="center"/>
      <protection hidden="1"/>
    </xf>
    <xf numFmtId="0" fontId="13" fillId="0" borderId="1" xfId="0" applyFont="1" applyBorder="1" applyAlignment="1" applyProtection="1">
      <alignment horizontal="center"/>
      <protection hidden="1"/>
    </xf>
    <xf numFmtId="0" fontId="13" fillId="0" borderId="27" xfId="0" applyFont="1" applyBorder="1" applyAlignment="1" applyProtection="1">
      <alignment horizontal="center"/>
      <protection hidden="1"/>
    </xf>
    <xf numFmtId="0" fontId="13" fillId="0" borderId="26" xfId="0" applyFont="1" applyBorder="1" applyAlignment="1" applyProtection="1">
      <alignment horizontal="center"/>
      <protection hidden="1"/>
    </xf>
    <xf numFmtId="0" fontId="54" fillId="0" borderId="19" xfId="0" applyFont="1" applyBorder="1" applyAlignment="1" applyProtection="1">
      <alignment horizontal="center"/>
      <protection hidden="1"/>
    </xf>
    <xf numFmtId="0" fontId="76" fillId="0" borderId="0" xfId="0" applyFont="1" applyAlignment="1" applyProtection="1">
      <alignment horizontal="center" vertical="center" wrapText="1"/>
      <protection hidden="1"/>
    </xf>
    <xf numFmtId="0" fontId="75" fillId="8" borderId="70" xfId="0" applyFont="1" applyFill="1" applyBorder="1" applyAlignment="1" applyProtection="1">
      <alignment horizontal="center" vertical="center"/>
      <protection hidden="1"/>
    </xf>
    <xf numFmtId="0" fontId="75" fillId="8" borderId="92" xfId="0" applyFont="1" applyFill="1" applyBorder="1" applyAlignment="1" applyProtection="1">
      <alignment horizontal="center" vertical="center"/>
      <protection hidden="1"/>
    </xf>
    <xf numFmtId="0" fontId="75" fillId="8" borderId="93" xfId="0" applyFont="1" applyFill="1" applyBorder="1" applyAlignment="1" applyProtection="1">
      <alignment horizontal="center" vertical="center"/>
      <protection hidden="1"/>
    </xf>
    <xf numFmtId="0" fontId="5" fillId="30" borderId="87" xfId="0" applyFont="1" applyFill="1" applyBorder="1" applyAlignment="1" applyProtection="1">
      <alignment horizontal="center" vertical="center"/>
      <protection locked="0"/>
    </xf>
    <xf numFmtId="0" fontId="5" fillId="30" borderId="88" xfId="0" applyFont="1" applyFill="1" applyBorder="1" applyAlignment="1" applyProtection="1">
      <alignment horizontal="center" vertical="center"/>
      <protection locked="0"/>
    </xf>
    <xf numFmtId="0" fontId="4" fillId="0" borderId="85" xfId="0" applyFont="1" applyBorder="1" applyAlignment="1" applyProtection="1">
      <alignment horizontal="center" vertical="center"/>
      <protection hidden="1"/>
    </xf>
    <xf numFmtId="0" fontId="4" fillId="0" borderId="86" xfId="0" applyFont="1" applyBorder="1" applyAlignment="1" applyProtection="1">
      <alignment horizontal="center" vertical="center"/>
      <protection hidden="1"/>
    </xf>
    <xf numFmtId="0" fontId="6" fillId="36" borderId="89" xfId="0" applyFont="1" applyFill="1" applyBorder="1" applyAlignment="1" applyProtection="1">
      <alignment horizontal="center" vertical="center"/>
      <protection locked="0"/>
    </xf>
    <xf numFmtId="0" fontId="6" fillId="37" borderId="35" xfId="0" applyFont="1" applyFill="1" applyBorder="1" applyAlignment="1" applyProtection="1">
      <alignment horizontal="left" vertical="center"/>
      <protection hidden="1"/>
    </xf>
    <xf numFmtId="0" fontId="6" fillId="37" borderId="35" xfId="0" applyFont="1" applyFill="1" applyBorder="1" applyAlignment="1" applyProtection="1">
      <alignment horizontal="center" vertical="center"/>
      <protection hidden="1"/>
    </xf>
    <xf numFmtId="0" fontId="4" fillId="0" borderId="108" xfId="0" applyFont="1" applyBorder="1" applyAlignment="1" applyProtection="1">
      <alignment horizontal="center"/>
      <protection hidden="1"/>
    </xf>
    <xf numFmtId="0" fontId="4" fillId="0" borderId="106" xfId="0" applyFont="1" applyBorder="1" applyAlignment="1" applyProtection="1">
      <alignment horizontal="center"/>
      <protection hidden="1"/>
    </xf>
    <xf numFmtId="0" fontId="4" fillId="0" borderId="105" xfId="0" applyFont="1" applyBorder="1" applyAlignment="1" applyProtection="1">
      <alignment horizontal="center" vertical="center"/>
      <protection hidden="1"/>
    </xf>
    <xf numFmtId="0" fontId="4" fillId="0" borderId="106" xfId="0" applyFont="1" applyBorder="1" applyAlignment="1" applyProtection="1">
      <alignment horizontal="center" vertical="center"/>
      <protection hidden="1"/>
    </xf>
    <xf numFmtId="0" fontId="6" fillId="34" borderId="107" xfId="0" applyFont="1" applyFill="1" applyBorder="1" applyAlignment="1" applyProtection="1">
      <alignment horizontal="center" vertical="center"/>
      <protection locked="0"/>
    </xf>
    <xf numFmtId="0" fontId="6" fillId="35" borderId="35" xfId="0" applyFont="1" applyFill="1" applyBorder="1" applyAlignment="1" applyProtection="1">
      <alignment horizontal="left" vertical="center"/>
      <protection hidden="1"/>
    </xf>
    <xf numFmtId="0" fontId="6" fillId="35" borderId="35" xfId="0" applyFont="1" applyFill="1" applyBorder="1" applyAlignment="1" applyProtection="1">
      <alignment horizontal="center" vertical="center"/>
      <protection hidden="1"/>
    </xf>
    <xf numFmtId="0" fontId="6" fillId="10" borderId="39" xfId="0" applyFont="1" applyFill="1" applyBorder="1" applyAlignment="1" applyProtection="1">
      <alignment horizontal="left" vertical="center"/>
      <protection hidden="1"/>
    </xf>
    <xf numFmtId="0" fontId="6" fillId="10" borderId="39" xfId="0" applyFont="1" applyFill="1" applyBorder="1" applyAlignment="1" applyProtection="1">
      <alignment horizontal="center" vertical="center"/>
      <protection hidden="1"/>
    </xf>
    <xf numFmtId="0" fontId="4" fillId="0" borderId="66" xfId="0" applyFont="1" applyBorder="1" applyAlignment="1" applyProtection="1">
      <alignment horizontal="center"/>
      <protection hidden="1"/>
    </xf>
    <xf numFmtId="0" fontId="4" fillId="0" borderId="110" xfId="0" applyFont="1" applyBorder="1" applyAlignment="1" applyProtection="1">
      <alignment horizontal="center"/>
      <protection hidden="1"/>
    </xf>
    <xf numFmtId="0" fontId="6" fillId="10" borderId="89" xfId="0" applyFont="1" applyFill="1" applyBorder="1" applyAlignment="1" applyProtection="1">
      <alignment horizontal="center" vertical="center"/>
      <protection locked="0"/>
    </xf>
    <xf numFmtId="0" fontId="4" fillId="14" borderId="111" xfId="0" applyFont="1" applyFill="1" applyBorder="1" applyAlignment="1" applyProtection="1">
      <alignment horizontal="center" vertical="center"/>
      <protection hidden="1"/>
    </xf>
    <xf numFmtId="0" fontId="4" fillId="14" borderId="89" xfId="0" applyFont="1" applyFill="1" applyBorder="1" applyAlignment="1" applyProtection="1">
      <alignment horizontal="center" vertical="center"/>
      <protection hidden="1"/>
    </xf>
    <xf numFmtId="0" fontId="11" fillId="14" borderId="111" xfId="0" applyFont="1" applyFill="1" applyBorder="1" applyAlignment="1" applyProtection="1">
      <alignment horizontal="center" vertical="center"/>
      <protection hidden="1"/>
    </xf>
    <xf numFmtId="0" fontId="11" fillId="14" borderId="89" xfId="0" applyFont="1" applyFill="1" applyBorder="1" applyAlignment="1" applyProtection="1">
      <alignment horizontal="center" vertical="center"/>
      <protection hidden="1"/>
    </xf>
    <xf numFmtId="0" fontId="6" fillId="38" borderId="107" xfId="0" applyFont="1" applyFill="1" applyBorder="1" applyAlignment="1" applyProtection="1">
      <alignment horizontal="center" vertical="center"/>
      <protection locked="0"/>
    </xf>
    <xf numFmtId="0" fontId="63" fillId="30" borderId="112" xfId="0" applyFont="1" applyFill="1" applyBorder="1" applyAlignment="1" applyProtection="1">
      <alignment horizontal="center" vertical="center"/>
      <protection hidden="1"/>
    </xf>
    <xf numFmtId="0" fontId="63" fillId="30" borderId="113" xfId="0" applyFont="1" applyFill="1" applyBorder="1" applyAlignment="1" applyProtection="1">
      <alignment horizontal="center" vertical="center"/>
      <protection hidden="1"/>
    </xf>
    <xf numFmtId="0" fontId="6" fillId="34" borderId="89" xfId="0" applyFont="1" applyFill="1" applyBorder="1" applyAlignment="1" applyProtection="1">
      <alignment horizontal="center" vertical="center"/>
      <protection locked="0"/>
    </xf>
    <xf numFmtId="0" fontId="4" fillId="14" borderId="109" xfId="0" applyFont="1" applyFill="1" applyBorder="1" applyAlignment="1" applyProtection="1">
      <alignment horizontal="center" vertical="center"/>
      <protection hidden="1"/>
    </xf>
    <xf numFmtId="0" fontId="6" fillId="38" borderId="35" xfId="0" applyFont="1" applyFill="1" applyBorder="1" applyAlignment="1" applyProtection="1">
      <alignment horizontal="left" vertical="center"/>
      <protection hidden="1"/>
    </xf>
    <xf numFmtId="0" fontId="6" fillId="38" borderId="35" xfId="0" applyFont="1" applyFill="1" applyBorder="1" applyAlignment="1" applyProtection="1">
      <alignment horizontal="center" vertical="center"/>
      <protection hidden="1"/>
    </xf>
    <xf numFmtId="0" fontId="4" fillId="0" borderId="114" xfId="0" applyFont="1" applyBorder="1" applyAlignment="1" applyProtection="1">
      <alignment horizontal="center"/>
      <protection hidden="1"/>
    </xf>
    <xf numFmtId="0" fontId="10" fillId="30" borderId="112" xfId="0" applyFont="1" applyFill="1" applyBorder="1" applyAlignment="1" applyProtection="1">
      <alignment horizontal="center" vertical="center"/>
      <protection hidden="1"/>
    </xf>
    <xf numFmtId="0" fontId="10" fillId="30" borderId="113" xfId="0" applyFont="1" applyFill="1" applyBorder="1" applyAlignment="1" applyProtection="1">
      <alignment horizontal="center" vertical="center"/>
      <protection hidden="1"/>
    </xf>
    <xf numFmtId="0" fontId="2" fillId="0" borderId="10" xfId="0" applyFont="1" applyBorder="1" applyAlignment="1" applyProtection="1">
      <alignment horizontal="left"/>
      <protection hidden="1"/>
    </xf>
    <xf numFmtId="0" fontId="2" fillId="0" borderId="67" xfId="0" applyFont="1" applyBorder="1" applyAlignment="1" applyProtection="1">
      <alignment horizontal="left"/>
      <protection hidden="1"/>
    </xf>
    <xf numFmtId="4" fontId="10" fillId="0" borderId="115" xfId="0" applyNumberFormat="1" applyFont="1" applyBorder="1" applyAlignment="1" applyProtection="1">
      <alignment horizontal="right" vertical="center"/>
      <protection hidden="1"/>
    </xf>
    <xf numFmtId="4" fontId="10" fillId="0" borderId="116" xfId="0" applyNumberFormat="1" applyFont="1" applyBorder="1" applyAlignment="1" applyProtection="1">
      <alignment horizontal="right" vertical="center"/>
      <protection hidden="1"/>
    </xf>
    <xf numFmtId="0" fontId="10" fillId="0" borderId="116" xfId="0" applyFont="1" applyBorder="1" applyAlignment="1" applyProtection="1">
      <alignment horizontal="center" vertical="center"/>
      <protection hidden="1"/>
    </xf>
    <xf numFmtId="0" fontId="10" fillId="0" borderId="117" xfId="0" applyFont="1" applyBorder="1" applyAlignment="1" applyProtection="1">
      <alignment horizontal="center" vertical="center"/>
      <protection hidden="1"/>
    </xf>
    <xf numFmtId="4" fontId="63" fillId="29" borderId="118" xfId="0" applyNumberFormat="1" applyFont="1" applyFill="1" applyBorder="1" applyAlignment="1" applyProtection="1">
      <alignment horizontal="right"/>
      <protection hidden="1"/>
    </xf>
    <xf numFmtId="0" fontId="63" fillId="29" borderId="118" xfId="0" applyFont="1" applyFill="1" applyBorder="1" applyAlignment="1" applyProtection="1">
      <alignment horizontal="center"/>
      <protection hidden="1"/>
    </xf>
    <xf numFmtId="0" fontId="63" fillId="29" borderId="119" xfId="0" applyFont="1" applyFill="1" applyBorder="1" applyAlignment="1" applyProtection="1">
      <alignment horizontal="center"/>
      <protection hidden="1"/>
    </xf>
    <xf numFmtId="0" fontId="2" fillId="0" borderId="12" xfId="0" applyFont="1" applyBorder="1" applyAlignment="1" applyProtection="1">
      <alignment horizontal="left"/>
      <protection hidden="1"/>
    </xf>
    <xf numFmtId="0" fontId="2" fillId="0" borderId="68" xfId="0" applyFont="1" applyBorder="1" applyAlignment="1" applyProtection="1">
      <alignment horizontal="left"/>
      <protection hidden="1"/>
    </xf>
    <xf numFmtId="0" fontId="44" fillId="0" borderId="67" xfId="0" applyFont="1" applyBorder="1" applyAlignment="1" applyProtection="1">
      <alignment horizontal="left"/>
      <protection hidden="1"/>
    </xf>
    <xf numFmtId="0" fontId="44" fillId="0" borderId="12" xfId="0" applyFont="1" applyBorder="1" applyAlignment="1" applyProtection="1">
      <alignment horizontal="left"/>
      <protection hidden="1"/>
    </xf>
    <xf numFmtId="0" fontId="44" fillId="0" borderId="68" xfId="0" applyFont="1" applyBorder="1" applyAlignment="1" applyProtection="1">
      <alignment horizontal="left"/>
      <protection hidden="1"/>
    </xf>
    <xf numFmtId="0" fontId="44" fillId="0" borderId="69" xfId="0" applyFont="1" applyBorder="1" applyAlignment="1" applyProtection="1">
      <alignment horizontal="left"/>
      <protection hidden="1"/>
    </xf>
    <xf numFmtId="0" fontId="44" fillId="0" borderId="10" xfId="0" applyFont="1" applyBorder="1" applyAlignment="1" applyProtection="1">
      <alignment horizontal="left"/>
      <protection hidden="1"/>
    </xf>
    <xf numFmtId="0" fontId="5" fillId="30" borderId="105" xfId="0" applyFont="1" applyFill="1" applyBorder="1" applyAlignment="1" applyProtection="1">
      <alignment horizontal="center" vertical="center"/>
      <protection locked="0"/>
    </xf>
    <xf numFmtId="0" fontId="5" fillId="30" borderId="106" xfId="0" applyFont="1" applyFill="1" applyBorder="1" applyAlignment="1" applyProtection="1">
      <alignment horizontal="center" vertical="center"/>
      <protection locked="0"/>
    </xf>
    <xf numFmtId="0" fontId="5" fillId="30" borderId="111" xfId="0" applyFont="1" applyFill="1" applyBorder="1" applyAlignment="1" applyProtection="1">
      <alignment horizontal="center" vertical="center"/>
      <protection locked="0"/>
    </xf>
    <xf numFmtId="0" fontId="5" fillId="30" borderId="121" xfId="0" applyFont="1" applyFill="1" applyBorder="1" applyAlignment="1" applyProtection="1">
      <alignment horizontal="center" vertical="center"/>
      <protection locked="0"/>
    </xf>
    <xf numFmtId="0" fontId="5" fillId="16" borderId="87" xfId="0" applyFont="1" applyFill="1" applyBorder="1" applyAlignment="1" applyProtection="1">
      <alignment horizontal="center" vertical="center"/>
      <protection hidden="1"/>
    </xf>
    <xf numFmtId="0" fontId="5" fillId="16" borderId="88" xfId="0" applyFont="1" applyFill="1" applyBorder="1" applyAlignment="1" applyProtection="1">
      <alignment horizontal="center" vertical="center"/>
      <protection hidden="1"/>
    </xf>
    <xf numFmtId="0" fontId="5" fillId="16" borderId="122" xfId="0" applyFont="1" applyFill="1" applyBorder="1" applyAlignment="1" applyProtection="1">
      <alignment horizontal="center" vertical="center"/>
      <protection hidden="1"/>
    </xf>
    <xf numFmtId="0" fontId="5" fillId="16" borderId="114" xfId="0" applyFont="1" applyFill="1" applyBorder="1" applyAlignment="1" applyProtection="1">
      <alignment horizontal="center" vertical="center"/>
      <protection hidden="1"/>
    </xf>
    <xf numFmtId="0" fontId="5" fillId="16" borderId="120" xfId="0" applyFont="1" applyFill="1" applyBorder="1" applyAlignment="1" applyProtection="1">
      <alignment horizontal="center" vertical="center"/>
      <protection hidden="1"/>
    </xf>
    <xf numFmtId="0" fontId="5" fillId="16" borderId="126" xfId="0" applyFont="1" applyFill="1" applyBorder="1" applyAlignment="1" applyProtection="1">
      <alignment horizontal="center" vertical="center"/>
      <protection hidden="1"/>
    </xf>
    <xf numFmtId="0" fontId="65" fillId="0" borderId="0" xfId="0" applyFont="1" applyAlignment="1" applyProtection="1">
      <alignment horizontal="center"/>
      <protection hidden="1"/>
    </xf>
    <xf numFmtId="2" fontId="65" fillId="16" borderId="0" xfId="0" applyNumberFormat="1" applyFont="1" applyFill="1" applyAlignment="1" applyProtection="1">
      <alignment horizontal="center"/>
      <protection hidden="1"/>
    </xf>
    <xf numFmtId="0" fontId="40" fillId="0" borderId="0" xfId="0" applyFont="1" applyAlignment="1" applyProtection="1">
      <alignment horizontal="center"/>
      <protection hidden="1"/>
    </xf>
    <xf numFmtId="0" fontId="5" fillId="13" borderId="87" xfId="0" applyFont="1" applyFill="1" applyBorder="1" applyAlignment="1" applyProtection="1">
      <alignment horizontal="center" vertical="center"/>
      <protection locked="0"/>
    </xf>
    <xf numFmtId="0" fontId="5" fillId="13" borderId="88" xfId="0" applyFont="1" applyFill="1" applyBorder="1" applyAlignment="1" applyProtection="1">
      <alignment horizontal="center" vertical="center"/>
      <protection locked="0"/>
    </xf>
    <xf numFmtId="0" fontId="65" fillId="0" borderId="127" xfId="0" applyFont="1" applyBorder="1" applyAlignment="1" applyProtection="1">
      <alignment horizontal="center"/>
      <protection hidden="1"/>
    </xf>
    <xf numFmtId="0" fontId="10" fillId="13" borderId="112" xfId="0" applyFont="1" applyFill="1" applyBorder="1" applyAlignment="1" applyProtection="1">
      <alignment horizontal="center" vertical="center"/>
      <protection hidden="1"/>
    </xf>
    <xf numFmtId="0" fontId="10" fillId="13" borderId="113" xfId="0" applyFont="1" applyFill="1" applyBorder="1" applyAlignment="1" applyProtection="1">
      <alignment horizontal="center" vertical="center"/>
      <protection hidden="1"/>
    </xf>
    <xf numFmtId="0" fontId="5" fillId="13" borderId="128" xfId="0" applyFont="1" applyFill="1" applyBorder="1" applyAlignment="1" applyProtection="1">
      <alignment horizontal="center" vertical="center"/>
      <protection locked="0"/>
    </xf>
    <xf numFmtId="0" fontId="4" fillId="14" borderId="121" xfId="0" applyFont="1" applyFill="1" applyBorder="1" applyAlignment="1" applyProtection="1">
      <alignment horizontal="center" vertical="center"/>
      <protection hidden="1"/>
    </xf>
    <xf numFmtId="0" fontId="63" fillId="40" borderId="129" xfId="1" applyFont="1" applyFill="1" applyBorder="1" applyAlignment="1" applyProtection="1">
      <alignment horizontal="center" vertical="center" wrapText="1"/>
      <protection hidden="1"/>
    </xf>
    <xf numFmtId="0" fontId="63" fillId="40" borderId="130" xfId="1" applyFont="1" applyFill="1" applyBorder="1" applyAlignment="1" applyProtection="1">
      <alignment horizontal="center" vertical="center" wrapText="1"/>
      <protection hidden="1"/>
    </xf>
    <xf numFmtId="0" fontId="63" fillId="40" borderId="131" xfId="1" applyFont="1" applyFill="1" applyBorder="1" applyAlignment="1" applyProtection="1">
      <alignment horizontal="center" vertical="center" wrapText="1"/>
      <protection hidden="1"/>
    </xf>
    <xf numFmtId="0" fontId="63" fillId="40" borderId="132" xfId="1" applyFont="1" applyFill="1" applyBorder="1" applyAlignment="1" applyProtection="1">
      <alignment horizontal="center" vertical="center" wrapText="1"/>
      <protection hidden="1"/>
    </xf>
    <xf numFmtId="0" fontId="63" fillId="40" borderId="133" xfId="1" applyFont="1" applyFill="1" applyBorder="1" applyAlignment="1" applyProtection="1">
      <alignment horizontal="center" vertical="center" wrapText="1"/>
      <protection hidden="1"/>
    </xf>
    <xf numFmtId="0" fontId="63" fillId="40" borderId="134" xfId="1" applyFont="1" applyFill="1" applyBorder="1" applyAlignment="1" applyProtection="1">
      <alignment horizontal="center" vertical="center" wrapText="1"/>
      <protection hidden="1"/>
    </xf>
    <xf numFmtId="0" fontId="65" fillId="16" borderId="127" xfId="0" applyFont="1" applyFill="1" applyBorder="1" applyAlignment="1" applyProtection="1">
      <alignment horizontal="center"/>
      <protection hidden="1"/>
    </xf>
    <xf numFmtId="0" fontId="65" fillId="16" borderId="0" xfId="0" applyFont="1" applyFill="1" applyAlignment="1" applyProtection="1">
      <alignment horizontal="center"/>
      <protection hidden="1"/>
    </xf>
    <xf numFmtId="0" fontId="69" fillId="0" borderId="0" xfId="0" applyFont="1" applyAlignment="1" applyProtection="1">
      <alignment horizontal="center" vertical="center" wrapText="1"/>
      <protection hidden="1"/>
    </xf>
    <xf numFmtId="0" fontId="4" fillId="16" borderId="89" xfId="0" applyFont="1" applyFill="1" applyBorder="1" applyAlignment="1" applyProtection="1">
      <alignment horizontal="center" vertical="center"/>
      <protection hidden="1"/>
    </xf>
    <xf numFmtId="0" fontId="10" fillId="13" borderId="111" xfId="0" applyFont="1" applyFill="1" applyBorder="1" applyAlignment="1" applyProtection="1">
      <alignment horizontal="center" vertical="center"/>
      <protection hidden="1"/>
    </xf>
    <xf numFmtId="0" fontId="10" fillId="13" borderId="89" xfId="0" applyFont="1" applyFill="1" applyBorder="1" applyAlignment="1" applyProtection="1">
      <alignment horizontal="center" vertical="center"/>
      <protection hidden="1"/>
    </xf>
    <xf numFmtId="0" fontId="5" fillId="13" borderId="135" xfId="0" applyFont="1" applyFill="1" applyBorder="1" applyAlignment="1" applyProtection="1">
      <alignment horizontal="center" vertical="center"/>
      <protection locked="0"/>
    </xf>
    <xf numFmtId="0" fontId="65" fillId="14" borderId="111" xfId="0" applyFont="1" applyFill="1" applyBorder="1" applyAlignment="1" applyProtection="1">
      <alignment horizontal="center" vertical="center"/>
      <protection hidden="1"/>
    </xf>
    <xf numFmtId="0" fontId="65" fillId="14" borderId="89" xfId="0" applyFont="1" applyFill="1" applyBorder="1" applyAlignment="1" applyProtection="1">
      <alignment horizontal="center" vertical="center"/>
      <protection hidden="1"/>
    </xf>
    <xf numFmtId="0" fontId="65" fillId="14" borderId="121" xfId="0" applyFont="1" applyFill="1" applyBorder="1" applyAlignment="1" applyProtection="1">
      <alignment horizontal="center" vertical="center"/>
      <protection hidden="1"/>
    </xf>
    <xf numFmtId="0" fontId="65" fillId="14" borderId="123" xfId="0" applyFont="1" applyFill="1" applyBorder="1" applyAlignment="1" applyProtection="1">
      <alignment horizontal="center" vertical="center"/>
      <protection hidden="1"/>
    </xf>
    <xf numFmtId="0" fontId="5" fillId="30" borderId="128" xfId="0" applyFont="1" applyFill="1" applyBorder="1" applyAlignment="1" applyProtection="1">
      <alignment horizontal="center" vertical="center"/>
      <protection locked="0"/>
    </xf>
    <xf numFmtId="0" fontId="5" fillId="30" borderId="136" xfId="0" applyFont="1" applyFill="1" applyBorder="1" applyAlignment="1" applyProtection="1">
      <alignment horizontal="center" vertical="center"/>
      <protection locked="0"/>
    </xf>
    <xf numFmtId="0" fontId="5" fillId="30" borderId="137" xfId="0" applyFont="1" applyFill="1" applyBorder="1" applyAlignment="1" applyProtection="1">
      <alignment horizontal="center" vertical="center"/>
      <protection locked="0"/>
    </xf>
    <xf numFmtId="0" fontId="5" fillId="30" borderId="108" xfId="0" applyFont="1" applyFill="1" applyBorder="1" applyAlignment="1" applyProtection="1">
      <alignment horizontal="center" vertical="center"/>
      <protection locked="0"/>
    </xf>
    <xf numFmtId="0" fontId="5" fillId="16" borderId="111" xfId="0" applyFont="1" applyFill="1" applyBorder="1" applyAlignment="1" applyProtection="1">
      <alignment horizontal="center" vertical="center"/>
      <protection hidden="1"/>
    </xf>
    <xf numFmtId="0" fontId="5" fillId="16" borderId="136" xfId="0" applyFont="1" applyFill="1" applyBorder="1" applyAlignment="1" applyProtection="1">
      <alignment horizontal="center" vertical="center"/>
      <protection hidden="1"/>
    </xf>
    <xf numFmtId="0" fontId="5" fillId="16" borderId="105" xfId="0" applyFont="1" applyFill="1" applyBorder="1" applyAlignment="1" applyProtection="1">
      <alignment horizontal="center" vertical="center"/>
      <protection hidden="1"/>
    </xf>
    <xf numFmtId="0" fontId="5" fillId="16" borderId="108" xfId="0" applyFont="1" applyFill="1" applyBorder="1" applyAlignment="1" applyProtection="1">
      <alignment horizontal="center" vertical="center"/>
      <protection hidden="1"/>
    </xf>
    <xf numFmtId="0" fontId="15" fillId="2" borderId="10" xfId="0" applyFont="1" applyFill="1" applyBorder="1" applyAlignment="1" applyProtection="1">
      <alignment horizontal="center" vertical="center"/>
      <protection hidden="1"/>
    </xf>
    <xf numFmtId="3" fontId="61" fillId="41" borderId="10" xfId="0" applyNumberFormat="1" applyFont="1" applyFill="1" applyBorder="1" applyAlignment="1" applyProtection="1">
      <alignment horizontal="center" vertical="center"/>
      <protection hidden="1"/>
    </xf>
    <xf numFmtId="0" fontId="5" fillId="16" borderId="138" xfId="0" applyFont="1" applyFill="1" applyBorder="1" applyAlignment="1" applyProtection="1">
      <alignment horizontal="center" vertical="center"/>
      <protection hidden="1"/>
    </xf>
    <xf numFmtId="0" fontId="5" fillId="16" borderId="139" xfId="0" applyFont="1" applyFill="1" applyBorder="1" applyAlignment="1" applyProtection="1">
      <alignment horizontal="center" vertical="center"/>
      <protection hidden="1"/>
    </xf>
    <xf numFmtId="0" fontId="73" fillId="39" borderId="124" xfId="0" applyFont="1" applyFill="1" applyBorder="1" applyAlignment="1" applyProtection="1">
      <alignment horizontal="center" vertical="center"/>
      <protection locked="0"/>
    </xf>
    <xf numFmtId="0" fontId="73" fillId="39" borderId="125" xfId="0" applyFont="1" applyFill="1" applyBorder="1" applyAlignment="1" applyProtection="1">
      <alignment horizontal="center" vertical="center"/>
      <protection locked="0"/>
    </xf>
    <xf numFmtId="0" fontId="65" fillId="35" borderId="0" xfId="0" applyFont="1" applyFill="1" applyAlignment="1">
      <alignment horizontal="center" vertical="center"/>
    </xf>
    <xf numFmtId="0" fontId="17" fillId="30" borderId="0" xfId="0" applyFont="1" applyFill="1" applyAlignment="1" applyProtection="1">
      <alignment horizontal="center" textRotation="90"/>
      <protection hidden="1"/>
    </xf>
    <xf numFmtId="4" fontId="10" fillId="0" borderId="14" xfId="0" applyNumberFormat="1" applyFont="1" applyBorder="1" applyAlignment="1" applyProtection="1">
      <alignment horizontal="right"/>
      <protection hidden="1"/>
    </xf>
    <xf numFmtId="0" fontId="31" fillId="29" borderId="0" xfId="0" applyFont="1" applyFill="1" applyAlignment="1" applyProtection="1">
      <alignment horizontal="center" textRotation="90"/>
      <protection hidden="1"/>
    </xf>
    <xf numFmtId="0" fontId="16" fillId="0" borderId="14" xfId="0" applyFont="1" applyBorder="1" applyAlignment="1" applyProtection="1">
      <alignment horizontal="center" vertical="top"/>
      <protection locked="0" hidden="1"/>
    </xf>
    <xf numFmtId="49" fontId="10" fillId="9" borderId="0" xfId="0" applyNumberFormat="1" applyFont="1" applyFill="1" applyAlignment="1" applyProtection="1">
      <alignment horizontal="left" vertical="center"/>
      <protection locked="0" hidden="1"/>
    </xf>
    <xf numFmtId="0" fontId="65" fillId="26" borderId="0" xfId="0" applyFont="1" applyFill="1" applyAlignment="1">
      <alignment horizontal="center" vertical="center"/>
    </xf>
    <xf numFmtId="0" fontId="21" fillId="6" borderId="0" xfId="0" applyFont="1" applyFill="1" applyAlignment="1" applyProtection="1">
      <alignment horizontal="center" textRotation="90"/>
      <protection hidden="1"/>
    </xf>
    <xf numFmtId="49" fontId="9" fillId="0" borderId="52" xfId="0" applyNumberFormat="1" applyFont="1" applyBorder="1" applyAlignment="1" applyProtection="1">
      <alignment horizontal="center" vertical="center"/>
      <protection locked="0"/>
    </xf>
    <xf numFmtId="49" fontId="9" fillId="0" borderId="43" xfId="0" applyNumberFormat="1" applyFont="1" applyBorder="1" applyAlignment="1" applyProtection="1">
      <alignment horizontal="center" vertical="center"/>
      <protection locked="0"/>
    </xf>
    <xf numFmtId="49" fontId="9" fillId="0" borderId="44" xfId="0" applyNumberFormat="1" applyFont="1" applyBorder="1" applyAlignment="1" applyProtection="1">
      <alignment horizontal="center" vertical="center"/>
      <protection locked="0"/>
    </xf>
    <xf numFmtId="49" fontId="9" fillId="0" borderId="47" xfId="0" applyNumberFormat="1" applyFont="1" applyBorder="1" applyAlignment="1" applyProtection="1">
      <alignment horizontal="center" vertical="center"/>
      <protection locked="0"/>
    </xf>
    <xf numFmtId="49" fontId="9" fillId="0" borderId="48" xfId="0" applyNumberFormat="1" applyFont="1" applyBorder="1" applyAlignment="1" applyProtection="1">
      <alignment horizontal="center" vertical="center"/>
      <protection locked="0"/>
    </xf>
  </cellXfs>
  <cellStyles count="7">
    <cellStyle name="Hypertextový odkaz" xfId="1" builtinId="8"/>
    <cellStyle name="Hypertextový odkaz 2" xfId="2" xr:uid="{00000000-0005-0000-0000-000001000000}"/>
    <cellStyle name="Měna" xfId="3" builtinId="4"/>
    <cellStyle name="Normální" xfId="0" builtinId="0"/>
    <cellStyle name="Normální 2" xfId="6" xr:uid="{664BA6AB-3729-4CD3-A4CE-2805627687E3}"/>
    <cellStyle name="normální 2 2" xfId="4" xr:uid="{00000000-0005-0000-0000-000004000000}"/>
    <cellStyle name="Normální 5" xfId="5" xr:uid="{00000000-0005-0000-0000-000005000000}"/>
  </cellStyles>
  <dxfs count="1003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color theme="1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color auto="1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color auto="1"/>
      </font>
      <fill>
        <patternFill>
          <bgColor rgb="FF72B9E7"/>
        </patternFill>
      </fill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ill>
        <patternFill>
          <bgColor rgb="FFDE5B41"/>
        </patternFill>
      </fill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color auto="1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color auto="1"/>
      </font>
      <fill>
        <patternFill>
          <bgColor rgb="FF72B9E7"/>
        </patternFill>
      </fill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ill>
        <patternFill>
          <bgColor rgb="FFDE5B41"/>
        </patternFill>
      </fill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color auto="1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color auto="1"/>
      </font>
      <fill>
        <patternFill>
          <bgColor rgb="FF72B9E7"/>
        </patternFill>
      </fill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ill>
        <patternFill>
          <bgColor rgb="FFDE5B41"/>
        </patternFill>
      </fill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color auto="1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color auto="1"/>
      </font>
      <fill>
        <patternFill>
          <bgColor rgb="FF72B9E7"/>
        </patternFill>
      </fill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ill>
        <patternFill>
          <bgColor rgb="FFDE5B41"/>
        </patternFill>
      </fill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color auto="1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color auto="1"/>
      </font>
      <fill>
        <patternFill>
          <bgColor rgb="FF72B9E7"/>
        </patternFill>
      </fill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ill>
        <patternFill>
          <bgColor rgb="FFDE5B41"/>
        </patternFill>
      </fill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ill>
        <patternFill>
          <bgColor rgb="FFDE5B41"/>
        </patternFill>
      </fill>
    </dxf>
    <dxf>
      <fill>
        <patternFill>
          <bgColor rgb="FFDE5B41"/>
        </patternFill>
      </fill>
    </dxf>
    <dxf>
      <fill>
        <patternFill>
          <bgColor rgb="FFDE5B41"/>
        </patternFill>
      </fill>
    </dxf>
    <dxf>
      <fill>
        <patternFill>
          <bgColor rgb="FFDE5B41"/>
        </patternFill>
      </fill>
    </dxf>
    <dxf>
      <fill>
        <patternFill>
          <bgColor rgb="FFDE5B41"/>
        </patternFill>
      </fill>
    </dxf>
    <dxf>
      <fill>
        <patternFill>
          <bgColor rgb="FFDE5B41"/>
        </patternFill>
      </fill>
    </dxf>
    <dxf>
      <font>
        <color auto="1"/>
      </font>
      <fill>
        <patternFill>
          <bgColor rgb="FF72B9E7"/>
        </patternFill>
      </fill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ill>
        <patternFill>
          <bgColor rgb="FFDE5B41"/>
        </patternFill>
      </fill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ill>
        <patternFill>
          <bgColor rgb="FFDE5B41"/>
        </patternFill>
      </fill>
    </dxf>
    <dxf>
      <fill>
        <patternFill>
          <bgColor rgb="FFDE5B41"/>
        </patternFill>
      </fill>
    </dxf>
    <dxf>
      <fill>
        <patternFill>
          <bgColor rgb="FFDE5B41"/>
        </patternFill>
      </fill>
    </dxf>
    <dxf>
      <fill>
        <patternFill>
          <bgColor rgb="FFDE5B41"/>
        </patternFill>
      </fill>
    </dxf>
    <dxf>
      <fill>
        <patternFill>
          <bgColor rgb="FFDE5B41"/>
        </patternFill>
      </fill>
    </dxf>
    <dxf>
      <fill>
        <patternFill>
          <bgColor rgb="FFDE5B41"/>
        </patternFill>
      </fill>
    </dxf>
    <dxf>
      <font>
        <color auto="1"/>
      </font>
      <fill>
        <patternFill>
          <bgColor rgb="FF72B9E7"/>
        </patternFill>
      </fill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ill>
        <patternFill>
          <bgColor rgb="FFDE5B41"/>
        </patternFill>
      </fill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ill>
        <patternFill>
          <bgColor rgb="FFDE5B41"/>
        </patternFill>
      </fill>
    </dxf>
    <dxf>
      <fill>
        <patternFill>
          <bgColor rgb="FFDE5B41"/>
        </patternFill>
      </fill>
    </dxf>
    <dxf>
      <fill>
        <patternFill>
          <bgColor rgb="FFDE5B41"/>
        </patternFill>
      </fill>
    </dxf>
    <dxf>
      <fill>
        <patternFill>
          <bgColor rgb="FFDE5B41"/>
        </patternFill>
      </fill>
    </dxf>
    <dxf>
      <fill>
        <patternFill>
          <bgColor rgb="FFDE5B41"/>
        </patternFill>
      </fill>
    </dxf>
    <dxf>
      <fill>
        <patternFill>
          <bgColor rgb="FFDE5B41"/>
        </patternFill>
      </fill>
    </dxf>
    <dxf>
      <font>
        <color auto="1"/>
      </font>
      <fill>
        <patternFill>
          <bgColor rgb="FF72B9E7"/>
        </patternFill>
      </fill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ill>
        <patternFill>
          <bgColor rgb="FFDE5B41"/>
        </patternFill>
      </fill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ill>
        <patternFill>
          <bgColor rgb="FFDE5B41"/>
        </patternFill>
      </fill>
    </dxf>
    <dxf>
      <fill>
        <patternFill>
          <bgColor rgb="FFDE5B41"/>
        </patternFill>
      </fill>
    </dxf>
    <dxf>
      <fill>
        <patternFill>
          <bgColor rgb="FFDE5B41"/>
        </patternFill>
      </fill>
    </dxf>
    <dxf>
      <fill>
        <patternFill>
          <bgColor rgb="FFDE5B41"/>
        </patternFill>
      </fill>
    </dxf>
    <dxf>
      <fill>
        <patternFill>
          <bgColor rgb="FFDE5B41"/>
        </patternFill>
      </fill>
    </dxf>
    <dxf>
      <fill>
        <patternFill>
          <bgColor rgb="FFDE5B41"/>
        </patternFill>
      </fill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color auto="1"/>
      </font>
      <fill>
        <patternFill>
          <bgColor rgb="FF72B9E7"/>
        </patternFill>
      </fill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ill>
        <patternFill>
          <bgColor rgb="FFDE5B41"/>
        </patternFill>
      </fill>
    </dxf>
    <dxf>
      <font>
        <b val="0"/>
        <i val="0"/>
      </font>
    </dxf>
    <dxf>
      <fill>
        <patternFill>
          <bgColor rgb="FFDE5B41"/>
        </patternFill>
      </fill>
    </dxf>
    <dxf>
      <fill>
        <patternFill>
          <bgColor rgb="FFDE5B41"/>
        </patternFill>
      </fill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color theme="1"/>
      </font>
    </dxf>
    <dxf>
      <font>
        <color auto="1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ill>
        <patternFill>
          <bgColor rgb="FFDE5B41"/>
        </patternFill>
      </fill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color auto="1"/>
      </font>
      <fill>
        <patternFill>
          <bgColor rgb="FF72B9E7"/>
        </patternFill>
      </fill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ill>
        <patternFill>
          <bgColor rgb="FFDE5B41"/>
        </patternFill>
      </fill>
    </dxf>
    <dxf>
      <font>
        <b val="0"/>
        <i val="0"/>
      </font>
    </dxf>
    <dxf>
      <font>
        <b val="0"/>
        <i val="0"/>
      </font>
    </dxf>
    <dxf>
      <fill>
        <patternFill>
          <bgColor rgb="FFDE5B41"/>
        </patternFill>
      </fill>
    </dxf>
    <dxf>
      <fill>
        <patternFill>
          <bgColor rgb="FFDE5B41"/>
        </patternFill>
      </fill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color theme="1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color auto="1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color auto="1"/>
      </font>
      <fill>
        <patternFill>
          <bgColor rgb="FF72B9E7"/>
        </patternFill>
      </fill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ill>
        <patternFill>
          <bgColor rgb="FFDE5B41"/>
        </patternFill>
      </fill>
    </dxf>
    <dxf>
      <font>
        <b val="0"/>
        <i val="0"/>
      </font>
    </dxf>
    <dxf>
      <font>
        <b val="0"/>
        <i val="0"/>
      </font>
    </dxf>
    <dxf>
      <fill>
        <patternFill>
          <bgColor rgb="FFDE5B41"/>
        </patternFill>
      </fill>
    </dxf>
    <dxf>
      <fill>
        <patternFill>
          <bgColor rgb="FFDE5B41"/>
        </patternFill>
      </fill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color auto="1"/>
      </font>
    </dxf>
    <dxf>
      <font>
        <b val="0"/>
        <i val="0"/>
      </font>
    </dxf>
    <dxf>
      <font>
        <b val="0"/>
        <i val="0"/>
      </font>
    </dxf>
    <dxf>
      <font>
        <color theme="1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ill>
        <patternFill>
          <bgColor rgb="FFDE5B41"/>
        </patternFill>
      </fill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color auto="1"/>
      </font>
      <fill>
        <patternFill>
          <bgColor rgb="FF72B9E7"/>
        </patternFill>
      </fill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ill>
        <patternFill>
          <bgColor rgb="FFDE5B41"/>
        </patternFill>
      </fill>
    </dxf>
    <dxf>
      <font>
        <b val="0"/>
        <i val="0"/>
      </font>
    </dxf>
    <dxf>
      <font>
        <b val="0"/>
        <i val="0"/>
      </font>
    </dxf>
    <dxf>
      <fill>
        <patternFill>
          <bgColor rgb="FFDE5B41"/>
        </patternFill>
      </fill>
    </dxf>
    <dxf>
      <fill>
        <patternFill>
          <bgColor rgb="FFDE5B41"/>
        </patternFill>
      </fill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color auto="1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color auto="1"/>
      </font>
      <fill>
        <patternFill>
          <bgColor rgb="FF72B9E7"/>
        </patternFill>
      </fill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ill>
        <patternFill>
          <bgColor rgb="FFDE5B41"/>
        </patternFill>
      </fill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ill>
        <patternFill>
          <bgColor rgb="FFDE5B41"/>
        </patternFill>
      </fill>
    </dxf>
    <dxf>
      <fill>
        <patternFill>
          <bgColor rgb="FFDE5B41"/>
        </patternFill>
      </fill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color auto="1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color auto="1"/>
      </font>
      <fill>
        <patternFill>
          <bgColor rgb="FF72B9E7"/>
        </patternFill>
      </fill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ill>
        <patternFill>
          <bgColor rgb="FFDE5B41"/>
        </patternFill>
      </fill>
    </dxf>
    <dxf>
      <font>
        <b val="0"/>
        <i val="0"/>
      </font>
    </dxf>
    <dxf>
      <font>
        <b val="0"/>
        <i val="0"/>
      </font>
    </dxf>
    <dxf>
      <fill>
        <patternFill>
          <bgColor rgb="FFDE5B41"/>
        </patternFill>
      </fill>
    </dxf>
    <dxf>
      <fill>
        <patternFill>
          <bgColor rgb="FFDE5B41"/>
        </patternFill>
      </fill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color auto="1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color auto="1"/>
      </font>
      <fill>
        <patternFill>
          <bgColor rgb="FF72B9E7"/>
        </patternFill>
      </fill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ill>
        <patternFill>
          <bgColor rgb="FFDE5B41"/>
        </patternFill>
      </fill>
    </dxf>
    <dxf>
      <font>
        <b val="0"/>
        <i val="0"/>
      </font>
    </dxf>
    <dxf>
      <font>
        <b val="0"/>
        <i val="0"/>
      </font>
    </dxf>
    <dxf>
      <fill>
        <patternFill>
          <bgColor rgb="FFDE5B41"/>
        </patternFill>
      </fill>
    </dxf>
    <dxf>
      <fill>
        <patternFill>
          <bgColor rgb="FFDE5B41"/>
        </patternFill>
      </fill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ill>
        <patternFill>
          <bgColor rgb="FFDE5B41"/>
        </patternFill>
      </fill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color auto="1"/>
      </font>
      <fill>
        <patternFill>
          <bgColor rgb="FF72B9E7"/>
        </patternFill>
      </fill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ill>
        <patternFill>
          <bgColor rgb="FFDE5B41"/>
        </patternFill>
      </fill>
    </dxf>
    <dxf>
      <font>
        <b val="0"/>
        <i val="0"/>
      </font>
    </dxf>
    <dxf>
      <font>
        <b val="0"/>
        <i val="0"/>
      </font>
    </dxf>
    <dxf>
      <fill>
        <patternFill>
          <bgColor rgb="FFDE5B41"/>
        </patternFill>
      </fill>
    </dxf>
    <dxf>
      <fill>
        <patternFill>
          <bgColor rgb="FFDE5B41"/>
        </patternFill>
      </fill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ill>
        <patternFill>
          <bgColor rgb="FFDE5B41"/>
        </patternFill>
      </fill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color auto="1"/>
      </font>
      <fill>
        <patternFill>
          <bgColor rgb="FF72B9E7"/>
        </patternFill>
      </fill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ill>
        <patternFill>
          <bgColor rgb="FFDE5B41"/>
        </patternFill>
      </fill>
    </dxf>
    <dxf>
      <font>
        <b val="0"/>
        <i val="0"/>
      </font>
    </dxf>
    <dxf>
      <font>
        <b val="0"/>
        <i val="0"/>
      </font>
    </dxf>
    <dxf>
      <fill>
        <patternFill>
          <bgColor rgb="FFDE5B41"/>
        </patternFill>
      </fill>
    </dxf>
    <dxf>
      <fill>
        <patternFill>
          <bgColor rgb="FFDE5B41"/>
        </patternFill>
      </fill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color auto="1"/>
      </font>
      <fill>
        <patternFill>
          <bgColor rgb="FF72B9E7"/>
        </patternFill>
      </fill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ill>
        <patternFill>
          <bgColor rgb="FFDE5B41"/>
        </patternFill>
      </fill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ill>
        <patternFill>
          <bgColor rgb="FFDE5B41"/>
        </patternFill>
      </fill>
    </dxf>
    <dxf>
      <fill>
        <patternFill>
          <bgColor rgb="FFDE5B41"/>
        </patternFill>
      </fill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color auto="1"/>
      </font>
      <fill>
        <patternFill>
          <bgColor rgb="FF72B9E7"/>
        </patternFill>
      </fill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ill>
        <patternFill>
          <bgColor rgb="FFDE5B41"/>
        </patternFill>
      </fill>
    </dxf>
    <dxf>
      <font>
        <b val="0"/>
        <i val="0"/>
      </font>
    </dxf>
    <dxf>
      <font>
        <b val="0"/>
        <i val="0"/>
      </font>
    </dxf>
    <dxf>
      <fill>
        <patternFill>
          <bgColor rgb="FFDE5B41"/>
        </patternFill>
      </fill>
    </dxf>
    <dxf>
      <fill>
        <patternFill>
          <bgColor rgb="FFDE5B41"/>
        </patternFill>
      </fill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color auto="1"/>
      </font>
      <fill>
        <patternFill>
          <bgColor rgb="FF72B9E7"/>
        </patternFill>
      </fill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ill>
        <patternFill>
          <bgColor rgb="FFDE5B41"/>
        </patternFill>
      </fill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color auto="1"/>
      </font>
      <fill>
        <patternFill>
          <bgColor rgb="FF72B9E7"/>
        </patternFill>
      </fill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ill>
        <patternFill>
          <bgColor rgb="FFDE5B41"/>
        </patternFill>
      </fill>
    </dxf>
    <dxf>
      <font>
        <b val="0"/>
        <i val="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0"/>
      </font>
      <border>
        <left/>
        <right/>
        <top/>
        <bottom/>
      </border>
    </dxf>
    <dxf>
      <font>
        <color theme="0"/>
      </font>
    </dxf>
    <dxf>
      <font>
        <color theme="0"/>
      </font>
      <border>
        <left/>
        <right/>
        <top/>
        <bottom/>
      </border>
    </dxf>
  </dxfs>
  <tableStyles count="0" defaultTableStyle="TableStyleMedium9" defaultPivotStyle="PivotStyleLight16"/>
  <colors>
    <mruColors>
      <color rgb="FF7F7F7F"/>
      <color rgb="FFC6D9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microsoft.com/office/2006/relationships/vbaProject" Target="vbaProject.bin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8" Type="http://schemas.openxmlformats.org/officeDocument/2006/relationships/worksheet" Target="worksheets/sheet8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3" Type="http://schemas.openxmlformats.org/officeDocument/2006/relationships/image" Target="../media/image4.png"/><Relationship Id="rId7" Type="http://schemas.openxmlformats.org/officeDocument/2006/relationships/image" Target="../media/image8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6" Type="http://schemas.openxmlformats.org/officeDocument/2006/relationships/image" Target="../media/image7.png"/><Relationship Id="rId5" Type="http://schemas.openxmlformats.org/officeDocument/2006/relationships/image" Target="../media/image6.png"/><Relationship Id="rId4" Type="http://schemas.openxmlformats.org/officeDocument/2006/relationships/image" Target="../media/image5.png"/><Relationship Id="rId9" Type="http://schemas.openxmlformats.org/officeDocument/2006/relationships/image" Target="../media/image10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hyperlink" Target="#AVT187In!A1"/><Relationship Id="rId13" Type="http://schemas.openxmlformats.org/officeDocument/2006/relationships/hyperlink" Target="#'AVT-celny-101+187'!A1"/><Relationship Id="rId18" Type="http://schemas.openxmlformats.org/officeDocument/2006/relationships/hyperlink" Target="#'AVT187In(vn-A)'!A1"/><Relationship Id="rId3" Type="http://schemas.openxmlformats.org/officeDocument/2006/relationships/hyperlink" Target="#'AVT-celny-139+187'!A1"/><Relationship Id="rId21" Type="http://schemas.openxmlformats.org/officeDocument/2006/relationships/hyperlink" Target="#'potr-o101+187-IL'!A1"/><Relationship Id="rId7" Type="http://schemas.openxmlformats.org/officeDocument/2006/relationships/hyperlink" Target="#AVT187!A1"/><Relationship Id="rId12" Type="http://schemas.openxmlformats.org/officeDocument/2006/relationships/hyperlink" Target="#AVT77!A1"/><Relationship Id="rId17" Type="http://schemas.openxmlformats.org/officeDocument/2006/relationships/hyperlink" Target="#'AVT187(vn-S)'!A1"/><Relationship Id="rId2" Type="http://schemas.openxmlformats.org/officeDocument/2006/relationships/hyperlink" Target="#'AVT-celny-2x187'!A1"/><Relationship Id="rId16" Type="http://schemas.openxmlformats.org/officeDocument/2006/relationships/hyperlink" Target="#'AVT187(vn-A)'!A1"/><Relationship Id="rId20" Type="http://schemas.openxmlformats.org/officeDocument/2006/relationships/hyperlink" Target="#'potr-v101+187-IL'!A1"/><Relationship Id="rId1" Type="http://schemas.openxmlformats.org/officeDocument/2006/relationships/hyperlink" Target="#'potr-v101+187'!A1"/><Relationship Id="rId6" Type="http://schemas.openxmlformats.org/officeDocument/2006/relationships/hyperlink" Target="#AVT139!A1"/><Relationship Id="rId11" Type="http://schemas.openxmlformats.org/officeDocument/2006/relationships/image" Target="../media/image11.png"/><Relationship Id="rId5" Type="http://schemas.openxmlformats.org/officeDocument/2006/relationships/hyperlink" Target="#AVT101!A1"/><Relationship Id="rId15" Type="http://schemas.openxmlformats.org/officeDocument/2006/relationships/image" Target="../media/image6.png"/><Relationship Id="rId23" Type="http://schemas.openxmlformats.org/officeDocument/2006/relationships/hyperlink" Target="#'potr-o187-IL'!A1"/><Relationship Id="rId10" Type="http://schemas.openxmlformats.org/officeDocument/2006/relationships/hyperlink" Target="#'AVT139(vn-A)'!A1"/><Relationship Id="rId19" Type="http://schemas.openxmlformats.org/officeDocument/2006/relationships/hyperlink" Target="#'AVT-celny-2x187In'!A1"/><Relationship Id="rId4" Type="http://schemas.openxmlformats.org/officeDocument/2006/relationships/hyperlink" Target="#'AVT187In(vn-S)'!A1"/><Relationship Id="rId9" Type="http://schemas.openxmlformats.org/officeDocument/2006/relationships/hyperlink" Target="#'AVT101(vn-A)'!A1"/><Relationship Id="rId14" Type="http://schemas.openxmlformats.org/officeDocument/2006/relationships/hyperlink" Target="#AVT251!A1"/><Relationship Id="rId22" Type="http://schemas.openxmlformats.org/officeDocument/2006/relationships/hyperlink" Target="#'potr-o101+187'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#OT440!A1"/><Relationship Id="rId2" Type="http://schemas.openxmlformats.org/officeDocument/2006/relationships/image" Target="../media/image11.png"/><Relationship Id="rId1" Type="http://schemas.openxmlformats.org/officeDocument/2006/relationships/image" Target="../media/image6.png"/><Relationship Id="rId4" Type="http://schemas.openxmlformats.org/officeDocument/2006/relationships/image" Target="../media/image12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4.png"/><Relationship Id="rId1" Type="http://schemas.openxmlformats.org/officeDocument/2006/relationships/image" Target="../media/image13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4.png"/><Relationship Id="rId1" Type="http://schemas.openxmlformats.org/officeDocument/2006/relationships/image" Target="../media/image13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4.png"/><Relationship Id="rId1" Type="http://schemas.openxmlformats.org/officeDocument/2006/relationships/image" Target="../media/image13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4.png"/><Relationship Id="rId1" Type="http://schemas.openxmlformats.org/officeDocument/2006/relationships/image" Target="../media/image13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4.png"/><Relationship Id="rId1" Type="http://schemas.openxmlformats.org/officeDocument/2006/relationships/image" Target="../media/image13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4.png"/><Relationship Id="rId1" Type="http://schemas.openxmlformats.org/officeDocument/2006/relationships/image" Target="../media/image13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png"/><Relationship Id="rId2" Type="http://schemas.openxmlformats.org/officeDocument/2006/relationships/image" Target="../media/image15.png"/><Relationship Id="rId1" Type="http://schemas.openxmlformats.org/officeDocument/2006/relationships/image" Target="../media/image13.png"/><Relationship Id="rId4" Type="http://schemas.openxmlformats.org/officeDocument/2006/relationships/image" Target="../media/image14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png"/><Relationship Id="rId2" Type="http://schemas.openxmlformats.org/officeDocument/2006/relationships/image" Target="../media/image15.png"/><Relationship Id="rId1" Type="http://schemas.openxmlformats.org/officeDocument/2006/relationships/image" Target="../media/image13.png"/><Relationship Id="rId4" Type="http://schemas.openxmlformats.org/officeDocument/2006/relationships/image" Target="../media/image14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png"/><Relationship Id="rId2" Type="http://schemas.openxmlformats.org/officeDocument/2006/relationships/image" Target="../media/image15.png"/><Relationship Id="rId1" Type="http://schemas.openxmlformats.org/officeDocument/2006/relationships/image" Target="../media/image13.png"/><Relationship Id="rId4" Type="http://schemas.openxmlformats.org/officeDocument/2006/relationships/image" Target="../media/image14.pn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png"/><Relationship Id="rId2" Type="http://schemas.openxmlformats.org/officeDocument/2006/relationships/image" Target="../media/image15.png"/><Relationship Id="rId1" Type="http://schemas.openxmlformats.org/officeDocument/2006/relationships/image" Target="../media/image13.png"/><Relationship Id="rId4" Type="http://schemas.openxmlformats.org/officeDocument/2006/relationships/image" Target="../media/image14.pn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15.png"/><Relationship Id="rId1" Type="http://schemas.openxmlformats.org/officeDocument/2006/relationships/image" Target="../media/image13.png"/><Relationship Id="rId5" Type="http://schemas.openxmlformats.org/officeDocument/2006/relationships/image" Target="../media/image14.png"/><Relationship Id="rId4" Type="http://schemas.openxmlformats.org/officeDocument/2006/relationships/image" Target="../media/image18.pn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15.png"/><Relationship Id="rId1" Type="http://schemas.openxmlformats.org/officeDocument/2006/relationships/image" Target="../media/image13.png"/><Relationship Id="rId5" Type="http://schemas.openxmlformats.org/officeDocument/2006/relationships/image" Target="../media/image14.png"/><Relationship Id="rId4" Type="http://schemas.openxmlformats.org/officeDocument/2006/relationships/image" Target="../media/image18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png"/><Relationship Id="rId1" Type="http://schemas.openxmlformats.org/officeDocument/2006/relationships/image" Target="../media/image19.pn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png"/><Relationship Id="rId1" Type="http://schemas.openxmlformats.org/officeDocument/2006/relationships/image" Target="../media/image19.pn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png"/><Relationship Id="rId1" Type="http://schemas.openxmlformats.org/officeDocument/2006/relationships/image" Target="../media/image19.pn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png"/><Relationship Id="rId1" Type="http://schemas.openxmlformats.org/officeDocument/2006/relationships/image" Target="../media/image19.pn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png"/><Relationship Id="rId2" Type="http://schemas.openxmlformats.org/officeDocument/2006/relationships/image" Target="../media/image15.png"/><Relationship Id="rId1" Type="http://schemas.openxmlformats.org/officeDocument/2006/relationships/image" Target="../media/image13.png"/><Relationship Id="rId5" Type="http://schemas.openxmlformats.org/officeDocument/2006/relationships/image" Target="../media/image21.png"/><Relationship Id="rId4" Type="http://schemas.openxmlformats.org/officeDocument/2006/relationships/image" Target="../media/image20.png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png"/><Relationship Id="rId2" Type="http://schemas.openxmlformats.org/officeDocument/2006/relationships/image" Target="../media/image15.png"/><Relationship Id="rId1" Type="http://schemas.openxmlformats.org/officeDocument/2006/relationships/image" Target="../media/image13.png"/><Relationship Id="rId5" Type="http://schemas.openxmlformats.org/officeDocument/2006/relationships/image" Target="../media/image22.png"/><Relationship Id="rId4" Type="http://schemas.openxmlformats.org/officeDocument/2006/relationships/image" Target="../media/image20.pn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png"/><Relationship Id="rId2" Type="http://schemas.openxmlformats.org/officeDocument/2006/relationships/image" Target="../media/image15.png"/><Relationship Id="rId1" Type="http://schemas.openxmlformats.org/officeDocument/2006/relationships/image" Target="../media/image13.png"/><Relationship Id="rId4" Type="http://schemas.openxmlformats.org/officeDocument/2006/relationships/image" Target="../media/image23.png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png"/><Relationship Id="rId2" Type="http://schemas.openxmlformats.org/officeDocument/2006/relationships/image" Target="../media/image15.png"/><Relationship Id="rId1" Type="http://schemas.openxmlformats.org/officeDocument/2006/relationships/image" Target="../media/image13.png"/><Relationship Id="rId4" Type="http://schemas.openxmlformats.org/officeDocument/2006/relationships/image" Target="../media/image23.png"/></Relationships>
</file>

<file path=xl/drawings/_rels/drawing2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23.png"/><Relationship Id="rId1" Type="http://schemas.openxmlformats.org/officeDocument/2006/relationships/image" Target="../media/image13.png"/><Relationship Id="rId5" Type="http://schemas.openxmlformats.org/officeDocument/2006/relationships/image" Target="../media/image18.png"/><Relationship Id="rId4" Type="http://schemas.openxmlformats.org/officeDocument/2006/relationships/image" Target="../media/image17.pn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hyperlink" Target="#'MENU-2'!A5"/><Relationship Id="rId2" Type="http://schemas.openxmlformats.org/officeDocument/2006/relationships/hyperlink" Target="#MENU!A5"/><Relationship Id="rId1" Type="http://schemas.openxmlformats.org/officeDocument/2006/relationships/hyperlink" Target="#FORM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121920</xdr:colOff>
      <xdr:row>25</xdr:row>
      <xdr:rowOff>182880</xdr:rowOff>
    </xdr:from>
    <xdr:to>
      <xdr:col>5</xdr:col>
      <xdr:colOff>91440</xdr:colOff>
      <xdr:row>30</xdr:row>
      <xdr:rowOff>144780</xdr:rowOff>
    </xdr:to>
    <xdr:pic>
      <xdr:nvPicPr>
        <xdr:cNvPr id="434189" name="Picture 24">
          <a:extLst>
            <a:ext uri="{FF2B5EF4-FFF2-40B4-BE49-F238E27FC236}">
              <a16:creationId xmlns:a16="http://schemas.microsoft.com/office/drawing/2014/main" id="{00000000-0008-0000-0000-00000DA0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" y="4922520"/>
          <a:ext cx="107442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26</xdr:col>
      <xdr:colOff>20955</xdr:colOff>
      <xdr:row>5</xdr:row>
      <xdr:rowOff>163830</xdr:rowOff>
    </xdr:from>
    <xdr:to>
      <xdr:col>26</xdr:col>
      <xdr:colOff>185955</xdr:colOff>
      <xdr:row>6</xdr:row>
      <xdr:rowOff>162855</xdr:rowOff>
    </xdr:to>
    <xdr:sp macro="" textlink="">
      <xdr:nvSpPr>
        <xdr:cNvPr id="6" name="TextovéPol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spect="1"/>
        </xdr:cNvSpPr>
      </xdr:nvSpPr>
      <xdr:spPr>
        <a:xfrm>
          <a:off x="6257925" y="1247775"/>
          <a:ext cx="180000" cy="180000"/>
        </a:xfrm>
        <a:prstGeom prst="rect">
          <a:avLst/>
        </a:prstGeom>
        <a:solidFill>
          <a:schemeClr val="tx2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cs-CZ" sz="1200" b="1">
              <a:solidFill>
                <a:schemeClr val="bg1"/>
              </a:solidFill>
              <a:latin typeface="Arial" pitchFamily="34" charset="0"/>
              <a:cs typeface="Arial" pitchFamily="34" charset="0"/>
            </a:rPr>
            <a:t>?</a:t>
          </a:r>
        </a:p>
      </xdr:txBody>
    </xdr:sp>
    <xdr:clientData/>
  </xdr:twoCellAnchor>
  <xdr:twoCellAnchor>
    <xdr:from>
      <xdr:col>24</xdr:col>
      <xdr:colOff>196215</xdr:colOff>
      <xdr:row>23</xdr:row>
      <xdr:rowOff>0</xdr:rowOff>
    </xdr:from>
    <xdr:to>
      <xdr:col>25</xdr:col>
      <xdr:colOff>145710</xdr:colOff>
      <xdr:row>23</xdr:row>
      <xdr:rowOff>180000</xdr:rowOff>
    </xdr:to>
    <xdr:sp macro="" textlink="">
      <xdr:nvSpPr>
        <xdr:cNvPr id="9" name="TextovéPol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spect="1"/>
        </xdr:cNvSpPr>
      </xdr:nvSpPr>
      <xdr:spPr>
        <a:xfrm>
          <a:off x="5972175" y="4333875"/>
          <a:ext cx="180000" cy="180000"/>
        </a:xfrm>
        <a:prstGeom prst="rect">
          <a:avLst/>
        </a:prstGeom>
        <a:solidFill>
          <a:srgbClr val="92D05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cs-CZ" sz="1200" b="1">
              <a:solidFill>
                <a:schemeClr val="bg1"/>
              </a:solidFill>
              <a:latin typeface="Arial" pitchFamily="34" charset="0"/>
              <a:cs typeface="Arial" pitchFamily="34" charset="0"/>
            </a:rPr>
            <a:t>i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216566</xdr:colOff>
      <xdr:row>9</xdr:row>
      <xdr:rowOff>24064</xdr:rowOff>
    </xdr:from>
    <xdr:to>
      <xdr:col>30</xdr:col>
      <xdr:colOff>195813</xdr:colOff>
      <xdr:row>12</xdr:row>
      <xdr:rowOff>134230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5998" y="1844843"/>
          <a:ext cx="628952" cy="663619"/>
        </a:xfrm>
        <a:prstGeom prst="rect">
          <a:avLst/>
        </a:prstGeom>
      </xdr:spPr>
    </xdr:pic>
    <xdr:clientData/>
  </xdr:twoCellAnchor>
  <xdr:twoCellAnchor editAs="oneCell">
    <xdr:from>
      <xdr:col>24</xdr:col>
      <xdr:colOff>8020</xdr:colOff>
      <xdr:row>9</xdr:row>
      <xdr:rowOff>40107</xdr:rowOff>
    </xdr:from>
    <xdr:to>
      <xdr:col>26</xdr:col>
      <xdr:colOff>200526</xdr:colOff>
      <xdr:row>12</xdr:row>
      <xdr:rowOff>149244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237746" y="1860886"/>
          <a:ext cx="625643" cy="662590"/>
        </a:xfrm>
        <a:prstGeom prst="rect">
          <a:avLst/>
        </a:prstGeom>
      </xdr:spPr>
    </xdr:pic>
    <xdr:clientData/>
  </xdr:twoCellAnchor>
  <xdr:twoCellAnchor editAs="oneCell">
    <xdr:from>
      <xdr:col>19</xdr:col>
      <xdr:colOff>208546</xdr:colOff>
      <xdr:row>9</xdr:row>
      <xdr:rowOff>40106</xdr:rowOff>
    </xdr:from>
    <xdr:to>
      <xdr:col>22</xdr:col>
      <xdr:colOff>195222</xdr:colOff>
      <xdr:row>12</xdr:row>
      <xdr:rowOff>152748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355430" y="1860885"/>
          <a:ext cx="636381" cy="666095"/>
        </a:xfrm>
        <a:prstGeom prst="rect">
          <a:avLst/>
        </a:prstGeom>
      </xdr:spPr>
    </xdr:pic>
    <xdr:clientData/>
  </xdr:twoCellAnchor>
  <xdr:twoCellAnchor editAs="oneCell">
    <xdr:from>
      <xdr:col>19</xdr:col>
      <xdr:colOff>38100</xdr:colOff>
      <xdr:row>19</xdr:row>
      <xdr:rowOff>91440</xdr:rowOff>
    </xdr:from>
    <xdr:to>
      <xdr:col>26</xdr:col>
      <xdr:colOff>137160</xdr:colOff>
      <xdr:row>21</xdr:row>
      <xdr:rowOff>114300</xdr:rowOff>
    </xdr:to>
    <xdr:pic>
      <xdr:nvPicPr>
        <xdr:cNvPr id="432360" name="Obrázek 2">
          <a:extLst>
            <a:ext uri="{FF2B5EF4-FFF2-40B4-BE49-F238E27FC236}">
              <a16:creationId xmlns:a16="http://schemas.microsoft.com/office/drawing/2014/main" id="{00000000-0008-0000-0100-0000E898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30040" y="3733800"/>
          <a:ext cx="159258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35</xdr:col>
      <xdr:colOff>15240</xdr:colOff>
      <xdr:row>28</xdr:row>
      <xdr:rowOff>15240</xdr:rowOff>
    </xdr:from>
    <xdr:to>
      <xdr:col>44</xdr:col>
      <xdr:colOff>15240</xdr:colOff>
      <xdr:row>36</xdr:row>
      <xdr:rowOff>114300</xdr:rowOff>
    </xdr:to>
    <xdr:pic>
      <xdr:nvPicPr>
        <xdr:cNvPr id="432361" name="Picture 24">
          <a:extLst>
            <a:ext uri="{FF2B5EF4-FFF2-40B4-BE49-F238E27FC236}">
              <a16:creationId xmlns:a16="http://schemas.microsoft.com/office/drawing/2014/main" id="{00000000-0008-0000-0100-0000E998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0940" y="5303520"/>
          <a:ext cx="1920240" cy="158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243840</xdr:colOff>
      <xdr:row>4</xdr:row>
      <xdr:rowOff>175260</xdr:rowOff>
    </xdr:from>
    <xdr:to>
      <xdr:col>17</xdr:col>
      <xdr:colOff>114300</xdr:colOff>
      <xdr:row>23</xdr:row>
      <xdr:rowOff>53340</xdr:rowOff>
    </xdr:to>
    <xdr:grpSp>
      <xdr:nvGrpSpPr>
        <xdr:cNvPr id="432362" name="Skupina 4">
          <a:extLst>
            <a:ext uri="{FF2B5EF4-FFF2-40B4-BE49-F238E27FC236}">
              <a16:creationId xmlns:a16="http://schemas.microsoft.com/office/drawing/2014/main" id="{00000000-0008-0000-0100-0000EA980600}"/>
            </a:ext>
          </a:extLst>
        </xdr:cNvPr>
        <xdr:cNvGrpSpPr>
          <a:grpSpLocks/>
        </xdr:cNvGrpSpPr>
      </xdr:nvGrpSpPr>
      <xdr:grpSpPr bwMode="auto">
        <a:xfrm>
          <a:off x="243840" y="1073618"/>
          <a:ext cx="3864944" cy="3383280"/>
          <a:chOff x="240633" y="1074822"/>
          <a:chExt cx="3587874" cy="3384883"/>
        </a:xfrm>
      </xdr:grpSpPr>
      <xdr:pic>
        <xdr:nvPicPr>
          <xdr:cNvPr id="432396" name="Obrázek 3">
            <a:extLst>
              <a:ext uri="{FF2B5EF4-FFF2-40B4-BE49-F238E27FC236}">
                <a16:creationId xmlns:a16="http://schemas.microsoft.com/office/drawing/2014/main" id="{00000000-0008-0000-0100-00000C9906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40633" y="1074822"/>
            <a:ext cx="3587874" cy="338488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21" name="TextovéPole 20">
            <a:extLst>
              <a:ext uri="{FF2B5EF4-FFF2-40B4-BE49-F238E27FC236}">
                <a16:creationId xmlns:a16="http://schemas.microsoft.com/office/drawing/2014/main" id="{00000000-0008-0000-0100-000015000000}"/>
              </a:ext>
            </a:extLst>
          </xdr:cNvPr>
          <xdr:cNvSpPr txBox="1"/>
        </xdr:nvSpPr>
        <xdr:spPr bwMode="auto">
          <a:xfrm>
            <a:off x="650455" y="3451933"/>
            <a:ext cx="3139390" cy="98469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b"/>
          <a:lstStyle/>
          <a:p>
            <a:pPr algn="r"/>
            <a:r>
              <a:rPr lang="cs-CZ" sz="2700" b="1">
                <a:solidFill>
                  <a:schemeClr val="bg1"/>
                </a:solidFill>
                <a:latin typeface="Arial" pitchFamily="34" charset="0"/>
                <a:cs typeface="Arial" pitchFamily="34" charset="0"/>
              </a:rPr>
              <a:t>AvanTech YOU</a:t>
            </a:r>
          </a:p>
          <a:p>
            <a:pPr algn="r"/>
            <a:r>
              <a:rPr lang="cs-CZ" sz="2000" b="1">
                <a:solidFill>
                  <a:schemeClr val="bg1"/>
                </a:solidFill>
                <a:latin typeface="Arial" pitchFamily="34" charset="0"/>
                <a:cs typeface="Arial" pitchFamily="34" charset="0"/>
              </a:rPr>
              <a:t>konfigurátor</a:t>
            </a:r>
          </a:p>
        </xdr:txBody>
      </xdr:sp>
    </xdr:grpSp>
    <xdr:clientData/>
  </xdr:twoCellAnchor>
  <xdr:twoCellAnchor>
    <xdr:from>
      <xdr:col>47</xdr:col>
      <xdr:colOff>180975</xdr:colOff>
      <xdr:row>38</xdr:row>
      <xdr:rowOff>85725</xdr:rowOff>
    </xdr:from>
    <xdr:to>
      <xdr:col>47</xdr:col>
      <xdr:colOff>360975</xdr:colOff>
      <xdr:row>39</xdr:row>
      <xdr:rowOff>84750</xdr:rowOff>
    </xdr:to>
    <xdr:sp macro="" textlink="">
      <xdr:nvSpPr>
        <xdr:cNvPr id="11" name="TextovéPole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>
          <a:spLocks noChangeAspect="1"/>
        </xdr:cNvSpPr>
      </xdr:nvSpPr>
      <xdr:spPr>
        <a:xfrm>
          <a:off x="12344400" y="4057650"/>
          <a:ext cx="180000" cy="180000"/>
        </a:xfrm>
        <a:prstGeom prst="rect">
          <a:avLst/>
        </a:prstGeom>
        <a:solidFill>
          <a:srgbClr val="92D05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cs-CZ" sz="1200" b="1">
              <a:solidFill>
                <a:schemeClr val="bg1"/>
              </a:solidFill>
              <a:latin typeface="Arial" pitchFamily="34" charset="0"/>
              <a:cs typeface="Arial" pitchFamily="34" charset="0"/>
            </a:rPr>
            <a:t>i</a:t>
          </a:r>
        </a:p>
      </xdr:txBody>
    </xdr:sp>
    <xdr:clientData/>
  </xdr:twoCellAnchor>
  <xdr:twoCellAnchor>
    <xdr:from>
      <xdr:col>46</xdr:col>
      <xdr:colOff>552450</xdr:colOff>
      <xdr:row>38</xdr:row>
      <xdr:rowOff>76200</xdr:rowOff>
    </xdr:from>
    <xdr:to>
      <xdr:col>47</xdr:col>
      <xdr:colOff>46650</xdr:colOff>
      <xdr:row>39</xdr:row>
      <xdr:rowOff>75225</xdr:rowOff>
    </xdr:to>
    <xdr:sp macro="" textlink="">
      <xdr:nvSpPr>
        <xdr:cNvPr id="12" name="TextovéPole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>
          <a:spLocks noChangeAspect="1"/>
        </xdr:cNvSpPr>
      </xdr:nvSpPr>
      <xdr:spPr>
        <a:xfrm>
          <a:off x="12030075" y="4048125"/>
          <a:ext cx="180000" cy="180000"/>
        </a:xfrm>
        <a:prstGeom prst="rect">
          <a:avLst/>
        </a:prstGeom>
        <a:solidFill>
          <a:schemeClr val="tx2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cs-CZ" sz="1200" b="1">
              <a:solidFill>
                <a:schemeClr val="bg1"/>
              </a:solidFill>
              <a:latin typeface="Arial" pitchFamily="34" charset="0"/>
              <a:cs typeface="Arial" pitchFamily="34" charset="0"/>
            </a:rPr>
            <a:t>?</a:t>
          </a:r>
        </a:p>
      </xdr:txBody>
    </xdr:sp>
    <xdr:clientData/>
  </xdr:twoCellAnchor>
  <xdr:twoCellAnchor>
    <xdr:from>
      <xdr:col>47</xdr:col>
      <xdr:colOff>485775</xdr:colOff>
      <xdr:row>38</xdr:row>
      <xdr:rowOff>85725</xdr:rowOff>
    </xdr:from>
    <xdr:to>
      <xdr:col>47</xdr:col>
      <xdr:colOff>665775</xdr:colOff>
      <xdr:row>39</xdr:row>
      <xdr:rowOff>84750</xdr:rowOff>
    </xdr:to>
    <xdr:sp macro="" textlink="">
      <xdr:nvSpPr>
        <xdr:cNvPr id="13" name="TextovéPole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>
          <a:spLocks noChangeAspect="1"/>
        </xdr:cNvSpPr>
      </xdr:nvSpPr>
      <xdr:spPr>
        <a:xfrm>
          <a:off x="12649200" y="4057650"/>
          <a:ext cx="180000" cy="180000"/>
        </a:xfrm>
        <a:prstGeom prst="rect">
          <a:avLst/>
        </a:prstGeom>
        <a:solidFill>
          <a:srgbClr val="FF000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cs-CZ" sz="1200" b="1">
              <a:solidFill>
                <a:schemeClr val="bg1"/>
              </a:solidFill>
              <a:latin typeface="Arial" pitchFamily="34" charset="0"/>
              <a:cs typeface="Arial" pitchFamily="34" charset="0"/>
            </a:rPr>
            <a:t>!</a:t>
          </a:r>
        </a:p>
      </xdr:txBody>
    </xdr:sp>
    <xdr:clientData/>
  </xdr:twoCellAnchor>
  <xdr:twoCellAnchor editAs="oneCell">
    <xdr:from>
      <xdr:col>37</xdr:col>
      <xdr:colOff>99060</xdr:colOff>
      <xdr:row>9</xdr:row>
      <xdr:rowOff>129540</xdr:rowOff>
    </xdr:from>
    <xdr:to>
      <xdr:col>40</xdr:col>
      <xdr:colOff>99060</xdr:colOff>
      <xdr:row>12</xdr:row>
      <xdr:rowOff>68580</xdr:rowOff>
    </xdr:to>
    <xdr:pic>
      <xdr:nvPicPr>
        <xdr:cNvPr id="432369" name="Obrázek 2">
          <a:extLst>
            <a:ext uri="{FF2B5EF4-FFF2-40B4-BE49-F238E27FC236}">
              <a16:creationId xmlns:a16="http://schemas.microsoft.com/office/drawing/2014/main" id="{00000000-0008-0000-0100-0000F198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1480" y="1943100"/>
          <a:ext cx="640080" cy="487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40</xdr:col>
      <xdr:colOff>175260</xdr:colOff>
      <xdr:row>9</xdr:row>
      <xdr:rowOff>121920</xdr:rowOff>
    </xdr:from>
    <xdr:to>
      <xdr:col>44</xdr:col>
      <xdr:colOff>83820</xdr:colOff>
      <xdr:row>12</xdr:row>
      <xdr:rowOff>30480</xdr:rowOff>
    </xdr:to>
    <xdr:pic>
      <xdr:nvPicPr>
        <xdr:cNvPr id="432370" name="Obrázek 3">
          <a:extLst>
            <a:ext uri="{FF2B5EF4-FFF2-40B4-BE49-F238E27FC236}">
              <a16:creationId xmlns:a16="http://schemas.microsoft.com/office/drawing/2014/main" id="{00000000-0008-0000-0100-0000F298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7760" y="1935480"/>
          <a:ext cx="762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32086</xdr:colOff>
      <xdr:row>19</xdr:row>
      <xdr:rowOff>16043</xdr:rowOff>
    </xdr:from>
    <xdr:to>
      <xdr:col>34</xdr:col>
      <xdr:colOff>93046</xdr:colOff>
      <xdr:row>21</xdr:row>
      <xdr:rowOff>54143</xdr:rowOff>
    </xdr:to>
    <xdr:grpSp>
      <xdr:nvGrpSpPr>
        <xdr:cNvPr id="15" name="Skupina 17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GrpSpPr>
          <a:grpSpLocks/>
        </xdr:cNvGrpSpPr>
      </xdr:nvGrpSpPr>
      <xdr:grpSpPr bwMode="auto">
        <a:xfrm>
          <a:off x="6585286" y="3681664"/>
          <a:ext cx="1456623" cy="407068"/>
          <a:chOff x="2859159" y="1072555"/>
          <a:chExt cx="1356425" cy="405507"/>
        </a:xfrm>
      </xdr:grpSpPr>
      <xdr:grpSp>
        <xdr:nvGrpSpPr>
          <xdr:cNvPr id="16" name="Skupina 18">
            <a:extLst>
              <a:ext uri="{FF2B5EF4-FFF2-40B4-BE49-F238E27FC236}">
                <a16:creationId xmlns:a16="http://schemas.microsoft.com/office/drawing/2014/main" id="{00000000-0008-0000-0100-000010000000}"/>
              </a:ext>
            </a:extLst>
          </xdr:cNvPr>
          <xdr:cNvGrpSpPr>
            <a:grpSpLocks/>
          </xdr:cNvGrpSpPr>
        </xdr:nvGrpSpPr>
        <xdr:grpSpPr bwMode="auto">
          <a:xfrm rot="-399063">
            <a:off x="2859159" y="1072555"/>
            <a:ext cx="1028620" cy="221933"/>
            <a:chOff x="2058668" y="2358698"/>
            <a:chExt cx="1028620" cy="222848"/>
          </a:xfrm>
        </xdr:grpSpPr>
        <xdr:pic>
          <xdr:nvPicPr>
            <xdr:cNvPr id="38" name="Obrázek 40">
              <a:extLst>
                <a:ext uri="{FF2B5EF4-FFF2-40B4-BE49-F238E27FC236}">
                  <a16:creationId xmlns:a16="http://schemas.microsoft.com/office/drawing/2014/main" id="{00000000-0008-0000-0100-000026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9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2067464" y="2375321"/>
              <a:ext cx="1019824" cy="20622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sp macro="" textlink="">
          <xdr:nvSpPr>
            <xdr:cNvPr id="39" name="Obdélník 38">
              <a:extLst>
                <a:ext uri="{FF2B5EF4-FFF2-40B4-BE49-F238E27FC236}">
                  <a16:creationId xmlns:a16="http://schemas.microsoft.com/office/drawing/2014/main" id="{00000000-0008-0000-0100-000027000000}"/>
                </a:ext>
              </a:extLst>
            </xdr:cNvPr>
            <xdr:cNvSpPr/>
          </xdr:nvSpPr>
          <xdr:spPr>
            <a:xfrm>
              <a:off x="2786672" y="2309993"/>
              <a:ext cx="77070" cy="23048"/>
            </a:xfrm>
            <a:prstGeom prst="rect">
              <a:avLst/>
            </a:prstGeom>
            <a:solidFill>
              <a:schemeClr val="bg1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endParaRPr lang="sk-SK"/>
            </a:p>
          </xdr:txBody>
        </xdr:sp>
        <xdr:sp macro="" textlink="">
          <xdr:nvSpPr>
            <xdr:cNvPr id="40" name="Obdélník 39">
              <a:extLst>
                <a:ext uri="{FF2B5EF4-FFF2-40B4-BE49-F238E27FC236}">
                  <a16:creationId xmlns:a16="http://schemas.microsoft.com/office/drawing/2014/main" id="{00000000-0008-0000-0100-000028000000}"/>
                </a:ext>
              </a:extLst>
            </xdr:cNvPr>
            <xdr:cNvSpPr/>
          </xdr:nvSpPr>
          <xdr:spPr>
            <a:xfrm rot="391964">
              <a:off x="1985950" y="2345559"/>
              <a:ext cx="23121" cy="107556"/>
            </a:xfrm>
            <a:prstGeom prst="rect">
              <a:avLst/>
            </a:prstGeom>
            <a:solidFill>
              <a:schemeClr val="bg1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endParaRPr lang="sk-SK"/>
            </a:p>
          </xdr:txBody>
        </xdr:sp>
      </xdr:grpSp>
      <xdr:grpSp>
        <xdr:nvGrpSpPr>
          <xdr:cNvPr id="17" name="Skupina 19">
            <a:extLst>
              <a:ext uri="{FF2B5EF4-FFF2-40B4-BE49-F238E27FC236}">
                <a16:creationId xmlns:a16="http://schemas.microsoft.com/office/drawing/2014/main" id="{00000000-0008-0000-0100-000011000000}"/>
              </a:ext>
            </a:extLst>
          </xdr:cNvPr>
          <xdr:cNvGrpSpPr>
            <a:grpSpLocks/>
          </xdr:cNvGrpSpPr>
        </xdr:nvGrpSpPr>
        <xdr:grpSpPr bwMode="auto">
          <a:xfrm rot="-399063">
            <a:off x="2925295" y="1106603"/>
            <a:ext cx="1028620" cy="222391"/>
            <a:chOff x="2058668" y="2358698"/>
            <a:chExt cx="1028620" cy="222848"/>
          </a:xfrm>
        </xdr:grpSpPr>
        <xdr:pic>
          <xdr:nvPicPr>
            <xdr:cNvPr id="35" name="Obrázek 37">
              <a:extLst>
                <a:ext uri="{FF2B5EF4-FFF2-40B4-BE49-F238E27FC236}">
                  <a16:creationId xmlns:a16="http://schemas.microsoft.com/office/drawing/2014/main" id="{00000000-0008-0000-0100-000023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9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2067464" y="2375321"/>
              <a:ext cx="1019824" cy="20622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sp macro="" textlink="">
          <xdr:nvSpPr>
            <xdr:cNvPr id="36" name="Obdélník 35">
              <a:extLst>
                <a:ext uri="{FF2B5EF4-FFF2-40B4-BE49-F238E27FC236}">
                  <a16:creationId xmlns:a16="http://schemas.microsoft.com/office/drawing/2014/main" id="{00000000-0008-0000-0100-000024000000}"/>
                </a:ext>
              </a:extLst>
            </xdr:cNvPr>
            <xdr:cNvSpPr/>
          </xdr:nvSpPr>
          <xdr:spPr>
            <a:xfrm>
              <a:off x="2833044" y="2273403"/>
              <a:ext cx="77070" cy="23000"/>
            </a:xfrm>
            <a:prstGeom prst="rect">
              <a:avLst/>
            </a:prstGeom>
            <a:solidFill>
              <a:schemeClr val="bg1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endParaRPr lang="sk-SK"/>
            </a:p>
          </xdr:txBody>
        </xdr:sp>
        <xdr:sp macro="" textlink="">
          <xdr:nvSpPr>
            <xdr:cNvPr id="37" name="Obdélník 36">
              <a:extLst>
                <a:ext uri="{FF2B5EF4-FFF2-40B4-BE49-F238E27FC236}">
                  <a16:creationId xmlns:a16="http://schemas.microsoft.com/office/drawing/2014/main" id="{00000000-0008-0000-0100-000025000000}"/>
                </a:ext>
              </a:extLst>
            </xdr:cNvPr>
            <xdr:cNvSpPr/>
          </xdr:nvSpPr>
          <xdr:spPr>
            <a:xfrm rot="391964">
              <a:off x="2062050" y="2312395"/>
              <a:ext cx="23121" cy="122669"/>
            </a:xfrm>
            <a:prstGeom prst="rect">
              <a:avLst/>
            </a:prstGeom>
            <a:solidFill>
              <a:schemeClr val="bg1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endParaRPr lang="sk-SK"/>
            </a:p>
          </xdr:txBody>
        </xdr:sp>
      </xdr:grpSp>
      <xdr:grpSp>
        <xdr:nvGrpSpPr>
          <xdr:cNvPr id="18" name="Skupina 21">
            <a:extLst>
              <a:ext uri="{FF2B5EF4-FFF2-40B4-BE49-F238E27FC236}">
                <a16:creationId xmlns:a16="http://schemas.microsoft.com/office/drawing/2014/main" id="{00000000-0008-0000-0100-000012000000}"/>
              </a:ext>
            </a:extLst>
          </xdr:cNvPr>
          <xdr:cNvGrpSpPr>
            <a:grpSpLocks/>
          </xdr:cNvGrpSpPr>
        </xdr:nvGrpSpPr>
        <xdr:grpSpPr bwMode="auto">
          <a:xfrm rot="-399063">
            <a:off x="2991432" y="1143984"/>
            <a:ext cx="1028620" cy="222391"/>
            <a:chOff x="2058668" y="2358698"/>
            <a:chExt cx="1028620" cy="222848"/>
          </a:xfrm>
        </xdr:grpSpPr>
        <xdr:pic>
          <xdr:nvPicPr>
            <xdr:cNvPr id="32" name="Obrázek 34">
              <a:extLst>
                <a:ext uri="{FF2B5EF4-FFF2-40B4-BE49-F238E27FC236}">
                  <a16:creationId xmlns:a16="http://schemas.microsoft.com/office/drawing/2014/main" id="{00000000-0008-0000-0100-000020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9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2067464" y="2375321"/>
              <a:ext cx="1019824" cy="20622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sp macro="" textlink="">
          <xdr:nvSpPr>
            <xdr:cNvPr id="33" name="Obdélník 32">
              <a:extLst>
                <a:ext uri="{FF2B5EF4-FFF2-40B4-BE49-F238E27FC236}">
                  <a16:creationId xmlns:a16="http://schemas.microsoft.com/office/drawing/2014/main" id="{00000000-0008-0000-0100-000021000000}"/>
                </a:ext>
              </a:extLst>
            </xdr:cNvPr>
            <xdr:cNvSpPr/>
          </xdr:nvSpPr>
          <xdr:spPr>
            <a:xfrm>
              <a:off x="2843775" y="2275977"/>
              <a:ext cx="84777" cy="23000"/>
            </a:xfrm>
            <a:prstGeom prst="rect">
              <a:avLst/>
            </a:prstGeom>
            <a:solidFill>
              <a:schemeClr val="bg1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endParaRPr lang="sk-SK"/>
            </a:p>
          </xdr:txBody>
        </xdr:sp>
        <xdr:sp macro="" textlink="">
          <xdr:nvSpPr>
            <xdr:cNvPr id="34" name="Obdélník 33">
              <a:extLst>
                <a:ext uri="{FF2B5EF4-FFF2-40B4-BE49-F238E27FC236}">
                  <a16:creationId xmlns:a16="http://schemas.microsoft.com/office/drawing/2014/main" id="{00000000-0008-0000-0100-000022000000}"/>
                </a:ext>
              </a:extLst>
            </xdr:cNvPr>
            <xdr:cNvSpPr/>
          </xdr:nvSpPr>
          <xdr:spPr>
            <a:xfrm rot="391964">
              <a:off x="2003464" y="2321841"/>
              <a:ext cx="23121" cy="99668"/>
            </a:xfrm>
            <a:prstGeom prst="rect">
              <a:avLst/>
            </a:prstGeom>
            <a:solidFill>
              <a:schemeClr val="bg1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endParaRPr lang="sk-SK"/>
            </a:p>
          </xdr:txBody>
        </xdr:sp>
      </xdr:grpSp>
      <xdr:grpSp>
        <xdr:nvGrpSpPr>
          <xdr:cNvPr id="19" name="Skupina 22">
            <a:extLst>
              <a:ext uri="{FF2B5EF4-FFF2-40B4-BE49-F238E27FC236}">
                <a16:creationId xmlns:a16="http://schemas.microsoft.com/office/drawing/2014/main" id="{00000000-0008-0000-0100-000013000000}"/>
              </a:ext>
            </a:extLst>
          </xdr:cNvPr>
          <xdr:cNvGrpSpPr>
            <a:grpSpLocks/>
          </xdr:cNvGrpSpPr>
        </xdr:nvGrpSpPr>
        <xdr:grpSpPr bwMode="auto">
          <a:xfrm rot="-399063">
            <a:off x="3048941" y="1184242"/>
            <a:ext cx="1028620" cy="222391"/>
            <a:chOff x="2058668" y="2358698"/>
            <a:chExt cx="1028620" cy="222848"/>
          </a:xfrm>
        </xdr:grpSpPr>
        <xdr:pic>
          <xdr:nvPicPr>
            <xdr:cNvPr id="29" name="Obrázek 31">
              <a:extLst>
                <a:ext uri="{FF2B5EF4-FFF2-40B4-BE49-F238E27FC236}">
                  <a16:creationId xmlns:a16="http://schemas.microsoft.com/office/drawing/2014/main" id="{00000000-0008-0000-0100-00001D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9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2067464" y="2375321"/>
              <a:ext cx="1019824" cy="20622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sp macro="" textlink="">
          <xdr:nvSpPr>
            <xdr:cNvPr id="30" name="Obdélník 29">
              <a:extLst>
                <a:ext uri="{FF2B5EF4-FFF2-40B4-BE49-F238E27FC236}">
                  <a16:creationId xmlns:a16="http://schemas.microsoft.com/office/drawing/2014/main" id="{00000000-0008-0000-0100-00001E000000}"/>
                </a:ext>
              </a:extLst>
            </xdr:cNvPr>
            <xdr:cNvSpPr/>
          </xdr:nvSpPr>
          <xdr:spPr>
            <a:xfrm>
              <a:off x="2853644" y="2359561"/>
              <a:ext cx="77070" cy="23000"/>
            </a:xfrm>
            <a:prstGeom prst="rect">
              <a:avLst/>
            </a:prstGeom>
            <a:solidFill>
              <a:schemeClr val="bg1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endParaRPr lang="sk-SK"/>
            </a:p>
          </xdr:txBody>
        </xdr:sp>
        <xdr:sp macro="" textlink="">
          <xdr:nvSpPr>
            <xdr:cNvPr id="31" name="Obdélník 30">
              <a:extLst>
                <a:ext uri="{FF2B5EF4-FFF2-40B4-BE49-F238E27FC236}">
                  <a16:creationId xmlns:a16="http://schemas.microsoft.com/office/drawing/2014/main" id="{00000000-0008-0000-0100-00001F000000}"/>
                </a:ext>
              </a:extLst>
            </xdr:cNvPr>
            <xdr:cNvSpPr/>
          </xdr:nvSpPr>
          <xdr:spPr>
            <a:xfrm rot="391964">
              <a:off x="2060577" y="2395941"/>
              <a:ext cx="23121" cy="107335"/>
            </a:xfrm>
            <a:prstGeom prst="rect">
              <a:avLst/>
            </a:prstGeom>
            <a:solidFill>
              <a:schemeClr val="bg1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endParaRPr lang="sk-SK"/>
            </a:p>
          </xdr:txBody>
        </xdr:sp>
      </xdr:grpSp>
      <xdr:grpSp>
        <xdr:nvGrpSpPr>
          <xdr:cNvPr id="20" name="Skupina 23">
            <a:extLst>
              <a:ext uri="{FF2B5EF4-FFF2-40B4-BE49-F238E27FC236}">
                <a16:creationId xmlns:a16="http://schemas.microsoft.com/office/drawing/2014/main" id="{00000000-0008-0000-0100-000014000000}"/>
              </a:ext>
            </a:extLst>
          </xdr:cNvPr>
          <xdr:cNvGrpSpPr>
            <a:grpSpLocks/>
          </xdr:cNvGrpSpPr>
        </xdr:nvGrpSpPr>
        <xdr:grpSpPr bwMode="auto">
          <a:xfrm rot="-399063">
            <a:off x="3117952" y="1218748"/>
            <a:ext cx="1028620" cy="222391"/>
            <a:chOff x="2058668" y="2358698"/>
            <a:chExt cx="1028620" cy="222848"/>
          </a:xfrm>
        </xdr:grpSpPr>
        <xdr:pic>
          <xdr:nvPicPr>
            <xdr:cNvPr id="26" name="Obrázek 28">
              <a:extLst>
                <a:ext uri="{FF2B5EF4-FFF2-40B4-BE49-F238E27FC236}">
                  <a16:creationId xmlns:a16="http://schemas.microsoft.com/office/drawing/2014/main" id="{00000000-0008-0000-0100-00001A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9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2067464" y="2375321"/>
              <a:ext cx="1019824" cy="20622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sp macro="" textlink="">
          <xdr:nvSpPr>
            <xdr:cNvPr id="27" name="Obdélník 26">
              <a:extLst>
                <a:ext uri="{FF2B5EF4-FFF2-40B4-BE49-F238E27FC236}">
                  <a16:creationId xmlns:a16="http://schemas.microsoft.com/office/drawing/2014/main" id="{00000000-0008-0000-0100-00001B000000}"/>
                </a:ext>
              </a:extLst>
            </xdr:cNvPr>
            <xdr:cNvSpPr/>
          </xdr:nvSpPr>
          <xdr:spPr>
            <a:xfrm>
              <a:off x="2854449" y="2355718"/>
              <a:ext cx="77070" cy="23000"/>
            </a:xfrm>
            <a:prstGeom prst="rect">
              <a:avLst/>
            </a:prstGeom>
            <a:solidFill>
              <a:schemeClr val="bg1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endParaRPr lang="sk-SK"/>
            </a:p>
          </xdr:txBody>
        </xdr:sp>
        <xdr:sp macro="" textlink="">
          <xdr:nvSpPr>
            <xdr:cNvPr id="28" name="Obdélník 27">
              <a:extLst>
                <a:ext uri="{FF2B5EF4-FFF2-40B4-BE49-F238E27FC236}">
                  <a16:creationId xmlns:a16="http://schemas.microsoft.com/office/drawing/2014/main" id="{00000000-0008-0000-0100-00001C000000}"/>
                </a:ext>
              </a:extLst>
            </xdr:cNvPr>
            <xdr:cNvSpPr/>
          </xdr:nvSpPr>
          <xdr:spPr>
            <a:xfrm rot="391964">
              <a:off x="2047343" y="2313282"/>
              <a:ext cx="23121" cy="107335"/>
            </a:xfrm>
            <a:prstGeom prst="rect">
              <a:avLst/>
            </a:prstGeom>
            <a:solidFill>
              <a:schemeClr val="bg1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endParaRPr lang="sk-SK"/>
            </a:p>
          </xdr:txBody>
        </xdr:sp>
      </xdr:grpSp>
      <xdr:grpSp>
        <xdr:nvGrpSpPr>
          <xdr:cNvPr id="22" name="Skupina 24">
            <a:extLst>
              <a:ext uri="{FF2B5EF4-FFF2-40B4-BE49-F238E27FC236}">
                <a16:creationId xmlns:a16="http://schemas.microsoft.com/office/drawing/2014/main" id="{00000000-0008-0000-0100-000016000000}"/>
              </a:ext>
            </a:extLst>
          </xdr:cNvPr>
          <xdr:cNvGrpSpPr>
            <a:grpSpLocks/>
          </xdr:cNvGrpSpPr>
        </xdr:nvGrpSpPr>
        <xdr:grpSpPr bwMode="auto">
          <a:xfrm rot="-399063">
            <a:off x="3186964" y="1256129"/>
            <a:ext cx="1028620" cy="221933"/>
            <a:chOff x="2058668" y="2358698"/>
            <a:chExt cx="1028620" cy="222848"/>
          </a:xfrm>
        </xdr:grpSpPr>
        <xdr:pic>
          <xdr:nvPicPr>
            <xdr:cNvPr id="23" name="Obrázek 25">
              <a:extLst>
                <a:ext uri="{FF2B5EF4-FFF2-40B4-BE49-F238E27FC236}">
                  <a16:creationId xmlns:a16="http://schemas.microsoft.com/office/drawing/2014/main" id="{00000000-0008-0000-0100-000017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9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2067464" y="2375321"/>
              <a:ext cx="1019824" cy="20622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sp macro="" textlink="">
          <xdr:nvSpPr>
            <xdr:cNvPr id="24" name="Obdélník 23">
              <a:extLst>
                <a:ext uri="{FF2B5EF4-FFF2-40B4-BE49-F238E27FC236}">
                  <a16:creationId xmlns:a16="http://schemas.microsoft.com/office/drawing/2014/main" id="{00000000-0008-0000-0100-000018000000}"/>
                </a:ext>
              </a:extLst>
            </xdr:cNvPr>
            <xdr:cNvSpPr/>
          </xdr:nvSpPr>
          <xdr:spPr>
            <a:xfrm>
              <a:off x="2854669" y="2356623"/>
              <a:ext cx="77070" cy="23048"/>
            </a:xfrm>
            <a:prstGeom prst="rect">
              <a:avLst/>
            </a:prstGeom>
            <a:solidFill>
              <a:schemeClr val="bg1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endParaRPr lang="sk-SK"/>
            </a:p>
          </xdr:txBody>
        </xdr:sp>
        <xdr:sp macro="" textlink="">
          <xdr:nvSpPr>
            <xdr:cNvPr id="25" name="Obdélník 24">
              <a:extLst>
                <a:ext uri="{FF2B5EF4-FFF2-40B4-BE49-F238E27FC236}">
                  <a16:creationId xmlns:a16="http://schemas.microsoft.com/office/drawing/2014/main" id="{00000000-0008-0000-0100-000019000000}"/>
                </a:ext>
              </a:extLst>
            </xdr:cNvPr>
            <xdr:cNvSpPr/>
          </xdr:nvSpPr>
          <xdr:spPr>
            <a:xfrm rot="391964">
              <a:off x="2055244" y="2314545"/>
              <a:ext cx="15414" cy="107556"/>
            </a:xfrm>
            <a:prstGeom prst="rect">
              <a:avLst/>
            </a:prstGeom>
            <a:solidFill>
              <a:schemeClr val="bg1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endParaRPr lang="sk-SK"/>
            </a:p>
          </xdr:txBody>
        </xdr:sp>
      </xdr:grp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184485</xdr:colOff>
      <xdr:row>86</xdr:row>
      <xdr:rowOff>57216</xdr:rowOff>
    </xdr:from>
    <xdr:to>
      <xdr:col>5</xdr:col>
      <xdr:colOff>162629</xdr:colOff>
      <xdr:row>91</xdr:row>
      <xdr:rowOff>111893</xdr:rowOff>
    </xdr:to>
    <xdr:grpSp>
      <xdr:nvGrpSpPr>
        <xdr:cNvPr id="236" name="Skupina 24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EC000000}"/>
            </a:ext>
          </a:extLst>
        </xdr:cNvPr>
        <xdr:cNvGrpSpPr>
          <a:grpSpLocks noChangeAspect="1"/>
        </xdr:cNvGrpSpPr>
      </xdr:nvGrpSpPr>
      <xdr:grpSpPr bwMode="auto">
        <a:xfrm>
          <a:off x="922422" y="16396100"/>
          <a:ext cx="443365" cy="977098"/>
          <a:chOff x="5609723" y="21620536"/>
          <a:chExt cx="632660" cy="1329699"/>
        </a:xfrm>
      </xdr:grpSpPr>
      <xdr:sp macro="" textlink="">
        <xdr:nvSpPr>
          <xdr:cNvPr id="237" name="Obdélník 23">
            <a:extLst>
              <a:ext uri="{FF2B5EF4-FFF2-40B4-BE49-F238E27FC236}">
                <a16:creationId xmlns:a16="http://schemas.microsoft.com/office/drawing/2014/main" id="{00000000-0008-0000-0200-0000ED000000}"/>
              </a:ext>
            </a:extLst>
          </xdr:cNvPr>
          <xdr:cNvSpPr>
            <a:spLocks noChangeArrowheads="1"/>
          </xdr:cNvSpPr>
        </xdr:nvSpPr>
        <xdr:spPr bwMode="auto">
          <a:xfrm>
            <a:off x="5661178" y="22069168"/>
            <a:ext cx="535085" cy="105988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  <xdr:txBody>
          <a:bodyPr lIns="0" tIns="0" rIns="0" bIns="0"/>
          <a:lstStyle/>
          <a:p>
            <a:pPr algn="ctr"/>
            <a:endParaRPr lang="sk-SK" b="1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</a:endParaRPr>
          </a:p>
        </xdr:txBody>
      </xdr:sp>
      <xdr:sp macro="" textlink="">
        <xdr:nvSpPr>
          <xdr:cNvPr id="238" name="Obdélník 23">
            <a:extLst>
              <a:ext uri="{FF2B5EF4-FFF2-40B4-BE49-F238E27FC236}">
                <a16:creationId xmlns:a16="http://schemas.microsoft.com/office/drawing/2014/main" id="{00000000-0008-0000-0200-0000EE000000}"/>
              </a:ext>
            </a:extLst>
          </xdr:cNvPr>
          <xdr:cNvSpPr>
            <a:spLocks noChangeArrowheads="1"/>
          </xdr:cNvSpPr>
        </xdr:nvSpPr>
        <xdr:spPr bwMode="auto">
          <a:xfrm>
            <a:off x="5663183" y="22764267"/>
            <a:ext cx="535085" cy="166853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  <xdr:txBody>
          <a:bodyPr lIns="0" tIns="0" rIns="0" bIns="0" anchor="ctr"/>
          <a:lstStyle/>
          <a:p>
            <a:pPr algn="ctr"/>
            <a:endParaRPr lang="sk-SK" sz="1000" b="1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</a:endParaRPr>
          </a:p>
        </xdr:txBody>
      </xdr:sp>
      <xdr:sp macro="" textlink="">
        <xdr:nvSpPr>
          <xdr:cNvPr id="239" name="Obdélník 24">
            <a:extLst>
              <a:ext uri="{FF2B5EF4-FFF2-40B4-BE49-F238E27FC236}">
                <a16:creationId xmlns:a16="http://schemas.microsoft.com/office/drawing/2014/main" id="{00000000-0008-0000-0200-0000EF000000}"/>
              </a:ext>
            </a:extLst>
          </xdr:cNvPr>
          <xdr:cNvSpPr>
            <a:spLocks noChangeArrowheads="1"/>
          </xdr:cNvSpPr>
        </xdr:nvSpPr>
        <xdr:spPr bwMode="auto">
          <a:xfrm>
            <a:off x="5609723" y="21620536"/>
            <a:ext cx="60570" cy="1329699"/>
          </a:xfrm>
          <a:prstGeom prst="rect">
            <a:avLst/>
          </a:prstGeom>
          <a:solidFill>
            <a:srgbClr val="FFFFE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grpSp>
        <xdr:nvGrpSpPr>
          <xdr:cNvPr id="240" name="Skupina 238">
            <a:extLst>
              <a:ext uri="{FF2B5EF4-FFF2-40B4-BE49-F238E27FC236}">
                <a16:creationId xmlns:a16="http://schemas.microsoft.com/office/drawing/2014/main" id="{00000000-0008-0000-0200-0000F0000000}"/>
              </a:ext>
            </a:extLst>
          </xdr:cNvPr>
          <xdr:cNvGrpSpPr>
            <a:grpSpLocks/>
          </xdr:cNvGrpSpPr>
        </xdr:nvGrpSpPr>
        <xdr:grpSpPr bwMode="auto">
          <a:xfrm>
            <a:off x="5702735" y="21697458"/>
            <a:ext cx="539648" cy="119658"/>
            <a:chOff x="5702735" y="21697458"/>
            <a:chExt cx="539648" cy="119658"/>
          </a:xfrm>
        </xdr:grpSpPr>
        <xdr:sp macro="" textlink="">
          <xdr:nvSpPr>
            <xdr:cNvPr id="244" name="Obdélník 243">
              <a:extLst>
                <a:ext uri="{FF2B5EF4-FFF2-40B4-BE49-F238E27FC236}">
                  <a16:creationId xmlns:a16="http://schemas.microsoft.com/office/drawing/2014/main" id="{00000000-0008-0000-0200-0000F4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707298" y="21712036"/>
              <a:ext cx="535085" cy="103402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  <xdr:txBody>
            <a:bodyPr lIns="0" tIns="0" rIns="0" bIns="0"/>
            <a:lstStyle/>
            <a:p>
              <a:pPr algn="ctr"/>
              <a:endParaRPr lang="sk-SK" b="1">
                <a:solidFill>
                  <a:schemeClr val="bg1"/>
                </a:solidFill>
                <a:latin typeface="Verdana" panose="020B0604030504040204" pitchFamily="34" charset="0"/>
                <a:ea typeface="Verdana" panose="020B0604030504040204" pitchFamily="34" charset="0"/>
              </a:endParaRPr>
            </a:p>
          </xdr:txBody>
        </xdr:sp>
        <xdr:sp macro="" textlink="">
          <xdr:nvSpPr>
            <xdr:cNvPr id="245" name="Obdélník 30">
              <a:extLst>
                <a:ext uri="{FF2B5EF4-FFF2-40B4-BE49-F238E27FC236}">
                  <a16:creationId xmlns:a16="http://schemas.microsoft.com/office/drawing/2014/main" id="{00000000-0008-0000-0200-0000F5000000}"/>
                </a:ext>
              </a:extLst>
            </xdr:cNvPr>
            <xdr:cNvSpPr>
              <a:spLocks noChangeArrowheads="1"/>
            </xdr:cNvSpPr>
          </xdr:nvSpPr>
          <xdr:spPr bwMode="auto">
            <a:xfrm rot="5400000">
              <a:off x="5652204" y="21747989"/>
              <a:ext cx="119658" cy="18595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</xdr:grpSp>
      <xdr:grpSp>
        <xdr:nvGrpSpPr>
          <xdr:cNvPr id="241" name="Skupina 239">
            <a:extLst>
              <a:ext uri="{FF2B5EF4-FFF2-40B4-BE49-F238E27FC236}">
                <a16:creationId xmlns:a16="http://schemas.microsoft.com/office/drawing/2014/main" id="{00000000-0008-0000-0200-0000F1000000}"/>
              </a:ext>
            </a:extLst>
          </xdr:cNvPr>
          <xdr:cNvGrpSpPr>
            <a:grpSpLocks/>
          </xdr:cNvGrpSpPr>
        </xdr:nvGrpSpPr>
        <xdr:grpSpPr bwMode="auto">
          <a:xfrm>
            <a:off x="5696171" y="22372523"/>
            <a:ext cx="544206" cy="183600"/>
            <a:chOff x="5696171" y="22372523"/>
            <a:chExt cx="544206" cy="183600"/>
          </a:xfrm>
        </xdr:grpSpPr>
        <xdr:sp macro="" textlink="">
          <xdr:nvSpPr>
            <xdr:cNvPr id="242" name="Obdélník 23">
              <a:extLst>
                <a:ext uri="{FF2B5EF4-FFF2-40B4-BE49-F238E27FC236}">
                  <a16:creationId xmlns:a16="http://schemas.microsoft.com/office/drawing/2014/main" id="{00000000-0008-0000-0200-0000F2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705292" y="22385002"/>
              <a:ext cx="535085" cy="166089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  <xdr:txBody>
            <a:bodyPr lIns="0" tIns="0" rIns="0" bIns="0" anchor="ctr"/>
            <a:lstStyle/>
            <a:p>
              <a:pPr algn="ctr"/>
              <a:endParaRPr lang="sk-SK" b="1">
                <a:solidFill>
                  <a:schemeClr val="bg1"/>
                </a:solidFill>
                <a:latin typeface="Verdana" panose="020B0604030504040204" pitchFamily="34" charset="0"/>
                <a:ea typeface="Verdana" panose="020B0604030504040204" pitchFamily="34" charset="0"/>
              </a:endParaRPr>
            </a:p>
          </xdr:txBody>
        </xdr:sp>
        <xdr:sp macro="" textlink="">
          <xdr:nvSpPr>
            <xdr:cNvPr id="243" name="Obdélník 30">
              <a:extLst>
                <a:ext uri="{FF2B5EF4-FFF2-40B4-BE49-F238E27FC236}">
                  <a16:creationId xmlns:a16="http://schemas.microsoft.com/office/drawing/2014/main" id="{00000000-0008-0000-0200-0000F3000000}"/>
                </a:ext>
              </a:extLst>
            </xdr:cNvPr>
            <xdr:cNvSpPr>
              <a:spLocks noChangeArrowheads="1"/>
            </xdr:cNvSpPr>
          </xdr:nvSpPr>
          <xdr:spPr bwMode="auto">
            <a:xfrm rot="5400000">
              <a:off x="5614997" y="22453697"/>
              <a:ext cx="183600" cy="21251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</xdr:grpSp>
    </xdr:grpSp>
    <xdr:clientData/>
  </xdr:twoCellAnchor>
  <xdr:twoCellAnchor>
    <xdr:from>
      <xdr:col>47</xdr:col>
      <xdr:colOff>91440</xdr:colOff>
      <xdr:row>77</xdr:row>
      <xdr:rowOff>22860</xdr:rowOff>
    </xdr:from>
    <xdr:to>
      <xdr:col>50</xdr:col>
      <xdr:colOff>45720</xdr:colOff>
      <xdr:row>80</xdr:row>
      <xdr:rowOff>129540</xdr:rowOff>
    </xdr:to>
    <xdr:sp macro="" textlink="">
      <xdr:nvSpPr>
        <xdr:cNvPr id="436076" name="Obdélník 23">
          <a:extLst>
            <a:ext uri="{FF2B5EF4-FFF2-40B4-BE49-F238E27FC236}">
              <a16:creationId xmlns:a16="http://schemas.microsoft.com/office/drawing/2014/main" id="{00000000-0008-0000-0200-00006CA70600}"/>
            </a:ext>
          </a:extLst>
        </xdr:cNvPr>
        <xdr:cNvSpPr>
          <a:spLocks noChangeArrowheads="1"/>
        </xdr:cNvSpPr>
      </xdr:nvSpPr>
      <xdr:spPr bwMode="auto">
        <a:xfrm>
          <a:off x="10157460" y="14485620"/>
          <a:ext cx="594360" cy="6553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33</xdr:col>
      <xdr:colOff>91440</xdr:colOff>
      <xdr:row>77</xdr:row>
      <xdr:rowOff>22860</xdr:rowOff>
    </xdr:from>
    <xdr:to>
      <xdr:col>36</xdr:col>
      <xdr:colOff>45720</xdr:colOff>
      <xdr:row>80</xdr:row>
      <xdr:rowOff>129540</xdr:rowOff>
    </xdr:to>
    <xdr:grpSp>
      <xdr:nvGrpSpPr>
        <xdr:cNvPr id="436077" name="Skupina 21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200-00006DA70600}"/>
            </a:ext>
          </a:extLst>
        </xdr:cNvPr>
        <xdr:cNvGrpSpPr>
          <a:grpSpLocks/>
        </xdr:cNvGrpSpPr>
      </xdr:nvGrpSpPr>
      <xdr:grpSpPr bwMode="auto">
        <a:xfrm>
          <a:off x="7807693" y="14597113"/>
          <a:ext cx="652111" cy="660132"/>
          <a:chOff x="2202497" y="21642192"/>
          <a:chExt cx="655003" cy="660030"/>
        </a:xfrm>
      </xdr:grpSpPr>
      <xdr:sp macro="" textlink="">
        <xdr:nvSpPr>
          <xdr:cNvPr id="439349" name="Obdélník 23">
            <a:extLst>
              <a:ext uri="{FF2B5EF4-FFF2-40B4-BE49-F238E27FC236}">
                <a16:creationId xmlns:a16="http://schemas.microsoft.com/office/drawing/2014/main" id="{00000000-0008-0000-0200-000035B40600}"/>
              </a:ext>
            </a:extLst>
          </xdr:cNvPr>
          <xdr:cNvSpPr>
            <a:spLocks noChangeArrowheads="1"/>
          </xdr:cNvSpPr>
        </xdr:nvSpPr>
        <xdr:spPr bwMode="auto">
          <a:xfrm>
            <a:off x="2202497" y="21642192"/>
            <a:ext cx="655003" cy="660030"/>
          </a:xfrm>
          <a:prstGeom prst="rect">
            <a:avLst/>
          </a:pr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algn="ctr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439350" name="Obdélník 23">
            <a:extLst>
              <a:ext uri="{FF2B5EF4-FFF2-40B4-BE49-F238E27FC236}">
                <a16:creationId xmlns:a16="http://schemas.microsoft.com/office/drawing/2014/main" id="{00000000-0008-0000-0200-000036B40600}"/>
              </a:ext>
            </a:extLst>
          </xdr:cNvPr>
          <xdr:cNvSpPr>
            <a:spLocks noChangeArrowheads="1"/>
          </xdr:cNvSpPr>
        </xdr:nvSpPr>
        <xdr:spPr bwMode="auto">
          <a:xfrm>
            <a:off x="2278697" y="21720517"/>
            <a:ext cx="536765" cy="179843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39351" name="Obdélník 23">
            <a:extLst>
              <a:ext uri="{FF2B5EF4-FFF2-40B4-BE49-F238E27FC236}">
                <a16:creationId xmlns:a16="http://schemas.microsoft.com/office/drawing/2014/main" id="{00000000-0008-0000-0200-000037B40600}"/>
              </a:ext>
            </a:extLst>
          </xdr:cNvPr>
          <xdr:cNvSpPr>
            <a:spLocks noChangeArrowheads="1"/>
          </xdr:cNvSpPr>
        </xdr:nvSpPr>
        <xdr:spPr bwMode="auto">
          <a:xfrm>
            <a:off x="2280702" y="22062365"/>
            <a:ext cx="536755" cy="177640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39352" name="Obdélník 24">
            <a:extLst>
              <a:ext uri="{FF2B5EF4-FFF2-40B4-BE49-F238E27FC236}">
                <a16:creationId xmlns:a16="http://schemas.microsoft.com/office/drawing/2014/main" id="{00000000-0008-0000-0200-000038B40600}"/>
              </a:ext>
            </a:extLst>
          </xdr:cNvPr>
          <xdr:cNvSpPr>
            <a:spLocks noChangeArrowheads="1"/>
          </xdr:cNvSpPr>
        </xdr:nvSpPr>
        <xdr:spPr bwMode="auto">
          <a:xfrm>
            <a:off x="2227236" y="21664532"/>
            <a:ext cx="60577" cy="609115"/>
          </a:xfrm>
          <a:prstGeom prst="rect">
            <a:avLst/>
          </a:prstGeom>
          <a:solidFill>
            <a:srgbClr val="FFFFE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>
      <xdr:col>18</xdr:col>
      <xdr:colOff>91440</xdr:colOff>
      <xdr:row>77</xdr:row>
      <xdr:rowOff>22860</xdr:rowOff>
    </xdr:from>
    <xdr:to>
      <xdr:col>21</xdr:col>
      <xdr:colOff>45720</xdr:colOff>
      <xdr:row>80</xdr:row>
      <xdr:rowOff>129540</xdr:rowOff>
    </xdr:to>
    <xdr:grpSp>
      <xdr:nvGrpSpPr>
        <xdr:cNvPr id="436078" name="Skupina 21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200-00006EA70600}"/>
            </a:ext>
          </a:extLst>
        </xdr:cNvPr>
        <xdr:cNvGrpSpPr>
          <a:grpSpLocks/>
        </xdr:cNvGrpSpPr>
      </xdr:nvGrpSpPr>
      <xdr:grpSpPr bwMode="auto">
        <a:xfrm>
          <a:off x="4318535" y="14597113"/>
          <a:ext cx="652111" cy="660132"/>
          <a:chOff x="2202497" y="21642192"/>
          <a:chExt cx="655003" cy="660030"/>
        </a:xfrm>
      </xdr:grpSpPr>
      <xdr:sp macro="" textlink="">
        <xdr:nvSpPr>
          <xdr:cNvPr id="439345" name="Obdélník 23">
            <a:extLst>
              <a:ext uri="{FF2B5EF4-FFF2-40B4-BE49-F238E27FC236}">
                <a16:creationId xmlns:a16="http://schemas.microsoft.com/office/drawing/2014/main" id="{00000000-0008-0000-0200-000031B40600}"/>
              </a:ext>
            </a:extLst>
          </xdr:cNvPr>
          <xdr:cNvSpPr>
            <a:spLocks noChangeArrowheads="1"/>
          </xdr:cNvSpPr>
        </xdr:nvSpPr>
        <xdr:spPr bwMode="auto">
          <a:xfrm>
            <a:off x="2202497" y="21642192"/>
            <a:ext cx="655003" cy="660030"/>
          </a:xfrm>
          <a:prstGeom prst="rect">
            <a:avLst/>
          </a:pr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algn="ctr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439346" name="Obdélník 23">
            <a:extLst>
              <a:ext uri="{FF2B5EF4-FFF2-40B4-BE49-F238E27FC236}">
                <a16:creationId xmlns:a16="http://schemas.microsoft.com/office/drawing/2014/main" id="{00000000-0008-0000-0200-000032B40600}"/>
              </a:ext>
            </a:extLst>
          </xdr:cNvPr>
          <xdr:cNvSpPr>
            <a:spLocks noChangeArrowheads="1"/>
          </xdr:cNvSpPr>
        </xdr:nvSpPr>
        <xdr:spPr bwMode="auto">
          <a:xfrm>
            <a:off x="2278697" y="21754325"/>
            <a:ext cx="536765" cy="146035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39347" name="Obdélník 23">
            <a:extLst>
              <a:ext uri="{FF2B5EF4-FFF2-40B4-BE49-F238E27FC236}">
                <a16:creationId xmlns:a16="http://schemas.microsoft.com/office/drawing/2014/main" id="{00000000-0008-0000-0200-000033B40600}"/>
              </a:ext>
            </a:extLst>
          </xdr:cNvPr>
          <xdr:cNvSpPr>
            <a:spLocks noChangeArrowheads="1"/>
          </xdr:cNvSpPr>
        </xdr:nvSpPr>
        <xdr:spPr bwMode="auto">
          <a:xfrm>
            <a:off x="2280702" y="22062365"/>
            <a:ext cx="536755" cy="177640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39348" name="Obdélník 24">
            <a:extLst>
              <a:ext uri="{FF2B5EF4-FFF2-40B4-BE49-F238E27FC236}">
                <a16:creationId xmlns:a16="http://schemas.microsoft.com/office/drawing/2014/main" id="{00000000-0008-0000-0200-000034B40600}"/>
              </a:ext>
            </a:extLst>
          </xdr:cNvPr>
          <xdr:cNvSpPr>
            <a:spLocks noChangeArrowheads="1"/>
          </xdr:cNvSpPr>
        </xdr:nvSpPr>
        <xdr:spPr bwMode="auto">
          <a:xfrm>
            <a:off x="2227236" y="21664532"/>
            <a:ext cx="60577" cy="609115"/>
          </a:xfrm>
          <a:prstGeom prst="rect">
            <a:avLst/>
          </a:prstGeom>
          <a:solidFill>
            <a:srgbClr val="FFFFE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>
      <xdr:col>39</xdr:col>
      <xdr:colOff>22860</xdr:colOff>
      <xdr:row>51</xdr:row>
      <xdr:rowOff>137160</xdr:rowOff>
    </xdr:from>
    <xdr:to>
      <xdr:col>43</xdr:col>
      <xdr:colOff>30480</xdr:colOff>
      <xdr:row>56</xdr:row>
      <xdr:rowOff>53340</xdr:rowOff>
    </xdr:to>
    <xdr:grpSp>
      <xdr:nvGrpSpPr>
        <xdr:cNvPr id="436079" name="Skupina 9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200-00006FA70600}"/>
            </a:ext>
          </a:extLst>
        </xdr:cNvPr>
        <xdr:cNvGrpSpPr>
          <a:grpSpLocks/>
        </xdr:cNvGrpSpPr>
      </xdr:nvGrpSpPr>
      <xdr:grpSpPr bwMode="auto">
        <a:xfrm>
          <a:off x="9134776" y="9706276"/>
          <a:ext cx="938062" cy="838601"/>
          <a:chOff x="9129718" y="4391025"/>
          <a:chExt cx="950195" cy="805761"/>
        </a:xfrm>
      </xdr:grpSpPr>
      <xdr:sp macro="" textlink="">
        <xdr:nvSpPr>
          <xdr:cNvPr id="439341" name="Obdélník 98">
            <a:extLst>
              <a:ext uri="{FF2B5EF4-FFF2-40B4-BE49-F238E27FC236}">
                <a16:creationId xmlns:a16="http://schemas.microsoft.com/office/drawing/2014/main" id="{00000000-0008-0000-0200-00002DB40600}"/>
              </a:ext>
            </a:extLst>
          </xdr:cNvPr>
          <xdr:cNvSpPr>
            <a:spLocks noChangeArrowheads="1"/>
          </xdr:cNvSpPr>
        </xdr:nvSpPr>
        <xdr:spPr bwMode="auto">
          <a:xfrm>
            <a:off x="9170986" y="4484886"/>
            <a:ext cx="771525" cy="454489"/>
          </a:xfrm>
          <a:prstGeom prst="rect">
            <a:avLst/>
          </a:prstGeom>
          <a:solidFill>
            <a:srgbClr val="C6D9F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39342" name="Obdélník 99">
            <a:extLst>
              <a:ext uri="{FF2B5EF4-FFF2-40B4-BE49-F238E27FC236}">
                <a16:creationId xmlns:a16="http://schemas.microsoft.com/office/drawing/2014/main" id="{00000000-0008-0000-0200-00002EB40600}"/>
              </a:ext>
            </a:extLst>
          </xdr:cNvPr>
          <xdr:cNvSpPr>
            <a:spLocks noChangeArrowheads="1"/>
          </xdr:cNvSpPr>
        </xdr:nvSpPr>
        <xdr:spPr bwMode="auto">
          <a:xfrm>
            <a:off x="9170194" y="4954788"/>
            <a:ext cx="771525" cy="126452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39343" name="Obdélník 100">
            <a:extLst>
              <a:ext uri="{FF2B5EF4-FFF2-40B4-BE49-F238E27FC236}">
                <a16:creationId xmlns:a16="http://schemas.microsoft.com/office/drawing/2014/main" id="{00000000-0008-0000-0200-00002FB40600}"/>
              </a:ext>
            </a:extLst>
          </xdr:cNvPr>
          <xdr:cNvSpPr>
            <a:spLocks noChangeArrowheads="1"/>
          </xdr:cNvSpPr>
        </xdr:nvSpPr>
        <xdr:spPr bwMode="auto">
          <a:xfrm>
            <a:off x="9129718" y="4433584"/>
            <a:ext cx="54876" cy="720159"/>
          </a:xfrm>
          <a:prstGeom prst="rect">
            <a:avLst/>
          </a:prstGeom>
          <a:solidFill>
            <a:srgbClr val="C6D9F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39344" name="Volný tvar 101">
            <a:extLst>
              <a:ext uri="{FF2B5EF4-FFF2-40B4-BE49-F238E27FC236}">
                <a16:creationId xmlns:a16="http://schemas.microsoft.com/office/drawing/2014/main" id="{00000000-0008-0000-0200-000030B40600}"/>
              </a:ext>
            </a:extLst>
          </xdr:cNvPr>
          <xdr:cNvSpPr>
            <a:spLocks/>
          </xdr:cNvSpPr>
        </xdr:nvSpPr>
        <xdr:spPr bwMode="auto">
          <a:xfrm>
            <a:off x="9789320" y="4391025"/>
            <a:ext cx="290593" cy="805761"/>
          </a:xfrm>
          <a:custGeom>
            <a:avLst/>
            <a:gdLst>
              <a:gd name="T0" fmla="*/ 76200 w 290593"/>
              <a:gd name="T1" fmla="*/ 5010 h 817667"/>
              <a:gd name="T2" fmla="*/ 76200 w 290593"/>
              <a:gd name="T3" fmla="*/ 5010 h 817667"/>
              <a:gd name="T4" fmla="*/ 77390 w 290593"/>
              <a:gd name="T5" fmla="*/ 34148 h 817667"/>
              <a:gd name="T6" fmla="*/ 38100 w 290593"/>
              <a:gd name="T7" fmla="*/ 57244 h 817667"/>
              <a:gd name="T8" fmla="*/ 85725 w 290593"/>
              <a:gd name="T9" fmla="*/ 73568 h 817667"/>
              <a:gd name="T10" fmla="*/ 57150 w 290593"/>
              <a:gd name="T11" fmla="*/ 129068 h 817667"/>
              <a:gd name="T12" fmla="*/ 28575 w 290593"/>
              <a:gd name="T13" fmla="*/ 132332 h 817667"/>
              <a:gd name="T14" fmla="*/ 28575 w 290593"/>
              <a:gd name="T15" fmla="*/ 168242 h 817667"/>
              <a:gd name="T16" fmla="*/ 47625 w 290593"/>
              <a:gd name="T17" fmla="*/ 178034 h 817667"/>
              <a:gd name="T18" fmla="*/ 38100 w 290593"/>
              <a:gd name="T19" fmla="*/ 197624 h 817667"/>
              <a:gd name="T20" fmla="*/ 9525 w 290593"/>
              <a:gd name="T21" fmla="*/ 200890 h 817667"/>
              <a:gd name="T22" fmla="*/ 0 w 290593"/>
              <a:gd name="T23" fmla="*/ 210682 h 817667"/>
              <a:gd name="T24" fmla="*/ 19050 w 290593"/>
              <a:gd name="T25" fmla="*/ 230271 h 817667"/>
              <a:gd name="T26" fmla="*/ 57150 w 290593"/>
              <a:gd name="T27" fmla="*/ 249858 h 817667"/>
              <a:gd name="T28" fmla="*/ 57150 w 290593"/>
              <a:gd name="T29" fmla="*/ 279239 h 817667"/>
              <a:gd name="T30" fmla="*/ 266700 w 290593"/>
              <a:gd name="T31" fmla="*/ 266183 h 817667"/>
              <a:gd name="T32" fmla="*/ 266700 w 290593"/>
              <a:gd name="T33" fmla="*/ 174772 h 817667"/>
              <a:gd name="T34" fmla="*/ 285750 w 290593"/>
              <a:gd name="T35" fmla="*/ 14801 h 817667"/>
              <a:gd name="T36" fmla="*/ 76200 w 290593"/>
              <a:gd name="T37" fmla="*/ 5010 h 817667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w 290593"/>
              <a:gd name="T58" fmla="*/ 0 h 817667"/>
              <a:gd name="T59" fmla="*/ 290593 w 290593"/>
              <a:gd name="T60" fmla="*/ 817667 h 817667"/>
            </a:gdLst>
            <a:ahLst/>
            <a:cxnLst>
              <a:cxn ang="T38">
                <a:pos x="T0" y="T1"/>
              </a:cxn>
              <a:cxn ang="T39">
                <a:pos x="T2" y="T3"/>
              </a:cxn>
              <a:cxn ang="T40">
                <a:pos x="T4" y="T5"/>
              </a:cxn>
              <a:cxn ang="T41">
                <a:pos x="T6" y="T7"/>
              </a:cxn>
              <a:cxn ang="T42">
                <a:pos x="T8" y="T9"/>
              </a:cxn>
              <a:cxn ang="T43">
                <a:pos x="T10" y="T11"/>
              </a:cxn>
              <a:cxn ang="T44">
                <a:pos x="T12" y="T13"/>
              </a:cxn>
              <a:cxn ang="T45">
                <a:pos x="T14" y="T15"/>
              </a:cxn>
              <a:cxn ang="T46">
                <a:pos x="T16" y="T17"/>
              </a:cxn>
              <a:cxn ang="T47">
                <a:pos x="T18" y="T19"/>
              </a:cxn>
              <a:cxn ang="T48">
                <a:pos x="T20" y="T21"/>
              </a:cxn>
              <a:cxn ang="T49">
                <a:pos x="T22" y="T23"/>
              </a:cxn>
              <a:cxn ang="T50">
                <a:pos x="T24" y="T25"/>
              </a:cxn>
              <a:cxn ang="T51">
                <a:pos x="T26" y="T27"/>
              </a:cxn>
              <a:cxn ang="T52">
                <a:pos x="T28" y="T29"/>
              </a:cxn>
              <a:cxn ang="T53">
                <a:pos x="T30" y="T31"/>
              </a:cxn>
              <a:cxn ang="T54">
                <a:pos x="T32" y="T33"/>
              </a:cxn>
              <a:cxn ang="T55">
                <a:pos x="T34" y="T35"/>
              </a:cxn>
              <a:cxn ang="T56">
                <a:pos x="T36" y="T37"/>
              </a:cxn>
            </a:cxnLst>
            <a:rect l="T57" t="T58" r="T59" b="T60"/>
            <a:pathLst>
              <a:path w="290593" h="817667">
                <a:moveTo>
                  <a:pt x="76200" y="14613"/>
                </a:moveTo>
                <a:lnTo>
                  <a:pt x="76200" y="14613"/>
                </a:lnTo>
                <a:cubicBezTo>
                  <a:pt x="86511" y="42109"/>
                  <a:pt x="109205" y="63275"/>
                  <a:pt x="77390" y="99635"/>
                </a:cubicBezTo>
                <a:cubicBezTo>
                  <a:pt x="64167" y="114747"/>
                  <a:pt x="38100" y="167013"/>
                  <a:pt x="38100" y="167013"/>
                </a:cubicBezTo>
                <a:cubicBezTo>
                  <a:pt x="52096" y="176344"/>
                  <a:pt x="84429" y="192607"/>
                  <a:pt x="85725" y="214638"/>
                </a:cubicBezTo>
                <a:cubicBezTo>
                  <a:pt x="86693" y="231091"/>
                  <a:pt x="98014" y="343872"/>
                  <a:pt x="57150" y="376563"/>
                </a:cubicBezTo>
                <a:cubicBezTo>
                  <a:pt x="49310" y="382835"/>
                  <a:pt x="38100" y="382913"/>
                  <a:pt x="28575" y="386088"/>
                </a:cubicBezTo>
                <a:cubicBezTo>
                  <a:pt x="13701" y="430709"/>
                  <a:pt x="10804" y="425702"/>
                  <a:pt x="28575" y="490863"/>
                </a:cubicBezTo>
                <a:cubicBezTo>
                  <a:pt x="31587" y="501907"/>
                  <a:pt x="41275" y="509913"/>
                  <a:pt x="47625" y="519438"/>
                </a:cubicBezTo>
                <a:cubicBezTo>
                  <a:pt x="44450" y="538488"/>
                  <a:pt x="47682" y="559820"/>
                  <a:pt x="38100" y="576588"/>
                </a:cubicBezTo>
                <a:cubicBezTo>
                  <a:pt x="33119" y="585305"/>
                  <a:pt x="16625" y="579013"/>
                  <a:pt x="9525" y="586113"/>
                </a:cubicBezTo>
                <a:cubicBezTo>
                  <a:pt x="2425" y="593213"/>
                  <a:pt x="3175" y="605163"/>
                  <a:pt x="0" y="614688"/>
                </a:cubicBezTo>
                <a:cubicBezTo>
                  <a:pt x="6350" y="633738"/>
                  <a:pt x="7911" y="655130"/>
                  <a:pt x="19050" y="671838"/>
                </a:cubicBezTo>
                <a:lnTo>
                  <a:pt x="57150" y="728988"/>
                </a:lnTo>
                <a:cubicBezTo>
                  <a:pt x="51516" y="745889"/>
                  <a:pt x="26742" y="805357"/>
                  <a:pt x="57150" y="814713"/>
                </a:cubicBezTo>
                <a:cubicBezTo>
                  <a:pt x="66751" y="817667"/>
                  <a:pt x="248114" y="780330"/>
                  <a:pt x="266700" y="776613"/>
                </a:cubicBezTo>
                <a:cubicBezTo>
                  <a:pt x="290593" y="633254"/>
                  <a:pt x="266700" y="801168"/>
                  <a:pt x="266700" y="509913"/>
                </a:cubicBezTo>
                <a:cubicBezTo>
                  <a:pt x="266700" y="283161"/>
                  <a:pt x="272633" y="226829"/>
                  <a:pt x="285750" y="43188"/>
                </a:cubicBezTo>
                <a:cubicBezTo>
                  <a:pt x="199373" y="0"/>
                  <a:pt x="111125" y="19376"/>
                  <a:pt x="76200" y="14613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cap="flat" cmpd="sng" algn="ctr">
                <a:solidFill>
                  <a:srgbClr val="000000"/>
                </a:solidFill>
                <a:prstDash val="solid"/>
                <a:round/>
                <a:headEnd type="none" w="med" len="med"/>
                <a:tailEnd type="none" w="med" len="med"/>
              </a14:hiddenLine>
            </a:ext>
          </a:extLst>
        </xdr:spPr>
      </xdr:sp>
    </xdr:grpSp>
    <xdr:clientData/>
  </xdr:twoCellAnchor>
  <xdr:twoCellAnchor>
    <xdr:from>
      <xdr:col>10</xdr:col>
      <xdr:colOff>76200</xdr:colOff>
      <xdr:row>7</xdr:row>
      <xdr:rowOff>91440</xdr:rowOff>
    </xdr:from>
    <xdr:to>
      <xdr:col>14</xdr:col>
      <xdr:colOff>91440</xdr:colOff>
      <xdr:row>12</xdr:row>
      <xdr:rowOff>7620</xdr:rowOff>
    </xdr:to>
    <xdr:grpSp>
      <xdr:nvGrpSpPr>
        <xdr:cNvPr id="436080" name="Skupina 21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200-000070A70600}"/>
            </a:ext>
          </a:extLst>
        </xdr:cNvPr>
        <xdr:cNvGrpSpPr>
          <a:grpSpLocks/>
        </xdr:cNvGrpSpPr>
      </xdr:nvGrpSpPr>
      <xdr:grpSpPr bwMode="auto">
        <a:xfrm>
          <a:off x="2442411" y="1543251"/>
          <a:ext cx="945682" cy="838601"/>
          <a:chOff x="1771649" y="3300087"/>
          <a:chExt cx="976394" cy="817667"/>
        </a:xfrm>
      </xdr:grpSpPr>
      <xdr:sp macro="" textlink="">
        <xdr:nvSpPr>
          <xdr:cNvPr id="439338" name="Obdélník 19">
            <a:extLst>
              <a:ext uri="{FF2B5EF4-FFF2-40B4-BE49-F238E27FC236}">
                <a16:creationId xmlns:a16="http://schemas.microsoft.com/office/drawing/2014/main" id="{00000000-0008-0000-0200-00002AB40600}"/>
              </a:ext>
            </a:extLst>
          </xdr:cNvPr>
          <xdr:cNvSpPr>
            <a:spLocks noChangeArrowheads="1"/>
          </xdr:cNvSpPr>
        </xdr:nvSpPr>
        <xdr:spPr bwMode="auto">
          <a:xfrm>
            <a:off x="1838324" y="3695700"/>
            <a:ext cx="771525" cy="304800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39339" name="Obdélník 18">
            <a:extLst>
              <a:ext uri="{FF2B5EF4-FFF2-40B4-BE49-F238E27FC236}">
                <a16:creationId xmlns:a16="http://schemas.microsoft.com/office/drawing/2014/main" id="{00000000-0008-0000-0200-00002BB40600}"/>
              </a:ext>
            </a:extLst>
          </xdr:cNvPr>
          <xdr:cNvSpPr>
            <a:spLocks noChangeArrowheads="1"/>
          </xdr:cNvSpPr>
        </xdr:nvSpPr>
        <xdr:spPr bwMode="auto">
          <a:xfrm>
            <a:off x="1771649" y="3562350"/>
            <a:ext cx="85726" cy="514350"/>
          </a:xfrm>
          <a:prstGeom prst="rect">
            <a:avLst/>
          </a:prstGeom>
          <a:solidFill>
            <a:srgbClr val="FFFFE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39340" name="Volný tvar 20">
            <a:extLst>
              <a:ext uri="{FF2B5EF4-FFF2-40B4-BE49-F238E27FC236}">
                <a16:creationId xmlns:a16="http://schemas.microsoft.com/office/drawing/2014/main" id="{00000000-0008-0000-0200-00002CB40600}"/>
              </a:ext>
            </a:extLst>
          </xdr:cNvPr>
          <xdr:cNvSpPr>
            <a:spLocks/>
          </xdr:cNvSpPr>
        </xdr:nvSpPr>
        <xdr:spPr bwMode="auto">
          <a:xfrm>
            <a:off x="2457450" y="3300087"/>
            <a:ext cx="290593" cy="817667"/>
          </a:xfrm>
          <a:custGeom>
            <a:avLst/>
            <a:gdLst>
              <a:gd name="T0" fmla="*/ 76200 w 290593"/>
              <a:gd name="T1" fmla="*/ 14613 h 817667"/>
              <a:gd name="T2" fmla="*/ 76200 w 290593"/>
              <a:gd name="T3" fmla="*/ 14613 h 817667"/>
              <a:gd name="T4" fmla="*/ 95250 w 290593"/>
              <a:gd name="T5" fmla="*/ 147963 h 817667"/>
              <a:gd name="T6" fmla="*/ 38100 w 290593"/>
              <a:gd name="T7" fmla="*/ 167013 h 817667"/>
              <a:gd name="T8" fmla="*/ 85725 w 290593"/>
              <a:gd name="T9" fmla="*/ 214638 h 817667"/>
              <a:gd name="T10" fmla="*/ 57150 w 290593"/>
              <a:gd name="T11" fmla="*/ 376563 h 817667"/>
              <a:gd name="T12" fmla="*/ 28575 w 290593"/>
              <a:gd name="T13" fmla="*/ 386088 h 817667"/>
              <a:gd name="T14" fmla="*/ 28575 w 290593"/>
              <a:gd name="T15" fmla="*/ 490863 h 817667"/>
              <a:gd name="T16" fmla="*/ 47625 w 290593"/>
              <a:gd name="T17" fmla="*/ 519438 h 817667"/>
              <a:gd name="T18" fmla="*/ 38100 w 290593"/>
              <a:gd name="T19" fmla="*/ 576588 h 817667"/>
              <a:gd name="T20" fmla="*/ 9525 w 290593"/>
              <a:gd name="T21" fmla="*/ 586113 h 817667"/>
              <a:gd name="T22" fmla="*/ 0 w 290593"/>
              <a:gd name="T23" fmla="*/ 614688 h 817667"/>
              <a:gd name="T24" fmla="*/ 19050 w 290593"/>
              <a:gd name="T25" fmla="*/ 671838 h 817667"/>
              <a:gd name="T26" fmla="*/ 57150 w 290593"/>
              <a:gd name="T27" fmla="*/ 728988 h 817667"/>
              <a:gd name="T28" fmla="*/ 57150 w 290593"/>
              <a:gd name="T29" fmla="*/ 814713 h 817667"/>
              <a:gd name="T30" fmla="*/ 266700 w 290593"/>
              <a:gd name="T31" fmla="*/ 776613 h 817667"/>
              <a:gd name="T32" fmla="*/ 266700 w 290593"/>
              <a:gd name="T33" fmla="*/ 509913 h 817667"/>
              <a:gd name="T34" fmla="*/ 285750 w 290593"/>
              <a:gd name="T35" fmla="*/ 43188 h 817667"/>
              <a:gd name="T36" fmla="*/ 76200 w 290593"/>
              <a:gd name="T37" fmla="*/ 14613 h 817667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w 290593"/>
              <a:gd name="T58" fmla="*/ 0 h 817667"/>
              <a:gd name="T59" fmla="*/ 290593 w 290593"/>
              <a:gd name="T60" fmla="*/ 817667 h 817667"/>
            </a:gdLst>
            <a:ahLst/>
            <a:cxnLst>
              <a:cxn ang="T38">
                <a:pos x="T0" y="T1"/>
              </a:cxn>
              <a:cxn ang="T39">
                <a:pos x="T2" y="T3"/>
              </a:cxn>
              <a:cxn ang="T40">
                <a:pos x="T4" y="T5"/>
              </a:cxn>
              <a:cxn ang="T41">
                <a:pos x="T6" y="T7"/>
              </a:cxn>
              <a:cxn ang="T42">
                <a:pos x="T8" y="T9"/>
              </a:cxn>
              <a:cxn ang="T43">
                <a:pos x="T10" y="T11"/>
              </a:cxn>
              <a:cxn ang="T44">
                <a:pos x="T12" y="T13"/>
              </a:cxn>
              <a:cxn ang="T45">
                <a:pos x="T14" y="T15"/>
              </a:cxn>
              <a:cxn ang="T46">
                <a:pos x="T16" y="T17"/>
              </a:cxn>
              <a:cxn ang="T47">
                <a:pos x="T18" y="T19"/>
              </a:cxn>
              <a:cxn ang="T48">
                <a:pos x="T20" y="T21"/>
              </a:cxn>
              <a:cxn ang="T49">
                <a:pos x="T22" y="T23"/>
              </a:cxn>
              <a:cxn ang="T50">
                <a:pos x="T24" y="T25"/>
              </a:cxn>
              <a:cxn ang="T51">
                <a:pos x="T26" y="T27"/>
              </a:cxn>
              <a:cxn ang="T52">
                <a:pos x="T28" y="T29"/>
              </a:cxn>
              <a:cxn ang="T53">
                <a:pos x="T30" y="T31"/>
              </a:cxn>
              <a:cxn ang="T54">
                <a:pos x="T32" y="T33"/>
              </a:cxn>
              <a:cxn ang="T55">
                <a:pos x="T34" y="T35"/>
              </a:cxn>
              <a:cxn ang="T56">
                <a:pos x="T36" y="T37"/>
              </a:cxn>
            </a:cxnLst>
            <a:rect l="T57" t="T58" r="T59" b="T60"/>
            <a:pathLst>
              <a:path w="290593" h="817667">
                <a:moveTo>
                  <a:pt x="76200" y="14613"/>
                </a:moveTo>
                <a:lnTo>
                  <a:pt x="76200" y="14613"/>
                </a:lnTo>
                <a:cubicBezTo>
                  <a:pt x="86511" y="42109"/>
                  <a:pt x="127065" y="111603"/>
                  <a:pt x="95250" y="147963"/>
                </a:cubicBezTo>
                <a:cubicBezTo>
                  <a:pt x="82027" y="163075"/>
                  <a:pt x="38100" y="167013"/>
                  <a:pt x="38100" y="167013"/>
                </a:cubicBezTo>
                <a:cubicBezTo>
                  <a:pt x="52096" y="176344"/>
                  <a:pt x="84429" y="192607"/>
                  <a:pt x="85725" y="214638"/>
                </a:cubicBezTo>
                <a:cubicBezTo>
                  <a:pt x="86693" y="231091"/>
                  <a:pt x="98014" y="343872"/>
                  <a:pt x="57150" y="376563"/>
                </a:cubicBezTo>
                <a:cubicBezTo>
                  <a:pt x="49310" y="382835"/>
                  <a:pt x="38100" y="382913"/>
                  <a:pt x="28575" y="386088"/>
                </a:cubicBezTo>
                <a:cubicBezTo>
                  <a:pt x="13701" y="430709"/>
                  <a:pt x="10804" y="425702"/>
                  <a:pt x="28575" y="490863"/>
                </a:cubicBezTo>
                <a:cubicBezTo>
                  <a:pt x="31587" y="501907"/>
                  <a:pt x="41275" y="509913"/>
                  <a:pt x="47625" y="519438"/>
                </a:cubicBezTo>
                <a:cubicBezTo>
                  <a:pt x="44450" y="538488"/>
                  <a:pt x="47682" y="559820"/>
                  <a:pt x="38100" y="576588"/>
                </a:cubicBezTo>
                <a:cubicBezTo>
                  <a:pt x="33119" y="585305"/>
                  <a:pt x="16625" y="579013"/>
                  <a:pt x="9525" y="586113"/>
                </a:cubicBezTo>
                <a:cubicBezTo>
                  <a:pt x="2425" y="593213"/>
                  <a:pt x="3175" y="605163"/>
                  <a:pt x="0" y="614688"/>
                </a:cubicBezTo>
                <a:cubicBezTo>
                  <a:pt x="6350" y="633738"/>
                  <a:pt x="7911" y="655130"/>
                  <a:pt x="19050" y="671838"/>
                </a:cubicBezTo>
                <a:lnTo>
                  <a:pt x="57150" y="728988"/>
                </a:lnTo>
                <a:cubicBezTo>
                  <a:pt x="51516" y="745889"/>
                  <a:pt x="26742" y="805357"/>
                  <a:pt x="57150" y="814713"/>
                </a:cubicBezTo>
                <a:cubicBezTo>
                  <a:pt x="66751" y="817667"/>
                  <a:pt x="248114" y="780330"/>
                  <a:pt x="266700" y="776613"/>
                </a:cubicBezTo>
                <a:cubicBezTo>
                  <a:pt x="290593" y="633254"/>
                  <a:pt x="266700" y="801168"/>
                  <a:pt x="266700" y="509913"/>
                </a:cubicBezTo>
                <a:cubicBezTo>
                  <a:pt x="266700" y="283161"/>
                  <a:pt x="272633" y="226829"/>
                  <a:pt x="285750" y="43188"/>
                </a:cubicBezTo>
                <a:cubicBezTo>
                  <a:pt x="199373" y="0"/>
                  <a:pt x="111125" y="19376"/>
                  <a:pt x="76200" y="14613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cap="flat" cmpd="sng" algn="ctr">
                <a:solidFill>
                  <a:srgbClr val="000000"/>
                </a:solidFill>
                <a:prstDash val="solid"/>
                <a:round/>
                <a:headEnd type="none" w="med" len="med"/>
                <a:tailEnd type="none" w="med" len="med"/>
              </a14:hiddenLine>
            </a:ext>
          </a:extLst>
        </xdr:spPr>
      </xdr:sp>
    </xdr:grpSp>
    <xdr:clientData/>
  </xdr:twoCellAnchor>
  <xdr:twoCellAnchor>
    <xdr:from>
      <xdr:col>24</xdr:col>
      <xdr:colOff>7620</xdr:colOff>
      <xdr:row>7</xdr:row>
      <xdr:rowOff>106680</xdr:rowOff>
    </xdr:from>
    <xdr:to>
      <xdr:col>28</xdr:col>
      <xdr:colOff>30480</xdr:colOff>
      <xdr:row>12</xdr:row>
      <xdr:rowOff>22860</xdr:rowOff>
    </xdr:to>
    <xdr:grpSp>
      <xdr:nvGrpSpPr>
        <xdr:cNvPr id="436081" name="Skupina 31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200-000071A70600}"/>
            </a:ext>
          </a:extLst>
        </xdr:cNvPr>
        <xdr:cNvGrpSpPr>
          <a:grpSpLocks/>
        </xdr:cNvGrpSpPr>
      </xdr:nvGrpSpPr>
      <xdr:grpSpPr bwMode="auto">
        <a:xfrm>
          <a:off x="5630378" y="1558491"/>
          <a:ext cx="953302" cy="838601"/>
          <a:chOff x="5762624" y="1547487"/>
          <a:chExt cx="976394" cy="817667"/>
        </a:xfrm>
      </xdr:grpSpPr>
      <xdr:sp macro="" textlink="">
        <xdr:nvSpPr>
          <xdr:cNvPr id="439335" name="Obdélník 23">
            <a:extLst>
              <a:ext uri="{FF2B5EF4-FFF2-40B4-BE49-F238E27FC236}">
                <a16:creationId xmlns:a16="http://schemas.microsoft.com/office/drawing/2014/main" id="{00000000-0008-0000-0200-000027B40600}"/>
              </a:ext>
            </a:extLst>
          </xdr:cNvPr>
          <xdr:cNvSpPr>
            <a:spLocks noChangeArrowheads="1"/>
          </xdr:cNvSpPr>
        </xdr:nvSpPr>
        <xdr:spPr bwMode="auto">
          <a:xfrm>
            <a:off x="5829299" y="1842331"/>
            <a:ext cx="771525" cy="405570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39336" name="Obdélník 24">
            <a:extLst>
              <a:ext uri="{FF2B5EF4-FFF2-40B4-BE49-F238E27FC236}">
                <a16:creationId xmlns:a16="http://schemas.microsoft.com/office/drawing/2014/main" id="{00000000-0008-0000-0200-000028B40600}"/>
              </a:ext>
            </a:extLst>
          </xdr:cNvPr>
          <xdr:cNvSpPr>
            <a:spLocks noChangeArrowheads="1"/>
          </xdr:cNvSpPr>
        </xdr:nvSpPr>
        <xdr:spPr bwMode="auto">
          <a:xfrm>
            <a:off x="5762624" y="1666875"/>
            <a:ext cx="85726" cy="658800"/>
          </a:xfrm>
          <a:prstGeom prst="rect">
            <a:avLst/>
          </a:prstGeom>
          <a:solidFill>
            <a:srgbClr val="FFFFE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39337" name="Volný tvar 25">
            <a:extLst>
              <a:ext uri="{FF2B5EF4-FFF2-40B4-BE49-F238E27FC236}">
                <a16:creationId xmlns:a16="http://schemas.microsoft.com/office/drawing/2014/main" id="{00000000-0008-0000-0200-000029B40600}"/>
              </a:ext>
            </a:extLst>
          </xdr:cNvPr>
          <xdr:cNvSpPr>
            <a:spLocks/>
          </xdr:cNvSpPr>
        </xdr:nvSpPr>
        <xdr:spPr bwMode="auto">
          <a:xfrm>
            <a:off x="6448425" y="1547487"/>
            <a:ext cx="290593" cy="817667"/>
          </a:xfrm>
          <a:custGeom>
            <a:avLst/>
            <a:gdLst>
              <a:gd name="T0" fmla="*/ 76200 w 290593"/>
              <a:gd name="T1" fmla="*/ 14613 h 817667"/>
              <a:gd name="T2" fmla="*/ 76200 w 290593"/>
              <a:gd name="T3" fmla="*/ 14613 h 817667"/>
              <a:gd name="T4" fmla="*/ 95250 w 290593"/>
              <a:gd name="T5" fmla="*/ 147963 h 817667"/>
              <a:gd name="T6" fmla="*/ 38100 w 290593"/>
              <a:gd name="T7" fmla="*/ 167013 h 817667"/>
              <a:gd name="T8" fmla="*/ 85725 w 290593"/>
              <a:gd name="T9" fmla="*/ 214638 h 817667"/>
              <a:gd name="T10" fmla="*/ 57150 w 290593"/>
              <a:gd name="T11" fmla="*/ 376563 h 817667"/>
              <a:gd name="T12" fmla="*/ 28575 w 290593"/>
              <a:gd name="T13" fmla="*/ 386088 h 817667"/>
              <a:gd name="T14" fmla="*/ 28575 w 290593"/>
              <a:gd name="T15" fmla="*/ 490863 h 817667"/>
              <a:gd name="T16" fmla="*/ 47625 w 290593"/>
              <a:gd name="T17" fmla="*/ 519438 h 817667"/>
              <a:gd name="T18" fmla="*/ 38100 w 290593"/>
              <a:gd name="T19" fmla="*/ 576588 h 817667"/>
              <a:gd name="T20" fmla="*/ 9525 w 290593"/>
              <a:gd name="T21" fmla="*/ 586113 h 817667"/>
              <a:gd name="T22" fmla="*/ 0 w 290593"/>
              <a:gd name="T23" fmla="*/ 614688 h 817667"/>
              <a:gd name="T24" fmla="*/ 19050 w 290593"/>
              <a:gd name="T25" fmla="*/ 671838 h 817667"/>
              <a:gd name="T26" fmla="*/ 57150 w 290593"/>
              <a:gd name="T27" fmla="*/ 728988 h 817667"/>
              <a:gd name="T28" fmla="*/ 57150 w 290593"/>
              <a:gd name="T29" fmla="*/ 814713 h 817667"/>
              <a:gd name="T30" fmla="*/ 266700 w 290593"/>
              <a:gd name="T31" fmla="*/ 776613 h 817667"/>
              <a:gd name="T32" fmla="*/ 266700 w 290593"/>
              <a:gd name="T33" fmla="*/ 509913 h 817667"/>
              <a:gd name="T34" fmla="*/ 285750 w 290593"/>
              <a:gd name="T35" fmla="*/ 43188 h 817667"/>
              <a:gd name="T36" fmla="*/ 76200 w 290593"/>
              <a:gd name="T37" fmla="*/ 14613 h 817667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w 290593"/>
              <a:gd name="T58" fmla="*/ 0 h 817667"/>
              <a:gd name="T59" fmla="*/ 290593 w 290593"/>
              <a:gd name="T60" fmla="*/ 817667 h 817667"/>
            </a:gdLst>
            <a:ahLst/>
            <a:cxnLst>
              <a:cxn ang="T38">
                <a:pos x="T0" y="T1"/>
              </a:cxn>
              <a:cxn ang="T39">
                <a:pos x="T2" y="T3"/>
              </a:cxn>
              <a:cxn ang="T40">
                <a:pos x="T4" y="T5"/>
              </a:cxn>
              <a:cxn ang="T41">
                <a:pos x="T6" y="T7"/>
              </a:cxn>
              <a:cxn ang="T42">
                <a:pos x="T8" y="T9"/>
              </a:cxn>
              <a:cxn ang="T43">
                <a:pos x="T10" y="T11"/>
              </a:cxn>
              <a:cxn ang="T44">
                <a:pos x="T12" y="T13"/>
              </a:cxn>
              <a:cxn ang="T45">
                <a:pos x="T14" y="T15"/>
              </a:cxn>
              <a:cxn ang="T46">
                <a:pos x="T16" y="T17"/>
              </a:cxn>
              <a:cxn ang="T47">
                <a:pos x="T18" y="T19"/>
              </a:cxn>
              <a:cxn ang="T48">
                <a:pos x="T20" y="T21"/>
              </a:cxn>
              <a:cxn ang="T49">
                <a:pos x="T22" y="T23"/>
              </a:cxn>
              <a:cxn ang="T50">
                <a:pos x="T24" y="T25"/>
              </a:cxn>
              <a:cxn ang="T51">
                <a:pos x="T26" y="T27"/>
              </a:cxn>
              <a:cxn ang="T52">
                <a:pos x="T28" y="T29"/>
              </a:cxn>
              <a:cxn ang="T53">
                <a:pos x="T30" y="T31"/>
              </a:cxn>
              <a:cxn ang="T54">
                <a:pos x="T32" y="T33"/>
              </a:cxn>
              <a:cxn ang="T55">
                <a:pos x="T34" y="T35"/>
              </a:cxn>
              <a:cxn ang="T56">
                <a:pos x="T36" y="T37"/>
              </a:cxn>
            </a:cxnLst>
            <a:rect l="T57" t="T58" r="T59" b="T60"/>
            <a:pathLst>
              <a:path w="290593" h="817667">
                <a:moveTo>
                  <a:pt x="76200" y="14613"/>
                </a:moveTo>
                <a:lnTo>
                  <a:pt x="76200" y="14613"/>
                </a:lnTo>
                <a:cubicBezTo>
                  <a:pt x="86511" y="42109"/>
                  <a:pt x="127065" y="111603"/>
                  <a:pt x="95250" y="147963"/>
                </a:cubicBezTo>
                <a:cubicBezTo>
                  <a:pt x="82027" y="163075"/>
                  <a:pt x="38100" y="167013"/>
                  <a:pt x="38100" y="167013"/>
                </a:cubicBezTo>
                <a:cubicBezTo>
                  <a:pt x="52096" y="176344"/>
                  <a:pt x="84429" y="192607"/>
                  <a:pt x="85725" y="214638"/>
                </a:cubicBezTo>
                <a:cubicBezTo>
                  <a:pt x="86693" y="231091"/>
                  <a:pt x="98014" y="343872"/>
                  <a:pt x="57150" y="376563"/>
                </a:cubicBezTo>
                <a:cubicBezTo>
                  <a:pt x="49310" y="382835"/>
                  <a:pt x="38100" y="382913"/>
                  <a:pt x="28575" y="386088"/>
                </a:cubicBezTo>
                <a:cubicBezTo>
                  <a:pt x="13701" y="430709"/>
                  <a:pt x="10804" y="425702"/>
                  <a:pt x="28575" y="490863"/>
                </a:cubicBezTo>
                <a:cubicBezTo>
                  <a:pt x="31587" y="501907"/>
                  <a:pt x="41275" y="509913"/>
                  <a:pt x="47625" y="519438"/>
                </a:cubicBezTo>
                <a:cubicBezTo>
                  <a:pt x="44450" y="538488"/>
                  <a:pt x="47682" y="559820"/>
                  <a:pt x="38100" y="576588"/>
                </a:cubicBezTo>
                <a:cubicBezTo>
                  <a:pt x="33119" y="585305"/>
                  <a:pt x="16625" y="579013"/>
                  <a:pt x="9525" y="586113"/>
                </a:cubicBezTo>
                <a:cubicBezTo>
                  <a:pt x="2425" y="593213"/>
                  <a:pt x="3175" y="605163"/>
                  <a:pt x="0" y="614688"/>
                </a:cubicBezTo>
                <a:cubicBezTo>
                  <a:pt x="6350" y="633738"/>
                  <a:pt x="7911" y="655130"/>
                  <a:pt x="19050" y="671838"/>
                </a:cubicBezTo>
                <a:lnTo>
                  <a:pt x="57150" y="728988"/>
                </a:lnTo>
                <a:cubicBezTo>
                  <a:pt x="51516" y="745889"/>
                  <a:pt x="26742" y="805357"/>
                  <a:pt x="57150" y="814713"/>
                </a:cubicBezTo>
                <a:cubicBezTo>
                  <a:pt x="66751" y="817667"/>
                  <a:pt x="248114" y="780330"/>
                  <a:pt x="266700" y="776613"/>
                </a:cubicBezTo>
                <a:cubicBezTo>
                  <a:pt x="290593" y="633254"/>
                  <a:pt x="266700" y="801168"/>
                  <a:pt x="266700" y="509913"/>
                </a:cubicBezTo>
                <a:cubicBezTo>
                  <a:pt x="266700" y="283161"/>
                  <a:pt x="272633" y="226829"/>
                  <a:pt x="285750" y="43188"/>
                </a:cubicBezTo>
                <a:cubicBezTo>
                  <a:pt x="199373" y="0"/>
                  <a:pt x="111125" y="19376"/>
                  <a:pt x="76200" y="14613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cap="flat" cmpd="sng" algn="ctr">
                <a:solidFill>
                  <a:srgbClr val="000000"/>
                </a:solidFill>
                <a:prstDash val="solid"/>
                <a:round/>
                <a:headEnd type="none" w="med" len="med"/>
                <a:tailEnd type="none" w="med" len="med"/>
              </a14:hiddenLine>
            </a:ext>
          </a:extLst>
        </xdr:spPr>
      </xdr:sp>
    </xdr:grpSp>
    <xdr:clientData/>
  </xdr:twoCellAnchor>
  <xdr:twoCellAnchor>
    <xdr:from>
      <xdr:col>38</xdr:col>
      <xdr:colOff>15240</xdr:colOff>
      <xdr:row>7</xdr:row>
      <xdr:rowOff>106680</xdr:rowOff>
    </xdr:from>
    <xdr:to>
      <xdr:col>42</xdr:col>
      <xdr:colOff>45720</xdr:colOff>
      <xdr:row>12</xdr:row>
      <xdr:rowOff>22860</xdr:rowOff>
    </xdr:to>
    <xdr:grpSp>
      <xdr:nvGrpSpPr>
        <xdr:cNvPr id="436082" name="Skupina 32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200-000072A70600}"/>
            </a:ext>
          </a:extLst>
        </xdr:cNvPr>
        <xdr:cNvGrpSpPr>
          <a:grpSpLocks/>
        </xdr:cNvGrpSpPr>
      </xdr:nvGrpSpPr>
      <xdr:grpSpPr bwMode="auto">
        <a:xfrm>
          <a:off x="8894545" y="1558491"/>
          <a:ext cx="960922" cy="838601"/>
          <a:chOff x="5762624" y="1547487"/>
          <a:chExt cx="976394" cy="817667"/>
        </a:xfrm>
      </xdr:grpSpPr>
      <xdr:sp macro="" textlink="">
        <xdr:nvSpPr>
          <xdr:cNvPr id="439332" name="Obdélník 34">
            <a:extLst>
              <a:ext uri="{FF2B5EF4-FFF2-40B4-BE49-F238E27FC236}">
                <a16:creationId xmlns:a16="http://schemas.microsoft.com/office/drawing/2014/main" id="{00000000-0008-0000-0200-000024B40600}"/>
              </a:ext>
            </a:extLst>
          </xdr:cNvPr>
          <xdr:cNvSpPr>
            <a:spLocks noChangeArrowheads="1"/>
          </xdr:cNvSpPr>
        </xdr:nvSpPr>
        <xdr:spPr bwMode="auto">
          <a:xfrm>
            <a:off x="5829299" y="1662453"/>
            <a:ext cx="771525" cy="585448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39333" name="Obdélník 35">
            <a:extLst>
              <a:ext uri="{FF2B5EF4-FFF2-40B4-BE49-F238E27FC236}">
                <a16:creationId xmlns:a16="http://schemas.microsoft.com/office/drawing/2014/main" id="{00000000-0008-0000-0200-000025B40600}"/>
              </a:ext>
            </a:extLst>
          </xdr:cNvPr>
          <xdr:cNvSpPr>
            <a:spLocks noChangeArrowheads="1"/>
          </xdr:cNvSpPr>
        </xdr:nvSpPr>
        <xdr:spPr bwMode="auto">
          <a:xfrm>
            <a:off x="5762624" y="1590675"/>
            <a:ext cx="85726" cy="730800"/>
          </a:xfrm>
          <a:prstGeom prst="rect">
            <a:avLst/>
          </a:prstGeom>
          <a:solidFill>
            <a:srgbClr val="FFFFE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39334" name="Volný tvar 36">
            <a:extLst>
              <a:ext uri="{FF2B5EF4-FFF2-40B4-BE49-F238E27FC236}">
                <a16:creationId xmlns:a16="http://schemas.microsoft.com/office/drawing/2014/main" id="{00000000-0008-0000-0200-000026B40600}"/>
              </a:ext>
            </a:extLst>
          </xdr:cNvPr>
          <xdr:cNvSpPr>
            <a:spLocks/>
          </xdr:cNvSpPr>
        </xdr:nvSpPr>
        <xdr:spPr bwMode="auto">
          <a:xfrm>
            <a:off x="6448425" y="1547487"/>
            <a:ext cx="290593" cy="817667"/>
          </a:xfrm>
          <a:custGeom>
            <a:avLst/>
            <a:gdLst>
              <a:gd name="T0" fmla="*/ 76200 w 290593"/>
              <a:gd name="T1" fmla="*/ 14613 h 817667"/>
              <a:gd name="T2" fmla="*/ 76200 w 290593"/>
              <a:gd name="T3" fmla="*/ 14613 h 817667"/>
              <a:gd name="T4" fmla="*/ 77390 w 290593"/>
              <a:gd name="T5" fmla="*/ 99635 h 817667"/>
              <a:gd name="T6" fmla="*/ 38100 w 290593"/>
              <a:gd name="T7" fmla="*/ 167013 h 817667"/>
              <a:gd name="T8" fmla="*/ 85725 w 290593"/>
              <a:gd name="T9" fmla="*/ 214638 h 817667"/>
              <a:gd name="T10" fmla="*/ 57150 w 290593"/>
              <a:gd name="T11" fmla="*/ 376563 h 817667"/>
              <a:gd name="T12" fmla="*/ 28575 w 290593"/>
              <a:gd name="T13" fmla="*/ 386088 h 817667"/>
              <a:gd name="T14" fmla="*/ 28575 w 290593"/>
              <a:gd name="T15" fmla="*/ 490863 h 817667"/>
              <a:gd name="T16" fmla="*/ 47625 w 290593"/>
              <a:gd name="T17" fmla="*/ 519438 h 817667"/>
              <a:gd name="T18" fmla="*/ 38100 w 290593"/>
              <a:gd name="T19" fmla="*/ 576588 h 817667"/>
              <a:gd name="T20" fmla="*/ 9525 w 290593"/>
              <a:gd name="T21" fmla="*/ 586113 h 817667"/>
              <a:gd name="T22" fmla="*/ 0 w 290593"/>
              <a:gd name="T23" fmla="*/ 614688 h 817667"/>
              <a:gd name="T24" fmla="*/ 19050 w 290593"/>
              <a:gd name="T25" fmla="*/ 671838 h 817667"/>
              <a:gd name="T26" fmla="*/ 57150 w 290593"/>
              <a:gd name="T27" fmla="*/ 728988 h 817667"/>
              <a:gd name="T28" fmla="*/ 57150 w 290593"/>
              <a:gd name="T29" fmla="*/ 814713 h 817667"/>
              <a:gd name="T30" fmla="*/ 266700 w 290593"/>
              <a:gd name="T31" fmla="*/ 776613 h 817667"/>
              <a:gd name="T32" fmla="*/ 266700 w 290593"/>
              <a:gd name="T33" fmla="*/ 509913 h 817667"/>
              <a:gd name="T34" fmla="*/ 285750 w 290593"/>
              <a:gd name="T35" fmla="*/ 43188 h 817667"/>
              <a:gd name="T36" fmla="*/ 76200 w 290593"/>
              <a:gd name="T37" fmla="*/ 14613 h 817667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w 290593"/>
              <a:gd name="T58" fmla="*/ 0 h 817667"/>
              <a:gd name="T59" fmla="*/ 290593 w 290593"/>
              <a:gd name="T60" fmla="*/ 817667 h 817667"/>
            </a:gdLst>
            <a:ahLst/>
            <a:cxnLst>
              <a:cxn ang="T38">
                <a:pos x="T0" y="T1"/>
              </a:cxn>
              <a:cxn ang="T39">
                <a:pos x="T2" y="T3"/>
              </a:cxn>
              <a:cxn ang="T40">
                <a:pos x="T4" y="T5"/>
              </a:cxn>
              <a:cxn ang="T41">
                <a:pos x="T6" y="T7"/>
              </a:cxn>
              <a:cxn ang="T42">
                <a:pos x="T8" y="T9"/>
              </a:cxn>
              <a:cxn ang="T43">
                <a:pos x="T10" y="T11"/>
              </a:cxn>
              <a:cxn ang="T44">
                <a:pos x="T12" y="T13"/>
              </a:cxn>
              <a:cxn ang="T45">
                <a:pos x="T14" y="T15"/>
              </a:cxn>
              <a:cxn ang="T46">
                <a:pos x="T16" y="T17"/>
              </a:cxn>
              <a:cxn ang="T47">
                <a:pos x="T18" y="T19"/>
              </a:cxn>
              <a:cxn ang="T48">
                <a:pos x="T20" y="T21"/>
              </a:cxn>
              <a:cxn ang="T49">
                <a:pos x="T22" y="T23"/>
              </a:cxn>
              <a:cxn ang="T50">
                <a:pos x="T24" y="T25"/>
              </a:cxn>
              <a:cxn ang="T51">
                <a:pos x="T26" y="T27"/>
              </a:cxn>
              <a:cxn ang="T52">
                <a:pos x="T28" y="T29"/>
              </a:cxn>
              <a:cxn ang="T53">
                <a:pos x="T30" y="T31"/>
              </a:cxn>
              <a:cxn ang="T54">
                <a:pos x="T32" y="T33"/>
              </a:cxn>
              <a:cxn ang="T55">
                <a:pos x="T34" y="T35"/>
              </a:cxn>
              <a:cxn ang="T56">
                <a:pos x="T36" y="T37"/>
              </a:cxn>
            </a:cxnLst>
            <a:rect l="T57" t="T58" r="T59" b="T60"/>
            <a:pathLst>
              <a:path w="290593" h="817667">
                <a:moveTo>
                  <a:pt x="76200" y="14613"/>
                </a:moveTo>
                <a:lnTo>
                  <a:pt x="76200" y="14613"/>
                </a:lnTo>
                <a:cubicBezTo>
                  <a:pt x="86511" y="42109"/>
                  <a:pt x="109205" y="63275"/>
                  <a:pt x="77390" y="99635"/>
                </a:cubicBezTo>
                <a:cubicBezTo>
                  <a:pt x="64167" y="114747"/>
                  <a:pt x="38100" y="167013"/>
                  <a:pt x="38100" y="167013"/>
                </a:cubicBezTo>
                <a:cubicBezTo>
                  <a:pt x="52096" y="176344"/>
                  <a:pt x="84429" y="192607"/>
                  <a:pt x="85725" y="214638"/>
                </a:cubicBezTo>
                <a:cubicBezTo>
                  <a:pt x="86693" y="231091"/>
                  <a:pt x="98014" y="343872"/>
                  <a:pt x="57150" y="376563"/>
                </a:cubicBezTo>
                <a:cubicBezTo>
                  <a:pt x="49310" y="382835"/>
                  <a:pt x="38100" y="382913"/>
                  <a:pt x="28575" y="386088"/>
                </a:cubicBezTo>
                <a:cubicBezTo>
                  <a:pt x="13701" y="430709"/>
                  <a:pt x="10804" y="425702"/>
                  <a:pt x="28575" y="490863"/>
                </a:cubicBezTo>
                <a:cubicBezTo>
                  <a:pt x="31587" y="501907"/>
                  <a:pt x="41275" y="509913"/>
                  <a:pt x="47625" y="519438"/>
                </a:cubicBezTo>
                <a:cubicBezTo>
                  <a:pt x="44450" y="538488"/>
                  <a:pt x="47682" y="559820"/>
                  <a:pt x="38100" y="576588"/>
                </a:cubicBezTo>
                <a:cubicBezTo>
                  <a:pt x="33119" y="585305"/>
                  <a:pt x="16625" y="579013"/>
                  <a:pt x="9525" y="586113"/>
                </a:cubicBezTo>
                <a:cubicBezTo>
                  <a:pt x="2425" y="593213"/>
                  <a:pt x="3175" y="605163"/>
                  <a:pt x="0" y="614688"/>
                </a:cubicBezTo>
                <a:cubicBezTo>
                  <a:pt x="6350" y="633738"/>
                  <a:pt x="7911" y="655130"/>
                  <a:pt x="19050" y="671838"/>
                </a:cubicBezTo>
                <a:lnTo>
                  <a:pt x="57150" y="728988"/>
                </a:lnTo>
                <a:cubicBezTo>
                  <a:pt x="51516" y="745889"/>
                  <a:pt x="26742" y="805357"/>
                  <a:pt x="57150" y="814713"/>
                </a:cubicBezTo>
                <a:cubicBezTo>
                  <a:pt x="66751" y="817667"/>
                  <a:pt x="248114" y="780330"/>
                  <a:pt x="266700" y="776613"/>
                </a:cubicBezTo>
                <a:cubicBezTo>
                  <a:pt x="290593" y="633254"/>
                  <a:pt x="266700" y="801168"/>
                  <a:pt x="266700" y="509913"/>
                </a:cubicBezTo>
                <a:cubicBezTo>
                  <a:pt x="266700" y="283161"/>
                  <a:pt x="272633" y="226829"/>
                  <a:pt x="285750" y="43188"/>
                </a:cubicBezTo>
                <a:cubicBezTo>
                  <a:pt x="199373" y="0"/>
                  <a:pt x="111125" y="19376"/>
                  <a:pt x="76200" y="14613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cap="flat" cmpd="sng" algn="ctr">
                <a:solidFill>
                  <a:srgbClr val="000000"/>
                </a:solidFill>
                <a:prstDash val="solid"/>
                <a:round/>
                <a:headEnd type="none" w="med" len="med"/>
                <a:tailEnd type="none" w="med" len="med"/>
              </a14:hiddenLine>
            </a:ext>
          </a:extLst>
        </xdr:spPr>
      </xdr:sp>
    </xdr:grpSp>
    <xdr:clientData/>
  </xdr:twoCellAnchor>
  <xdr:twoCellAnchor>
    <xdr:from>
      <xdr:col>38</xdr:col>
      <xdr:colOff>30480</xdr:colOff>
      <xdr:row>15</xdr:row>
      <xdr:rowOff>175260</xdr:rowOff>
    </xdr:from>
    <xdr:to>
      <xdr:col>42</xdr:col>
      <xdr:colOff>60960</xdr:colOff>
      <xdr:row>20</xdr:row>
      <xdr:rowOff>91440</xdr:rowOff>
    </xdr:to>
    <xdr:grpSp>
      <xdr:nvGrpSpPr>
        <xdr:cNvPr id="436083" name="Skupina 96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200-000073A70600}"/>
            </a:ext>
          </a:extLst>
        </xdr:cNvPr>
        <xdr:cNvGrpSpPr>
          <a:grpSpLocks/>
        </xdr:cNvGrpSpPr>
      </xdr:nvGrpSpPr>
      <xdr:grpSpPr bwMode="auto">
        <a:xfrm>
          <a:off x="8909785" y="3102944"/>
          <a:ext cx="960922" cy="838601"/>
          <a:chOff x="9103519" y="4391025"/>
          <a:chExt cx="976394" cy="805761"/>
        </a:xfrm>
      </xdr:grpSpPr>
      <xdr:sp macro="" textlink="">
        <xdr:nvSpPr>
          <xdr:cNvPr id="439328" name="Obdélník 98">
            <a:extLst>
              <a:ext uri="{FF2B5EF4-FFF2-40B4-BE49-F238E27FC236}">
                <a16:creationId xmlns:a16="http://schemas.microsoft.com/office/drawing/2014/main" id="{00000000-0008-0000-0200-000020B40600}"/>
              </a:ext>
            </a:extLst>
          </xdr:cNvPr>
          <xdr:cNvSpPr>
            <a:spLocks noChangeArrowheads="1"/>
          </xdr:cNvSpPr>
        </xdr:nvSpPr>
        <xdr:spPr bwMode="auto">
          <a:xfrm>
            <a:off x="9179719" y="4484886"/>
            <a:ext cx="771525" cy="454489"/>
          </a:xfrm>
          <a:prstGeom prst="rect">
            <a:avLst/>
          </a:prstGeom>
          <a:solidFill>
            <a:srgbClr val="C6D9F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39329" name="Obdélník 99">
            <a:extLst>
              <a:ext uri="{FF2B5EF4-FFF2-40B4-BE49-F238E27FC236}">
                <a16:creationId xmlns:a16="http://schemas.microsoft.com/office/drawing/2014/main" id="{00000000-0008-0000-0200-000021B40600}"/>
              </a:ext>
            </a:extLst>
          </xdr:cNvPr>
          <xdr:cNvSpPr>
            <a:spLocks noChangeArrowheads="1"/>
          </xdr:cNvSpPr>
        </xdr:nvSpPr>
        <xdr:spPr bwMode="auto">
          <a:xfrm>
            <a:off x="9170194" y="4954788"/>
            <a:ext cx="771525" cy="126452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39330" name="Obdélník 100">
            <a:extLst>
              <a:ext uri="{FF2B5EF4-FFF2-40B4-BE49-F238E27FC236}">
                <a16:creationId xmlns:a16="http://schemas.microsoft.com/office/drawing/2014/main" id="{00000000-0008-0000-0200-000022B40600}"/>
              </a:ext>
            </a:extLst>
          </xdr:cNvPr>
          <xdr:cNvSpPr>
            <a:spLocks noChangeArrowheads="1"/>
          </xdr:cNvSpPr>
        </xdr:nvSpPr>
        <xdr:spPr bwMode="auto">
          <a:xfrm>
            <a:off x="9103519" y="4433584"/>
            <a:ext cx="85726" cy="720159"/>
          </a:xfrm>
          <a:prstGeom prst="rect">
            <a:avLst/>
          </a:prstGeom>
          <a:solidFill>
            <a:srgbClr val="FFFFE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39331" name="Volný tvar 101">
            <a:extLst>
              <a:ext uri="{FF2B5EF4-FFF2-40B4-BE49-F238E27FC236}">
                <a16:creationId xmlns:a16="http://schemas.microsoft.com/office/drawing/2014/main" id="{00000000-0008-0000-0200-000023B40600}"/>
              </a:ext>
            </a:extLst>
          </xdr:cNvPr>
          <xdr:cNvSpPr>
            <a:spLocks/>
          </xdr:cNvSpPr>
        </xdr:nvSpPr>
        <xdr:spPr bwMode="auto">
          <a:xfrm>
            <a:off x="9789320" y="4391025"/>
            <a:ext cx="290593" cy="805761"/>
          </a:xfrm>
          <a:custGeom>
            <a:avLst/>
            <a:gdLst>
              <a:gd name="T0" fmla="*/ 76200 w 290593"/>
              <a:gd name="T1" fmla="*/ 5010 h 817667"/>
              <a:gd name="T2" fmla="*/ 76200 w 290593"/>
              <a:gd name="T3" fmla="*/ 5010 h 817667"/>
              <a:gd name="T4" fmla="*/ 77390 w 290593"/>
              <a:gd name="T5" fmla="*/ 34148 h 817667"/>
              <a:gd name="T6" fmla="*/ 38100 w 290593"/>
              <a:gd name="T7" fmla="*/ 57244 h 817667"/>
              <a:gd name="T8" fmla="*/ 85725 w 290593"/>
              <a:gd name="T9" fmla="*/ 73568 h 817667"/>
              <a:gd name="T10" fmla="*/ 57150 w 290593"/>
              <a:gd name="T11" fmla="*/ 129068 h 817667"/>
              <a:gd name="T12" fmla="*/ 28575 w 290593"/>
              <a:gd name="T13" fmla="*/ 132332 h 817667"/>
              <a:gd name="T14" fmla="*/ 28575 w 290593"/>
              <a:gd name="T15" fmla="*/ 168242 h 817667"/>
              <a:gd name="T16" fmla="*/ 47625 w 290593"/>
              <a:gd name="T17" fmla="*/ 178034 h 817667"/>
              <a:gd name="T18" fmla="*/ 38100 w 290593"/>
              <a:gd name="T19" fmla="*/ 197624 h 817667"/>
              <a:gd name="T20" fmla="*/ 9525 w 290593"/>
              <a:gd name="T21" fmla="*/ 200890 h 817667"/>
              <a:gd name="T22" fmla="*/ 0 w 290593"/>
              <a:gd name="T23" fmla="*/ 210682 h 817667"/>
              <a:gd name="T24" fmla="*/ 19050 w 290593"/>
              <a:gd name="T25" fmla="*/ 230271 h 817667"/>
              <a:gd name="T26" fmla="*/ 57150 w 290593"/>
              <a:gd name="T27" fmla="*/ 249858 h 817667"/>
              <a:gd name="T28" fmla="*/ 57150 w 290593"/>
              <a:gd name="T29" fmla="*/ 279239 h 817667"/>
              <a:gd name="T30" fmla="*/ 266700 w 290593"/>
              <a:gd name="T31" fmla="*/ 266183 h 817667"/>
              <a:gd name="T32" fmla="*/ 266700 w 290593"/>
              <a:gd name="T33" fmla="*/ 174772 h 817667"/>
              <a:gd name="T34" fmla="*/ 285750 w 290593"/>
              <a:gd name="T35" fmla="*/ 14801 h 817667"/>
              <a:gd name="T36" fmla="*/ 76200 w 290593"/>
              <a:gd name="T37" fmla="*/ 5010 h 817667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w 290593"/>
              <a:gd name="T58" fmla="*/ 0 h 817667"/>
              <a:gd name="T59" fmla="*/ 290593 w 290593"/>
              <a:gd name="T60" fmla="*/ 817667 h 817667"/>
            </a:gdLst>
            <a:ahLst/>
            <a:cxnLst>
              <a:cxn ang="T38">
                <a:pos x="T0" y="T1"/>
              </a:cxn>
              <a:cxn ang="T39">
                <a:pos x="T2" y="T3"/>
              </a:cxn>
              <a:cxn ang="T40">
                <a:pos x="T4" y="T5"/>
              </a:cxn>
              <a:cxn ang="T41">
                <a:pos x="T6" y="T7"/>
              </a:cxn>
              <a:cxn ang="T42">
                <a:pos x="T8" y="T9"/>
              </a:cxn>
              <a:cxn ang="T43">
                <a:pos x="T10" y="T11"/>
              </a:cxn>
              <a:cxn ang="T44">
                <a:pos x="T12" y="T13"/>
              </a:cxn>
              <a:cxn ang="T45">
                <a:pos x="T14" y="T15"/>
              </a:cxn>
              <a:cxn ang="T46">
                <a:pos x="T16" y="T17"/>
              </a:cxn>
              <a:cxn ang="T47">
                <a:pos x="T18" y="T19"/>
              </a:cxn>
              <a:cxn ang="T48">
                <a:pos x="T20" y="T21"/>
              </a:cxn>
              <a:cxn ang="T49">
                <a:pos x="T22" y="T23"/>
              </a:cxn>
              <a:cxn ang="T50">
                <a:pos x="T24" y="T25"/>
              </a:cxn>
              <a:cxn ang="T51">
                <a:pos x="T26" y="T27"/>
              </a:cxn>
              <a:cxn ang="T52">
                <a:pos x="T28" y="T29"/>
              </a:cxn>
              <a:cxn ang="T53">
                <a:pos x="T30" y="T31"/>
              </a:cxn>
              <a:cxn ang="T54">
                <a:pos x="T32" y="T33"/>
              </a:cxn>
              <a:cxn ang="T55">
                <a:pos x="T34" y="T35"/>
              </a:cxn>
              <a:cxn ang="T56">
                <a:pos x="T36" y="T37"/>
              </a:cxn>
            </a:cxnLst>
            <a:rect l="T57" t="T58" r="T59" b="T60"/>
            <a:pathLst>
              <a:path w="290593" h="817667">
                <a:moveTo>
                  <a:pt x="76200" y="14613"/>
                </a:moveTo>
                <a:lnTo>
                  <a:pt x="76200" y="14613"/>
                </a:lnTo>
                <a:cubicBezTo>
                  <a:pt x="86511" y="42109"/>
                  <a:pt x="109205" y="63275"/>
                  <a:pt x="77390" y="99635"/>
                </a:cubicBezTo>
                <a:cubicBezTo>
                  <a:pt x="64167" y="114747"/>
                  <a:pt x="38100" y="167013"/>
                  <a:pt x="38100" y="167013"/>
                </a:cubicBezTo>
                <a:cubicBezTo>
                  <a:pt x="52096" y="176344"/>
                  <a:pt x="84429" y="192607"/>
                  <a:pt x="85725" y="214638"/>
                </a:cubicBezTo>
                <a:cubicBezTo>
                  <a:pt x="86693" y="231091"/>
                  <a:pt x="98014" y="343872"/>
                  <a:pt x="57150" y="376563"/>
                </a:cubicBezTo>
                <a:cubicBezTo>
                  <a:pt x="49310" y="382835"/>
                  <a:pt x="38100" y="382913"/>
                  <a:pt x="28575" y="386088"/>
                </a:cubicBezTo>
                <a:cubicBezTo>
                  <a:pt x="13701" y="430709"/>
                  <a:pt x="10804" y="425702"/>
                  <a:pt x="28575" y="490863"/>
                </a:cubicBezTo>
                <a:cubicBezTo>
                  <a:pt x="31587" y="501907"/>
                  <a:pt x="41275" y="509913"/>
                  <a:pt x="47625" y="519438"/>
                </a:cubicBezTo>
                <a:cubicBezTo>
                  <a:pt x="44450" y="538488"/>
                  <a:pt x="47682" y="559820"/>
                  <a:pt x="38100" y="576588"/>
                </a:cubicBezTo>
                <a:cubicBezTo>
                  <a:pt x="33119" y="585305"/>
                  <a:pt x="16625" y="579013"/>
                  <a:pt x="9525" y="586113"/>
                </a:cubicBezTo>
                <a:cubicBezTo>
                  <a:pt x="2425" y="593213"/>
                  <a:pt x="3175" y="605163"/>
                  <a:pt x="0" y="614688"/>
                </a:cubicBezTo>
                <a:cubicBezTo>
                  <a:pt x="6350" y="633738"/>
                  <a:pt x="7911" y="655130"/>
                  <a:pt x="19050" y="671838"/>
                </a:cubicBezTo>
                <a:lnTo>
                  <a:pt x="57150" y="728988"/>
                </a:lnTo>
                <a:cubicBezTo>
                  <a:pt x="51516" y="745889"/>
                  <a:pt x="26742" y="805357"/>
                  <a:pt x="57150" y="814713"/>
                </a:cubicBezTo>
                <a:cubicBezTo>
                  <a:pt x="66751" y="817667"/>
                  <a:pt x="248114" y="780330"/>
                  <a:pt x="266700" y="776613"/>
                </a:cubicBezTo>
                <a:cubicBezTo>
                  <a:pt x="290593" y="633254"/>
                  <a:pt x="266700" y="801168"/>
                  <a:pt x="266700" y="509913"/>
                </a:cubicBezTo>
                <a:cubicBezTo>
                  <a:pt x="266700" y="283161"/>
                  <a:pt x="272633" y="226829"/>
                  <a:pt x="285750" y="43188"/>
                </a:cubicBezTo>
                <a:cubicBezTo>
                  <a:pt x="199373" y="0"/>
                  <a:pt x="111125" y="19376"/>
                  <a:pt x="76200" y="14613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cap="flat" cmpd="sng" algn="ctr">
                <a:solidFill>
                  <a:srgbClr val="000000"/>
                </a:solidFill>
                <a:prstDash val="solid"/>
                <a:round/>
                <a:headEnd type="none" w="med" len="med"/>
                <a:tailEnd type="none" w="med" len="med"/>
              </a14:hiddenLine>
            </a:ext>
          </a:extLst>
        </xdr:spPr>
      </xdr:sp>
    </xdr:grpSp>
    <xdr:clientData/>
  </xdr:twoCellAnchor>
  <xdr:twoCellAnchor>
    <xdr:from>
      <xdr:col>10</xdr:col>
      <xdr:colOff>106680</xdr:colOff>
      <xdr:row>25</xdr:row>
      <xdr:rowOff>53340</xdr:rowOff>
    </xdr:from>
    <xdr:to>
      <xdr:col>14</xdr:col>
      <xdr:colOff>106680</xdr:colOff>
      <xdr:row>29</xdr:row>
      <xdr:rowOff>152400</xdr:rowOff>
    </xdr:to>
    <xdr:grpSp>
      <xdr:nvGrpSpPr>
        <xdr:cNvPr id="436084" name="Skupina 10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200-000074A70600}"/>
            </a:ext>
          </a:extLst>
        </xdr:cNvPr>
        <xdr:cNvGrpSpPr>
          <a:grpSpLocks/>
        </xdr:cNvGrpSpPr>
      </xdr:nvGrpSpPr>
      <xdr:grpSpPr bwMode="auto">
        <a:xfrm>
          <a:off x="2472891" y="4825866"/>
          <a:ext cx="930442" cy="836997"/>
          <a:chOff x="1800224" y="3300087"/>
          <a:chExt cx="947819" cy="817667"/>
        </a:xfrm>
      </xdr:grpSpPr>
      <xdr:sp macro="" textlink="">
        <xdr:nvSpPr>
          <xdr:cNvPr id="439325" name="Obdélník 103">
            <a:extLst>
              <a:ext uri="{FF2B5EF4-FFF2-40B4-BE49-F238E27FC236}">
                <a16:creationId xmlns:a16="http://schemas.microsoft.com/office/drawing/2014/main" id="{00000000-0008-0000-0200-00001DB40600}"/>
              </a:ext>
            </a:extLst>
          </xdr:cNvPr>
          <xdr:cNvSpPr>
            <a:spLocks noChangeArrowheads="1"/>
          </xdr:cNvSpPr>
        </xdr:nvSpPr>
        <xdr:spPr bwMode="auto">
          <a:xfrm>
            <a:off x="1838324" y="3695700"/>
            <a:ext cx="771525" cy="304800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39326" name="Obdélník 104">
            <a:extLst>
              <a:ext uri="{FF2B5EF4-FFF2-40B4-BE49-F238E27FC236}">
                <a16:creationId xmlns:a16="http://schemas.microsoft.com/office/drawing/2014/main" id="{00000000-0008-0000-0200-00001EB40600}"/>
              </a:ext>
            </a:extLst>
          </xdr:cNvPr>
          <xdr:cNvSpPr>
            <a:spLocks noChangeArrowheads="1"/>
          </xdr:cNvSpPr>
        </xdr:nvSpPr>
        <xdr:spPr bwMode="auto">
          <a:xfrm>
            <a:off x="1800224" y="3562350"/>
            <a:ext cx="54000" cy="478800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39327" name="Volný tvar 105">
            <a:extLst>
              <a:ext uri="{FF2B5EF4-FFF2-40B4-BE49-F238E27FC236}">
                <a16:creationId xmlns:a16="http://schemas.microsoft.com/office/drawing/2014/main" id="{00000000-0008-0000-0200-00001FB40600}"/>
              </a:ext>
            </a:extLst>
          </xdr:cNvPr>
          <xdr:cNvSpPr>
            <a:spLocks/>
          </xdr:cNvSpPr>
        </xdr:nvSpPr>
        <xdr:spPr bwMode="auto">
          <a:xfrm>
            <a:off x="2457450" y="3300087"/>
            <a:ext cx="290593" cy="817667"/>
          </a:xfrm>
          <a:custGeom>
            <a:avLst/>
            <a:gdLst>
              <a:gd name="T0" fmla="*/ 76200 w 290593"/>
              <a:gd name="T1" fmla="*/ 14613 h 817667"/>
              <a:gd name="T2" fmla="*/ 76200 w 290593"/>
              <a:gd name="T3" fmla="*/ 14613 h 817667"/>
              <a:gd name="T4" fmla="*/ 95250 w 290593"/>
              <a:gd name="T5" fmla="*/ 147963 h 817667"/>
              <a:gd name="T6" fmla="*/ 38100 w 290593"/>
              <a:gd name="T7" fmla="*/ 167013 h 817667"/>
              <a:gd name="T8" fmla="*/ 85725 w 290593"/>
              <a:gd name="T9" fmla="*/ 214638 h 817667"/>
              <a:gd name="T10" fmla="*/ 57150 w 290593"/>
              <a:gd name="T11" fmla="*/ 376563 h 817667"/>
              <a:gd name="T12" fmla="*/ 28575 w 290593"/>
              <a:gd name="T13" fmla="*/ 386088 h 817667"/>
              <a:gd name="T14" fmla="*/ 28575 w 290593"/>
              <a:gd name="T15" fmla="*/ 490863 h 817667"/>
              <a:gd name="T16" fmla="*/ 47625 w 290593"/>
              <a:gd name="T17" fmla="*/ 519438 h 817667"/>
              <a:gd name="T18" fmla="*/ 38100 w 290593"/>
              <a:gd name="T19" fmla="*/ 576588 h 817667"/>
              <a:gd name="T20" fmla="*/ 9525 w 290593"/>
              <a:gd name="T21" fmla="*/ 586113 h 817667"/>
              <a:gd name="T22" fmla="*/ 0 w 290593"/>
              <a:gd name="T23" fmla="*/ 614688 h 817667"/>
              <a:gd name="T24" fmla="*/ 19050 w 290593"/>
              <a:gd name="T25" fmla="*/ 671838 h 817667"/>
              <a:gd name="T26" fmla="*/ 57150 w 290593"/>
              <a:gd name="T27" fmla="*/ 728988 h 817667"/>
              <a:gd name="T28" fmla="*/ 57150 w 290593"/>
              <a:gd name="T29" fmla="*/ 814713 h 817667"/>
              <a:gd name="T30" fmla="*/ 266700 w 290593"/>
              <a:gd name="T31" fmla="*/ 776613 h 817667"/>
              <a:gd name="T32" fmla="*/ 266700 w 290593"/>
              <a:gd name="T33" fmla="*/ 509913 h 817667"/>
              <a:gd name="T34" fmla="*/ 285750 w 290593"/>
              <a:gd name="T35" fmla="*/ 43188 h 817667"/>
              <a:gd name="T36" fmla="*/ 76200 w 290593"/>
              <a:gd name="T37" fmla="*/ 14613 h 817667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w 290593"/>
              <a:gd name="T58" fmla="*/ 0 h 817667"/>
              <a:gd name="T59" fmla="*/ 290593 w 290593"/>
              <a:gd name="T60" fmla="*/ 817667 h 817667"/>
            </a:gdLst>
            <a:ahLst/>
            <a:cxnLst>
              <a:cxn ang="T38">
                <a:pos x="T0" y="T1"/>
              </a:cxn>
              <a:cxn ang="T39">
                <a:pos x="T2" y="T3"/>
              </a:cxn>
              <a:cxn ang="T40">
                <a:pos x="T4" y="T5"/>
              </a:cxn>
              <a:cxn ang="T41">
                <a:pos x="T6" y="T7"/>
              </a:cxn>
              <a:cxn ang="T42">
                <a:pos x="T8" y="T9"/>
              </a:cxn>
              <a:cxn ang="T43">
                <a:pos x="T10" y="T11"/>
              </a:cxn>
              <a:cxn ang="T44">
                <a:pos x="T12" y="T13"/>
              </a:cxn>
              <a:cxn ang="T45">
                <a:pos x="T14" y="T15"/>
              </a:cxn>
              <a:cxn ang="T46">
                <a:pos x="T16" y="T17"/>
              </a:cxn>
              <a:cxn ang="T47">
                <a:pos x="T18" y="T19"/>
              </a:cxn>
              <a:cxn ang="T48">
                <a:pos x="T20" y="T21"/>
              </a:cxn>
              <a:cxn ang="T49">
                <a:pos x="T22" y="T23"/>
              </a:cxn>
              <a:cxn ang="T50">
                <a:pos x="T24" y="T25"/>
              </a:cxn>
              <a:cxn ang="T51">
                <a:pos x="T26" y="T27"/>
              </a:cxn>
              <a:cxn ang="T52">
                <a:pos x="T28" y="T29"/>
              </a:cxn>
              <a:cxn ang="T53">
                <a:pos x="T30" y="T31"/>
              </a:cxn>
              <a:cxn ang="T54">
                <a:pos x="T32" y="T33"/>
              </a:cxn>
              <a:cxn ang="T55">
                <a:pos x="T34" y="T35"/>
              </a:cxn>
              <a:cxn ang="T56">
                <a:pos x="T36" y="T37"/>
              </a:cxn>
            </a:cxnLst>
            <a:rect l="T57" t="T58" r="T59" b="T60"/>
            <a:pathLst>
              <a:path w="290593" h="817667">
                <a:moveTo>
                  <a:pt x="76200" y="14613"/>
                </a:moveTo>
                <a:lnTo>
                  <a:pt x="76200" y="14613"/>
                </a:lnTo>
                <a:cubicBezTo>
                  <a:pt x="86511" y="42109"/>
                  <a:pt x="127065" y="111603"/>
                  <a:pt x="95250" y="147963"/>
                </a:cubicBezTo>
                <a:cubicBezTo>
                  <a:pt x="82027" y="163075"/>
                  <a:pt x="38100" y="167013"/>
                  <a:pt x="38100" y="167013"/>
                </a:cubicBezTo>
                <a:cubicBezTo>
                  <a:pt x="52096" y="176344"/>
                  <a:pt x="84429" y="192607"/>
                  <a:pt x="85725" y="214638"/>
                </a:cubicBezTo>
                <a:cubicBezTo>
                  <a:pt x="86693" y="231091"/>
                  <a:pt x="98014" y="343872"/>
                  <a:pt x="57150" y="376563"/>
                </a:cubicBezTo>
                <a:cubicBezTo>
                  <a:pt x="49310" y="382835"/>
                  <a:pt x="38100" y="382913"/>
                  <a:pt x="28575" y="386088"/>
                </a:cubicBezTo>
                <a:cubicBezTo>
                  <a:pt x="13701" y="430709"/>
                  <a:pt x="10804" y="425702"/>
                  <a:pt x="28575" y="490863"/>
                </a:cubicBezTo>
                <a:cubicBezTo>
                  <a:pt x="31587" y="501907"/>
                  <a:pt x="41275" y="509913"/>
                  <a:pt x="47625" y="519438"/>
                </a:cubicBezTo>
                <a:cubicBezTo>
                  <a:pt x="44450" y="538488"/>
                  <a:pt x="47682" y="559820"/>
                  <a:pt x="38100" y="576588"/>
                </a:cubicBezTo>
                <a:cubicBezTo>
                  <a:pt x="33119" y="585305"/>
                  <a:pt x="16625" y="579013"/>
                  <a:pt x="9525" y="586113"/>
                </a:cubicBezTo>
                <a:cubicBezTo>
                  <a:pt x="2425" y="593213"/>
                  <a:pt x="3175" y="605163"/>
                  <a:pt x="0" y="614688"/>
                </a:cubicBezTo>
                <a:cubicBezTo>
                  <a:pt x="6350" y="633738"/>
                  <a:pt x="7911" y="655130"/>
                  <a:pt x="19050" y="671838"/>
                </a:cubicBezTo>
                <a:lnTo>
                  <a:pt x="57150" y="728988"/>
                </a:lnTo>
                <a:cubicBezTo>
                  <a:pt x="51516" y="745889"/>
                  <a:pt x="26742" y="805357"/>
                  <a:pt x="57150" y="814713"/>
                </a:cubicBezTo>
                <a:cubicBezTo>
                  <a:pt x="66751" y="817667"/>
                  <a:pt x="248114" y="780330"/>
                  <a:pt x="266700" y="776613"/>
                </a:cubicBezTo>
                <a:cubicBezTo>
                  <a:pt x="290593" y="633254"/>
                  <a:pt x="266700" y="801168"/>
                  <a:pt x="266700" y="509913"/>
                </a:cubicBezTo>
                <a:cubicBezTo>
                  <a:pt x="266700" y="283161"/>
                  <a:pt x="272633" y="226829"/>
                  <a:pt x="285750" y="43188"/>
                </a:cubicBezTo>
                <a:cubicBezTo>
                  <a:pt x="199373" y="0"/>
                  <a:pt x="111125" y="19376"/>
                  <a:pt x="76200" y="14613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cap="flat" cmpd="sng" algn="ctr">
                <a:solidFill>
                  <a:srgbClr val="000000"/>
                </a:solidFill>
                <a:prstDash val="solid"/>
                <a:round/>
                <a:headEnd type="none" w="med" len="med"/>
                <a:tailEnd type="none" w="med" len="med"/>
              </a14:hiddenLine>
            </a:ext>
          </a:extLst>
        </xdr:spPr>
      </xdr:sp>
    </xdr:grpSp>
    <xdr:clientData/>
  </xdr:twoCellAnchor>
  <xdr:twoCellAnchor>
    <xdr:from>
      <xdr:col>25</xdr:col>
      <xdr:colOff>114300</xdr:colOff>
      <xdr:row>25</xdr:row>
      <xdr:rowOff>53340</xdr:rowOff>
    </xdr:from>
    <xdr:to>
      <xdr:col>29</xdr:col>
      <xdr:colOff>121920</xdr:colOff>
      <xdr:row>29</xdr:row>
      <xdr:rowOff>152400</xdr:rowOff>
    </xdr:to>
    <xdr:grpSp>
      <xdr:nvGrpSpPr>
        <xdr:cNvPr id="436085" name="Skupina 106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0200-000075A70600}"/>
            </a:ext>
          </a:extLst>
        </xdr:cNvPr>
        <xdr:cNvGrpSpPr>
          <a:grpSpLocks/>
        </xdr:cNvGrpSpPr>
      </xdr:nvGrpSpPr>
      <xdr:grpSpPr bwMode="auto">
        <a:xfrm>
          <a:off x="5969668" y="4825866"/>
          <a:ext cx="938063" cy="836997"/>
          <a:chOff x="5781674" y="1547487"/>
          <a:chExt cx="957344" cy="817667"/>
        </a:xfrm>
      </xdr:grpSpPr>
      <xdr:sp macro="" textlink="">
        <xdr:nvSpPr>
          <xdr:cNvPr id="439322" name="Obdélník 108">
            <a:extLst>
              <a:ext uri="{FF2B5EF4-FFF2-40B4-BE49-F238E27FC236}">
                <a16:creationId xmlns:a16="http://schemas.microsoft.com/office/drawing/2014/main" id="{00000000-0008-0000-0200-00001AB40600}"/>
              </a:ext>
            </a:extLst>
          </xdr:cNvPr>
          <xdr:cNvSpPr>
            <a:spLocks noChangeArrowheads="1"/>
          </xdr:cNvSpPr>
        </xdr:nvSpPr>
        <xdr:spPr bwMode="auto">
          <a:xfrm>
            <a:off x="5829299" y="1834512"/>
            <a:ext cx="771526" cy="413389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39323" name="Obdélník 109">
            <a:extLst>
              <a:ext uri="{FF2B5EF4-FFF2-40B4-BE49-F238E27FC236}">
                <a16:creationId xmlns:a16="http://schemas.microsoft.com/office/drawing/2014/main" id="{00000000-0008-0000-0200-00001BB40600}"/>
              </a:ext>
            </a:extLst>
          </xdr:cNvPr>
          <xdr:cNvSpPr>
            <a:spLocks noChangeArrowheads="1"/>
          </xdr:cNvSpPr>
        </xdr:nvSpPr>
        <xdr:spPr bwMode="auto">
          <a:xfrm>
            <a:off x="5781674" y="1666875"/>
            <a:ext cx="54000" cy="622800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39324" name="Volný tvar 110">
            <a:extLst>
              <a:ext uri="{FF2B5EF4-FFF2-40B4-BE49-F238E27FC236}">
                <a16:creationId xmlns:a16="http://schemas.microsoft.com/office/drawing/2014/main" id="{00000000-0008-0000-0200-00001CB40600}"/>
              </a:ext>
            </a:extLst>
          </xdr:cNvPr>
          <xdr:cNvSpPr>
            <a:spLocks/>
          </xdr:cNvSpPr>
        </xdr:nvSpPr>
        <xdr:spPr bwMode="auto">
          <a:xfrm>
            <a:off x="6448425" y="1547487"/>
            <a:ext cx="290593" cy="817667"/>
          </a:xfrm>
          <a:custGeom>
            <a:avLst/>
            <a:gdLst>
              <a:gd name="T0" fmla="*/ 76200 w 290593"/>
              <a:gd name="T1" fmla="*/ 14613 h 817667"/>
              <a:gd name="T2" fmla="*/ 76200 w 290593"/>
              <a:gd name="T3" fmla="*/ 14613 h 817667"/>
              <a:gd name="T4" fmla="*/ 95250 w 290593"/>
              <a:gd name="T5" fmla="*/ 147963 h 817667"/>
              <a:gd name="T6" fmla="*/ 38100 w 290593"/>
              <a:gd name="T7" fmla="*/ 167013 h 817667"/>
              <a:gd name="T8" fmla="*/ 85725 w 290593"/>
              <a:gd name="T9" fmla="*/ 214638 h 817667"/>
              <a:gd name="T10" fmla="*/ 57150 w 290593"/>
              <a:gd name="T11" fmla="*/ 376563 h 817667"/>
              <a:gd name="T12" fmla="*/ 28575 w 290593"/>
              <a:gd name="T13" fmla="*/ 386088 h 817667"/>
              <a:gd name="T14" fmla="*/ 28575 w 290593"/>
              <a:gd name="T15" fmla="*/ 490863 h 817667"/>
              <a:gd name="T16" fmla="*/ 47625 w 290593"/>
              <a:gd name="T17" fmla="*/ 519438 h 817667"/>
              <a:gd name="T18" fmla="*/ 38100 w 290593"/>
              <a:gd name="T19" fmla="*/ 576588 h 817667"/>
              <a:gd name="T20" fmla="*/ 9525 w 290593"/>
              <a:gd name="T21" fmla="*/ 586113 h 817667"/>
              <a:gd name="T22" fmla="*/ 0 w 290593"/>
              <a:gd name="T23" fmla="*/ 614688 h 817667"/>
              <a:gd name="T24" fmla="*/ 19050 w 290593"/>
              <a:gd name="T25" fmla="*/ 671838 h 817667"/>
              <a:gd name="T26" fmla="*/ 57150 w 290593"/>
              <a:gd name="T27" fmla="*/ 728988 h 817667"/>
              <a:gd name="T28" fmla="*/ 57150 w 290593"/>
              <a:gd name="T29" fmla="*/ 814713 h 817667"/>
              <a:gd name="T30" fmla="*/ 266700 w 290593"/>
              <a:gd name="T31" fmla="*/ 776613 h 817667"/>
              <a:gd name="T32" fmla="*/ 266700 w 290593"/>
              <a:gd name="T33" fmla="*/ 509913 h 817667"/>
              <a:gd name="T34" fmla="*/ 285750 w 290593"/>
              <a:gd name="T35" fmla="*/ 43188 h 817667"/>
              <a:gd name="T36" fmla="*/ 76200 w 290593"/>
              <a:gd name="T37" fmla="*/ 14613 h 817667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w 290593"/>
              <a:gd name="T58" fmla="*/ 0 h 817667"/>
              <a:gd name="T59" fmla="*/ 290593 w 290593"/>
              <a:gd name="T60" fmla="*/ 817667 h 817667"/>
            </a:gdLst>
            <a:ahLst/>
            <a:cxnLst>
              <a:cxn ang="T38">
                <a:pos x="T0" y="T1"/>
              </a:cxn>
              <a:cxn ang="T39">
                <a:pos x="T2" y="T3"/>
              </a:cxn>
              <a:cxn ang="T40">
                <a:pos x="T4" y="T5"/>
              </a:cxn>
              <a:cxn ang="T41">
                <a:pos x="T6" y="T7"/>
              </a:cxn>
              <a:cxn ang="T42">
                <a:pos x="T8" y="T9"/>
              </a:cxn>
              <a:cxn ang="T43">
                <a:pos x="T10" y="T11"/>
              </a:cxn>
              <a:cxn ang="T44">
                <a:pos x="T12" y="T13"/>
              </a:cxn>
              <a:cxn ang="T45">
                <a:pos x="T14" y="T15"/>
              </a:cxn>
              <a:cxn ang="T46">
                <a:pos x="T16" y="T17"/>
              </a:cxn>
              <a:cxn ang="T47">
                <a:pos x="T18" y="T19"/>
              </a:cxn>
              <a:cxn ang="T48">
                <a:pos x="T20" y="T21"/>
              </a:cxn>
              <a:cxn ang="T49">
                <a:pos x="T22" y="T23"/>
              </a:cxn>
              <a:cxn ang="T50">
                <a:pos x="T24" y="T25"/>
              </a:cxn>
              <a:cxn ang="T51">
                <a:pos x="T26" y="T27"/>
              </a:cxn>
              <a:cxn ang="T52">
                <a:pos x="T28" y="T29"/>
              </a:cxn>
              <a:cxn ang="T53">
                <a:pos x="T30" y="T31"/>
              </a:cxn>
              <a:cxn ang="T54">
                <a:pos x="T32" y="T33"/>
              </a:cxn>
              <a:cxn ang="T55">
                <a:pos x="T34" y="T35"/>
              </a:cxn>
              <a:cxn ang="T56">
                <a:pos x="T36" y="T37"/>
              </a:cxn>
            </a:cxnLst>
            <a:rect l="T57" t="T58" r="T59" b="T60"/>
            <a:pathLst>
              <a:path w="290593" h="817667">
                <a:moveTo>
                  <a:pt x="76200" y="14613"/>
                </a:moveTo>
                <a:lnTo>
                  <a:pt x="76200" y="14613"/>
                </a:lnTo>
                <a:cubicBezTo>
                  <a:pt x="86511" y="42109"/>
                  <a:pt x="127065" y="111603"/>
                  <a:pt x="95250" y="147963"/>
                </a:cubicBezTo>
                <a:cubicBezTo>
                  <a:pt x="82027" y="163075"/>
                  <a:pt x="38100" y="167013"/>
                  <a:pt x="38100" y="167013"/>
                </a:cubicBezTo>
                <a:cubicBezTo>
                  <a:pt x="52096" y="176344"/>
                  <a:pt x="84429" y="192607"/>
                  <a:pt x="85725" y="214638"/>
                </a:cubicBezTo>
                <a:cubicBezTo>
                  <a:pt x="86693" y="231091"/>
                  <a:pt x="98014" y="343872"/>
                  <a:pt x="57150" y="376563"/>
                </a:cubicBezTo>
                <a:cubicBezTo>
                  <a:pt x="49310" y="382835"/>
                  <a:pt x="38100" y="382913"/>
                  <a:pt x="28575" y="386088"/>
                </a:cubicBezTo>
                <a:cubicBezTo>
                  <a:pt x="13701" y="430709"/>
                  <a:pt x="10804" y="425702"/>
                  <a:pt x="28575" y="490863"/>
                </a:cubicBezTo>
                <a:cubicBezTo>
                  <a:pt x="31587" y="501907"/>
                  <a:pt x="41275" y="509913"/>
                  <a:pt x="47625" y="519438"/>
                </a:cubicBezTo>
                <a:cubicBezTo>
                  <a:pt x="44450" y="538488"/>
                  <a:pt x="47682" y="559820"/>
                  <a:pt x="38100" y="576588"/>
                </a:cubicBezTo>
                <a:cubicBezTo>
                  <a:pt x="33119" y="585305"/>
                  <a:pt x="16625" y="579013"/>
                  <a:pt x="9525" y="586113"/>
                </a:cubicBezTo>
                <a:cubicBezTo>
                  <a:pt x="2425" y="593213"/>
                  <a:pt x="3175" y="605163"/>
                  <a:pt x="0" y="614688"/>
                </a:cubicBezTo>
                <a:cubicBezTo>
                  <a:pt x="6350" y="633738"/>
                  <a:pt x="7911" y="655130"/>
                  <a:pt x="19050" y="671838"/>
                </a:cubicBezTo>
                <a:lnTo>
                  <a:pt x="57150" y="728988"/>
                </a:lnTo>
                <a:cubicBezTo>
                  <a:pt x="51516" y="745889"/>
                  <a:pt x="26742" y="805357"/>
                  <a:pt x="57150" y="814713"/>
                </a:cubicBezTo>
                <a:cubicBezTo>
                  <a:pt x="66751" y="817667"/>
                  <a:pt x="248114" y="780330"/>
                  <a:pt x="266700" y="776613"/>
                </a:cubicBezTo>
                <a:cubicBezTo>
                  <a:pt x="290593" y="633254"/>
                  <a:pt x="266700" y="801168"/>
                  <a:pt x="266700" y="509913"/>
                </a:cubicBezTo>
                <a:cubicBezTo>
                  <a:pt x="266700" y="283161"/>
                  <a:pt x="272633" y="226829"/>
                  <a:pt x="285750" y="43188"/>
                </a:cubicBezTo>
                <a:cubicBezTo>
                  <a:pt x="199373" y="0"/>
                  <a:pt x="111125" y="19376"/>
                  <a:pt x="76200" y="14613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cap="flat" cmpd="sng" algn="ctr">
                <a:solidFill>
                  <a:srgbClr val="000000"/>
                </a:solidFill>
                <a:prstDash val="solid"/>
                <a:round/>
                <a:headEnd type="none" w="med" len="med"/>
                <a:tailEnd type="none" w="med" len="med"/>
              </a14:hiddenLine>
            </a:ext>
          </a:extLst>
        </xdr:spPr>
      </xdr:sp>
    </xdr:grpSp>
    <xdr:clientData/>
  </xdr:twoCellAnchor>
  <xdr:twoCellAnchor editAs="oneCell">
    <xdr:from>
      <xdr:col>59</xdr:col>
      <xdr:colOff>137160</xdr:colOff>
      <xdr:row>1</xdr:row>
      <xdr:rowOff>7620</xdr:rowOff>
    </xdr:from>
    <xdr:to>
      <xdr:col>60</xdr:col>
      <xdr:colOff>480060</xdr:colOff>
      <xdr:row>4</xdr:row>
      <xdr:rowOff>68580</xdr:rowOff>
    </xdr:to>
    <xdr:pic>
      <xdr:nvPicPr>
        <xdr:cNvPr id="436086" name="Picture 24">
          <a:extLst>
            <a:ext uri="{FF2B5EF4-FFF2-40B4-BE49-F238E27FC236}">
              <a16:creationId xmlns:a16="http://schemas.microsoft.com/office/drawing/2014/main" id="{00000000-0008-0000-0200-000076A7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67640"/>
          <a:ext cx="96012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68580</xdr:colOff>
      <xdr:row>64</xdr:row>
      <xdr:rowOff>38100</xdr:rowOff>
    </xdr:from>
    <xdr:to>
      <xdr:col>14</xdr:col>
      <xdr:colOff>83820</xdr:colOff>
      <xdr:row>67</xdr:row>
      <xdr:rowOff>15240</xdr:rowOff>
    </xdr:to>
    <xdr:grpSp>
      <xdr:nvGrpSpPr>
        <xdr:cNvPr id="436087" name="Skupina 21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0000000-0008-0000-0200-000077A70600}"/>
            </a:ext>
          </a:extLst>
        </xdr:cNvPr>
        <xdr:cNvGrpSpPr>
          <a:grpSpLocks/>
        </xdr:cNvGrpSpPr>
      </xdr:nvGrpSpPr>
      <xdr:grpSpPr bwMode="auto">
        <a:xfrm>
          <a:off x="2434791" y="12109784"/>
          <a:ext cx="945682" cy="530593"/>
          <a:chOff x="1771649" y="3604335"/>
          <a:chExt cx="976394" cy="513419"/>
        </a:xfrm>
      </xdr:grpSpPr>
      <xdr:sp macro="" textlink="">
        <xdr:nvSpPr>
          <xdr:cNvPr id="439319" name="Obdélník 19">
            <a:extLst>
              <a:ext uri="{FF2B5EF4-FFF2-40B4-BE49-F238E27FC236}">
                <a16:creationId xmlns:a16="http://schemas.microsoft.com/office/drawing/2014/main" id="{00000000-0008-0000-0200-000017B40600}"/>
              </a:ext>
            </a:extLst>
          </xdr:cNvPr>
          <xdr:cNvSpPr>
            <a:spLocks noChangeArrowheads="1"/>
          </xdr:cNvSpPr>
        </xdr:nvSpPr>
        <xdr:spPr bwMode="auto">
          <a:xfrm>
            <a:off x="1838324" y="3784983"/>
            <a:ext cx="771525" cy="215518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39320" name="Obdélník 18">
            <a:extLst>
              <a:ext uri="{FF2B5EF4-FFF2-40B4-BE49-F238E27FC236}">
                <a16:creationId xmlns:a16="http://schemas.microsoft.com/office/drawing/2014/main" id="{00000000-0008-0000-0200-000018B40600}"/>
              </a:ext>
            </a:extLst>
          </xdr:cNvPr>
          <xdr:cNvSpPr>
            <a:spLocks noChangeArrowheads="1"/>
          </xdr:cNvSpPr>
        </xdr:nvSpPr>
        <xdr:spPr bwMode="auto">
          <a:xfrm>
            <a:off x="1771649" y="3715173"/>
            <a:ext cx="85726" cy="358839"/>
          </a:xfrm>
          <a:prstGeom prst="rect">
            <a:avLst/>
          </a:prstGeom>
          <a:solidFill>
            <a:srgbClr val="FFFFE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39321" name="Volný tvar 20">
            <a:extLst>
              <a:ext uri="{FF2B5EF4-FFF2-40B4-BE49-F238E27FC236}">
                <a16:creationId xmlns:a16="http://schemas.microsoft.com/office/drawing/2014/main" id="{00000000-0008-0000-0200-000019B40600}"/>
              </a:ext>
            </a:extLst>
          </xdr:cNvPr>
          <xdr:cNvSpPr>
            <a:spLocks/>
          </xdr:cNvSpPr>
        </xdr:nvSpPr>
        <xdr:spPr bwMode="auto">
          <a:xfrm>
            <a:off x="2457450" y="3604335"/>
            <a:ext cx="290593" cy="513419"/>
          </a:xfrm>
          <a:custGeom>
            <a:avLst/>
            <a:gdLst>
              <a:gd name="T0" fmla="*/ 76200 w 290593"/>
              <a:gd name="T1" fmla="*/ 1 h 817667"/>
              <a:gd name="T2" fmla="*/ 76200 w 290593"/>
              <a:gd name="T3" fmla="*/ 1 h 817667"/>
              <a:gd name="T4" fmla="*/ 95250 w 290593"/>
              <a:gd name="T5" fmla="*/ 1 h 817667"/>
              <a:gd name="T6" fmla="*/ 38100 w 290593"/>
              <a:gd name="T7" fmla="*/ 1 h 817667"/>
              <a:gd name="T8" fmla="*/ 85725 w 290593"/>
              <a:gd name="T9" fmla="*/ 1 h 817667"/>
              <a:gd name="T10" fmla="*/ 57150 w 290593"/>
              <a:gd name="T11" fmla="*/ 1 h 817667"/>
              <a:gd name="T12" fmla="*/ 28575 w 290593"/>
              <a:gd name="T13" fmla="*/ 1 h 817667"/>
              <a:gd name="T14" fmla="*/ 28575 w 290593"/>
              <a:gd name="T15" fmla="*/ 1 h 817667"/>
              <a:gd name="T16" fmla="*/ 47625 w 290593"/>
              <a:gd name="T17" fmla="*/ 1 h 817667"/>
              <a:gd name="T18" fmla="*/ 38100 w 290593"/>
              <a:gd name="T19" fmla="*/ 1 h 817667"/>
              <a:gd name="T20" fmla="*/ 9525 w 290593"/>
              <a:gd name="T21" fmla="*/ 1 h 817667"/>
              <a:gd name="T22" fmla="*/ 0 w 290593"/>
              <a:gd name="T23" fmla="*/ 1 h 817667"/>
              <a:gd name="T24" fmla="*/ 19050 w 290593"/>
              <a:gd name="T25" fmla="*/ 1 h 817667"/>
              <a:gd name="T26" fmla="*/ 57150 w 290593"/>
              <a:gd name="T27" fmla="*/ 1 h 817667"/>
              <a:gd name="T28" fmla="*/ 57150 w 290593"/>
              <a:gd name="T29" fmla="*/ 1 h 817667"/>
              <a:gd name="T30" fmla="*/ 266700 w 290593"/>
              <a:gd name="T31" fmla="*/ 1 h 817667"/>
              <a:gd name="T32" fmla="*/ 266700 w 290593"/>
              <a:gd name="T33" fmla="*/ 1 h 817667"/>
              <a:gd name="T34" fmla="*/ 285750 w 290593"/>
              <a:gd name="T35" fmla="*/ 1 h 817667"/>
              <a:gd name="T36" fmla="*/ 76200 w 290593"/>
              <a:gd name="T37" fmla="*/ 1 h 817667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w 290593"/>
              <a:gd name="T58" fmla="*/ 0 h 817667"/>
              <a:gd name="T59" fmla="*/ 290593 w 290593"/>
              <a:gd name="T60" fmla="*/ 817667 h 817667"/>
            </a:gdLst>
            <a:ahLst/>
            <a:cxnLst>
              <a:cxn ang="T38">
                <a:pos x="T0" y="T1"/>
              </a:cxn>
              <a:cxn ang="T39">
                <a:pos x="T2" y="T3"/>
              </a:cxn>
              <a:cxn ang="T40">
                <a:pos x="T4" y="T5"/>
              </a:cxn>
              <a:cxn ang="T41">
                <a:pos x="T6" y="T7"/>
              </a:cxn>
              <a:cxn ang="T42">
                <a:pos x="T8" y="T9"/>
              </a:cxn>
              <a:cxn ang="T43">
                <a:pos x="T10" y="T11"/>
              </a:cxn>
              <a:cxn ang="T44">
                <a:pos x="T12" y="T13"/>
              </a:cxn>
              <a:cxn ang="T45">
                <a:pos x="T14" y="T15"/>
              </a:cxn>
              <a:cxn ang="T46">
                <a:pos x="T16" y="T17"/>
              </a:cxn>
              <a:cxn ang="T47">
                <a:pos x="T18" y="T19"/>
              </a:cxn>
              <a:cxn ang="T48">
                <a:pos x="T20" y="T21"/>
              </a:cxn>
              <a:cxn ang="T49">
                <a:pos x="T22" y="T23"/>
              </a:cxn>
              <a:cxn ang="T50">
                <a:pos x="T24" y="T25"/>
              </a:cxn>
              <a:cxn ang="T51">
                <a:pos x="T26" y="T27"/>
              </a:cxn>
              <a:cxn ang="T52">
                <a:pos x="T28" y="T29"/>
              </a:cxn>
              <a:cxn ang="T53">
                <a:pos x="T30" y="T31"/>
              </a:cxn>
              <a:cxn ang="T54">
                <a:pos x="T32" y="T33"/>
              </a:cxn>
              <a:cxn ang="T55">
                <a:pos x="T34" y="T35"/>
              </a:cxn>
              <a:cxn ang="T56">
                <a:pos x="T36" y="T37"/>
              </a:cxn>
            </a:cxnLst>
            <a:rect l="T57" t="T58" r="T59" b="T60"/>
            <a:pathLst>
              <a:path w="290593" h="817667">
                <a:moveTo>
                  <a:pt x="76200" y="14613"/>
                </a:moveTo>
                <a:lnTo>
                  <a:pt x="76200" y="14613"/>
                </a:lnTo>
                <a:cubicBezTo>
                  <a:pt x="86511" y="42109"/>
                  <a:pt x="127065" y="111603"/>
                  <a:pt x="95250" y="147963"/>
                </a:cubicBezTo>
                <a:cubicBezTo>
                  <a:pt x="82027" y="163075"/>
                  <a:pt x="38100" y="167013"/>
                  <a:pt x="38100" y="167013"/>
                </a:cubicBezTo>
                <a:cubicBezTo>
                  <a:pt x="52096" y="176344"/>
                  <a:pt x="84429" y="192607"/>
                  <a:pt x="85725" y="214638"/>
                </a:cubicBezTo>
                <a:cubicBezTo>
                  <a:pt x="86693" y="231091"/>
                  <a:pt x="98014" y="343872"/>
                  <a:pt x="57150" y="376563"/>
                </a:cubicBezTo>
                <a:cubicBezTo>
                  <a:pt x="49310" y="382835"/>
                  <a:pt x="38100" y="382913"/>
                  <a:pt x="28575" y="386088"/>
                </a:cubicBezTo>
                <a:cubicBezTo>
                  <a:pt x="13701" y="430709"/>
                  <a:pt x="10804" y="425702"/>
                  <a:pt x="28575" y="490863"/>
                </a:cubicBezTo>
                <a:cubicBezTo>
                  <a:pt x="31587" y="501907"/>
                  <a:pt x="41275" y="509913"/>
                  <a:pt x="47625" y="519438"/>
                </a:cubicBezTo>
                <a:cubicBezTo>
                  <a:pt x="44450" y="538488"/>
                  <a:pt x="47682" y="559820"/>
                  <a:pt x="38100" y="576588"/>
                </a:cubicBezTo>
                <a:cubicBezTo>
                  <a:pt x="33119" y="585305"/>
                  <a:pt x="16625" y="579013"/>
                  <a:pt x="9525" y="586113"/>
                </a:cubicBezTo>
                <a:cubicBezTo>
                  <a:pt x="2425" y="593213"/>
                  <a:pt x="3175" y="605163"/>
                  <a:pt x="0" y="614688"/>
                </a:cubicBezTo>
                <a:cubicBezTo>
                  <a:pt x="6350" y="633738"/>
                  <a:pt x="7911" y="655130"/>
                  <a:pt x="19050" y="671838"/>
                </a:cubicBezTo>
                <a:lnTo>
                  <a:pt x="57150" y="728988"/>
                </a:lnTo>
                <a:cubicBezTo>
                  <a:pt x="51516" y="745889"/>
                  <a:pt x="26742" y="805357"/>
                  <a:pt x="57150" y="814713"/>
                </a:cubicBezTo>
                <a:cubicBezTo>
                  <a:pt x="66751" y="817667"/>
                  <a:pt x="248114" y="780330"/>
                  <a:pt x="266700" y="776613"/>
                </a:cubicBezTo>
                <a:cubicBezTo>
                  <a:pt x="290593" y="633254"/>
                  <a:pt x="266700" y="801168"/>
                  <a:pt x="266700" y="509913"/>
                </a:cubicBezTo>
                <a:cubicBezTo>
                  <a:pt x="266700" y="283161"/>
                  <a:pt x="272633" y="226829"/>
                  <a:pt x="285750" y="43188"/>
                </a:cubicBezTo>
                <a:cubicBezTo>
                  <a:pt x="199373" y="0"/>
                  <a:pt x="111125" y="19376"/>
                  <a:pt x="76200" y="14613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cap="flat" cmpd="sng" algn="ctr">
                <a:solidFill>
                  <a:srgbClr val="000000"/>
                </a:solidFill>
                <a:prstDash val="solid"/>
                <a:round/>
                <a:headEnd type="none" w="med" len="med"/>
                <a:tailEnd type="none" w="med" len="med"/>
              </a14:hiddenLine>
            </a:ext>
          </a:extLst>
        </xdr:spPr>
      </xdr:sp>
    </xdr:grpSp>
    <xdr:clientData/>
  </xdr:twoCellAnchor>
  <xdr:twoCellAnchor>
    <xdr:from>
      <xdr:col>4</xdr:col>
      <xdr:colOff>91440</xdr:colOff>
      <xdr:row>77</xdr:row>
      <xdr:rowOff>22860</xdr:rowOff>
    </xdr:from>
    <xdr:to>
      <xdr:col>7</xdr:col>
      <xdr:colOff>45720</xdr:colOff>
      <xdr:row>80</xdr:row>
      <xdr:rowOff>129540</xdr:rowOff>
    </xdr:to>
    <xdr:grpSp>
      <xdr:nvGrpSpPr>
        <xdr:cNvPr id="436088" name="Skupina 214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200-000078A70600}"/>
            </a:ext>
          </a:extLst>
        </xdr:cNvPr>
        <xdr:cNvGrpSpPr>
          <a:grpSpLocks/>
        </xdr:cNvGrpSpPr>
      </xdr:nvGrpSpPr>
      <xdr:grpSpPr bwMode="auto">
        <a:xfrm>
          <a:off x="1061987" y="14597113"/>
          <a:ext cx="652112" cy="660132"/>
          <a:chOff x="2202497" y="21642192"/>
          <a:chExt cx="655003" cy="660030"/>
        </a:xfrm>
      </xdr:grpSpPr>
      <xdr:sp macro="" textlink="">
        <xdr:nvSpPr>
          <xdr:cNvPr id="439315" name="Obdélník 23">
            <a:extLst>
              <a:ext uri="{FF2B5EF4-FFF2-40B4-BE49-F238E27FC236}">
                <a16:creationId xmlns:a16="http://schemas.microsoft.com/office/drawing/2014/main" id="{00000000-0008-0000-0200-000013B40600}"/>
              </a:ext>
            </a:extLst>
          </xdr:cNvPr>
          <xdr:cNvSpPr>
            <a:spLocks noChangeArrowheads="1"/>
          </xdr:cNvSpPr>
        </xdr:nvSpPr>
        <xdr:spPr bwMode="auto">
          <a:xfrm>
            <a:off x="2202497" y="21642192"/>
            <a:ext cx="655003" cy="660030"/>
          </a:xfrm>
          <a:prstGeom prst="rect">
            <a:avLst/>
          </a:pr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algn="ctr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439316" name="Obdélník 23">
            <a:extLst>
              <a:ext uri="{FF2B5EF4-FFF2-40B4-BE49-F238E27FC236}">
                <a16:creationId xmlns:a16="http://schemas.microsoft.com/office/drawing/2014/main" id="{00000000-0008-0000-0200-000014B40600}"/>
              </a:ext>
            </a:extLst>
          </xdr:cNvPr>
          <xdr:cNvSpPr>
            <a:spLocks noChangeArrowheads="1"/>
          </xdr:cNvSpPr>
        </xdr:nvSpPr>
        <xdr:spPr bwMode="auto">
          <a:xfrm>
            <a:off x="2278697" y="21794325"/>
            <a:ext cx="536765" cy="106035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39317" name="Obdélník 23">
            <a:extLst>
              <a:ext uri="{FF2B5EF4-FFF2-40B4-BE49-F238E27FC236}">
                <a16:creationId xmlns:a16="http://schemas.microsoft.com/office/drawing/2014/main" id="{00000000-0008-0000-0200-000015B40600}"/>
              </a:ext>
            </a:extLst>
          </xdr:cNvPr>
          <xdr:cNvSpPr>
            <a:spLocks noChangeArrowheads="1"/>
          </xdr:cNvSpPr>
        </xdr:nvSpPr>
        <xdr:spPr bwMode="auto">
          <a:xfrm>
            <a:off x="2280702" y="22062365"/>
            <a:ext cx="536755" cy="177640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39318" name="Obdélník 24">
            <a:extLst>
              <a:ext uri="{FF2B5EF4-FFF2-40B4-BE49-F238E27FC236}">
                <a16:creationId xmlns:a16="http://schemas.microsoft.com/office/drawing/2014/main" id="{00000000-0008-0000-0200-000016B40600}"/>
              </a:ext>
            </a:extLst>
          </xdr:cNvPr>
          <xdr:cNvSpPr>
            <a:spLocks noChangeArrowheads="1"/>
          </xdr:cNvSpPr>
        </xdr:nvSpPr>
        <xdr:spPr bwMode="auto">
          <a:xfrm>
            <a:off x="2227236" y="21664532"/>
            <a:ext cx="60577" cy="609115"/>
          </a:xfrm>
          <a:prstGeom prst="rect">
            <a:avLst/>
          </a:prstGeom>
          <a:solidFill>
            <a:srgbClr val="FFFFE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>
      <xdr:col>10</xdr:col>
      <xdr:colOff>91440</xdr:colOff>
      <xdr:row>73</xdr:row>
      <xdr:rowOff>106680</xdr:rowOff>
    </xdr:from>
    <xdr:to>
      <xdr:col>14</xdr:col>
      <xdr:colOff>114300</xdr:colOff>
      <xdr:row>78</xdr:row>
      <xdr:rowOff>22860</xdr:rowOff>
    </xdr:to>
    <xdr:grpSp>
      <xdr:nvGrpSpPr>
        <xdr:cNvPr id="436089" name="Skupina 76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200-000079A70600}"/>
            </a:ext>
          </a:extLst>
        </xdr:cNvPr>
        <xdr:cNvGrpSpPr>
          <a:grpSpLocks/>
        </xdr:cNvGrpSpPr>
      </xdr:nvGrpSpPr>
      <xdr:grpSpPr bwMode="auto">
        <a:xfrm>
          <a:off x="2457651" y="13942996"/>
          <a:ext cx="953302" cy="838601"/>
          <a:chOff x="5762625" y="4438650"/>
          <a:chExt cx="976394" cy="817667"/>
        </a:xfrm>
      </xdr:grpSpPr>
      <xdr:sp macro="" textlink="">
        <xdr:nvSpPr>
          <xdr:cNvPr id="439312" name="Obdélník 79">
            <a:extLst>
              <a:ext uri="{FF2B5EF4-FFF2-40B4-BE49-F238E27FC236}">
                <a16:creationId xmlns:a16="http://schemas.microsoft.com/office/drawing/2014/main" id="{00000000-0008-0000-0200-000010B40600}"/>
              </a:ext>
            </a:extLst>
          </xdr:cNvPr>
          <xdr:cNvSpPr>
            <a:spLocks noChangeArrowheads="1"/>
          </xdr:cNvSpPr>
        </xdr:nvSpPr>
        <xdr:spPr bwMode="auto">
          <a:xfrm>
            <a:off x="5829300" y="4833265"/>
            <a:ext cx="771525" cy="305125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39313" name="Obdélník 80">
            <a:extLst>
              <a:ext uri="{FF2B5EF4-FFF2-40B4-BE49-F238E27FC236}">
                <a16:creationId xmlns:a16="http://schemas.microsoft.com/office/drawing/2014/main" id="{00000000-0008-0000-0200-000011B40600}"/>
              </a:ext>
            </a:extLst>
          </xdr:cNvPr>
          <xdr:cNvSpPr>
            <a:spLocks noChangeArrowheads="1"/>
          </xdr:cNvSpPr>
        </xdr:nvSpPr>
        <xdr:spPr bwMode="auto">
          <a:xfrm>
            <a:off x="5762625" y="4558681"/>
            <a:ext cx="85726" cy="656351"/>
          </a:xfrm>
          <a:prstGeom prst="rect">
            <a:avLst/>
          </a:prstGeom>
          <a:solidFill>
            <a:srgbClr val="FFFFE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39314" name="Volný tvar 81">
            <a:extLst>
              <a:ext uri="{FF2B5EF4-FFF2-40B4-BE49-F238E27FC236}">
                <a16:creationId xmlns:a16="http://schemas.microsoft.com/office/drawing/2014/main" id="{00000000-0008-0000-0200-000012B40600}"/>
              </a:ext>
            </a:extLst>
          </xdr:cNvPr>
          <xdr:cNvSpPr>
            <a:spLocks/>
          </xdr:cNvSpPr>
        </xdr:nvSpPr>
        <xdr:spPr bwMode="auto">
          <a:xfrm>
            <a:off x="6448426" y="4438650"/>
            <a:ext cx="290593" cy="817667"/>
          </a:xfrm>
          <a:custGeom>
            <a:avLst/>
            <a:gdLst>
              <a:gd name="T0" fmla="*/ 76200 w 290593"/>
              <a:gd name="T1" fmla="*/ 14613 h 817667"/>
              <a:gd name="T2" fmla="*/ 76200 w 290593"/>
              <a:gd name="T3" fmla="*/ 14613 h 817667"/>
              <a:gd name="T4" fmla="*/ 95250 w 290593"/>
              <a:gd name="T5" fmla="*/ 147963 h 817667"/>
              <a:gd name="T6" fmla="*/ 38100 w 290593"/>
              <a:gd name="T7" fmla="*/ 167013 h 817667"/>
              <a:gd name="T8" fmla="*/ 85725 w 290593"/>
              <a:gd name="T9" fmla="*/ 214638 h 817667"/>
              <a:gd name="T10" fmla="*/ 57150 w 290593"/>
              <a:gd name="T11" fmla="*/ 376563 h 817667"/>
              <a:gd name="T12" fmla="*/ 28575 w 290593"/>
              <a:gd name="T13" fmla="*/ 386088 h 817667"/>
              <a:gd name="T14" fmla="*/ 28575 w 290593"/>
              <a:gd name="T15" fmla="*/ 490863 h 817667"/>
              <a:gd name="T16" fmla="*/ 47625 w 290593"/>
              <a:gd name="T17" fmla="*/ 519438 h 817667"/>
              <a:gd name="T18" fmla="*/ 38100 w 290593"/>
              <a:gd name="T19" fmla="*/ 576588 h 817667"/>
              <a:gd name="T20" fmla="*/ 9525 w 290593"/>
              <a:gd name="T21" fmla="*/ 586113 h 817667"/>
              <a:gd name="T22" fmla="*/ 0 w 290593"/>
              <a:gd name="T23" fmla="*/ 614688 h 817667"/>
              <a:gd name="T24" fmla="*/ 19050 w 290593"/>
              <a:gd name="T25" fmla="*/ 671838 h 817667"/>
              <a:gd name="T26" fmla="*/ 57150 w 290593"/>
              <a:gd name="T27" fmla="*/ 728988 h 817667"/>
              <a:gd name="T28" fmla="*/ 57150 w 290593"/>
              <a:gd name="T29" fmla="*/ 814713 h 817667"/>
              <a:gd name="T30" fmla="*/ 266700 w 290593"/>
              <a:gd name="T31" fmla="*/ 776613 h 817667"/>
              <a:gd name="T32" fmla="*/ 266700 w 290593"/>
              <a:gd name="T33" fmla="*/ 509913 h 817667"/>
              <a:gd name="T34" fmla="*/ 285750 w 290593"/>
              <a:gd name="T35" fmla="*/ 43188 h 817667"/>
              <a:gd name="T36" fmla="*/ 76200 w 290593"/>
              <a:gd name="T37" fmla="*/ 14613 h 817667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w 290593"/>
              <a:gd name="T58" fmla="*/ 0 h 817667"/>
              <a:gd name="T59" fmla="*/ 290593 w 290593"/>
              <a:gd name="T60" fmla="*/ 817667 h 817667"/>
            </a:gdLst>
            <a:ahLst/>
            <a:cxnLst>
              <a:cxn ang="T38">
                <a:pos x="T0" y="T1"/>
              </a:cxn>
              <a:cxn ang="T39">
                <a:pos x="T2" y="T3"/>
              </a:cxn>
              <a:cxn ang="T40">
                <a:pos x="T4" y="T5"/>
              </a:cxn>
              <a:cxn ang="T41">
                <a:pos x="T6" y="T7"/>
              </a:cxn>
              <a:cxn ang="T42">
                <a:pos x="T8" y="T9"/>
              </a:cxn>
              <a:cxn ang="T43">
                <a:pos x="T10" y="T11"/>
              </a:cxn>
              <a:cxn ang="T44">
                <a:pos x="T12" y="T13"/>
              </a:cxn>
              <a:cxn ang="T45">
                <a:pos x="T14" y="T15"/>
              </a:cxn>
              <a:cxn ang="T46">
                <a:pos x="T16" y="T17"/>
              </a:cxn>
              <a:cxn ang="T47">
                <a:pos x="T18" y="T19"/>
              </a:cxn>
              <a:cxn ang="T48">
                <a:pos x="T20" y="T21"/>
              </a:cxn>
              <a:cxn ang="T49">
                <a:pos x="T22" y="T23"/>
              </a:cxn>
              <a:cxn ang="T50">
                <a:pos x="T24" y="T25"/>
              </a:cxn>
              <a:cxn ang="T51">
                <a:pos x="T26" y="T27"/>
              </a:cxn>
              <a:cxn ang="T52">
                <a:pos x="T28" y="T29"/>
              </a:cxn>
              <a:cxn ang="T53">
                <a:pos x="T30" y="T31"/>
              </a:cxn>
              <a:cxn ang="T54">
                <a:pos x="T32" y="T33"/>
              </a:cxn>
              <a:cxn ang="T55">
                <a:pos x="T34" y="T35"/>
              </a:cxn>
              <a:cxn ang="T56">
                <a:pos x="T36" y="T37"/>
              </a:cxn>
            </a:cxnLst>
            <a:rect l="T57" t="T58" r="T59" b="T60"/>
            <a:pathLst>
              <a:path w="290593" h="817667">
                <a:moveTo>
                  <a:pt x="76200" y="14613"/>
                </a:moveTo>
                <a:lnTo>
                  <a:pt x="76200" y="14613"/>
                </a:lnTo>
                <a:cubicBezTo>
                  <a:pt x="86511" y="42109"/>
                  <a:pt x="127065" y="111603"/>
                  <a:pt x="95250" y="147963"/>
                </a:cubicBezTo>
                <a:cubicBezTo>
                  <a:pt x="82027" y="163075"/>
                  <a:pt x="38100" y="167013"/>
                  <a:pt x="38100" y="167013"/>
                </a:cubicBezTo>
                <a:cubicBezTo>
                  <a:pt x="52096" y="176344"/>
                  <a:pt x="84429" y="192607"/>
                  <a:pt x="85725" y="214638"/>
                </a:cubicBezTo>
                <a:cubicBezTo>
                  <a:pt x="86693" y="231091"/>
                  <a:pt x="98014" y="343872"/>
                  <a:pt x="57150" y="376563"/>
                </a:cubicBezTo>
                <a:cubicBezTo>
                  <a:pt x="49310" y="382835"/>
                  <a:pt x="38100" y="382913"/>
                  <a:pt x="28575" y="386088"/>
                </a:cubicBezTo>
                <a:cubicBezTo>
                  <a:pt x="13701" y="430709"/>
                  <a:pt x="10804" y="425702"/>
                  <a:pt x="28575" y="490863"/>
                </a:cubicBezTo>
                <a:cubicBezTo>
                  <a:pt x="31587" y="501907"/>
                  <a:pt x="41275" y="509913"/>
                  <a:pt x="47625" y="519438"/>
                </a:cubicBezTo>
                <a:cubicBezTo>
                  <a:pt x="44450" y="538488"/>
                  <a:pt x="47682" y="559820"/>
                  <a:pt x="38100" y="576588"/>
                </a:cubicBezTo>
                <a:cubicBezTo>
                  <a:pt x="33119" y="585305"/>
                  <a:pt x="16625" y="579013"/>
                  <a:pt x="9525" y="586113"/>
                </a:cubicBezTo>
                <a:cubicBezTo>
                  <a:pt x="2425" y="593213"/>
                  <a:pt x="3175" y="605163"/>
                  <a:pt x="0" y="614688"/>
                </a:cubicBezTo>
                <a:cubicBezTo>
                  <a:pt x="6350" y="633738"/>
                  <a:pt x="7911" y="655130"/>
                  <a:pt x="19050" y="671838"/>
                </a:cubicBezTo>
                <a:lnTo>
                  <a:pt x="57150" y="728988"/>
                </a:lnTo>
                <a:cubicBezTo>
                  <a:pt x="51516" y="745889"/>
                  <a:pt x="26742" y="805357"/>
                  <a:pt x="57150" y="814713"/>
                </a:cubicBezTo>
                <a:cubicBezTo>
                  <a:pt x="66751" y="817667"/>
                  <a:pt x="248114" y="780330"/>
                  <a:pt x="266700" y="776613"/>
                </a:cubicBezTo>
                <a:cubicBezTo>
                  <a:pt x="290593" y="633254"/>
                  <a:pt x="266700" y="801168"/>
                  <a:pt x="266700" y="509913"/>
                </a:cubicBezTo>
                <a:cubicBezTo>
                  <a:pt x="266700" y="283161"/>
                  <a:pt x="272633" y="226829"/>
                  <a:pt x="285750" y="43188"/>
                </a:cubicBezTo>
                <a:cubicBezTo>
                  <a:pt x="199373" y="0"/>
                  <a:pt x="111125" y="19376"/>
                  <a:pt x="76200" y="14613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cap="flat" cmpd="sng" algn="ctr">
                <a:solidFill>
                  <a:srgbClr val="000000"/>
                </a:solidFill>
                <a:prstDash val="solid"/>
                <a:round/>
                <a:headEnd type="none" w="med" len="med"/>
                <a:tailEnd type="none" w="med" len="med"/>
              </a14:hiddenLine>
            </a:ext>
          </a:extLst>
        </xdr:spPr>
      </xdr:sp>
    </xdr:grpSp>
    <xdr:clientData/>
  </xdr:twoCellAnchor>
  <xdr:twoCellAnchor>
    <xdr:from>
      <xdr:col>52</xdr:col>
      <xdr:colOff>15240</xdr:colOff>
      <xdr:row>7</xdr:row>
      <xdr:rowOff>76200</xdr:rowOff>
    </xdr:from>
    <xdr:to>
      <xdr:col>56</xdr:col>
      <xdr:colOff>45720</xdr:colOff>
      <xdr:row>12</xdr:row>
      <xdr:rowOff>121920</xdr:rowOff>
    </xdr:to>
    <xdr:grpSp>
      <xdr:nvGrpSpPr>
        <xdr:cNvPr id="436091" name="Skupina 32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0000000-0008-0000-0200-00007BA70600}"/>
            </a:ext>
          </a:extLst>
        </xdr:cNvPr>
        <xdr:cNvGrpSpPr>
          <a:grpSpLocks/>
        </xdr:cNvGrpSpPr>
      </xdr:nvGrpSpPr>
      <xdr:grpSpPr bwMode="auto">
        <a:xfrm>
          <a:off x="12151093" y="1528011"/>
          <a:ext cx="960922" cy="968141"/>
          <a:chOff x="5762624" y="1520288"/>
          <a:chExt cx="976394" cy="940714"/>
        </a:xfrm>
      </xdr:grpSpPr>
      <xdr:sp macro="" textlink="">
        <xdr:nvSpPr>
          <xdr:cNvPr id="439299" name="Obdélník 34">
            <a:extLst>
              <a:ext uri="{FF2B5EF4-FFF2-40B4-BE49-F238E27FC236}">
                <a16:creationId xmlns:a16="http://schemas.microsoft.com/office/drawing/2014/main" id="{00000000-0008-0000-0200-000003B40600}"/>
              </a:ext>
            </a:extLst>
          </xdr:cNvPr>
          <xdr:cNvSpPr>
            <a:spLocks noChangeArrowheads="1"/>
          </xdr:cNvSpPr>
        </xdr:nvSpPr>
        <xdr:spPr bwMode="auto">
          <a:xfrm>
            <a:off x="5829299" y="1623348"/>
            <a:ext cx="771525" cy="766441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39300" name="Obdélník 35">
            <a:extLst>
              <a:ext uri="{FF2B5EF4-FFF2-40B4-BE49-F238E27FC236}">
                <a16:creationId xmlns:a16="http://schemas.microsoft.com/office/drawing/2014/main" id="{00000000-0008-0000-0200-000004B40600}"/>
              </a:ext>
            </a:extLst>
          </xdr:cNvPr>
          <xdr:cNvSpPr>
            <a:spLocks noChangeArrowheads="1"/>
          </xdr:cNvSpPr>
        </xdr:nvSpPr>
        <xdr:spPr bwMode="auto">
          <a:xfrm>
            <a:off x="5762624" y="1520288"/>
            <a:ext cx="85726" cy="940714"/>
          </a:xfrm>
          <a:prstGeom prst="rect">
            <a:avLst/>
          </a:prstGeom>
          <a:solidFill>
            <a:srgbClr val="FFFFE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39301" name="Volný tvar 36">
            <a:extLst>
              <a:ext uri="{FF2B5EF4-FFF2-40B4-BE49-F238E27FC236}">
                <a16:creationId xmlns:a16="http://schemas.microsoft.com/office/drawing/2014/main" id="{00000000-0008-0000-0200-000005B40600}"/>
              </a:ext>
            </a:extLst>
          </xdr:cNvPr>
          <xdr:cNvSpPr>
            <a:spLocks/>
          </xdr:cNvSpPr>
        </xdr:nvSpPr>
        <xdr:spPr bwMode="auto">
          <a:xfrm>
            <a:off x="6448425" y="1547487"/>
            <a:ext cx="290593" cy="873581"/>
          </a:xfrm>
          <a:custGeom>
            <a:avLst/>
            <a:gdLst>
              <a:gd name="T0" fmla="*/ 76200 w 290593"/>
              <a:gd name="T1" fmla="*/ 48065 h 817667"/>
              <a:gd name="T2" fmla="*/ 76200 w 290593"/>
              <a:gd name="T3" fmla="*/ 48065 h 817667"/>
              <a:gd name="T4" fmla="*/ 77390 w 290593"/>
              <a:gd name="T5" fmla="*/ 327710 h 817667"/>
              <a:gd name="T6" fmla="*/ 38100 w 290593"/>
              <a:gd name="T7" fmla="*/ 549330 h 817667"/>
              <a:gd name="T8" fmla="*/ 85725 w 290593"/>
              <a:gd name="T9" fmla="*/ 705970 h 817667"/>
              <a:gd name="T10" fmla="*/ 57150 w 290593"/>
              <a:gd name="T11" fmla="*/ 1238564 h 817667"/>
              <a:gd name="T12" fmla="*/ 28575 w 290593"/>
              <a:gd name="T13" fmla="*/ 1269896 h 817667"/>
              <a:gd name="T14" fmla="*/ 28575 w 290593"/>
              <a:gd name="T15" fmla="*/ 1614511 h 817667"/>
              <a:gd name="T16" fmla="*/ 47625 w 290593"/>
              <a:gd name="T17" fmla="*/ 1708496 h 817667"/>
              <a:gd name="T18" fmla="*/ 38100 w 290593"/>
              <a:gd name="T19" fmla="*/ 1896472 h 817667"/>
              <a:gd name="T20" fmla="*/ 9525 w 290593"/>
              <a:gd name="T21" fmla="*/ 1927801 h 817667"/>
              <a:gd name="T22" fmla="*/ 0 w 290593"/>
              <a:gd name="T23" fmla="*/ 2021785 h 817667"/>
              <a:gd name="T24" fmla="*/ 19050 w 290593"/>
              <a:gd name="T25" fmla="*/ 2209759 h 817667"/>
              <a:gd name="T26" fmla="*/ 57150 w 290593"/>
              <a:gd name="T27" fmla="*/ 2397737 h 817667"/>
              <a:gd name="T28" fmla="*/ 57150 w 290593"/>
              <a:gd name="T29" fmla="*/ 2679698 h 817667"/>
              <a:gd name="T30" fmla="*/ 266700 w 290593"/>
              <a:gd name="T31" fmla="*/ 2554377 h 817667"/>
              <a:gd name="T32" fmla="*/ 266700 w 290593"/>
              <a:gd name="T33" fmla="*/ 1677168 h 817667"/>
              <a:gd name="T34" fmla="*/ 285750 w 290593"/>
              <a:gd name="T35" fmla="*/ 142048 h 817667"/>
              <a:gd name="T36" fmla="*/ 76200 w 290593"/>
              <a:gd name="T37" fmla="*/ 48065 h 817667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w 290593"/>
              <a:gd name="T58" fmla="*/ 0 h 817667"/>
              <a:gd name="T59" fmla="*/ 290593 w 290593"/>
              <a:gd name="T60" fmla="*/ 817667 h 817667"/>
            </a:gdLst>
            <a:ahLst/>
            <a:cxnLst>
              <a:cxn ang="T38">
                <a:pos x="T0" y="T1"/>
              </a:cxn>
              <a:cxn ang="T39">
                <a:pos x="T2" y="T3"/>
              </a:cxn>
              <a:cxn ang="T40">
                <a:pos x="T4" y="T5"/>
              </a:cxn>
              <a:cxn ang="T41">
                <a:pos x="T6" y="T7"/>
              </a:cxn>
              <a:cxn ang="T42">
                <a:pos x="T8" y="T9"/>
              </a:cxn>
              <a:cxn ang="T43">
                <a:pos x="T10" y="T11"/>
              </a:cxn>
              <a:cxn ang="T44">
                <a:pos x="T12" y="T13"/>
              </a:cxn>
              <a:cxn ang="T45">
                <a:pos x="T14" y="T15"/>
              </a:cxn>
              <a:cxn ang="T46">
                <a:pos x="T16" y="T17"/>
              </a:cxn>
              <a:cxn ang="T47">
                <a:pos x="T18" y="T19"/>
              </a:cxn>
              <a:cxn ang="T48">
                <a:pos x="T20" y="T21"/>
              </a:cxn>
              <a:cxn ang="T49">
                <a:pos x="T22" y="T23"/>
              </a:cxn>
              <a:cxn ang="T50">
                <a:pos x="T24" y="T25"/>
              </a:cxn>
              <a:cxn ang="T51">
                <a:pos x="T26" y="T27"/>
              </a:cxn>
              <a:cxn ang="T52">
                <a:pos x="T28" y="T29"/>
              </a:cxn>
              <a:cxn ang="T53">
                <a:pos x="T30" y="T31"/>
              </a:cxn>
              <a:cxn ang="T54">
                <a:pos x="T32" y="T33"/>
              </a:cxn>
              <a:cxn ang="T55">
                <a:pos x="T34" y="T35"/>
              </a:cxn>
              <a:cxn ang="T56">
                <a:pos x="T36" y="T37"/>
              </a:cxn>
            </a:cxnLst>
            <a:rect l="T57" t="T58" r="T59" b="T60"/>
            <a:pathLst>
              <a:path w="290593" h="817667">
                <a:moveTo>
                  <a:pt x="76200" y="14613"/>
                </a:moveTo>
                <a:lnTo>
                  <a:pt x="76200" y="14613"/>
                </a:lnTo>
                <a:cubicBezTo>
                  <a:pt x="86511" y="42109"/>
                  <a:pt x="109205" y="63275"/>
                  <a:pt x="77390" y="99635"/>
                </a:cubicBezTo>
                <a:cubicBezTo>
                  <a:pt x="64167" y="114747"/>
                  <a:pt x="38100" y="167013"/>
                  <a:pt x="38100" y="167013"/>
                </a:cubicBezTo>
                <a:cubicBezTo>
                  <a:pt x="52096" y="176344"/>
                  <a:pt x="84429" y="192607"/>
                  <a:pt x="85725" y="214638"/>
                </a:cubicBezTo>
                <a:cubicBezTo>
                  <a:pt x="86693" y="231091"/>
                  <a:pt x="98014" y="343872"/>
                  <a:pt x="57150" y="376563"/>
                </a:cubicBezTo>
                <a:cubicBezTo>
                  <a:pt x="49310" y="382835"/>
                  <a:pt x="38100" y="382913"/>
                  <a:pt x="28575" y="386088"/>
                </a:cubicBezTo>
                <a:cubicBezTo>
                  <a:pt x="13701" y="430709"/>
                  <a:pt x="10804" y="425702"/>
                  <a:pt x="28575" y="490863"/>
                </a:cubicBezTo>
                <a:cubicBezTo>
                  <a:pt x="31587" y="501907"/>
                  <a:pt x="41275" y="509913"/>
                  <a:pt x="47625" y="519438"/>
                </a:cubicBezTo>
                <a:cubicBezTo>
                  <a:pt x="44450" y="538488"/>
                  <a:pt x="47682" y="559820"/>
                  <a:pt x="38100" y="576588"/>
                </a:cubicBezTo>
                <a:cubicBezTo>
                  <a:pt x="33119" y="585305"/>
                  <a:pt x="16625" y="579013"/>
                  <a:pt x="9525" y="586113"/>
                </a:cubicBezTo>
                <a:cubicBezTo>
                  <a:pt x="2425" y="593213"/>
                  <a:pt x="3175" y="605163"/>
                  <a:pt x="0" y="614688"/>
                </a:cubicBezTo>
                <a:cubicBezTo>
                  <a:pt x="6350" y="633738"/>
                  <a:pt x="7911" y="655130"/>
                  <a:pt x="19050" y="671838"/>
                </a:cubicBezTo>
                <a:lnTo>
                  <a:pt x="57150" y="728988"/>
                </a:lnTo>
                <a:cubicBezTo>
                  <a:pt x="51516" y="745889"/>
                  <a:pt x="26742" y="805357"/>
                  <a:pt x="57150" y="814713"/>
                </a:cubicBezTo>
                <a:cubicBezTo>
                  <a:pt x="66751" y="817667"/>
                  <a:pt x="248114" y="780330"/>
                  <a:pt x="266700" y="776613"/>
                </a:cubicBezTo>
                <a:cubicBezTo>
                  <a:pt x="290593" y="633254"/>
                  <a:pt x="266700" y="801168"/>
                  <a:pt x="266700" y="509913"/>
                </a:cubicBezTo>
                <a:cubicBezTo>
                  <a:pt x="266700" y="283161"/>
                  <a:pt x="272633" y="226829"/>
                  <a:pt x="285750" y="43188"/>
                </a:cubicBezTo>
                <a:cubicBezTo>
                  <a:pt x="199373" y="0"/>
                  <a:pt x="111125" y="19376"/>
                  <a:pt x="76200" y="14613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cap="flat" cmpd="sng" algn="ctr">
                <a:solidFill>
                  <a:srgbClr val="000000"/>
                </a:solidFill>
                <a:prstDash val="solid"/>
                <a:round/>
                <a:headEnd type="none" w="med" len="med"/>
                <a:tailEnd type="none" w="med" len="med"/>
              </a14:hiddenLine>
            </a:ext>
          </a:extLst>
        </xdr:spPr>
      </xdr:sp>
    </xdr:grpSp>
    <xdr:clientData/>
  </xdr:twoCellAnchor>
  <xdr:twoCellAnchor editAs="oneCell">
    <xdr:from>
      <xdr:col>50</xdr:col>
      <xdr:colOff>0</xdr:colOff>
      <xdr:row>101</xdr:row>
      <xdr:rowOff>91440</xdr:rowOff>
    </xdr:from>
    <xdr:to>
      <xdr:col>58</xdr:col>
      <xdr:colOff>213360</xdr:colOff>
      <xdr:row>110</xdr:row>
      <xdr:rowOff>38100</xdr:rowOff>
    </xdr:to>
    <xdr:pic>
      <xdr:nvPicPr>
        <xdr:cNvPr id="436092" name="Picture 24">
          <a:extLst>
            <a:ext uri="{FF2B5EF4-FFF2-40B4-BE49-F238E27FC236}">
              <a16:creationId xmlns:a16="http://schemas.microsoft.com/office/drawing/2014/main" id="{00000000-0008-0000-0200-00007CA7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19050000"/>
          <a:ext cx="1920240" cy="1592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39</xdr:col>
      <xdr:colOff>106680</xdr:colOff>
      <xdr:row>25</xdr:row>
      <xdr:rowOff>129540</xdr:rowOff>
    </xdr:from>
    <xdr:to>
      <xdr:col>43</xdr:col>
      <xdr:colOff>114300</xdr:colOff>
      <xdr:row>29</xdr:row>
      <xdr:rowOff>152400</xdr:rowOff>
    </xdr:to>
    <xdr:grpSp>
      <xdr:nvGrpSpPr>
        <xdr:cNvPr id="436093" name="Skupina 106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0000000-0008-0000-0200-00007DA70600}"/>
            </a:ext>
          </a:extLst>
        </xdr:cNvPr>
        <xdr:cNvGrpSpPr>
          <a:grpSpLocks/>
        </xdr:cNvGrpSpPr>
      </xdr:nvGrpSpPr>
      <xdr:grpSpPr bwMode="auto">
        <a:xfrm>
          <a:off x="9218596" y="4902066"/>
          <a:ext cx="938062" cy="760797"/>
          <a:chOff x="5781674" y="1627771"/>
          <a:chExt cx="957344" cy="737383"/>
        </a:xfrm>
      </xdr:grpSpPr>
      <xdr:sp macro="" textlink="">
        <xdr:nvSpPr>
          <xdr:cNvPr id="439296" name="Obdélník 108">
            <a:extLst>
              <a:ext uri="{FF2B5EF4-FFF2-40B4-BE49-F238E27FC236}">
                <a16:creationId xmlns:a16="http://schemas.microsoft.com/office/drawing/2014/main" id="{00000000-0008-0000-0200-000000B40600}"/>
              </a:ext>
            </a:extLst>
          </xdr:cNvPr>
          <xdr:cNvSpPr>
            <a:spLocks noChangeArrowheads="1"/>
          </xdr:cNvSpPr>
        </xdr:nvSpPr>
        <xdr:spPr bwMode="auto">
          <a:xfrm>
            <a:off x="5829299" y="1680441"/>
            <a:ext cx="771526" cy="567460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39297" name="Obdélník 109">
            <a:extLst>
              <a:ext uri="{FF2B5EF4-FFF2-40B4-BE49-F238E27FC236}">
                <a16:creationId xmlns:a16="http://schemas.microsoft.com/office/drawing/2014/main" id="{00000000-0008-0000-0200-000001B40600}"/>
              </a:ext>
            </a:extLst>
          </xdr:cNvPr>
          <xdr:cNvSpPr>
            <a:spLocks noChangeArrowheads="1"/>
          </xdr:cNvSpPr>
        </xdr:nvSpPr>
        <xdr:spPr bwMode="auto">
          <a:xfrm>
            <a:off x="5781674" y="1627771"/>
            <a:ext cx="54000" cy="656395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39298" name="Volný tvar 110">
            <a:extLst>
              <a:ext uri="{FF2B5EF4-FFF2-40B4-BE49-F238E27FC236}">
                <a16:creationId xmlns:a16="http://schemas.microsoft.com/office/drawing/2014/main" id="{00000000-0008-0000-0200-000002B40600}"/>
              </a:ext>
            </a:extLst>
          </xdr:cNvPr>
          <xdr:cNvSpPr>
            <a:spLocks/>
          </xdr:cNvSpPr>
        </xdr:nvSpPr>
        <xdr:spPr bwMode="auto">
          <a:xfrm>
            <a:off x="6448424" y="1633515"/>
            <a:ext cx="290594" cy="731639"/>
          </a:xfrm>
          <a:custGeom>
            <a:avLst/>
            <a:gdLst>
              <a:gd name="T0" fmla="*/ 76200 w 290593"/>
              <a:gd name="T1" fmla="*/ 1416 h 817667"/>
              <a:gd name="T2" fmla="*/ 76200 w 290593"/>
              <a:gd name="T3" fmla="*/ 1416 h 817667"/>
              <a:gd name="T4" fmla="*/ 95250 w 290593"/>
              <a:gd name="T5" fmla="*/ 14331 h 817667"/>
              <a:gd name="T6" fmla="*/ 38100 w 290593"/>
              <a:gd name="T7" fmla="*/ 16175 h 817667"/>
              <a:gd name="T8" fmla="*/ 85725 w 290593"/>
              <a:gd name="T9" fmla="*/ 20789 h 817667"/>
              <a:gd name="T10" fmla="*/ 57150 w 290593"/>
              <a:gd name="T11" fmla="*/ 36473 h 817667"/>
              <a:gd name="T12" fmla="*/ 28575 w 290593"/>
              <a:gd name="T13" fmla="*/ 37395 h 817667"/>
              <a:gd name="T14" fmla="*/ 28575 w 290593"/>
              <a:gd name="T15" fmla="*/ 47543 h 817667"/>
              <a:gd name="T16" fmla="*/ 47625 w 290593"/>
              <a:gd name="T17" fmla="*/ 50311 h 817667"/>
              <a:gd name="T18" fmla="*/ 38100 w 290593"/>
              <a:gd name="T19" fmla="*/ 55846 h 817667"/>
              <a:gd name="T20" fmla="*/ 9525 w 290593"/>
              <a:gd name="T21" fmla="*/ 56768 h 817667"/>
              <a:gd name="T22" fmla="*/ 0 w 290593"/>
              <a:gd name="T23" fmla="*/ 59536 h 817667"/>
              <a:gd name="T24" fmla="*/ 19050 w 290593"/>
              <a:gd name="T25" fmla="*/ 65072 h 817667"/>
              <a:gd name="T26" fmla="*/ 57150 w 290593"/>
              <a:gd name="T27" fmla="*/ 70608 h 817667"/>
              <a:gd name="T28" fmla="*/ 57150 w 290593"/>
              <a:gd name="T29" fmla="*/ 78910 h 817667"/>
              <a:gd name="T30" fmla="*/ 266721 w 290593"/>
              <a:gd name="T31" fmla="*/ 75219 h 817667"/>
              <a:gd name="T32" fmla="*/ 266721 w 290593"/>
              <a:gd name="T33" fmla="*/ 49388 h 817667"/>
              <a:gd name="T34" fmla="*/ 285771 w 290593"/>
              <a:gd name="T35" fmla="*/ 4183 h 817667"/>
              <a:gd name="T36" fmla="*/ 76200 w 290593"/>
              <a:gd name="T37" fmla="*/ 1416 h 817667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w 290593"/>
              <a:gd name="T58" fmla="*/ 0 h 817667"/>
              <a:gd name="T59" fmla="*/ 290593 w 290593"/>
              <a:gd name="T60" fmla="*/ 817667 h 817667"/>
            </a:gdLst>
            <a:ahLst/>
            <a:cxnLst>
              <a:cxn ang="T38">
                <a:pos x="T0" y="T1"/>
              </a:cxn>
              <a:cxn ang="T39">
                <a:pos x="T2" y="T3"/>
              </a:cxn>
              <a:cxn ang="T40">
                <a:pos x="T4" y="T5"/>
              </a:cxn>
              <a:cxn ang="T41">
                <a:pos x="T6" y="T7"/>
              </a:cxn>
              <a:cxn ang="T42">
                <a:pos x="T8" y="T9"/>
              </a:cxn>
              <a:cxn ang="T43">
                <a:pos x="T10" y="T11"/>
              </a:cxn>
              <a:cxn ang="T44">
                <a:pos x="T12" y="T13"/>
              </a:cxn>
              <a:cxn ang="T45">
                <a:pos x="T14" y="T15"/>
              </a:cxn>
              <a:cxn ang="T46">
                <a:pos x="T16" y="T17"/>
              </a:cxn>
              <a:cxn ang="T47">
                <a:pos x="T18" y="T19"/>
              </a:cxn>
              <a:cxn ang="T48">
                <a:pos x="T20" y="T21"/>
              </a:cxn>
              <a:cxn ang="T49">
                <a:pos x="T22" y="T23"/>
              </a:cxn>
              <a:cxn ang="T50">
                <a:pos x="T24" y="T25"/>
              </a:cxn>
              <a:cxn ang="T51">
                <a:pos x="T26" y="T27"/>
              </a:cxn>
              <a:cxn ang="T52">
                <a:pos x="T28" y="T29"/>
              </a:cxn>
              <a:cxn ang="T53">
                <a:pos x="T30" y="T31"/>
              </a:cxn>
              <a:cxn ang="T54">
                <a:pos x="T32" y="T33"/>
              </a:cxn>
              <a:cxn ang="T55">
                <a:pos x="T34" y="T35"/>
              </a:cxn>
              <a:cxn ang="T56">
                <a:pos x="T36" y="T37"/>
              </a:cxn>
            </a:cxnLst>
            <a:rect l="T57" t="T58" r="T59" b="T60"/>
            <a:pathLst>
              <a:path w="290593" h="817667">
                <a:moveTo>
                  <a:pt x="76200" y="14613"/>
                </a:moveTo>
                <a:lnTo>
                  <a:pt x="76200" y="14613"/>
                </a:lnTo>
                <a:cubicBezTo>
                  <a:pt x="86511" y="42109"/>
                  <a:pt x="127065" y="111603"/>
                  <a:pt x="95250" y="147963"/>
                </a:cubicBezTo>
                <a:cubicBezTo>
                  <a:pt x="82027" y="163075"/>
                  <a:pt x="38100" y="167013"/>
                  <a:pt x="38100" y="167013"/>
                </a:cubicBezTo>
                <a:cubicBezTo>
                  <a:pt x="52096" y="176344"/>
                  <a:pt x="84429" y="192607"/>
                  <a:pt x="85725" y="214638"/>
                </a:cubicBezTo>
                <a:cubicBezTo>
                  <a:pt x="86693" y="231091"/>
                  <a:pt x="98014" y="343872"/>
                  <a:pt x="57150" y="376563"/>
                </a:cubicBezTo>
                <a:cubicBezTo>
                  <a:pt x="49310" y="382835"/>
                  <a:pt x="38100" y="382913"/>
                  <a:pt x="28575" y="386088"/>
                </a:cubicBezTo>
                <a:cubicBezTo>
                  <a:pt x="13701" y="430709"/>
                  <a:pt x="10804" y="425702"/>
                  <a:pt x="28575" y="490863"/>
                </a:cubicBezTo>
                <a:cubicBezTo>
                  <a:pt x="31587" y="501907"/>
                  <a:pt x="41275" y="509913"/>
                  <a:pt x="47625" y="519438"/>
                </a:cubicBezTo>
                <a:cubicBezTo>
                  <a:pt x="44450" y="538488"/>
                  <a:pt x="47682" y="559820"/>
                  <a:pt x="38100" y="576588"/>
                </a:cubicBezTo>
                <a:cubicBezTo>
                  <a:pt x="33119" y="585305"/>
                  <a:pt x="16625" y="579013"/>
                  <a:pt x="9525" y="586113"/>
                </a:cubicBezTo>
                <a:cubicBezTo>
                  <a:pt x="2425" y="593213"/>
                  <a:pt x="3175" y="605163"/>
                  <a:pt x="0" y="614688"/>
                </a:cubicBezTo>
                <a:cubicBezTo>
                  <a:pt x="6350" y="633738"/>
                  <a:pt x="7911" y="655130"/>
                  <a:pt x="19050" y="671838"/>
                </a:cubicBezTo>
                <a:lnTo>
                  <a:pt x="57150" y="728988"/>
                </a:lnTo>
                <a:cubicBezTo>
                  <a:pt x="51516" y="745889"/>
                  <a:pt x="26742" y="805357"/>
                  <a:pt x="57150" y="814713"/>
                </a:cubicBezTo>
                <a:cubicBezTo>
                  <a:pt x="66751" y="817667"/>
                  <a:pt x="248114" y="780330"/>
                  <a:pt x="266700" y="776613"/>
                </a:cubicBezTo>
                <a:cubicBezTo>
                  <a:pt x="290593" y="633254"/>
                  <a:pt x="266700" y="801168"/>
                  <a:pt x="266700" y="509913"/>
                </a:cubicBezTo>
                <a:cubicBezTo>
                  <a:pt x="266700" y="283161"/>
                  <a:pt x="272633" y="226829"/>
                  <a:pt x="285750" y="43188"/>
                </a:cubicBezTo>
                <a:cubicBezTo>
                  <a:pt x="199373" y="0"/>
                  <a:pt x="111125" y="19376"/>
                  <a:pt x="76200" y="14613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cap="flat" cmpd="sng" algn="ctr">
                <a:solidFill>
                  <a:srgbClr val="000000"/>
                </a:solidFill>
                <a:prstDash val="solid"/>
                <a:round/>
                <a:headEnd type="none" w="med" len="med"/>
                <a:tailEnd type="none" w="med" len="med"/>
              </a14:hiddenLine>
            </a:ext>
          </a:extLst>
        </xdr:spPr>
      </xdr:sp>
    </xdr:grpSp>
    <xdr:clientData/>
  </xdr:twoCellAnchor>
  <xdr:twoCellAnchor>
    <xdr:from>
      <xdr:col>39</xdr:col>
      <xdr:colOff>22860</xdr:colOff>
      <xdr:row>44</xdr:row>
      <xdr:rowOff>0</xdr:rowOff>
    </xdr:from>
    <xdr:to>
      <xdr:col>43</xdr:col>
      <xdr:colOff>30480</xdr:colOff>
      <xdr:row>48</xdr:row>
      <xdr:rowOff>22860</xdr:rowOff>
    </xdr:to>
    <xdr:grpSp>
      <xdr:nvGrpSpPr>
        <xdr:cNvPr id="436094" name="Skupina 106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200-00007EA70600}"/>
            </a:ext>
          </a:extLst>
        </xdr:cNvPr>
        <xdr:cNvGrpSpPr>
          <a:grpSpLocks/>
        </xdr:cNvGrpSpPr>
      </xdr:nvGrpSpPr>
      <xdr:grpSpPr bwMode="auto">
        <a:xfrm>
          <a:off x="9134776" y="8277726"/>
          <a:ext cx="938062" cy="760797"/>
          <a:chOff x="5781674" y="1627771"/>
          <a:chExt cx="957344" cy="737383"/>
        </a:xfrm>
      </xdr:grpSpPr>
      <xdr:sp macro="" textlink="">
        <xdr:nvSpPr>
          <xdr:cNvPr id="436221" name="Obdélník 108">
            <a:extLst>
              <a:ext uri="{FF2B5EF4-FFF2-40B4-BE49-F238E27FC236}">
                <a16:creationId xmlns:a16="http://schemas.microsoft.com/office/drawing/2014/main" id="{00000000-0008-0000-0200-0000FDA70600}"/>
              </a:ext>
            </a:extLst>
          </xdr:cNvPr>
          <xdr:cNvSpPr>
            <a:spLocks noChangeArrowheads="1"/>
          </xdr:cNvSpPr>
        </xdr:nvSpPr>
        <xdr:spPr bwMode="auto">
          <a:xfrm>
            <a:off x="5829299" y="1680441"/>
            <a:ext cx="771526" cy="567460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36222" name="Obdélník 109">
            <a:extLst>
              <a:ext uri="{FF2B5EF4-FFF2-40B4-BE49-F238E27FC236}">
                <a16:creationId xmlns:a16="http://schemas.microsoft.com/office/drawing/2014/main" id="{00000000-0008-0000-0200-0000FEA70600}"/>
              </a:ext>
            </a:extLst>
          </xdr:cNvPr>
          <xdr:cNvSpPr>
            <a:spLocks noChangeArrowheads="1"/>
          </xdr:cNvSpPr>
        </xdr:nvSpPr>
        <xdr:spPr bwMode="auto">
          <a:xfrm>
            <a:off x="5781674" y="1627771"/>
            <a:ext cx="54000" cy="656395"/>
          </a:xfrm>
          <a:prstGeom prst="rect">
            <a:avLst/>
          </a:prstGeom>
          <a:solidFill>
            <a:srgbClr val="C6D9F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36223" name="Volný tvar 110">
            <a:extLst>
              <a:ext uri="{FF2B5EF4-FFF2-40B4-BE49-F238E27FC236}">
                <a16:creationId xmlns:a16="http://schemas.microsoft.com/office/drawing/2014/main" id="{00000000-0008-0000-0200-0000FFA70600}"/>
              </a:ext>
            </a:extLst>
          </xdr:cNvPr>
          <xdr:cNvSpPr>
            <a:spLocks/>
          </xdr:cNvSpPr>
        </xdr:nvSpPr>
        <xdr:spPr bwMode="auto">
          <a:xfrm>
            <a:off x="6448424" y="1633515"/>
            <a:ext cx="290594" cy="731639"/>
          </a:xfrm>
          <a:custGeom>
            <a:avLst/>
            <a:gdLst>
              <a:gd name="T0" fmla="*/ 76200 w 290593"/>
              <a:gd name="T1" fmla="*/ 1416 h 817667"/>
              <a:gd name="T2" fmla="*/ 76200 w 290593"/>
              <a:gd name="T3" fmla="*/ 1416 h 817667"/>
              <a:gd name="T4" fmla="*/ 95250 w 290593"/>
              <a:gd name="T5" fmla="*/ 14331 h 817667"/>
              <a:gd name="T6" fmla="*/ 38100 w 290593"/>
              <a:gd name="T7" fmla="*/ 16175 h 817667"/>
              <a:gd name="T8" fmla="*/ 85725 w 290593"/>
              <a:gd name="T9" fmla="*/ 20789 h 817667"/>
              <a:gd name="T10" fmla="*/ 57150 w 290593"/>
              <a:gd name="T11" fmla="*/ 36473 h 817667"/>
              <a:gd name="T12" fmla="*/ 28575 w 290593"/>
              <a:gd name="T13" fmla="*/ 37395 h 817667"/>
              <a:gd name="T14" fmla="*/ 28575 w 290593"/>
              <a:gd name="T15" fmla="*/ 47543 h 817667"/>
              <a:gd name="T16" fmla="*/ 47625 w 290593"/>
              <a:gd name="T17" fmla="*/ 50311 h 817667"/>
              <a:gd name="T18" fmla="*/ 38100 w 290593"/>
              <a:gd name="T19" fmla="*/ 55846 h 817667"/>
              <a:gd name="T20" fmla="*/ 9525 w 290593"/>
              <a:gd name="T21" fmla="*/ 56768 h 817667"/>
              <a:gd name="T22" fmla="*/ 0 w 290593"/>
              <a:gd name="T23" fmla="*/ 59536 h 817667"/>
              <a:gd name="T24" fmla="*/ 19050 w 290593"/>
              <a:gd name="T25" fmla="*/ 65072 h 817667"/>
              <a:gd name="T26" fmla="*/ 57150 w 290593"/>
              <a:gd name="T27" fmla="*/ 70608 h 817667"/>
              <a:gd name="T28" fmla="*/ 57150 w 290593"/>
              <a:gd name="T29" fmla="*/ 78910 h 817667"/>
              <a:gd name="T30" fmla="*/ 266721 w 290593"/>
              <a:gd name="T31" fmla="*/ 75219 h 817667"/>
              <a:gd name="T32" fmla="*/ 266721 w 290593"/>
              <a:gd name="T33" fmla="*/ 49388 h 817667"/>
              <a:gd name="T34" fmla="*/ 285771 w 290593"/>
              <a:gd name="T35" fmla="*/ 4183 h 817667"/>
              <a:gd name="T36" fmla="*/ 76200 w 290593"/>
              <a:gd name="T37" fmla="*/ 1416 h 817667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w 290593"/>
              <a:gd name="T58" fmla="*/ 0 h 817667"/>
              <a:gd name="T59" fmla="*/ 290593 w 290593"/>
              <a:gd name="T60" fmla="*/ 817667 h 817667"/>
            </a:gdLst>
            <a:ahLst/>
            <a:cxnLst>
              <a:cxn ang="T38">
                <a:pos x="T0" y="T1"/>
              </a:cxn>
              <a:cxn ang="T39">
                <a:pos x="T2" y="T3"/>
              </a:cxn>
              <a:cxn ang="T40">
                <a:pos x="T4" y="T5"/>
              </a:cxn>
              <a:cxn ang="T41">
                <a:pos x="T6" y="T7"/>
              </a:cxn>
              <a:cxn ang="T42">
                <a:pos x="T8" y="T9"/>
              </a:cxn>
              <a:cxn ang="T43">
                <a:pos x="T10" y="T11"/>
              </a:cxn>
              <a:cxn ang="T44">
                <a:pos x="T12" y="T13"/>
              </a:cxn>
              <a:cxn ang="T45">
                <a:pos x="T14" y="T15"/>
              </a:cxn>
              <a:cxn ang="T46">
                <a:pos x="T16" y="T17"/>
              </a:cxn>
              <a:cxn ang="T47">
                <a:pos x="T18" y="T19"/>
              </a:cxn>
              <a:cxn ang="T48">
                <a:pos x="T20" y="T21"/>
              </a:cxn>
              <a:cxn ang="T49">
                <a:pos x="T22" y="T23"/>
              </a:cxn>
              <a:cxn ang="T50">
                <a:pos x="T24" y="T25"/>
              </a:cxn>
              <a:cxn ang="T51">
                <a:pos x="T26" y="T27"/>
              </a:cxn>
              <a:cxn ang="T52">
                <a:pos x="T28" y="T29"/>
              </a:cxn>
              <a:cxn ang="T53">
                <a:pos x="T30" y="T31"/>
              </a:cxn>
              <a:cxn ang="T54">
                <a:pos x="T32" y="T33"/>
              </a:cxn>
              <a:cxn ang="T55">
                <a:pos x="T34" y="T35"/>
              </a:cxn>
              <a:cxn ang="T56">
                <a:pos x="T36" y="T37"/>
              </a:cxn>
            </a:cxnLst>
            <a:rect l="T57" t="T58" r="T59" b="T60"/>
            <a:pathLst>
              <a:path w="290593" h="817667">
                <a:moveTo>
                  <a:pt x="76200" y="14613"/>
                </a:moveTo>
                <a:lnTo>
                  <a:pt x="76200" y="14613"/>
                </a:lnTo>
                <a:cubicBezTo>
                  <a:pt x="86511" y="42109"/>
                  <a:pt x="127065" y="111603"/>
                  <a:pt x="95250" y="147963"/>
                </a:cubicBezTo>
                <a:cubicBezTo>
                  <a:pt x="82027" y="163075"/>
                  <a:pt x="38100" y="167013"/>
                  <a:pt x="38100" y="167013"/>
                </a:cubicBezTo>
                <a:cubicBezTo>
                  <a:pt x="52096" y="176344"/>
                  <a:pt x="84429" y="192607"/>
                  <a:pt x="85725" y="214638"/>
                </a:cubicBezTo>
                <a:cubicBezTo>
                  <a:pt x="86693" y="231091"/>
                  <a:pt x="98014" y="343872"/>
                  <a:pt x="57150" y="376563"/>
                </a:cubicBezTo>
                <a:cubicBezTo>
                  <a:pt x="49310" y="382835"/>
                  <a:pt x="38100" y="382913"/>
                  <a:pt x="28575" y="386088"/>
                </a:cubicBezTo>
                <a:cubicBezTo>
                  <a:pt x="13701" y="430709"/>
                  <a:pt x="10804" y="425702"/>
                  <a:pt x="28575" y="490863"/>
                </a:cubicBezTo>
                <a:cubicBezTo>
                  <a:pt x="31587" y="501907"/>
                  <a:pt x="41275" y="509913"/>
                  <a:pt x="47625" y="519438"/>
                </a:cubicBezTo>
                <a:cubicBezTo>
                  <a:pt x="44450" y="538488"/>
                  <a:pt x="47682" y="559820"/>
                  <a:pt x="38100" y="576588"/>
                </a:cubicBezTo>
                <a:cubicBezTo>
                  <a:pt x="33119" y="585305"/>
                  <a:pt x="16625" y="579013"/>
                  <a:pt x="9525" y="586113"/>
                </a:cubicBezTo>
                <a:cubicBezTo>
                  <a:pt x="2425" y="593213"/>
                  <a:pt x="3175" y="605163"/>
                  <a:pt x="0" y="614688"/>
                </a:cubicBezTo>
                <a:cubicBezTo>
                  <a:pt x="6350" y="633738"/>
                  <a:pt x="7911" y="655130"/>
                  <a:pt x="19050" y="671838"/>
                </a:cubicBezTo>
                <a:lnTo>
                  <a:pt x="57150" y="728988"/>
                </a:lnTo>
                <a:cubicBezTo>
                  <a:pt x="51516" y="745889"/>
                  <a:pt x="26742" y="805357"/>
                  <a:pt x="57150" y="814713"/>
                </a:cubicBezTo>
                <a:cubicBezTo>
                  <a:pt x="66751" y="817667"/>
                  <a:pt x="248114" y="780330"/>
                  <a:pt x="266700" y="776613"/>
                </a:cubicBezTo>
                <a:cubicBezTo>
                  <a:pt x="290593" y="633254"/>
                  <a:pt x="266700" y="801168"/>
                  <a:pt x="266700" y="509913"/>
                </a:cubicBezTo>
                <a:cubicBezTo>
                  <a:pt x="266700" y="283161"/>
                  <a:pt x="272633" y="226829"/>
                  <a:pt x="285750" y="43188"/>
                </a:cubicBezTo>
                <a:cubicBezTo>
                  <a:pt x="199373" y="0"/>
                  <a:pt x="111125" y="19376"/>
                  <a:pt x="76200" y="14613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cap="flat" cmpd="sng" algn="ctr">
                <a:solidFill>
                  <a:srgbClr val="000000"/>
                </a:solidFill>
                <a:prstDash val="solid"/>
                <a:round/>
                <a:headEnd type="none" w="med" len="med"/>
                <a:tailEnd type="none" w="med" len="med"/>
              </a14:hiddenLine>
            </a:ext>
          </a:extLst>
        </xdr:spPr>
      </xdr:sp>
    </xdr:grpSp>
    <xdr:clientData/>
  </xdr:twoCellAnchor>
  <xdr:twoCellAnchor>
    <xdr:from>
      <xdr:col>39</xdr:col>
      <xdr:colOff>106680</xdr:colOff>
      <xdr:row>34</xdr:row>
      <xdr:rowOff>7620</xdr:rowOff>
    </xdr:from>
    <xdr:to>
      <xdr:col>43</xdr:col>
      <xdr:colOff>114300</xdr:colOff>
      <xdr:row>38</xdr:row>
      <xdr:rowOff>114300</xdr:rowOff>
    </xdr:to>
    <xdr:grpSp>
      <xdr:nvGrpSpPr>
        <xdr:cNvPr id="436095" name="Skupina 96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00000000-0008-0000-0200-00007FA70600}"/>
            </a:ext>
          </a:extLst>
        </xdr:cNvPr>
        <xdr:cNvGrpSpPr>
          <a:grpSpLocks/>
        </xdr:cNvGrpSpPr>
      </xdr:nvGrpSpPr>
      <xdr:grpSpPr bwMode="auto">
        <a:xfrm>
          <a:off x="9218596" y="6440504"/>
          <a:ext cx="938062" cy="844617"/>
          <a:chOff x="9129718" y="4391025"/>
          <a:chExt cx="950195" cy="805761"/>
        </a:xfrm>
      </xdr:grpSpPr>
      <xdr:sp macro="" textlink="">
        <xdr:nvSpPr>
          <xdr:cNvPr id="436217" name="Obdélník 98">
            <a:extLst>
              <a:ext uri="{FF2B5EF4-FFF2-40B4-BE49-F238E27FC236}">
                <a16:creationId xmlns:a16="http://schemas.microsoft.com/office/drawing/2014/main" id="{00000000-0008-0000-0200-0000F9A70600}"/>
              </a:ext>
            </a:extLst>
          </xdr:cNvPr>
          <xdr:cNvSpPr>
            <a:spLocks noChangeArrowheads="1"/>
          </xdr:cNvSpPr>
        </xdr:nvSpPr>
        <xdr:spPr bwMode="auto">
          <a:xfrm>
            <a:off x="9170986" y="4484886"/>
            <a:ext cx="771525" cy="454489"/>
          </a:xfrm>
          <a:prstGeom prst="rect">
            <a:avLst/>
          </a:prstGeom>
          <a:solidFill>
            <a:srgbClr val="C6D9F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36218" name="Obdélník 99">
            <a:extLst>
              <a:ext uri="{FF2B5EF4-FFF2-40B4-BE49-F238E27FC236}">
                <a16:creationId xmlns:a16="http://schemas.microsoft.com/office/drawing/2014/main" id="{00000000-0008-0000-0200-0000FAA70600}"/>
              </a:ext>
            </a:extLst>
          </xdr:cNvPr>
          <xdr:cNvSpPr>
            <a:spLocks noChangeArrowheads="1"/>
          </xdr:cNvSpPr>
        </xdr:nvSpPr>
        <xdr:spPr bwMode="auto">
          <a:xfrm>
            <a:off x="9170194" y="4954788"/>
            <a:ext cx="771525" cy="126452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36219" name="Obdélník 100">
            <a:extLst>
              <a:ext uri="{FF2B5EF4-FFF2-40B4-BE49-F238E27FC236}">
                <a16:creationId xmlns:a16="http://schemas.microsoft.com/office/drawing/2014/main" id="{00000000-0008-0000-0200-0000FBA70600}"/>
              </a:ext>
            </a:extLst>
          </xdr:cNvPr>
          <xdr:cNvSpPr>
            <a:spLocks noChangeArrowheads="1"/>
          </xdr:cNvSpPr>
        </xdr:nvSpPr>
        <xdr:spPr bwMode="auto">
          <a:xfrm>
            <a:off x="9129718" y="4433584"/>
            <a:ext cx="50886" cy="720159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36220" name="Volný tvar 101">
            <a:extLst>
              <a:ext uri="{FF2B5EF4-FFF2-40B4-BE49-F238E27FC236}">
                <a16:creationId xmlns:a16="http://schemas.microsoft.com/office/drawing/2014/main" id="{00000000-0008-0000-0200-0000FCA70600}"/>
              </a:ext>
            </a:extLst>
          </xdr:cNvPr>
          <xdr:cNvSpPr>
            <a:spLocks/>
          </xdr:cNvSpPr>
        </xdr:nvSpPr>
        <xdr:spPr bwMode="auto">
          <a:xfrm>
            <a:off x="9789320" y="4391025"/>
            <a:ext cx="290593" cy="805761"/>
          </a:xfrm>
          <a:custGeom>
            <a:avLst/>
            <a:gdLst>
              <a:gd name="T0" fmla="*/ 76200 w 290593"/>
              <a:gd name="T1" fmla="*/ 5010 h 817667"/>
              <a:gd name="T2" fmla="*/ 76200 w 290593"/>
              <a:gd name="T3" fmla="*/ 5010 h 817667"/>
              <a:gd name="T4" fmla="*/ 77390 w 290593"/>
              <a:gd name="T5" fmla="*/ 34148 h 817667"/>
              <a:gd name="T6" fmla="*/ 38100 w 290593"/>
              <a:gd name="T7" fmla="*/ 57244 h 817667"/>
              <a:gd name="T8" fmla="*/ 85725 w 290593"/>
              <a:gd name="T9" fmla="*/ 73568 h 817667"/>
              <a:gd name="T10" fmla="*/ 57150 w 290593"/>
              <a:gd name="T11" fmla="*/ 129068 h 817667"/>
              <a:gd name="T12" fmla="*/ 28575 w 290593"/>
              <a:gd name="T13" fmla="*/ 132332 h 817667"/>
              <a:gd name="T14" fmla="*/ 28575 w 290593"/>
              <a:gd name="T15" fmla="*/ 168242 h 817667"/>
              <a:gd name="T16" fmla="*/ 47625 w 290593"/>
              <a:gd name="T17" fmla="*/ 178034 h 817667"/>
              <a:gd name="T18" fmla="*/ 38100 w 290593"/>
              <a:gd name="T19" fmla="*/ 197624 h 817667"/>
              <a:gd name="T20" fmla="*/ 9525 w 290593"/>
              <a:gd name="T21" fmla="*/ 200890 h 817667"/>
              <a:gd name="T22" fmla="*/ 0 w 290593"/>
              <a:gd name="T23" fmla="*/ 210682 h 817667"/>
              <a:gd name="T24" fmla="*/ 19050 w 290593"/>
              <a:gd name="T25" fmla="*/ 230271 h 817667"/>
              <a:gd name="T26" fmla="*/ 57150 w 290593"/>
              <a:gd name="T27" fmla="*/ 249858 h 817667"/>
              <a:gd name="T28" fmla="*/ 57150 w 290593"/>
              <a:gd name="T29" fmla="*/ 279239 h 817667"/>
              <a:gd name="T30" fmla="*/ 266700 w 290593"/>
              <a:gd name="T31" fmla="*/ 266183 h 817667"/>
              <a:gd name="T32" fmla="*/ 266700 w 290593"/>
              <a:gd name="T33" fmla="*/ 174772 h 817667"/>
              <a:gd name="T34" fmla="*/ 285750 w 290593"/>
              <a:gd name="T35" fmla="*/ 14801 h 817667"/>
              <a:gd name="T36" fmla="*/ 76200 w 290593"/>
              <a:gd name="T37" fmla="*/ 5010 h 817667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w 290593"/>
              <a:gd name="T58" fmla="*/ 0 h 817667"/>
              <a:gd name="T59" fmla="*/ 290593 w 290593"/>
              <a:gd name="T60" fmla="*/ 817667 h 817667"/>
            </a:gdLst>
            <a:ahLst/>
            <a:cxnLst>
              <a:cxn ang="T38">
                <a:pos x="T0" y="T1"/>
              </a:cxn>
              <a:cxn ang="T39">
                <a:pos x="T2" y="T3"/>
              </a:cxn>
              <a:cxn ang="T40">
                <a:pos x="T4" y="T5"/>
              </a:cxn>
              <a:cxn ang="T41">
                <a:pos x="T6" y="T7"/>
              </a:cxn>
              <a:cxn ang="T42">
                <a:pos x="T8" y="T9"/>
              </a:cxn>
              <a:cxn ang="T43">
                <a:pos x="T10" y="T11"/>
              </a:cxn>
              <a:cxn ang="T44">
                <a:pos x="T12" y="T13"/>
              </a:cxn>
              <a:cxn ang="T45">
                <a:pos x="T14" y="T15"/>
              </a:cxn>
              <a:cxn ang="T46">
                <a:pos x="T16" y="T17"/>
              </a:cxn>
              <a:cxn ang="T47">
                <a:pos x="T18" y="T19"/>
              </a:cxn>
              <a:cxn ang="T48">
                <a:pos x="T20" y="T21"/>
              </a:cxn>
              <a:cxn ang="T49">
                <a:pos x="T22" y="T23"/>
              </a:cxn>
              <a:cxn ang="T50">
                <a:pos x="T24" y="T25"/>
              </a:cxn>
              <a:cxn ang="T51">
                <a:pos x="T26" y="T27"/>
              </a:cxn>
              <a:cxn ang="T52">
                <a:pos x="T28" y="T29"/>
              </a:cxn>
              <a:cxn ang="T53">
                <a:pos x="T30" y="T31"/>
              </a:cxn>
              <a:cxn ang="T54">
                <a:pos x="T32" y="T33"/>
              </a:cxn>
              <a:cxn ang="T55">
                <a:pos x="T34" y="T35"/>
              </a:cxn>
              <a:cxn ang="T56">
                <a:pos x="T36" y="T37"/>
              </a:cxn>
            </a:cxnLst>
            <a:rect l="T57" t="T58" r="T59" b="T60"/>
            <a:pathLst>
              <a:path w="290593" h="817667">
                <a:moveTo>
                  <a:pt x="76200" y="14613"/>
                </a:moveTo>
                <a:lnTo>
                  <a:pt x="76200" y="14613"/>
                </a:lnTo>
                <a:cubicBezTo>
                  <a:pt x="86511" y="42109"/>
                  <a:pt x="109205" y="63275"/>
                  <a:pt x="77390" y="99635"/>
                </a:cubicBezTo>
                <a:cubicBezTo>
                  <a:pt x="64167" y="114747"/>
                  <a:pt x="38100" y="167013"/>
                  <a:pt x="38100" y="167013"/>
                </a:cubicBezTo>
                <a:cubicBezTo>
                  <a:pt x="52096" y="176344"/>
                  <a:pt x="84429" y="192607"/>
                  <a:pt x="85725" y="214638"/>
                </a:cubicBezTo>
                <a:cubicBezTo>
                  <a:pt x="86693" y="231091"/>
                  <a:pt x="98014" y="343872"/>
                  <a:pt x="57150" y="376563"/>
                </a:cubicBezTo>
                <a:cubicBezTo>
                  <a:pt x="49310" y="382835"/>
                  <a:pt x="38100" y="382913"/>
                  <a:pt x="28575" y="386088"/>
                </a:cubicBezTo>
                <a:cubicBezTo>
                  <a:pt x="13701" y="430709"/>
                  <a:pt x="10804" y="425702"/>
                  <a:pt x="28575" y="490863"/>
                </a:cubicBezTo>
                <a:cubicBezTo>
                  <a:pt x="31587" y="501907"/>
                  <a:pt x="41275" y="509913"/>
                  <a:pt x="47625" y="519438"/>
                </a:cubicBezTo>
                <a:cubicBezTo>
                  <a:pt x="44450" y="538488"/>
                  <a:pt x="47682" y="559820"/>
                  <a:pt x="38100" y="576588"/>
                </a:cubicBezTo>
                <a:cubicBezTo>
                  <a:pt x="33119" y="585305"/>
                  <a:pt x="16625" y="579013"/>
                  <a:pt x="9525" y="586113"/>
                </a:cubicBezTo>
                <a:cubicBezTo>
                  <a:pt x="2425" y="593213"/>
                  <a:pt x="3175" y="605163"/>
                  <a:pt x="0" y="614688"/>
                </a:cubicBezTo>
                <a:cubicBezTo>
                  <a:pt x="6350" y="633738"/>
                  <a:pt x="7911" y="655130"/>
                  <a:pt x="19050" y="671838"/>
                </a:cubicBezTo>
                <a:lnTo>
                  <a:pt x="57150" y="728988"/>
                </a:lnTo>
                <a:cubicBezTo>
                  <a:pt x="51516" y="745889"/>
                  <a:pt x="26742" y="805357"/>
                  <a:pt x="57150" y="814713"/>
                </a:cubicBezTo>
                <a:cubicBezTo>
                  <a:pt x="66751" y="817667"/>
                  <a:pt x="248114" y="780330"/>
                  <a:pt x="266700" y="776613"/>
                </a:cubicBezTo>
                <a:cubicBezTo>
                  <a:pt x="290593" y="633254"/>
                  <a:pt x="266700" y="801168"/>
                  <a:pt x="266700" y="509913"/>
                </a:cubicBezTo>
                <a:cubicBezTo>
                  <a:pt x="266700" y="283161"/>
                  <a:pt x="272633" y="226829"/>
                  <a:pt x="285750" y="43188"/>
                </a:cubicBezTo>
                <a:cubicBezTo>
                  <a:pt x="199373" y="0"/>
                  <a:pt x="111125" y="19376"/>
                  <a:pt x="76200" y="14613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cap="flat" cmpd="sng" algn="ctr">
                <a:solidFill>
                  <a:srgbClr val="000000"/>
                </a:solidFill>
                <a:prstDash val="solid"/>
                <a:round/>
                <a:headEnd type="none" w="med" len="med"/>
                <a:tailEnd type="none" w="med" len="med"/>
              </a14:hiddenLine>
            </a:ext>
          </a:extLst>
        </xdr:spPr>
      </xdr:sp>
    </xdr:grpSp>
    <xdr:clientData/>
  </xdr:twoCellAnchor>
  <xdr:twoCellAnchor>
    <xdr:from>
      <xdr:col>39</xdr:col>
      <xdr:colOff>68580</xdr:colOff>
      <xdr:row>73</xdr:row>
      <xdr:rowOff>106680</xdr:rowOff>
    </xdr:from>
    <xdr:to>
      <xdr:col>43</xdr:col>
      <xdr:colOff>91440</xdr:colOff>
      <xdr:row>78</xdr:row>
      <xdr:rowOff>22860</xdr:rowOff>
    </xdr:to>
    <xdr:grpSp>
      <xdr:nvGrpSpPr>
        <xdr:cNvPr id="436096" name="Skupina 7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200-000080A70600}"/>
            </a:ext>
          </a:extLst>
        </xdr:cNvPr>
        <xdr:cNvGrpSpPr>
          <a:grpSpLocks/>
        </xdr:cNvGrpSpPr>
      </xdr:nvGrpSpPr>
      <xdr:grpSpPr bwMode="auto">
        <a:xfrm>
          <a:off x="9180496" y="13942996"/>
          <a:ext cx="953302" cy="838601"/>
          <a:chOff x="5762625" y="4438650"/>
          <a:chExt cx="976394" cy="817667"/>
        </a:xfrm>
      </xdr:grpSpPr>
      <xdr:sp macro="" textlink="">
        <xdr:nvSpPr>
          <xdr:cNvPr id="436214" name="Obdélník 79">
            <a:extLst>
              <a:ext uri="{FF2B5EF4-FFF2-40B4-BE49-F238E27FC236}">
                <a16:creationId xmlns:a16="http://schemas.microsoft.com/office/drawing/2014/main" id="{00000000-0008-0000-0200-0000F6A70600}"/>
              </a:ext>
            </a:extLst>
          </xdr:cNvPr>
          <xdr:cNvSpPr>
            <a:spLocks noChangeArrowheads="1"/>
          </xdr:cNvSpPr>
        </xdr:nvSpPr>
        <xdr:spPr bwMode="auto">
          <a:xfrm>
            <a:off x="5829300" y="4608363"/>
            <a:ext cx="771525" cy="530028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36215" name="Obdélník 80">
            <a:extLst>
              <a:ext uri="{FF2B5EF4-FFF2-40B4-BE49-F238E27FC236}">
                <a16:creationId xmlns:a16="http://schemas.microsoft.com/office/drawing/2014/main" id="{00000000-0008-0000-0200-0000F7A70600}"/>
              </a:ext>
            </a:extLst>
          </xdr:cNvPr>
          <xdr:cNvSpPr>
            <a:spLocks noChangeArrowheads="1"/>
          </xdr:cNvSpPr>
        </xdr:nvSpPr>
        <xdr:spPr bwMode="auto">
          <a:xfrm>
            <a:off x="5762625" y="4558681"/>
            <a:ext cx="85726" cy="656351"/>
          </a:xfrm>
          <a:prstGeom prst="rect">
            <a:avLst/>
          </a:prstGeom>
          <a:solidFill>
            <a:srgbClr val="FFFFE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36216" name="Volný tvar 81">
            <a:extLst>
              <a:ext uri="{FF2B5EF4-FFF2-40B4-BE49-F238E27FC236}">
                <a16:creationId xmlns:a16="http://schemas.microsoft.com/office/drawing/2014/main" id="{00000000-0008-0000-0200-0000F8A70600}"/>
              </a:ext>
            </a:extLst>
          </xdr:cNvPr>
          <xdr:cNvSpPr>
            <a:spLocks/>
          </xdr:cNvSpPr>
        </xdr:nvSpPr>
        <xdr:spPr bwMode="auto">
          <a:xfrm>
            <a:off x="6448426" y="4438650"/>
            <a:ext cx="290593" cy="817667"/>
          </a:xfrm>
          <a:custGeom>
            <a:avLst/>
            <a:gdLst>
              <a:gd name="T0" fmla="*/ 76200 w 290593"/>
              <a:gd name="T1" fmla="*/ 14613 h 817667"/>
              <a:gd name="T2" fmla="*/ 76200 w 290593"/>
              <a:gd name="T3" fmla="*/ 14613 h 817667"/>
              <a:gd name="T4" fmla="*/ 95250 w 290593"/>
              <a:gd name="T5" fmla="*/ 147963 h 817667"/>
              <a:gd name="T6" fmla="*/ 38100 w 290593"/>
              <a:gd name="T7" fmla="*/ 167013 h 817667"/>
              <a:gd name="T8" fmla="*/ 85725 w 290593"/>
              <a:gd name="T9" fmla="*/ 214638 h 817667"/>
              <a:gd name="T10" fmla="*/ 57150 w 290593"/>
              <a:gd name="T11" fmla="*/ 376563 h 817667"/>
              <a:gd name="T12" fmla="*/ 28575 w 290593"/>
              <a:gd name="T13" fmla="*/ 386088 h 817667"/>
              <a:gd name="T14" fmla="*/ 28575 w 290593"/>
              <a:gd name="T15" fmla="*/ 490863 h 817667"/>
              <a:gd name="T16" fmla="*/ 47625 w 290593"/>
              <a:gd name="T17" fmla="*/ 519438 h 817667"/>
              <a:gd name="T18" fmla="*/ 38100 w 290593"/>
              <a:gd name="T19" fmla="*/ 576588 h 817667"/>
              <a:gd name="T20" fmla="*/ 9525 w 290593"/>
              <a:gd name="T21" fmla="*/ 586113 h 817667"/>
              <a:gd name="T22" fmla="*/ 0 w 290593"/>
              <a:gd name="T23" fmla="*/ 614688 h 817667"/>
              <a:gd name="T24" fmla="*/ 19050 w 290593"/>
              <a:gd name="T25" fmla="*/ 671838 h 817667"/>
              <a:gd name="T26" fmla="*/ 57150 w 290593"/>
              <a:gd name="T27" fmla="*/ 728988 h 817667"/>
              <a:gd name="T28" fmla="*/ 57150 w 290593"/>
              <a:gd name="T29" fmla="*/ 814713 h 817667"/>
              <a:gd name="T30" fmla="*/ 266700 w 290593"/>
              <a:gd name="T31" fmla="*/ 776613 h 817667"/>
              <a:gd name="T32" fmla="*/ 266700 w 290593"/>
              <a:gd name="T33" fmla="*/ 509913 h 817667"/>
              <a:gd name="T34" fmla="*/ 285750 w 290593"/>
              <a:gd name="T35" fmla="*/ 43188 h 817667"/>
              <a:gd name="T36" fmla="*/ 76200 w 290593"/>
              <a:gd name="T37" fmla="*/ 14613 h 817667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w 290593"/>
              <a:gd name="T58" fmla="*/ 0 h 817667"/>
              <a:gd name="T59" fmla="*/ 290593 w 290593"/>
              <a:gd name="T60" fmla="*/ 817667 h 817667"/>
            </a:gdLst>
            <a:ahLst/>
            <a:cxnLst>
              <a:cxn ang="T38">
                <a:pos x="T0" y="T1"/>
              </a:cxn>
              <a:cxn ang="T39">
                <a:pos x="T2" y="T3"/>
              </a:cxn>
              <a:cxn ang="T40">
                <a:pos x="T4" y="T5"/>
              </a:cxn>
              <a:cxn ang="T41">
                <a:pos x="T6" y="T7"/>
              </a:cxn>
              <a:cxn ang="T42">
                <a:pos x="T8" y="T9"/>
              </a:cxn>
              <a:cxn ang="T43">
                <a:pos x="T10" y="T11"/>
              </a:cxn>
              <a:cxn ang="T44">
                <a:pos x="T12" y="T13"/>
              </a:cxn>
              <a:cxn ang="T45">
                <a:pos x="T14" y="T15"/>
              </a:cxn>
              <a:cxn ang="T46">
                <a:pos x="T16" y="T17"/>
              </a:cxn>
              <a:cxn ang="T47">
                <a:pos x="T18" y="T19"/>
              </a:cxn>
              <a:cxn ang="T48">
                <a:pos x="T20" y="T21"/>
              </a:cxn>
              <a:cxn ang="T49">
                <a:pos x="T22" y="T23"/>
              </a:cxn>
              <a:cxn ang="T50">
                <a:pos x="T24" y="T25"/>
              </a:cxn>
              <a:cxn ang="T51">
                <a:pos x="T26" y="T27"/>
              </a:cxn>
              <a:cxn ang="T52">
                <a:pos x="T28" y="T29"/>
              </a:cxn>
              <a:cxn ang="T53">
                <a:pos x="T30" y="T31"/>
              </a:cxn>
              <a:cxn ang="T54">
                <a:pos x="T32" y="T33"/>
              </a:cxn>
              <a:cxn ang="T55">
                <a:pos x="T34" y="T35"/>
              </a:cxn>
              <a:cxn ang="T56">
                <a:pos x="T36" y="T37"/>
              </a:cxn>
            </a:cxnLst>
            <a:rect l="T57" t="T58" r="T59" b="T60"/>
            <a:pathLst>
              <a:path w="290593" h="817667">
                <a:moveTo>
                  <a:pt x="76200" y="14613"/>
                </a:moveTo>
                <a:lnTo>
                  <a:pt x="76200" y="14613"/>
                </a:lnTo>
                <a:cubicBezTo>
                  <a:pt x="86511" y="42109"/>
                  <a:pt x="127065" y="111603"/>
                  <a:pt x="95250" y="147963"/>
                </a:cubicBezTo>
                <a:cubicBezTo>
                  <a:pt x="82027" y="163075"/>
                  <a:pt x="38100" y="167013"/>
                  <a:pt x="38100" y="167013"/>
                </a:cubicBezTo>
                <a:cubicBezTo>
                  <a:pt x="52096" y="176344"/>
                  <a:pt x="84429" y="192607"/>
                  <a:pt x="85725" y="214638"/>
                </a:cubicBezTo>
                <a:cubicBezTo>
                  <a:pt x="86693" y="231091"/>
                  <a:pt x="98014" y="343872"/>
                  <a:pt x="57150" y="376563"/>
                </a:cubicBezTo>
                <a:cubicBezTo>
                  <a:pt x="49310" y="382835"/>
                  <a:pt x="38100" y="382913"/>
                  <a:pt x="28575" y="386088"/>
                </a:cubicBezTo>
                <a:cubicBezTo>
                  <a:pt x="13701" y="430709"/>
                  <a:pt x="10804" y="425702"/>
                  <a:pt x="28575" y="490863"/>
                </a:cubicBezTo>
                <a:cubicBezTo>
                  <a:pt x="31587" y="501907"/>
                  <a:pt x="41275" y="509913"/>
                  <a:pt x="47625" y="519438"/>
                </a:cubicBezTo>
                <a:cubicBezTo>
                  <a:pt x="44450" y="538488"/>
                  <a:pt x="47682" y="559820"/>
                  <a:pt x="38100" y="576588"/>
                </a:cubicBezTo>
                <a:cubicBezTo>
                  <a:pt x="33119" y="585305"/>
                  <a:pt x="16625" y="579013"/>
                  <a:pt x="9525" y="586113"/>
                </a:cubicBezTo>
                <a:cubicBezTo>
                  <a:pt x="2425" y="593213"/>
                  <a:pt x="3175" y="605163"/>
                  <a:pt x="0" y="614688"/>
                </a:cubicBezTo>
                <a:cubicBezTo>
                  <a:pt x="6350" y="633738"/>
                  <a:pt x="7911" y="655130"/>
                  <a:pt x="19050" y="671838"/>
                </a:cubicBezTo>
                <a:lnTo>
                  <a:pt x="57150" y="728988"/>
                </a:lnTo>
                <a:cubicBezTo>
                  <a:pt x="51516" y="745889"/>
                  <a:pt x="26742" y="805357"/>
                  <a:pt x="57150" y="814713"/>
                </a:cubicBezTo>
                <a:cubicBezTo>
                  <a:pt x="66751" y="817667"/>
                  <a:pt x="248114" y="780330"/>
                  <a:pt x="266700" y="776613"/>
                </a:cubicBezTo>
                <a:cubicBezTo>
                  <a:pt x="290593" y="633254"/>
                  <a:pt x="266700" y="801168"/>
                  <a:pt x="266700" y="509913"/>
                </a:cubicBezTo>
                <a:cubicBezTo>
                  <a:pt x="266700" y="283161"/>
                  <a:pt x="272633" y="226829"/>
                  <a:pt x="285750" y="43188"/>
                </a:cubicBezTo>
                <a:cubicBezTo>
                  <a:pt x="199373" y="0"/>
                  <a:pt x="111125" y="19376"/>
                  <a:pt x="76200" y="14613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cap="flat" cmpd="sng" algn="ctr">
                <a:solidFill>
                  <a:srgbClr val="000000"/>
                </a:solidFill>
                <a:prstDash val="solid"/>
                <a:round/>
                <a:headEnd type="none" w="med" len="med"/>
                <a:tailEnd type="none" w="med" len="med"/>
              </a14:hiddenLine>
            </a:ext>
          </a:extLst>
        </xdr:spPr>
      </xdr:sp>
    </xdr:grpSp>
    <xdr:clientData/>
  </xdr:twoCellAnchor>
  <xdr:twoCellAnchor>
    <xdr:from>
      <xdr:col>53</xdr:col>
      <xdr:colOff>68580</xdr:colOff>
      <xdr:row>74</xdr:row>
      <xdr:rowOff>68580</xdr:rowOff>
    </xdr:from>
    <xdr:to>
      <xdr:col>57</xdr:col>
      <xdr:colOff>91440</xdr:colOff>
      <xdr:row>78</xdr:row>
      <xdr:rowOff>167640</xdr:rowOff>
    </xdr:to>
    <xdr:grpSp>
      <xdr:nvGrpSpPr>
        <xdr:cNvPr id="436097" name="Skupina 76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0200-000081A70600}"/>
            </a:ext>
          </a:extLst>
        </xdr:cNvPr>
        <xdr:cNvGrpSpPr>
          <a:grpSpLocks/>
        </xdr:cNvGrpSpPr>
      </xdr:nvGrpSpPr>
      <xdr:grpSpPr bwMode="auto">
        <a:xfrm>
          <a:off x="12437043" y="14089380"/>
          <a:ext cx="953302" cy="836997"/>
          <a:chOff x="5762625" y="4438650"/>
          <a:chExt cx="976394" cy="817667"/>
        </a:xfrm>
      </xdr:grpSpPr>
      <xdr:sp macro="" textlink="">
        <xdr:nvSpPr>
          <xdr:cNvPr id="436210" name="Obdélník 78">
            <a:extLst>
              <a:ext uri="{FF2B5EF4-FFF2-40B4-BE49-F238E27FC236}">
                <a16:creationId xmlns:a16="http://schemas.microsoft.com/office/drawing/2014/main" id="{00000000-0008-0000-0200-0000F2A70600}"/>
              </a:ext>
            </a:extLst>
          </xdr:cNvPr>
          <xdr:cNvSpPr>
            <a:spLocks noChangeArrowheads="1"/>
          </xdr:cNvSpPr>
        </xdr:nvSpPr>
        <xdr:spPr bwMode="auto">
          <a:xfrm>
            <a:off x="5838825" y="4638264"/>
            <a:ext cx="771525" cy="376780"/>
          </a:xfrm>
          <a:prstGeom prst="rect">
            <a:avLst/>
          </a:prstGeom>
          <a:solidFill>
            <a:srgbClr val="C6D9F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36211" name="Obdélník 79">
            <a:extLst>
              <a:ext uri="{FF2B5EF4-FFF2-40B4-BE49-F238E27FC236}">
                <a16:creationId xmlns:a16="http://schemas.microsoft.com/office/drawing/2014/main" id="{00000000-0008-0000-0200-0000F3A70600}"/>
              </a:ext>
            </a:extLst>
          </xdr:cNvPr>
          <xdr:cNvSpPr>
            <a:spLocks noChangeArrowheads="1"/>
          </xdr:cNvSpPr>
        </xdr:nvSpPr>
        <xdr:spPr bwMode="auto">
          <a:xfrm>
            <a:off x="5829300" y="5030686"/>
            <a:ext cx="771525" cy="107705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36212" name="Obdélník 80">
            <a:extLst>
              <a:ext uri="{FF2B5EF4-FFF2-40B4-BE49-F238E27FC236}">
                <a16:creationId xmlns:a16="http://schemas.microsoft.com/office/drawing/2014/main" id="{00000000-0008-0000-0200-0000F4A70600}"/>
              </a:ext>
            </a:extLst>
          </xdr:cNvPr>
          <xdr:cNvSpPr>
            <a:spLocks noChangeArrowheads="1"/>
          </xdr:cNvSpPr>
        </xdr:nvSpPr>
        <xdr:spPr bwMode="auto">
          <a:xfrm>
            <a:off x="5762625" y="4558681"/>
            <a:ext cx="85726" cy="656351"/>
          </a:xfrm>
          <a:prstGeom prst="rect">
            <a:avLst/>
          </a:prstGeom>
          <a:solidFill>
            <a:srgbClr val="FFFFE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36213" name="Volný tvar 81">
            <a:extLst>
              <a:ext uri="{FF2B5EF4-FFF2-40B4-BE49-F238E27FC236}">
                <a16:creationId xmlns:a16="http://schemas.microsoft.com/office/drawing/2014/main" id="{00000000-0008-0000-0200-0000F5A70600}"/>
              </a:ext>
            </a:extLst>
          </xdr:cNvPr>
          <xdr:cNvSpPr>
            <a:spLocks/>
          </xdr:cNvSpPr>
        </xdr:nvSpPr>
        <xdr:spPr bwMode="auto">
          <a:xfrm>
            <a:off x="6448426" y="4438650"/>
            <a:ext cx="290593" cy="817667"/>
          </a:xfrm>
          <a:custGeom>
            <a:avLst/>
            <a:gdLst>
              <a:gd name="T0" fmla="*/ 76200 w 290593"/>
              <a:gd name="T1" fmla="*/ 14613 h 817667"/>
              <a:gd name="T2" fmla="*/ 76200 w 290593"/>
              <a:gd name="T3" fmla="*/ 14613 h 817667"/>
              <a:gd name="T4" fmla="*/ 95250 w 290593"/>
              <a:gd name="T5" fmla="*/ 147963 h 817667"/>
              <a:gd name="T6" fmla="*/ 38100 w 290593"/>
              <a:gd name="T7" fmla="*/ 167013 h 817667"/>
              <a:gd name="T8" fmla="*/ 85725 w 290593"/>
              <a:gd name="T9" fmla="*/ 214638 h 817667"/>
              <a:gd name="T10" fmla="*/ 57150 w 290593"/>
              <a:gd name="T11" fmla="*/ 376563 h 817667"/>
              <a:gd name="T12" fmla="*/ 28575 w 290593"/>
              <a:gd name="T13" fmla="*/ 386088 h 817667"/>
              <a:gd name="T14" fmla="*/ 28575 w 290593"/>
              <a:gd name="T15" fmla="*/ 490863 h 817667"/>
              <a:gd name="T16" fmla="*/ 47625 w 290593"/>
              <a:gd name="T17" fmla="*/ 519438 h 817667"/>
              <a:gd name="T18" fmla="*/ 38100 w 290593"/>
              <a:gd name="T19" fmla="*/ 576588 h 817667"/>
              <a:gd name="T20" fmla="*/ 9525 w 290593"/>
              <a:gd name="T21" fmla="*/ 586113 h 817667"/>
              <a:gd name="T22" fmla="*/ 0 w 290593"/>
              <a:gd name="T23" fmla="*/ 614688 h 817667"/>
              <a:gd name="T24" fmla="*/ 19050 w 290593"/>
              <a:gd name="T25" fmla="*/ 671838 h 817667"/>
              <a:gd name="T26" fmla="*/ 57150 w 290593"/>
              <a:gd name="T27" fmla="*/ 728988 h 817667"/>
              <a:gd name="T28" fmla="*/ 57150 w 290593"/>
              <a:gd name="T29" fmla="*/ 814713 h 817667"/>
              <a:gd name="T30" fmla="*/ 266700 w 290593"/>
              <a:gd name="T31" fmla="*/ 776613 h 817667"/>
              <a:gd name="T32" fmla="*/ 266700 w 290593"/>
              <a:gd name="T33" fmla="*/ 509913 h 817667"/>
              <a:gd name="T34" fmla="*/ 285750 w 290593"/>
              <a:gd name="T35" fmla="*/ 43188 h 817667"/>
              <a:gd name="T36" fmla="*/ 76200 w 290593"/>
              <a:gd name="T37" fmla="*/ 14613 h 817667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w 290593"/>
              <a:gd name="T58" fmla="*/ 0 h 817667"/>
              <a:gd name="T59" fmla="*/ 290593 w 290593"/>
              <a:gd name="T60" fmla="*/ 817667 h 817667"/>
            </a:gdLst>
            <a:ahLst/>
            <a:cxnLst>
              <a:cxn ang="T38">
                <a:pos x="T0" y="T1"/>
              </a:cxn>
              <a:cxn ang="T39">
                <a:pos x="T2" y="T3"/>
              </a:cxn>
              <a:cxn ang="T40">
                <a:pos x="T4" y="T5"/>
              </a:cxn>
              <a:cxn ang="T41">
                <a:pos x="T6" y="T7"/>
              </a:cxn>
              <a:cxn ang="T42">
                <a:pos x="T8" y="T9"/>
              </a:cxn>
              <a:cxn ang="T43">
                <a:pos x="T10" y="T11"/>
              </a:cxn>
              <a:cxn ang="T44">
                <a:pos x="T12" y="T13"/>
              </a:cxn>
              <a:cxn ang="T45">
                <a:pos x="T14" y="T15"/>
              </a:cxn>
              <a:cxn ang="T46">
                <a:pos x="T16" y="T17"/>
              </a:cxn>
              <a:cxn ang="T47">
                <a:pos x="T18" y="T19"/>
              </a:cxn>
              <a:cxn ang="T48">
                <a:pos x="T20" y="T21"/>
              </a:cxn>
              <a:cxn ang="T49">
                <a:pos x="T22" y="T23"/>
              </a:cxn>
              <a:cxn ang="T50">
                <a:pos x="T24" y="T25"/>
              </a:cxn>
              <a:cxn ang="T51">
                <a:pos x="T26" y="T27"/>
              </a:cxn>
              <a:cxn ang="T52">
                <a:pos x="T28" y="T29"/>
              </a:cxn>
              <a:cxn ang="T53">
                <a:pos x="T30" y="T31"/>
              </a:cxn>
              <a:cxn ang="T54">
                <a:pos x="T32" y="T33"/>
              </a:cxn>
              <a:cxn ang="T55">
                <a:pos x="T34" y="T35"/>
              </a:cxn>
              <a:cxn ang="T56">
                <a:pos x="T36" y="T37"/>
              </a:cxn>
            </a:cxnLst>
            <a:rect l="T57" t="T58" r="T59" b="T60"/>
            <a:pathLst>
              <a:path w="290593" h="817667">
                <a:moveTo>
                  <a:pt x="76200" y="14613"/>
                </a:moveTo>
                <a:lnTo>
                  <a:pt x="76200" y="14613"/>
                </a:lnTo>
                <a:cubicBezTo>
                  <a:pt x="86511" y="42109"/>
                  <a:pt x="127065" y="111603"/>
                  <a:pt x="95250" y="147963"/>
                </a:cubicBezTo>
                <a:cubicBezTo>
                  <a:pt x="82027" y="163075"/>
                  <a:pt x="38100" y="167013"/>
                  <a:pt x="38100" y="167013"/>
                </a:cubicBezTo>
                <a:cubicBezTo>
                  <a:pt x="52096" y="176344"/>
                  <a:pt x="84429" y="192607"/>
                  <a:pt x="85725" y="214638"/>
                </a:cubicBezTo>
                <a:cubicBezTo>
                  <a:pt x="86693" y="231091"/>
                  <a:pt x="98014" y="343872"/>
                  <a:pt x="57150" y="376563"/>
                </a:cubicBezTo>
                <a:cubicBezTo>
                  <a:pt x="49310" y="382835"/>
                  <a:pt x="38100" y="382913"/>
                  <a:pt x="28575" y="386088"/>
                </a:cubicBezTo>
                <a:cubicBezTo>
                  <a:pt x="13701" y="430709"/>
                  <a:pt x="10804" y="425702"/>
                  <a:pt x="28575" y="490863"/>
                </a:cubicBezTo>
                <a:cubicBezTo>
                  <a:pt x="31587" y="501907"/>
                  <a:pt x="41275" y="509913"/>
                  <a:pt x="47625" y="519438"/>
                </a:cubicBezTo>
                <a:cubicBezTo>
                  <a:pt x="44450" y="538488"/>
                  <a:pt x="47682" y="559820"/>
                  <a:pt x="38100" y="576588"/>
                </a:cubicBezTo>
                <a:cubicBezTo>
                  <a:pt x="33119" y="585305"/>
                  <a:pt x="16625" y="579013"/>
                  <a:pt x="9525" y="586113"/>
                </a:cubicBezTo>
                <a:cubicBezTo>
                  <a:pt x="2425" y="593213"/>
                  <a:pt x="3175" y="605163"/>
                  <a:pt x="0" y="614688"/>
                </a:cubicBezTo>
                <a:cubicBezTo>
                  <a:pt x="6350" y="633738"/>
                  <a:pt x="7911" y="655130"/>
                  <a:pt x="19050" y="671838"/>
                </a:cubicBezTo>
                <a:lnTo>
                  <a:pt x="57150" y="728988"/>
                </a:lnTo>
                <a:cubicBezTo>
                  <a:pt x="51516" y="745889"/>
                  <a:pt x="26742" y="805357"/>
                  <a:pt x="57150" y="814713"/>
                </a:cubicBezTo>
                <a:cubicBezTo>
                  <a:pt x="66751" y="817667"/>
                  <a:pt x="248114" y="780330"/>
                  <a:pt x="266700" y="776613"/>
                </a:cubicBezTo>
                <a:cubicBezTo>
                  <a:pt x="290593" y="633254"/>
                  <a:pt x="266700" y="801168"/>
                  <a:pt x="266700" y="509913"/>
                </a:cubicBezTo>
                <a:cubicBezTo>
                  <a:pt x="266700" y="283161"/>
                  <a:pt x="272633" y="226829"/>
                  <a:pt x="285750" y="43188"/>
                </a:cubicBezTo>
                <a:cubicBezTo>
                  <a:pt x="199373" y="0"/>
                  <a:pt x="111125" y="19376"/>
                  <a:pt x="76200" y="14613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cap="flat" cmpd="sng" algn="ctr">
                <a:solidFill>
                  <a:srgbClr val="000000"/>
                </a:solidFill>
                <a:prstDash val="solid"/>
                <a:round/>
                <a:headEnd type="none" w="med" len="med"/>
                <a:tailEnd type="none" w="med" len="med"/>
              </a14:hiddenLine>
            </a:ext>
          </a:extLst>
        </xdr:spPr>
      </xdr:sp>
    </xdr:grpSp>
    <xdr:clientData/>
  </xdr:twoCellAnchor>
  <xdr:twoCellAnchor>
    <xdr:from>
      <xdr:col>25</xdr:col>
      <xdr:colOff>91440</xdr:colOff>
      <xdr:row>73</xdr:row>
      <xdr:rowOff>106680</xdr:rowOff>
    </xdr:from>
    <xdr:to>
      <xdr:col>29</xdr:col>
      <xdr:colOff>114300</xdr:colOff>
      <xdr:row>78</xdr:row>
      <xdr:rowOff>22860</xdr:rowOff>
    </xdr:to>
    <xdr:grpSp>
      <xdr:nvGrpSpPr>
        <xdr:cNvPr id="436098" name="Skupina 7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200-000082A70600}"/>
            </a:ext>
          </a:extLst>
        </xdr:cNvPr>
        <xdr:cNvGrpSpPr>
          <a:grpSpLocks/>
        </xdr:cNvGrpSpPr>
      </xdr:nvGrpSpPr>
      <xdr:grpSpPr bwMode="auto">
        <a:xfrm>
          <a:off x="5946808" y="13942996"/>
          <a:ext cx="953303" cy="838601"/>
          <a:chOff x="5762625" y="4438650"/>
          <a:chExt cx="976394" cy="817667"/>
        </a:xfrm>
      </xdr:grpSpPr>
      <xdr:sp macro="" textlink="">
        <xdr:nvSpPr>
          <xdr:cNvPr id="436207" name="Obdélník 79">
            <a:extLst>
              <a:ext uri="{FF2B5EF4-FFF2-40B4-BE49-F238E27FC236}">
                <a16:creationId xmlns:a16="http://schemas.microsoft.com/office/drawing/2014/main" id="{00000000-0008-0000-0200-0000EFA70600}"/>
              </a:ext>
            </a:extLst>
          </xdr:cNvPr>
          <xdr:cNvSpPr>
            <a:spLocks noChangeArrowheads="1"/>
          </xdr:cNvSpPr>
        </xdr:nvSpPr>
        <xdr:spPr bwMode="auto">
          <a:xfrm>
            <a:off x="5829300" y="4741317"/>
            <a:ext cx="771525" cy="397074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36208" name="Obdélník 80">
            <a:extLst>
              <a:ext uri="{FF2B5EF4-FFF2-40B4-BE49-F238E27FC236}">
                <a16:creationId xmlns:a16="http://schemas.microsoft.com/office/drawing/2014/main" id="{00000000-0008-0000-0200-0000F0A70600}"/>
              </a:ext>
            </a:extLst>
          </xdr:cNvPr>
          <xdr:cNvSpPr>
            <a:spLocks noChangeArrowheads="1"/>
          </xdr:cNvSpPr>
        </xdr:nvSpPr>
        <xdr:spPr bwMode="auto">
          <a:xfrm>
            <a:off x="5762625" y="4558681"/>
            <a:ext cx="85726" cy="656351"/>
          </a:xfrm>
          <a:prstGeom prst="rect">
            <a:avLst/>
          </a:prstGeom>
          <a:solidFill>
            <a:srgbClr val="FFFFE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36209" name="Volný tvar 81">
            <a:extLst>
              <a:ext uri="{FF2B5EF4-FFF2-40B4-BE49-F238E27FC236}">
                <a16:creationId xmlns:a16="http://schemas.microsoft.com/office/drawing/2014/main" id="{00000000-0008-0000-0200-0000F1A70600}"/>
              </a:ext>
            </a:extLst>
          </xdr:cNvPr>
          <xdr:cNvSpPr>
            <a:spLocks/>
          </xdr:cNvSpPr>
        </xdr:nvSpPr>
        <xdr:spPr bwMode="auto">
          <a:xfrm>
            <a:off x="6448426" y="4438650"/>
            <a:ext cx="290593" cy="817667"/>
          </a:xfrm>
          <a:custGeom>
            <a:avLst/>
            <a:gdLst>
              <a:gd name="T0" fmla="*/ 76200 w 290593"/>
              <a:gd name="T1" fmla="*/ 14613 h 817667"/>
              <a:gd name="T2" fmla="*/ 76200 w 290593"/>
              <a:gd name="T3" fmla="*/ 14613 h 817667"/>
              <a:gd name="T4" fmla="*/ 95250 w 290593"/>
              <a:gd name="T5" fmla="*/ 147963 h 817667"/>
              <a:gd name="T6" fmla="*/ 38100 w 290593"/>
              <a:gd name="T7" fmla="*/ 167013 h 817667"/>
              <a:gd name="T8" fmla="*/ 85725 w 290593"/>
              <a:gd name="T9" fmla="*/ 214638 h 817667"/>
              <a:gd name="T10" fmla="*/ 57150 w 290593"/>
              <a:gd name="T11" fmla="*/ 376563 h 817667"/>
              <a:gd name="T12" fmla="*/ 28575 w 290593"/>
              <a:gd name="T13" fmla="*/ 386088 h 817667"/>
              <a:gd name="T14" fmla="*/ 28575 w 290593"/>
              <a:gd name="T15" fmla="*/ 490863 h 817667"/>
              <a:gd name="T16" fmla="*/ 47625 w 290593"/>
              <a:gd name="T17" fmla="*/ 519438 h 817667"/>
              <a:gd name="T18" fmla="*/ 38100 w 290593"/>
              <a:gd name="T19" fmla="*/ 576588 h 817667"/>
              <a:gd name="T20" fmla="*/ 9525 w 290593"/>
              <a:gd name="T21" fmla="*/ 586113 h 817667"/>
              <a:gd name="T22" fmla="*/ 0 w 290593"/>
              <a:gd name="T23" fmla="*/ 614688 h 817667"/>
              <a:gd name="T24" fmla="*/ 19050 w 290593"/>
              <a:gd name="T25" fmla="*/ 671838 h 817667"/>
              <a:gd name="T26" fmla="*/ 57150 w 290593"/>
              <a:gd name="T27" fmla="*/ 728988 h 817667"/>
              <a:gd name="T28" fmla="*/ 57150 w 290593"/>
              <a:gd name="T29" fmla="*/ 814713 h 817667"/>
              <a:gd name="T30" fmla="*/ 266700 w 290593"/>
              <a:gd name="T31" fmla="*/ 776613 h 817667"/>
              <a:gd name="T32" fmla="*/ 266700 w 290593"/>
              <a:gd name="T33" fmla="*/ 509913 h 817667"/>
              <a:gd name="T34" fmla="*/ 285750 w 290593"/>
              <a:gd name="T35" fmla="*/ 43188 h 817667"/>
              <a:gd name="T36" fmla="*/ 76200 w 290593"/>
              <a:gd name="T37" fmla="*/ 14613 h 817667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w 290593"/>
              <a:gd name="T58" fmla="*/ 0 h 817667"/>
              <a:gd name="T59" fmla="*/ 290593 w 290593"/>
              <a:gd name="T60" fmla="*/ 817667 h 817667"/>
            </a:gdLst>
            <a:ahLst/>
            <a:cxnLst>
              <a:cxn ang="T38">
                <a:pos x="T0" y="T1"/>
              </a:cxn>
              <a:cxn ang="T39">
                <a:pos x="T2" y="T3"/>
              </a:cxn>
              <a:cxn ang="T40">
                <a:pos x="T4" y="T5"/>
              </a:cxn>
              <a:cxn ang="T41">
                <a:pos x="T6" y="T7"/>
              </a:cxn>
              <a:cxn ang="T42">
                <a:pos x="T8" y="T9"/>
              </a:cxn>
              <a:cxn ang="T43">
                <a:pos x="T10" y="T11"/>
              </a:cxn>
              <a:cxn ang="T44">
                <a:pos x="T12" y="T13"/>
              </a:cxn>
              <a:cxn ang="T45">
                <a:pos x="T14" y="T15"/>
              </a:cxn>
              <a:cxn ang="T46">
                <a:pos x="T16" y="T17"/>
              </a:cxn>
              <a:cxn ang="T47">
                <a:pos x="T18" y="T19"/>
              </a:cxn>
              <a:cxn ang="T48">
                <a:pos x="T20" y="T21"/>
              </a:cxn>
              <a:cxn ang="T49">
                <a:pos x="T22" y="T23"/>
              </a:cxn>
              <a:cxn ang="T50">
                <a:pos x="T24" y="T25"/>
              </a:cxn>
              <a:cxn ang="T51">
                <a:pos x="T26" y="T27"/>
              </a:cxn>
              <a:cxn ang="T52">
                <a:pos x="T28" y="T29"/>
              </a:cxn>
              <a:cxn ang="T53">
                <a:pos x="T30" y="T31"/>
              </a:cxn>
              <a:cxn ang="T54">
                <a:pos x="T32" y="T33"/>
              </a:cxn>
              <a:cxn ang="T55">
                <a:pos x="T34" y="T35"/>
              </a:cxn>
              <a:cxn ang="T56">
                <a:pos x="T36" y="T37"/>
              </a:cxn>
            </a:cxnLst>
            <a:rect l="T57" t="T58" r="T59" b="T60"/>
            <a:pathLst>
              <a:path w="290593" h="817667">
                <a:moveTo>
                  <a:pt x="76200" y="14613"/>
                </a:moveTo>
                <a:lnTo>
                  <a:pt x="76200" y="14613"/>
                </a:lnTo>
                <a:cubicBezTo>
                  <a:pt x="86511" y="42109"/>
                  <a:pt x="127065" y="111603"/>
                  <a:pt x="95250" y="147963"/>
                </a:cubicBezTo>
                <a:cubicBezTo>
                  <a:pt x="82027" y="163075"/>
                  <a:pt x="38100" y="167013"/>
                  <a:pt x="38100" y="167013"/>
                </a:cubicBezTo>
                <a:cubicBezTo>
                  <a:pt x="52096" y="176344"/>
                  <a:pt x="84429" y="192607"/>
                  <a:pt x="85725" y="214638"/>
                </a:cubicBezTo>
                <a:cubicBezTo>
                  <a:pt x="86693" y="231091"/>
                  <a:pt x="98014" y="343872"/>
                  <a:pt x="57150" y="376563"/>
                </a:cubicBezTo>
                <a:cubicBezTo>
                  <a:pt x="49310" y="382835"/>
                  <a:pt x="38100" y="382913"/>
                  <a:pt x="28575" y="386088"/>
                </a:cubicBezTo>
                <a:cubicBezTo>
                  <a:pt x="13701" y="430709"/>
                  <a:pt x="10804" y="425702"/>
                  <a:pt x="28575" y="490863"/>
                </a:cubicBezTo>
                <a:cubicBezTo>
                  <a:pt x="31587" y="501907"/>
                  <a:pt x="41275" y="509913"/>
                  <a:pt x="47625" y="519438"/>
                </a:cubicBezTo>
                <a:cubicBezTo>
                  <a:pt x="44450" y="538488"/>
                  <a:pt x="47682" y="559820"/>
                  <a:pt x="38100" y="576588"/>
                </a:cubicBezTo>
                <a:cubicBezTo>
                  <a:pt x="33119" y="585305"/>
                  <a:pt x="16625" y="579013"/>
                  <a:pt x="9525" y="586113"/>
                </a:cubicBezTo>
                <a:cubicBezTo>
                  <a:pt x="2425" y="593213"/>
                  <a:pt x="3175" y="605163"/>
                  <a:pt x="0" y="614688"/>
                </a:cubicBezTo>
                <a:cubicBezTo>
                  <a:pt x="6350" y="633738"/>
                  <a:pt x="7911" y="655130"/>
                  <a:pt x="19050" y="671838"/>
                </a:cubicBezTo>
                <a:lnTo>
                  <a:pt x="57150" y="728988"/>
                </a:lnTo>
                <a:cubicBezTo>
                  <a:pt x="51516" y="745889"/>
                  <a:pt x="26742" y="805357"/>
                  <a:pt x="57150" y="814713"/>
                </a:cubicBezTo>
                <a:cubicBezTo>
                  <a:pt x="66751" y="817667"/>
                  <a:pt x="248114" y="780330"/>
                  <a:pt x="266700" y="776613"/>
                </a:cubicBezTo>
                <a:cubicBezTo>
                  <a:pt x="290593" y="633254"/>
                  <a:pt x="266700" y="801168"/>
                  <a:pt x="266700" y="509913"/>
                </a:cubicBezTo>
                <a:cubicBezTo>
                  <a:pt x="266700" y="283161"/>
                  <a:pt x="272633" y="226829"/>
                  <a:pt x="285750" y="43188"/>
                </a:cubicBezTo>
                <a:cubicBezTo>
                  <a:pt x="199373" y="0"/>
                  <a:pt x="111125" y="19376"/>
                  <a:pt x="76200" y="14613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cap="flat" cmpd="sng" algn="ctr">
                <a:solidFill>
                  <a:srgbClr val="000000"/>
                </a:solidFill>
                <a:prstDash val="solid"/>
                <a:round/>
                <a:headEnd type="none" w="med" len="med"/>
                <a:tailEnd type="none" w="med" len="med"/>
              </a14:hiddenLine>
            </a:ext>
          </a:extLst>
        </xdr:spPr>
      </xdr:sp>
    </xdr:grpSp>
    <xdr:clientData/>
  </xdr:twoCellAnchor>
  <xdr:twoCellAnchor>
    <xdr:from>
      <xdr:col>47</xdr:col>
      <xdr:colOff>114300</xdr:colOff>
      <xdr:row>77</xdr:row>
      <xdr:rowOff>45720</xdr:rowOff>
    </xdr:from>
    <xdr:to>
      <xdr:col>50</xdr:col>
      <xdr:colOff>15240</xdr:colOff>
      <xdr:row>80</xdr:row>
      <xdr:rowOff>99060</xdr:rowOff>
    </xdr:to>
    <xdr:grpSp>
      <xdr:nvGrpSpPr>
        <xdr:cNvPr id="436099" name="Skupina 2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0200-000083A70600}"/>
            </a:ext>
          </a:extLst>
        </xdr:cNvPr>
        <xdr:cNvGrpSpPr>
          <a:grpSpLocks/>
        </xdr:cNvGrpSpPr>
      </xdr:nvGrpSpPr>
      <xdr:grpSpPr bwMode="auto">
        <a:xfrm>
          <a:off x="11087100" y="14619973"/>
          <a:ext cx="598772" cy="606792"/>
          <a:chOff x="10116367" y="14456058"/>
          <a:chExt cx="533476" cy="602709"/>
        </a:xfrm>
      </xdr:grpSpPr>
      <xdr:sp macro="" textlink="">
        <xdr:nvSpPr>
          <xdr:cNvPr id="436202" name="Obdélník 23">
            <a:extLst>
              <a:ext uri="{FF2B5EF4-FFF2-40B4-BE49-F238E27FC236}">
                <a16:creationId xmlns:a16="http://schemas.microsoft.com/office/drawing/2014/main" id="{00000000-0008-0000-0200-0000EAA70600}"/>
              </a:ext>
            </a:extLst>
          </xdr:cNvPr>
          <xdr:cNvSpPr>
            <a:spLocks noChangeArrowheads="1"/>
          </xdr:cNvSpPr>
        </xdr:nvSpPr>
        <xdr:spPr bwMode="auto">
          <a:xfrm>
            <a:off x="10162713" y="14643686"/>
            <a:ext cx="483414" cy="45719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36203" name="Obdélník 23">
            <a:extLst>
              <a:ext uri="{FF2B5EF4-FFF2-40B4-BE49-F238E27FC236}">
                <a16:creationId xmlns:a16="http://schemas.microsoft.com/office/drawing/2014/main" id="{00000000-0008-0000-0200-0000EBA70600}"/>
              </a:ext>
            </a:extLst>
          </xdr:cNvPr>
          <xdr:cNvSpPr>
            <a:spLocks noChangeArrowheads="1"/>
          </xdr:cNvSpPr>
        </xdr:nvSpPr>
        <xdr:spPr bwMode="auto">
          <a:xfrm>
            <a:off x="10164519" y="14979759"/>
            <a:ext cx="483405" cy="45719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36204" name="Obdélník 23">
            <a:extLst>
              <a:ext uri="{FF2B5EF4-FFF2-40B4-BE49-F238E27FC236}">
                <a16:creationId xmlns:a16="http://schemas.microsoft.com/office/drawing/2014/main" id="{00000000-0008-0000-0200-0000ECA70600}"/>
              </a:ext>
            </a:extLst>
          </xdr:cNvPr>
          <xdr:cNvSpPr>
            <a:spLocks noChangeArrowheads="1"/>
          </xdr:cNvSpPr>
        </xdr:nvSpPr>
        <xdr:spPr bwMode="auto">
          <a:xfrm>
            <a:off x="10162713" y="14503524"/>
            <a:ext cx="483414" cy="118947"/>
          </a:xfrm>
          <a:prstGeom prst="rect">
            <a:avLst/>
          </a:prstGeom>
          <a:solidFill>
            <a:srgbClr val="C6D9F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36205" name="Obdélník 23">
            <a:extLst>
              <a:ext uri="{FF2B5EF4-FFF2-40B4-BE49-F238E27FC236}">
                <a16:creationId xmlns:a16="http://schemas.microsoft.com/office/drawing/2014/main" id="{00000000-0008-0000-0200-0000EDA70600}"/>
              </a:ext>
            </a:extLst>
          </xdr:cNvPr>
          <xdr:cNvSpPr>
            <a:spLocks noChangeArrowheads="1"/>
          </xdr:cNvSpPr>
        </xdr:nvSpPr>
        <xdr:spPr bwMode="auto">
          <a:xfrm>
            <a:off x="10166429" y="14838023"/>
            <a:ext cx="483414" cy="118947"/>
          </a:xfrm>
          <a:prstGeom prst="rect">
            <a:avLst/>
          </a:prstGeom>
          <a:solidFill>
            <a:srgbClr val="C6D9F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36206" name="Obdélník 24">
            <a:extLst>
              <a:ext uri="{FF2B5EF4-FFF2-40B4-BE49-F238E27FC236}">
                <a16:creationId xmlns:a16="http://schemas.microsoft.com/office/drawing/2014/main" id="{00000000-0008-0000-0200-0000EEA70600}"/>
              </a:ext>
            </a:extLst>
          </xdr:cNvPr>
          <xdr:cNvSpPr>
            <a:spLocks noChangeArrowheads="1"/>
          </xdr:cNvSpPr>
        </xdr:nvSpPr>
        <xdr:spPr bwMode="auto">
          <a:xfrm>
            <a:off x="10116367" y="14456058"/>
            <a:ext cx="54556" cy="602709"/>
          </a:xfrm>
          <a:prstGeom prst="rect">
            <a:avLst/>
          </a:prstGeom>
          <a:solidFill>
            <a:srgbClr val="FFFFE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>
      <xdr:col>9</xdr:col>
      <xdr:colOff>7620</xdr:colOff>
      <xdr:row>84</xdr:row>
      <xdr:rowOff>106680</xdr:rowOff>
    </xdr:from>
    <xdr:to>
      <xdr:col>14</xdr:col>
      <xdr:colOff>99060</xdr:colOff>
      <xdr:row>89</xdr:row>
      <xdr:rowOff>99060</xdr:rowOff>
    </xdr:to>
    <xdr:grpSp>
      <xdr:nvGrpSpPr>
        <xdr:cNvPr id="2" name="Skupina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/>
      </xdr:nvGrpSpPr>
      <xdr:grpSpPr>
        <a:xfrm>
          <a:off x="2141220" y="16076596"/>
          <a:ext cx="1254493" cy="914801"/>
          <a:chOff x="1988820" y="16076596"/>
          <a:chExt cx="1174282" cy="914801"/>
        </a:xfrm>
      </xdr:grpSpPr>
      <xdr:grpSp>
        <xdr:nvGrpSpPr>
          <xdr:cNvPr id="436075" name="Skupina 32">
            <a:extLst>
              <a:ext uri="{FF2B5EF4-FFF2-40B4-BE49-F238E27FC236}">
                <a16:creationId xmlns:a16="http://schemas.microsoft.com/office/drawing/2014/main" id="{00000000-0008-0000-0200-00006BA70600}"/>
              </a:ext>
            </a:extLst>
          </xdr:cNvPr>
          <xdr:cNvGrpSpPr>
            <a:grpSpLocks/>
          </xdr:cNvGrpSpPr>
        </xdr:nvGrpSpPr>
        <xdr:grpSpPr bwMode="auto">
          <a:xfrm>
            <a:off x="1988820" y="16152796"/>
            <a:ext cx="896754" cy="838601"/>
            <a:chOff x="5762624" y="1547487"/>
            <a:chExt cx="976394" cy="817667"/>
          </a:xfrm>
        </xdr:grpSpPr>
        <xdr:sp macro="" textlink="">
          <xdr:nvSpPr>
            <xdr:cNvPr id="439353" name="Obdélník 34">
              <a:extLst>
                <a:ext uri="{FF2B5EF4-FFF2-40B4-BE49-F238E27FC236}">
                  <a16:creationId xmlns:a16="http://schemas.microsoft.com/office/drawing/2014/main" id="{00000000-0008-0000-0200-000039B406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829299" y="1662453"/>
              <a:ext cx="771525" cy="585448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439354" name="Obdélník 35">
              <a:extLst>
                <a:ext uri="{FF2B5EF4-FFF2-40B4-BE49-F238E27FC236}">
                  <a16:creationId xmlns:a16="http://schemas.microsoft.com/office/drawing/2014/main" id="{00000000-0008-0000-0200-00003AB406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762624" y="1590675"/>
              <a:ext cx="85726" cy="730800"/>
            </a:xfrm>
            <a:prstGeom prst="rect">
              <a:avLst/>
            </a:prstGeom>
            <a:solidFill>
              <a:srgbClr val="FFFFE1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439355" name="Volný tvar 36">
              <a:extLst>
                <a:ext uri="{FF2B5EF4-FFF2-40B4-BE49-F238E27FC236}">
                  <a16:creationId xmlns:a16="http://schemas.microsoft.com/office/drawing/2014/main" id="{00000000-0008-0000-0200-00003BB40600}"/>
                </a:ext>
              </a:extLst>
            </xdr:cNvPr>
            <xdr:cNvSpPr>
              <a:spLocks/>
            </xdr:cNvSpPr>
          </xdr:nvSpPr>
          <xdr:spPr bwMode="auto">
            <a:xfrm>
              <a:off x="6448425" y="1547487"/>
              <a:ext cx="290593" cy="817667"/>
            </a:xfrm>
            <a:custGeom>
              <a:avLst/>
              <a:gdLst>
                <a:gd name="T0" fmla="*/ 76200 w 290593"/>
                <a:gd name="T1" fmla="*/ 14613 h 817667"/>
                <a:gd name="T2" fmla="*/ 76200 w 290593"/>
                <a:gd name="T3" fmla="*/ 14613 h 817667"/>
                <a:gd name="T4" fmla="*/ 77390 w 290593"/>
                <a:gd name="T5" fmla="*/ 99635 h 817667"/>
                <a:gd name="T6" fmla="*/ 38100 w 290593"/>
                <a:gd name="T7" fmla="*/ 167013 h 817667"/>
                <a:gd name="T8" fmla="*/ 85725 w 290593"/>
                <a:gd name="T9" fmla="*/ 214638 h 817667"/>
                <a:gd name="T10" fmla="*/ 57150 w 290593"/>
                <a:gd name="T11" fmla="*/ 376563 h 817667"/>
                <a:gd name="T12" fmla="*/ 28575 w 290593"/>
                <a:gd name="T13" fmla="*/ 386088 h 817667"/>
                <a:gd name="T14" fmla="*/ 28575 w 290593"/>
                <a:gd name="T15" fmla="*/ 490863 h 817667"/>
                <a:gd name="T16" fmla="*/ 47625 w 290593"/>
                <a:gd name="T17" fmla="*/ 519438 h 817667"/>
                <a:gd name="T18" fmla="*/ 38100 w 290593"/>
                <a:gd name="T19" fmla="*/ 576588 h 817667"/>
                <a:gd name="T20" fmla="*/ 9525 w 290593"/>
                <a:gd name="T21" fmla="*/ 586113 h 817667"/>
                <a:gd name="T22" fmla="*/ 0 w 290593"/>
                <a:gd name="T23" fmla="*/ 614688 h 817667"/>
                <a:gd name="T24" fmla="*/ 19050 w 290593"/>
                <a:gd name="T25" fmla="*/ 671838 h 817667"/>
                <a:gd name="T26" fmla="*/ 57150 w 290593"/>
                <a:gd name="T27" fmla="*/ 728988 h 817667"/>
                <a:gd name="T28" fmla="*/ 57150 w 290593"/>
                <a:gd name="T29" fmla="*/ 814713 h 817667"/>
                <a:gd name="T30" fmla="*/ 266700 w 290593"/>
                <a:gd name="T31" fmla="*/ 776613 h 817667"/>
                <a:gd name="T32" fmla="*/ 266700 w 290593"/>
                <a:gd name="T33" fmla="*/ 509913 h 817667"/>
                <a:gd name="T34" fmla="*/ 285750 w 290593"/>
                <a:gd name="T35" fmla="*/ 43188 h 817667"/>
                <a:gd name="T36" fmla="*/ 76200 w 290593"/>
                <a:gd name="T37" fmla="*/ 14613 h 817667"/>
                <a:gd name="T38" fmla="*/ 0 60000 65536"/>
                <a:gd name="T39" fmla="*/ 0 60000 65536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w 290593"/>
                <a:gd name="T58" fmla="*/ 0 h 817667"/>
                <a:gd name="T59" fmla="*/ 290593 w 290593"/>
                <a:gd name="T60" fmla="*/ 817667 h 817667"/>
              </a:gdLst>
              <a:ahLst/>
              <a:cxnLst>
                <a:cxn ang="T38">
                  <a:pos x="T0" y="T1"/>
                </a:cxn>
                <a:cxn ang="T39">
                  <a:pos x="T2" y="T3"/>
                </a:cxn>
                <a:cxn ang="T40">
                  <a:pos x="T4" y="T5"/>
                </a:cxn>
                <a:cxn ang="T41">
                  <a:pos x="T6" y="T7"/>
                </a:cxn>
                <a:cxn ang="T42">
                  <a:pos x="T8" y="T9"/>
                </a:cxn>
                <a:cxn ang="T43">
                  <a:pos x="T10" y="T11"/>
                </a:cxn>
                <a:cxn ang="T44">
                  <a:pos x="T12" y="T13"/>
                </a:cxn>
                <a:cxn ang="T45">
                  <a:pos x="T14" y="T15"/>
                </a:cxn>
                <a:cxn ang="T46">
                  <a:pos x="T16" y="T17"/>
                </a:cxn>
                <a:cxn ang="T47">
                  <a:pos x="T18" y="T19"/>
                </a:cxn>
                <a:cxn ang="T48">
                  <a:pos x="T20" y="T21"/>
                </a:cxn>
                <a:cxn ang="T49">
                  <a:pos x="T22" y="T23"/>
                </a:cxn>
                <a:cxn ang="T50">
                  <a:pos x="T24" y="T25"/>
                </a:cxn>
                <a:cxn ang="T51">
                  <a:pos x="T26" y="T27"/>
                </a:cxn>
                <a:cxn ang="T52">
                  <a:pos x="T28" y="T29"/>
                </a:cxn>
                <a:cxn ang="T53">
                  <a:pos x="T30" y="T31"/>
                </a:cxn>
                <a:cxn ang="T54">
                  <a:pos x="T32" y="T33"/>
                </a:cxn>
                <a:cxn ang="T55">
                  <a:pos x="T34" y="T35"/>
                </a:cxn>
                <a:cxn ang="T56">
                  <a:pos x="T36" y="T37"/>
                </a:cxn>
              </a:cxnLst>
              <a:rect l="T57" t="T58" r="T59" b="T60"/>
              <a:pathLst>
                <a:path w="290593" h="817667">
                  <a:moveTo>
                    <a:pt x="76200" y="14613"/>
                  </a:moveTo>
                  <a:lnTo>
                    <a:pt x="76200" y="14613"/>
                  </a:lnTo>
                  <a:cubicBezTo>
                    <a:pt x="86511" y="42109"/>
                    <a:pt x="109205" y="63275"/>
                    <a:pt x="77390" y="99635"/>
                  </a:cubicBezTo>
                  <a:cubicBezTo>
                    <a:pt x="64167" y="114747"/>
                    <a:pt x="38100" y="167013"/>
                    <a:pt x="38100" y="167013"/>
                  </a:cubicBezTo>
                  <a:cubicBezTo>
                    <a:pt x="52096" y="176344"/>
                    <a:pt x="84429" y="192607"/>
                    <a:pt x="85725" y="214638"/>
                  </a:cubicBezTo>
                  <a:cubicBezTo>
                    <a:pt x="86693" y="231091"/>
                    <a:pt x="98014" y="343872"/>
                    <a:pt x="57150" y="376563"/>
                  </a:cubicBezTo>
                  <a:cubicBezTo>
                    <a:pt x="49310" y="382835"/>
                    <a:pt x="38100" y="382913"/>
                    <a:pt x="28575" y="386088"/>
                  </a:cubicBezTo>
                  <a:cubicBezTo>
                    <a:pt x="13701" y="430709"/>
                    <a:pt x="10804" y="425702"/>
                    <a:pt x="28575" y="490863"/>
                  </a:cubicBezTo>
                  <a:cubicBezTo>
                    <a:pt x="31587" y="501907"/>
                    <a:pt x="41275" y="509913"/>
                    <a:pt x="47625" y="519438"/>
                  </a:cubicBezTo>
                  <a:cubicBezTo>
                    <a:pt x="44450" y="538488"/>
                    <a:pt x="47682" y="559820"/>
                    <a:pt x="38100" y="576588"/>
                  </a:cubicBezTo>
                  <a:cubicBezTo>
                    <a:pt x="33119" y="585305"/>
                    <a:pt x="16625" y="579013"/>
                    <a:pt x="9525" y="586113"/>
                  </a:cubicBezTo>
                  <a:cubicBezTo>
                    <a:pt x="2425" y="593213"/>
                    <a:pt x="3175" y="605163"/>
                    <a:pt x="0" y="614688"/>
                  </a:cubicBezTo>
                  <a:cubicBezTo>
                    <a:pt x="6350" y="633738"/>
                    <a:pt x="7911" y="655130"/>
                    <a:pt x="19050" y="671838"/>
                  </a:cubicBezTo>
                  <a:lnTo>
                    <a:pt x="57150" y="728988"/>
                  </a:lnTo>
                  <a:cubicBezTo>
                    <a:pt x="51516" y="745889"/>
                    <a:pt x="26742" y="805357"/>
                    <a:pt x="57150" y="814713"/>
                  </a:cubicBezTo>
                  <a:cubicBezTo>
                    <a:pt x="66751" y="817667"/>
                    <a:pt x="248114" y="780330"/>
                    <a:pt x="266700" y="776613"/>
                  </a:cubicBezTo>
                  <a:cubicBezTo>
                    <a:pt x="290593" y="633254"/>
                    <a:pt x="266700" y="801168"/>
                    <a:pt x="266700" y="509913"/>
                  </a:cubicBezTo>
                  <a:cubicBezTo>
                    <a:pt x="266700" y="283161"/>
                    <a:pt x="272633" y="226829"/>
                    <a:pt x="285750" y="43188"/>
                  </a:cubicBezTo>
                  <a:cubicBezTo>
                    <a:pt x="199373" y="0"/>
                    <a:pt x="111125" y="19376"/>
                    <a:pt x="76200" y="14613"/>
                  </a:cubicBezTo>
                  <a:close/>
                </a:path>
              </a:pathLst>
            </a:cu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 cap="flat" cmpd="sng" algn="ctr">
                  <a:solidFill>
                    <a:srgbClr val="000000"/>
                  </a:solidFill>
                  <a:prstDash val="solid"/>
                  <a:round/>
                  <a:headEnd type="none" w="med" len="med"/>
                  <a:tailEnd type="none" w="med" len="med"/>
                </a14:hiddenLine>
              </a:ext>
            </a:extLst>
          </xdr:spPr>
        </xdr:sp>
      </xdr:grpSp>
      <xdr:grpSp>
        <xdr:nvGrpSpPr>
          <xdr:cNvPr id="436100" name="Skupina 21">
            <a:extLst>
              <a:ext uri="{FF2B5EF4-FFF2-40B4-BE49-F238E27FC236}">
                <a16:creationId xmlns:a16="http://schemas.microsoft.com/office/drawing/2014/main" id="{00000000-0008-0000-0200-000084A70600}"/>
              </a:ext>
            </a:extLst>
          </xdr:cNvPr>
          <xdr:cNvGrpSpPr>
            <a:grpSpLocks/>
          </xdr:cNvGrpSpPr>
        </xdr:nvGrpSpPr>
        <xdr:grpSpPr bwMode="auto">
          <a:xfrm>
            <a:off x="2281588" y="16076596"/>
            <a:ext cx="881514" cy="692217"/>
            <a:chOff x="1771649" y="3440863"/>
            <a:chExt cx="976394" cy="676891"/>
          </a:xfrm>
        </xdr:grpSpPr>
        <xdr:sp macro="" textlink="">
          <xdr:nvSpPr>
            <xdr:cNvPr id="436199" name="Obdélník 19">
              <a:extLst>
                <a:ext uri="{FF2B5EF4-FFF2-40B4-BE49-F238E27FC236}">
                  <a16:creationId xmlns:a16="http://schemas.microsoft.com/office/drawing/2014/main" id="{00000000-0008-0000-0200-0000E7A706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838324" y="3695700"/>
              <a:ext cx="771525" cy="304800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436200" name="Obdélník 18">
              <a:extLst>
                <a:ext uri="{FF2B5EF4-FFF2-40B4-BE49-F238E27FC236}">
                  <a16:creationId xmlns:a16="http://schemas.microsoft.com/office/drawing/2014/main" id="{00000000-0008-0000-0200-0000E8A706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771649" y="3562350"/>
              <a:ext cx="85726" cy="514350"/>
            </a:xfrm>
            <a:prstGeom prst="rect">
              <a:avLst/>
            </a:prstGeom>
            <a:solidFill>
              <a:srgbClr val="FFFFE1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436201" name="Volný tvar 20">
              <a:extLst>
                <a:ext uri="{FF2B5EF4-FFF2-40B4-BE49-F238E27FC236}">
                  <a16:creationId xmlns:a16="http://schemas.microsoft.com/office/drawing/2014/main" id="{00000000-0008-0000-0200-0000E9A70600}"/>
                </a:ext>
              </a:extLst>
            </xdr:cNvPr>
            <xdr:cNvSpPr>
              <a:spLocks/>
            </xdr:cNvSpPr>
          </xdr:nvSpPr>
          <xdr:spPr bwMode="auto">
            <a:xfrm>
              <a:off x="2457450" y="3440863"/>
              <a:ext cx="290593" cy="676891"/>
            </a:xfrm>
            <a:custGeom>
              <a:avLst/>
              <a:gdLst>
                <a:gd name="T0" fmla="*/ 76200 w 290593"/>
                <a:gd name="T1" fmla="*/ 1037 h 817667"/>
                <a:gd name="T2" fmla="*/ 76200 w 290593"/>
                <a:gd name="T3" fmla="*/ 1037 h 817667"/>
                <a:gd name="T4" fmla="*/ 95250 w 290593"/>
                <a:gd name="T5" fmla="*/ 10504 h 817667"/>
                <a:gd name="T6" fmla="*/ 38100 w 290593"/>
                <a:gd name="T7" fmla="*/ 11856 h 817667"/>
                <a:gd name="T8" fmla="*/ 85725 w 290593"/>
                <a:gd name="T9" fmla="*/ 15236 h 817667"/>
                <a:gd name="T10" fmla="*/ 57150 w 290593"/>
                <a:gd name="T11" fmla="*/ 26732 h 817667"/>
                <a:gd name="T12" fmla="*/ 28575 w 290593"/>
                <a:gd name="T13" fmla="*/ 27407 h 817667"/>
                <a:gd name="T14" fmla="*/ 28575 w 290593"/>
                <a:gd name="T15" fmla="*/ 34846 h 817667"/>
                <a:gd name="T16" fmla="*/ 47625 w 290593"/>
                <a:gd name="T17" fmla="*/ 36874 h 817667"/>
                <a:gd name="T18" fmla="*/ 38100 w 290593"/>
                <a:gd name="T19" fmla="*/ 40931 h 817667"/>
                <a:gd name="T20" fmla="*/ 9525 w 290593"/>
                <a:gd name="T21" fmla="*/ 41608 h 817667"/>
                <a:gd name="T22" fmla="*/ 0 w 290593"/>
                <a:gd name="T23" fmla="*/ 43636 h 817667"/>
                <a:gd name="T24" fmla="*/ 19050 w 290593"/>
                <a:gd name="T25" fmla="*/ 47692 h 817667"/>
                <a:gd name="T26" fmla="*/ 57150 w 290593"/>
                <a:gd name="T27" fmla="*/ 51750 h 817667"/>
                <a:gd name="T28" fmla="*/ 57150 w 290593"/>
                <a:gd name="T29" fmla="*/ 57836 h 817667"/>
                <a:gd name="T30" fmla="*/ 266700 w 290593"/>
                <a:gd name="T31" fmla="*/ 55131 h 817667"/>
                <a:gd name="T32" fmla="*/ 266700 w 290593"/>
                <a:gd name="T33" fmla="*/ 36198 h 817667"/>
                <a:gd name="T34" fmla="*/ 285750 w 290593"/>
                <a:gd name="T35" fmla="*/ 3066 h 817667"/>
                <a:gd name="T36" fmla="*/ 76200 w 290593"/>
                <a:gd name="T37" fmla="*/ 1037 h 817667"/>
                <a:gd name="T38" fmla="*/ 0 60000 65536"/>
                <a:gd name="T39" fmla="*/ 0 60000 65536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w 290593"/>
                <a:gd name="T58" fmla="*/ 0 h 817667"/>
                <a:gd name="T59" fmla="*/ 290593 w 290593"/>
                <a:gd name="T60" fmla="*/ 817667 h 817667"/>
              </a:gdLst>
              <a:ahLst/>
              <a:cxnLst>
                <a:cxn ang="T38">
                  <a:pos x="T0" y="T1"/>
                </a:cxn>
                <a:cxn ang="T39">
                  <a:pos x="T2" y="T3"/>
                </a:cxn>
                <a:cxn ang="T40">
                  <a:pos x="T4" y="T5"/>
                </a:cxn>
                <a:cxn ang="T41">
                  <a:pos x="T6" y="T7"/>
                </a:cxn>
                <a:cxn ang="T42">
                  <a:pos x="T8" y="T9"/>
                </a:cxn>
                <a:cxn ang="T43">
                  <a:pos x="T10" y="T11"/>
                </a:cxn>
                <a:cxn ang="T44">
                  <a:pos x="T12" y="T13"/>
                </a:cxn>
                <a:cxn ang="T45">
                  <a:pos x="T14" y="T15"/>
                </a:cxn>
                <a:cxn ang="T46">
                  <a:pos x="T16" y="T17"/>
                </a:cxn>
                <a:cxn ang="T47">
                  <a:pos x="T18" y="T19"/>
                </a:cxn>
                <a:cxn ang="T48">
                  <a:pos x="T20" y="T21"/>
                </a:cxn>
                <a:cxn ang="T49">
                  <a:pos x="T22" y="T23"/>
                </a:cxn>
                <a:cxn ang="T50">
                  <a:pos x="T24" y="T25"/>
                </a:cxn>
                <a:cxn ang="T51">
                  <a:pos x="T26" y="T27"/>
                </a:cxn>
                <a:cxn ang="T52">
                  <a:pos x="T28" y="T29"/>
                </a:cxn>
                <a:cxn ang="T53">
                  <a:pos x="T30" y="T31"/>
                </a:cxn>
                <a:cxn ang="T54">
                  <a:pos x="T32" y="T33"/>
                </a:cxn>
                <a:cxn ang="T55">
                  <a:pos x="T34" y="T35"/>
                </a:cxn>
                <a:cxn ang="T56">
                  <a:pos x="T36" y="T37"/>
                </a:cxn>
              </a:cxnLst>
              <a:rect l="T57" t="T58" r="T59" b="T60"/>
              <a:pathLst>
                <a:path w="290593" h="817667">
                  <a:moveTo>
                    <a:pt x="76200" y="14613"/>
                  </a:moveTo>
                  <a:lnTo>
                    <a:pt x="76200" y="14613"/>
                  </a:lnTo>
                  <a:cubicBezTo>
                    <a:pt x="86511" y="42109"/>
                    <a:pt x="127065" y="111603"/>
                    <a:pt x="95250" y="147963"/>
                  </a:cubicBezTo>
                  <a:cubicBezTo>
                    <a:pt x="82027" y="163075"/>
                    <a:pt x="38100" y="167013"/>
                    <a:pt x="38100" y="167013"/>
                  </a:cubicBezTo>
                  <a:cubicBezTo>
                    <a:pt x="52096" y="176344"/>
                    <a:pt x="84429" y="192607"/>
                    <a:pt x="85725" y="214638"/>
                  </a:cubicBezTo>
                  <a:cubicBezTo>
                    <a:pt x="86693" y="231091"/>
                    <a:pt x="98014" y="343872"/>
                    <a:pt x="57150" y="376563"/>
                  </a:cubicBezTo>
                  <a:cubicBezTo>
                    <a:pt x="49310" y="382835"/>
                    <a:pt x="38100" y="382913"/>
                    <a:pt x="28575" y="386088"/>
                  </a:cubicBezTo>
                  <a:cubicBezTo>
                    <a:pt x="13701" y="430709"/>
                    <a:pt x="10804" y="425702"/>
                    <a:pt x="28575" y="490863"/>
                  </a:cubicBezTo>
                  <a:cubicBezTo>
                    <a:pt x="31587" y="501907"/>
                    <a:pt x="41275" y="509913"/>
                    <a:pt x="47625" y="519438"/>
                  </a:cubicBezTo>
                  <a:cubicBezTo>
                    <a:pt x="44450" y="538488"/>
                    <a:pt x="47682" y="559820"/>
                    <a:pt x="38100" y="576588"/>
                  </a:cubicBezTo>
                  <a:cubicBezTo>
                    <a:pt x="33119" y="585305"/>
                    <a:pt x="16625" y="579013"/>
                    <a:pt x="9525" y="586113"/>
                  </a:cubicBezTo>
                  <a:cubicBezTo>
                    <a:pt x="2425" y="593213"/>
                    <a:pt x="3175" y="605163"/>
                    <a:pt x="0" y="614688"/>
                  </a:cubicBezTo>
                  <a:cubicBezTo>
                    <a:pt x="6350" y="633738"/>
                    <a:pt x="7911" y="655130"/>
                    <a:pt x="19050" y="671838"/>
                  </a:cubicBezTo>
                  <a:lnTo>
                    <a:pt x="57150" y="728988"/>
                  </a:lnTo>
                  <a:cubicBezTo>
                    <a:pt x="51516" y="745889"/>
                    <a:pt x="26742" y="805357"/>
                    <a:pt x="57150" y="814713"/>
                  </a:cubicBezTo>
                  <a:cubicBezTo>
                    <a:pt x="66751" y="817667"/>
                    <a:pt x="248114" y="780330"/>
                    <a:pt x="266700" y="776613"/>
                  </a:cubicBezTo>
                  <a:cubicBezTo>
                    <a:pt x="290593" y="633254"/>
                    <a:pt x="266700" y="801168"/>
                    <a:pt x="266700" y="509913"/>
                  </a:cubicBezTo>
                  <a:cubicBezTo>
                    <a:pt x="266700" y="283161"/>
                    <a:pt x="272633" y="226829"/>
                    <a:pt x="285750" y="43188"/>
                  </a:cubicBezTo>
                  <a:cubicBezTo>
                    <a:pt x="199373" y="0"/>
                    <a:pt x="111125" y="19376"/>
                    <a:pt x="76200" y="14613"/>
                  </a:cubicBezTo>
                  <a:close/>
                </a:path>
              </a:pathLst>
            </a:cu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 cap="flat" cmpd="sng" algn="ctr">
                  <a:solidFill>
                    <a:srgbClr val="000000"/>
                  </a:solidFill>
                  <a:prstDash val="solid"/>
                  <a:round/>
                  <a:headEnd type="none" w="med" len="med"/>
                  <a:tailEnd type="none" w="med" len="med"/>
                </a14:hiddenLine>
              </a:ext>
            </a:extLst>
          </xdr:spPr>
        </xdr:sp>
      </xdr:grpSp>
    </xdr:grpSp>
    <xdr:clientData/>
  </xdr:twoCellAnchor>
  <xdr:twoCellAnchor>
    <xdr:from>
      <xdr:col>22</xdr:col>
      <xdr:colOff>144780</xdr:colOff>
      <xdr:row>84</xdr:row>
      <xdr:rowOff>91440</xdr:rowOff>
    </xdr:from>
    <xdr:to>
      <xdr:col>28</xdr:col>
      <xdr:colOff>15240</xdr:colOff>
      <xdr:row>90</xdr:row>
      <xdr:rowOff>45720</xdr:rowOff>
    </xdr:to>
    <xdr:grpSp>
      <xdr:nvGrpSpPr>
        <xdr:cNvPr id="4" name="Skupina 3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pSpPr/>
      </xdr:nvGrpSpPr>
      <xdr:grpSpPr>
        <a:xfrm>
          <a:off x="5302317" y="16061356"/>
          <a:ext cx="1266123" cy="1061185"/>
          <a:chOff x="4941369" y="16061356"/>
          <a:chExt cx="1169871" cy="1061185"/>
        </a:xfrm>
      </xdr:grpSpPr>
      <xdr:grpSp>
        <xdr:nvGrpSpPr>
          <xdr:cNvPr id="436101" name="Skupina 96">
            <a:extLst>
              <a:ext uri="{FF2B5EF4-FFF2-40B4-BE49-F238E27FC236}">
                <a16:creationId xmlns:a16="http://schemas.microsoft.com/office/drawing/2014/main" id="{00000000-0008-0000-0200-000085A70600}"/>
              </a:ext>
            </a:extLst>
          </xdr:cNvPr>
          <xdr:cNvGrpSpPr>
            <a:grpSpLocks/>
          </xdr:cNvGrpSpPr>
        </xdr:nvGrpSpPr>
        <xdr:grpSpPr bwMode="auto">
          <a:xfrm>
            <a:off x="4941369" y="16283940"/>
            <a:ext cx="896754" cy="838601"/>
            <a:chOff x="9103519" y="4391025"/>
            <a:chExt cx="976394" cy="805761"/>
          </a:xfrm>
        </xdr:grpSpPr>
        <xdr:sp macro="" textlink="">
          <xdr:nvSpPr>
            <xdr:cNvPr id="436195" name="Obdélník 98">
              <a:extLst>
                <a:ext uri="{FF2B5EF4-FFF2-40B4-BE49-F238E27FC236}">
                  <a16:creationId xmlns:a16="http://schemas.microsoft.com/office/drawing/2014/main" id="{00000000-0008-0000-0200-0000E3A706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179719" y="4484886"/>
              <a:ext cx="771525" cy="454489"/>
            </a:xfrm>
            <a:prstGeom prst="rect">
              <a:avLst/>
            </a:prstGeom>
            <a:solidFill>
              <a:srgbClr val="C6D9F1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436196" name="Obdélník 99">
              <a:extLst>
                <a:ext uri="{FF2B5EF4-FFF2-40B4-BE49-F238E27FC236}">
                  <a16:creationId xmlns:a16="http://schemas.microsoft.com/office/drawing/2014/main" id="{00000000-0008-0000-0200-0000E4A706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170194" y="4954788"/>
              <a:ext cx="771525" cy="126452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436197" name="Obdélník 100">
              <a:extLst>
                <a:ext uri="{FF2B5EF4-FFF2-40B4-BE49-F238E27FC236}">
                  <a16:creationId xmlns:a16="http://schemas.microsoft.com/office/drawing/2014/main" id="{00000000-0008-0000-0200-0000E5A706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103519" y="4433584"/>
              <a:ext cx="85726" cy="720159"/>
            </a:xfrm>
            <a:prstGeom prst="rect">
              <a:avLst/>
            </a:prstGeom>
            <a:solidFill>
              <a:srgbClr val="FFFFE1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436198" name="Volný tvar 101">
              <a:extLst>
                <a:ext uri="{FF2B5EF4-FFF2-40B4-BE49-F238E27FC236}">
                  <a16:creationId xmlns:a16="http://schemas.microsoft.com/office/drawing/2014/main" id="{00000000-0008-0000-0200-0000E6A70600}"/>
                </a:ext>
              </a:extLst>
            </xdr:cNvPr>
            <xdr:cNvSpPr>
              <a:spLocks/>
            </xdr:cNvSpPr>
          </xdr:nvSpPr>
          <xdr:spPr bwMode="auto">
            <a:xfrm>
              <a:off x="9789320" y="4391025"/>
              <a:ext cx="290593" cy="805761"/>
            </a:xfrm>
            <a:custGeom>
              <a:avLst/>
              <a:gdLst>
                <a:gd name="T0" fmla="*/ 76200 w 290593"/>
                <a:gd name="T1" fmla="*/ 5010 h 817667"/>
                <a:gd name="T2" fmla="*/ 76200 w 290593"/>
                <a:gd name="T3" fmla="*/ 5010 h 817667"/>
                <a:gd name="T4" fmla="*/ 77390 w 290593"/>
                <a:gd name="T5" fmla="*/ 34148 h 817667"/>
                <a:gd name="T6" fmla="*/ 38100 w 290593"/>
                <a:gd name="T7" fmla="*/ 57244 h 817667"/>
                <a:gd name="T8" fmla="*/ 85725 w 290593"/>
                <a:gd name="T9" fmla="*/ 73568 h 817667"/>
                <a:gd name="T10" fmla="*/ 57150 w 290593"/>
                <a:gd name="T11" fmla="*/ 129068 h 817667"/>
                <a:gd name="T12" fmla="*/ 28575 w 290593"/>
                <a:gd name="T13" fmla="*/ 132332 h 817667"/>
                <a:gd name="T14" fmla="*/ 28575 w 290593"/>
                <a:gd name="T15" fmla="*/ 168242 h 817667"/>
                <a:gd name="T16" fmla="*/ 47625 w 290593"/>
                <a:gd name="T17" fmla="*/ 178034 h 817667"/>
                <a:gd name="T18" fmla="*/ 38100 w 290593"/>
                <a:gd name="T19" fmla="*/ 197624 h 817667"/>
                <a:gd name="T20" fmla="*/ 9525 w 290593"/>
                <a:gd name="T21" fmla="*/ 200890 h 817667"/>
                <a:gd name="T22" fmla="*/ 0 w 290593"/>
                <a:gd name="T23" fmla="*/ 210682 h 817667"/>
                <a:gd name="T24" fmla="*/ 19050 w 290593"/>
                <a:gd name="T25" fmla="*/ 230271 h 817667"/>
                <a:gd name="T26" fmla="*/ 57150 w 290593"/>
                <a:gd name="T27" fmla="*/ 249858 h 817667"/>
                <a:gd name="T28" fmla="*/ 57150 w 290593"/>
                <a:gd name="T29" fmla="*/ 279239 h 817667"/>
                <a:gd name="T30" fmla="*/ 266700 w 290593"/>
                <a:gd name="T31" fmla="*/ 266183 h 817667"/>
                <a:gd name="T32" fmla="*/ 266700 w 290593"/>
                <a:gd name="T33" fmla="*/ 174772 h 817667"/>
                <a:gd name="T34" fmla="*/ 285750 w 290593"/>
                <a:gd name="T35" fmla="*/ 14801 h 817667"/>
                <a:gd name="T36" fmla="*/ 76200 w 290593"/>
                <a:gd name="T37" fmla="*/ 5010 h 817667"/>
                <a:gd name="T38" fmla="*/ 0 60000 65536"/>
                <a:gd name="T39" fmla="*/ 0 60000 65536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w 290593"/>
                <a:gd name="T58" fmla="*/ 0 h 817667"/>
                <a:gd name="T59" fmla="*/ 290593 w 290593"/>
                <a:gd name="T60" fmla="*/ 817667 h 817667"/>
              </a:gdLst>
              <a:ahLst/>
              <a:cxnLst>
                <a:cxn ang="T38">
                  <a:pos x="T0" y="T1"/>
                </a:cxn>
                <a:cxn ang="T39">
                  <a:pos x="T2" y="T3"/>
                </a:cxn>
                <a:cxn ang="T40">
                  <a:pos x="T4" y="T5"/>
                </a:cxn>
                <a:cxn ang="T41">
                  <a:pos x="T6" y="T7"/>
                </a:cxn>
                <a:cxn ang="T42">
                  <a:pos x="T8" y="T9"/>
                </a:cxn>
                <a:cxn ang="T43">
                  <a:pos x="T10" y="T11"/>
                </a:cxn>
                <a:cxn ang="T44">
                  <a:pos x="T12" y="T13"/>
                </a:cxn>
                <a:cxn ang="T45">
                  <a:pos x="T14" y="T15"/>
                </a:cxn>
                <a:cxn ang="T46">
                  <a:pos x="T16" y="T17"/>
                </a:cxn>
                <a:cxn ang="T47">
                  <a:pos x="T18" y="T19"/>
                </a:cxn>
                <a:cxn ang="T48">
                  <a:pos x="T20" y="T21"/>
                </a:cxn>
                <a:cxn ang="T49">
                  <a:pos x="T22" y="T23"/>
                </a:cxn>
                <a:cxn ang="T50">
                  <a:pos x="T24" y="T25"/>
                </a:cxn>
                <a:cxn ang="T51">
                  <a:pos x="T26" y="T27"/>
                </a:cxn>
                <a:cxn ang="T52">
                  <a:pos x="T28" y="T29"/>
                </a:cxn>
                <a:cxn ang="T53">
                  <a:pos x="T30" y="T31"/>
                </a:cxn>
                <a:cxn ang="T54">
                  <a:pos x="T32" y="T33"/>
                </a:cxn>
                <a:cxn ang="T55">
                  <a:pos x="T34" y="T35"/>
                </a:cxn>
                <a:cxn ang="T56">
                  <a:pos x="T36" y="T37"/>
                </a:cxn>
              </a:cxnLst>
              <a:rect l="T57" t="T58" r="T59" b="T60"/>
              <a:pathLst>
                <a:path w="290593" h="817667">
                  <a:moveTo>
                    <a:pt x="76200" y="14613"/>
                  </a:moveTo>
                  <a:lnTo>
                    <a:pt x="76200" y="14613"/>
                  </a:lnTo>
                  <a:cubicBezTo>
                    <a:pt x="86511" y="42109"/>
                    <a:pt x="109205" y="63275"/>
                    <a:pt x="77390" y="99635"/>
                  </a:cubicBezTo>
                  <a:cubicBezTo>
                    <a:pt x="64167" y="114747"/>
                    <a:pt x="38100" y="167013"/>
                    <a:pt x="38100" y="167013"/>
                  </a:cubicBezTo>
                  <a:cubicBezTo>
                    <a:pt x="52096" y="176344"/>
                    <a:pt x="84429" y="192607"/>
                    <a:pt x="85725" y="214638"/>
                  </a:cubicBezTo>
                  <a:cubicBezTo>
                    <a:pt x="86693" y="231091"/>
                    <a:pt x="98014" y="343872"/>
                    <a:pt x="57150" y="376563"/>
                  </a:cubicBezTo>
                  <a:cubicBezTo>
                    <a:pt x="49310" y="382835"/>
                    <a:pt x="38100" y="382913"/>
                    <a:pt x="28575" y="386088"/>
                  </a:cubicBezTo>
                  <a:cubicBezTo>
                    <a:pt x="13701" y="430709"/>
                    <a:pt x="10804" y="425702"/>
                    <a:pt x="28575" y="490863"/>
                  </a:cubicBezTo>
                  <a:cubicBezTo>
                    <a:pt x="31587" y="501907"/>
                    <a:pt x="41275" y="509913"/>
                    <a:pt x="47625" y="519438"/>
                  </a:cubicBezTo>
                  <a:cubicBezTo>
                    <a:pt x="44450" y="538488"/>
                    <a:pt x="47682" y="559820"/>
                    <a:pt x="38100" y="576588"/>
                  </a:cubicBezTo>
                  <a:cubicBezTo>
                    <a:pt x="33119" y="585305"/>
                    <a:pt x="16625" y="579013"/>
                    <a:pt x="9525" y="586113"/>
                  </a:cubicBezTo>
                  <a:cubicBezTo>
                    <a:pt x="2425" y="593213"/>
                    <a:pt x="3175" y="605163"/>
                    <a:pt x="0" y="614688"/>
                  </a:cubicBezTo>
                  <a:cubicBezTo>
                    <a:pt x="6350" y="633738"/>
                    <a:pt x="7911" y="655130"/>
                    <a:pt x="19050" y="671838"/>
                  </a:cubicBezTo>
                  <a:lnTo>
                    <a:pt x="57150" y="728988"/>
                  </a:lnTo>
                  <a:cubicBezTo>
                    <a:pt x="51516" y="745889"/>
                    <a:pt x="26742" y="805357"/>
                    <a:pt x="57150" y="814713"/>
                  </a:cubicBezTo>
                  <a:cubicBezTo>
                    <a:pt x="66751" y="817667"/>
                    <a:pt x="248114" y="780330"/>
                    <a:pt x="266700" y="776613"/>
                  </a:cubicBezTo>
                  <a:cubicBezTo>
                    <a:pt x="290593" y="633254"/>
                    <a:pt x="266700" y="801168"/>
                    <a:pt x="266700" y="509913"/>
                  </a:cubicBezTo>
                  <a:cubicBezTo>
                    <a:pt x="266700" y="283161"/>
                    <a:pt x="272633" y="226829"/>
                    <a:pt x="285750" y="43188"/>
                  </a:cubicBezTo>
                  <a:cubicBezTo>
                    <a:pt x="199373" y="0"/>
                    <a:pt x="111125" y="19376"/>
                    <a:pt x="76200" y="14613"/>
                  </a:cubicBezTo>
                  <a:close/>
                </a:path>
              </a:pathLst>
            </a:cu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 cap="flat" cmpd="sng" algn="ctr">
                  <a:solidFill>
                    <a:srgbClr val="000000"/>
                  </a:solidFill>
                  <a:prstDash val="solid"/>
                  <a:round/>
                  <a:headEnd type="none" w="med" len="med"/>
                  <a:tailEnd type="none" w="med" len="med"/>
                </a14:hiddenLine>
              </a:ext>
            </a:extLst>
          </xdr:spPr>
        </xdr:sp>
      </xdr:grpSp>
      <xdr:grpSp>
        <xdr:nvGrpSpPr>
          <xdr:cNvPr id="436102" name="Skupina 21">
            <a:extLst>
              <a:ext uri="{FF2B5EF4-FFF2-40B4-BE49-F238E27FC236}">
                <a16:creationId xmlns:a16="http://schemas.microsoft.com/office/drawing/2014/main" id="{00000000-0008-0000-0200-000086A70600}"/>
              </a:ext>
            </a:extLst>
          </xdr:cNvPr>
          <xdr:cNvGrpSpPr>
            <a:grpSpLocks/>
          </xdr:cNvGrpSpPr>
        </xdr:nvGrpSpPr>
        <xdr:grpSpPr bwMode="auto">
          <a:xfrm>
            <a:off x="5229726" y="16061356"/>
            <a:ext cx="881514" cy="838601"/>
            <a:chOff x="1771649" y="3300087"/>
            <a:chExt cx="976394" cy="817667"/>
          </a:xfrm>
        </xdr:grpSpPr>
        <xdr:sp macro="" textlink="">
          <xdr:nvSpPr>
            <xdr:cNvPr id="436192" name="Obdélník 19">
              <a:extLst>
                <a:ext uri="{FF2B5EF4-FFF2-40B4-BE49-F238E27FC236}">
                  <a16:creationId xmlns:a16="http://schemas.microsoft.com/office/drawing/2014/main" id="{00000000-0008-0000-0200-0000E0A706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838324" y="3695700"/>
              <a:ext cx="771525" cy="304800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436193" name="Obdélník 18">
              <a:extLst>
                <a:ext uri="{FF2B5EF4-FFF2-40B4-BE49-F238E27FC236}">
                  <a16:creationId xmlns:a16="http://schemas.microsoft.com/office/drawing/2014/main" id="{00000000-0008-0000-0200-0000E1A706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771649" y="3562350"/>
              <a:ext cx="85726" cy="480409"/>
            </a:xfrm>
            <a:prstGeom prst="rect">
              <a:avLst/>
            </a:prstGeom>
            <a:solidFill>
              <a:srgbClr val="FFFFE1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436194" name="Volný tvar 20">
              <a:extLst>
                <a:ext uri="{FF2B5EF4-FFF2-40B4-BE49-F238E27FC236}">
                  <a16:creationId xmlns:a16="http://schemas.microsoft.com/office/drawing/2014/main" id="{00000000-0008-0000-0200-0000E2A70600}"/>
                </a:ext>
              </a:extLst>
            </xdr:cNvPr>
            <xdr:cNvSpPr>
              <a:spLocks/>
            </xdr:cNvSpPr>
          </xdr:nvSpPr>
          <xdr:spPr bwMode="auto">
            <a:xfrm>
              <a:off x="2457450" y="3300087"/>
              <a:ext cx="290593" cy="817667"/>
            </a:xfrm>
            <a:custGeom>
              <a:avLst/>
              <a:gdLst>
                <a:gd name="T0" fmla="*/ 76200 w 290593"/>
                <a:gd name="T1" fmla="*/ 14613 h 817667"/>
                <a:gd name="T2" fmla="*/ 76200 w 290593"/>
                <a:gd name="T3" fmla="*/ 14613 h 817667"/>
                <a:gd name="T4" fmla="*/ 95250 w 290593"/>
                <a:gd name="T5" fmla="*/ 147963 h 817667"/>
                <a:gd name="T6" fmla="*/ 38100 w 290593"/>
                <a:gd name="T7" fmla="*/ 167013 h 817667"/>
                <a:gd name="T8" fmla="*/ 85725 w 290593"/>
                <a:gd name="T9" fmla="*/ 214638 h 817667"/>
                <a:gd name="T10" fmla="*/ 57150 w 290593"/>
                <a:gd name="T11" fmla="*/ 376563 h 817667"/>
                <a:gd name="T12" fmla="*/ 28575 w 290593"/>
                <a:gd name="T13" fmla="*/ 386088 h 817667"/>
                <a:gd name="T14" fmla="*/ 28575 w 290593"/>
                <a:gd name="T15" fmla="*/ 490863 h 817667"/>
                <a:gd name="T16" fmla="*/ 47625 w 290593"/>
                <a:gd name="T17" fmla="*/ 519438 h 817667"/>
                <a:gd name="T18" fmla="*/ 38100 w 290593"/>
                <a:gd name="T19" fmla="*/ 576588 h 817667"/>
                <a:gd name="T20" fmla="*/ 9525 w 290593"/>
                <a:gd name="T21" fmla="*/ 586113 h 817667"/>
                <a:gd name="T22" fmla="*/ 0 w 290593"/>
                <a:gd name="T23" fmla="*/ 614688 h 817667"/>
                <a:gd name="T24" fmla="*/ 19050 w 290593"/>
                <a:gd name="T25" fmla="*/ 671838 h 817667"/>
                <a:gd name="T26" fmla="*/ 57150 w 290593"/>
                <a:gd name="T27" fmla="*/ 728988 h 817667"/>
                <a:gd name="T28" fmla="*/ 57150 w 290593"/>
                <a:gd name="T29" fmla="*/ 814713 h 817667"/>
                <a:gd name="T30" fmla="*/ 266700 w 290593"/>
                <a:gd name="T31" fmla="*/ 776613 h 817667"/>
                <a:gd name="T32" fmla="*/ 266700 w 290593"/>
                <a:gd name="T33" fmla="*/ 509913 h 817667"/>
                <a:gd name="T34" fmla="*/ 285750 w 290593"/>
                <a:gd name="T35" fmla="*/ 43188 h 817667"/>
                <a:gd name="T36" fmla="*/ 76200 w 290593"/>
                <a:gd name="T37" fmla="*/ 14613 h 817667"/>
                <a:gd name="T38" fmla="*/ 0 60000 65536"/>
                <a:gd name="T39" fmla="*/ 0 60000 65536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w 290593"/>
                <a:gd name="T58" fmla="*/ 0 h 817667"/>
                <a:gd name="T59" fmla="*/ 290593 w 290593"/>
                <a:gd name="T60" fmla="*/ 817667 h 817667"/>
              </a:gdLst>
              <a:ahLst/>
              <a:cxnLst>
                <a:cxn ang="T38">
                  <a:pos x="T0" y="T1"/>
                </a:cxn>
                <a:cxn ang="T39">
                  <a:pos x="T2" y="T3"/>
                </a:cxn>
                <a:cxn ang="T40">
                  <a:pos x="T4" y="T5"/>
                </a:cxn>
                <a:cxn ang="T41">
                  <a:pos x="T6" y="T7"/>
                </a:cxn>
                <a:cxn ang="T42">
                  <a:pos x="T8" y="T9"/>
                </a:cxn>
                <a:cxn ang="T43">
                  <a:pos x="T10" y="T11"/>
                </a:cxn>
                <a:cxn ang="T44">
                  <a:pos x="T12" y="T13"/>
                </a:cxn>
                <a:cxn ang="T45">
                  <a:pos x="T14" y="T15"/>
                </a:cxn>
                <a:cxn ang="T46">
                  <a:pos x="T16" y="T17"/>
                </a:cxn>
                <a:cxn ang="T47">
                  <a:pos x="T18" y="T19"/>
                </a:cxn>
                <a:cxn ang="T48">
                  <a:pos x="T20" y="T21"/>
                </a:cxn>
                <a:cxn ang="T49">
                  <a:pos x="T22" y="T23"/>
                </a:cxn>
                <a:cxn ang="T50">
                  <a:pos x="T24" y="T25"/>
                </a:cxn>
                <a:cxn ang="T51">
                  <a:pos x="T26" y="T27"/>
                </a:cxn>
                <a:cxn ang="T52">
                  <a:pos x="T28" y="T29"/>
                </a:cxn>
                <a:cxn ang="T53">
                  <a:pos x="T30" y="T31"/>
                </a:cxn>
                <a:cxn ang="T54">
                  <a:pos x="T32" y="T33"/>
                </a:cxn>
                <a:cxn ang="T55">
                  <a:pos x="T34" y="T35"/>
                </a:cxn>
                <a:cxn ang="T56">
                  <a:pos x="T36" y="T37"/>
                </a:cxn>
              </a:cxnLst>
              <a:rect l="T57" t="T58" r="T59" b="T60"/>
              <a:pathLst>
                <a:path w="290593" h="817667">
                  <a:moveTo>
                    <a:pt x="76200" y="14613"/>
                  </a:moveTo>
                  <a:lnTo>
                    <a:pt x="76200" y="14613"/>
                  </a:lnTo>
                  <a:cubicBezTo>
                    <a:pt x="86511" y="42109"/>
                    <a:pt x="127065" y="111603"/>
                    <a:pt x="95250" y="147963"/>
                  </a:cubicBezTo>
                  <a:cubicBezTo>
                    <a:pt x="82027" y="163075"/>
                    <a:pt x="38100" y="167013"/>
                    <a:pt x="38100" y="167013"/>
                  </a:cubicBezTo>
                  <a:cubicBezTo>
                    <a:pt x="52096" y="176344"/>
                    <a:pt x="84429" y="192607"/>
                    <a:pt x="85725" y="214638"/>
                  </a:cubicBezTo>
                  <a:cubicBezTo>
                    <a:pt x="86693" y="231091"/>
                    <a:pt x="98014" y="343872"/>
                    <a:pt x="57150" y="376563"/>
                  </a:cubicBezTo>
                  <a:cubicBezTo>
                    <a:pt x="49310" y="382835"/>
                    <a:pt x="38100" y="382913"/>
                    <a:pt x="28575" y="386088"/>
                  </a:cubicBezTo>
                  <a:cubicBezTo>
                    <a:pt x="13701" y="430709"/>
                    <a:pt x="10804" y="425702"/>
                    <a:pt x="28575" y="490863"/>
                  </a:cubicBezTo>
                  <a:cubicBezTo>
                    <a:pt x="31587" y="501907"/>
                    <a:pt x="41275" y="509913"/>
                    <a:pt x="47625" y="519438"/>
                  </a:cubicBezTo>
                  <a:cubicBezTo>
                    <a:pt x="44450" y="538488"/>
                    <a:pt x="47682" y="559820"/>
                    <a:pt x="38100" y="576588"/>
                  </a:cubicBezTo>
                  <a:cubicBezTo>
                    <a:pt x="33119" y="585305"/>
                    <a:pt x="16625" y="579013"/>
                    <a:pt x="9525" y="586113"/>
                  </a:cubicBezTo>
                  <a:cubicBezTo>
                    <a:pt x="2425" y="593213"/>
                    <a:pt x="3175" y="605163"/>
                    <a:pt x="0" y="614688"/>
                  </a:cubicBezTo>
                  <a:cubicBezTo>
                    <a:pt x="6350" y="633738"/>
                    <a:pt x="7911" y="655130"/>
                    <a:pt x="19050" y="671838"/>
                  </a:cubicBezTo>
                  <a:lnTo>
                    <a:pt x="57150" y="728988"/>
                  </a:lnTo>
                  <a:cubicBezTo>
                    <a:pt x="51516" y="745889"/>
                    <a:pt x="26742" y="805357"/>
                    <a:pt x="57150" y="814713"/>
                  </a:cubicBezTo>
                  <a:cubicBezTo>
                    <a:pt x="66751" y="817667"/>
                    <a:pt x="248114" y="780330"/>
                    <a:pt x="266700" y="776613"/>
                  </a:cubicBezTo>
                  <a:cubicBezTo>
                    <a:pt x="290593" y="633254"/>
                    <a:pt x="266700" y="801168"/>
                    <a:pt x="266700" y="509913"/>
                  </a:cubicBezTo>
                  <a:cubicBezTo>
                    <a:pt x="266700" y="283161"/>
                    <a:pt x="272633" y="226829"/>
                    <a:pt x="285750" y="43188"/>
                  </a:cubicBezTo>
                  <a:cubicBezTo>
                    <a:pt x="199373" y="0"/>
                    <a:pt x="111125" y="19376"/>
                    <a:pt x="76200" y="14613"/>
                  </a:cubicBezTo>
                  <a:close/>
                </a:path>
              </a:pathLst>
            </a:cu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 cap="flat" cmpd="sng" algn="ctr">
                  <a:solidFill>
                    <a:srgbClr val="000000"/>
                  </a:solidFill>
                  <a:prstDash val="solid"/>
                  <a:round/>
                  <a:headEnd type="none" w="med" len="med"/>
                  <a:tailEnd type="none" w="med" len="med"/>
                </a14:hiddenLine>
              </a:ext>
            </a:extLst>
          </xdr:spPr>
        </xdr:sp>
      </xdr:grpSp>
    </xdr:grpSp>
    <xdr:clientData/>
  </xdr:twoCellAnchor>
  <xdr:twoCellAnchor>
    <xdr:from>
      <xdr:col>17</xdr:col>
      <xdr:colOff>182880</xdr:colOff>
      <xdr:row>86</xdr:row>
      <xdr:rowOff>45720</xdr:rowOff>
    </xdr:from>
    <xdr:to>
      <xdr:col>19</xdr:col>
      <xdr:colOff>198120</xdr:colOff>
      <xdr:row>91</xdr:row>
      <xdr:rowOff>129540</xdr:rowOff>
    </xdr:to>
    <xdr:grpSp>
      <xdr:nvGrpSpPr>
        <xdr:cNvPr id="436103" name="Skupina 3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00000000-0008-0000-0200-000087A70600}"/>
            </a:ext>
          </a:extLst>
        </xdr:cNvPr>
        <xdr:cNvGrpSpPr>
          <a:grpSpLocks/>
        </xdr:cNvGrpSpPr>
      </xdr:nvGrpSpPr>
      <xdr:grpSpPr bwMode="auto">
        <a:xfrm>
          <a:off x="4177364" y="16384604"/>
          <a:ext cx="480461" cy="1006241"/>
          <a:chOff x="3821835" y="16187420"/>
          <a:chExt cx="436899" cy="993987"/>
        </a:xfrm>
      </xdr:grpSpPr>
      <xdr:sp macro="" textlink="">
        <xdr:nvSpPr>
          <xdr:cNvPr id="436179" name="Obdélník 23">
            <a:extLst>
              <a:ext uri="{FF2B5EF4-FFF2-40B4-BE49-F238E27FC236}">
                <a16:creationId xmlns:a16="http://schemas.microsoft.com/office/drawing/2014/main" id="{00000000-0008-0000-0200-0000D3A70600}"/>
              </a:ext>
            </a:extLst>
          </xdr:cNvPr>
          <xdr:cNvSpPr>
            <a:spLocks noChangeArrowheads="1"/>
          </xdr:cNvSpPr>
        </xdr:nvSpPr>
        <xdr:spPr bwMode="auto">
          <a:xfrm>
            <a:off x="3829494" y="16187420"/>
            <a:ext cx="429240" cy="993987"/>
          </a:xfrm>
          <a:prstGeom prst="rect">
            <a:avLst/>
          </a:pr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algn="ctr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grpSp>
        <xdr:nvGrpSpPr>
          <xdr:cNvPr id="436180" name="Skupina 2">
            <a:extLst>
              <a:ext uri="{FF2B5EF4-FFF2-40B4-BE49-F238E27FC236}">
                <a16:creationId xmlns:a16="http://schemas.microsoft.com/office/drawing/2014/main" id="{00000000-0008-0000-0200-0000D4A70600}"/>
              </a:ext>
            </a:extLst>
          </xdr:cNvPr>
          <xdr:cNvGrpSpPr>
            <a:grpSpLocks/>
          </xdr:cNvGrpSpPr>
        </xdr:nvGrpSpPr>
        <xdr:grpSpPr bwMode="auto">
          <a:xfrm>
            <a:off x="3849694" y="16984133"/>
            <a:ext cx="352800" cy="155686"/>
            <a:chOff x="3849694" y="16984133"/>
            <a:chExt cx="352800" cy="155686"/>
          </a:xfrm>
        </xdr:grpSpPr>
        <xdr:sp macro="" textlink="">
          <xdr:nvSpPr>
            <xdr:cNvPr id="436190" name="Obdélník 23">
              <a:extLst>
                <a:ext uri="{FF2B5EF4-FFF2-40B4-BE49-F238E27FC236}">
                  <a16:creationId xmlns:a16="http://schemas.microsoft.com/office/drawing/2014/main" id="{00000000-0008-0000-0200-0000DEA706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849694" y="17103819"/>
              <a:ext cx="352800" cy="36000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436191" name="Obdélník 23">
              <a:extLst>
                <a:ext uri="{FF2B5EF4-FFF2-40B4-BE49-F238E27FC236}">
                  <a16:creationId xmlns:a16="http://schemas.microsoft.com/office/drawing/2014/main" id="{00000000-0008-0000-0200-0000DFA706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849694" y="16984133"/>
              <a:ext cx="352800" cy="104886"/>
            </a:xfrm>
            <a:prstGeom prst="rect">
              <a:avLst/>
            </a:prstGeom>
            <a:solidFill>
              <a:srgbClr val="C6D9F1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</xdr:grpSp>
      <xdr:sp macro="" textlink="">
        <xdr:nvSpPr>
          <xdr:cNvPr id="436181" name="Obdélník 23">
            <a:extLst>
              <a:ext uri="{FF2B5EF4-FFF2-40B4-BE49-F238E27FC236}">
                <a16:creationId xmlns:a16="http://schemas.microsoft.com/office/drawing/2014/main" id="{00000000-0008-0000-0200-0000D5A70600}"/>
              </a:ext>
            </a:extLst>
          </xdr:cNvPr>
          <xdr:cNvSpPr>
            <a:spLocks noChangeArrowheads="1"/>
          </xdr:cNvSpPr>
        </xdr:nvSpPr>
        <xdr:spPr bwMode="auto">
          <a:xfrm>
            <a:off x="3854880" y="16513032"/>
            <a:ext cx="343644" cy="77862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grpSp>
        <xdr:nvGrpSpPr>
          <xdr:cNvPr id="436182" name="Skupina 238">
            <a:extLst>
              <a:ext uri="{FF2B5EF4-FFF2-40B4-BE49-F238E27FC236}">
                <a16:creationId xmlns:a16="http://schemas.microsoft.com/office/drawing/2014/main" id="{00000000-0008-0000-0200-0000D6A70600}"/>
              </a:ext>
            </a:extLst>
          </xdr:cNvPr>
          <xdr:cNvGrpSpPr>
            <a:grpSpLocks/>
          </xdr:cNvGrpSpPr>
        </xdr:nvGrpSpPr>
        <xdr:grpSpPr bwMode="auto">
          <a:xfrm>
            <a:off x="3887471" y="16251502"/>
            <a:ext cx="349486" cy="88570"/>
            <a:chOff x="5711920" y="21697458"/>
            <a:chExt cx="544182" cy="120565"/>
          </a:xfrm>
        </xdr:grpSpPr>
        <xdr:sp macro="" textlink="">
          <xdr:nvSpPr>
            <xdr:cNvPr id="436188" name="Obdélník 23">
              <a:extLst>
                <a:ext uri="{FF2B5EF4-FFF2-40B4-BE49-F238E27FC236}">
                  <a16:creationId xmlns:a16="http://schemas.microsoft.com/office/drawing/2014/main" id="{00000000-0008-0000-0200-0000DCA706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721017" y="21712035"/>
              <a:ext cx="535085" cy="105988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436189" name="Obdélník 30">
              <a:extLst>
                <a:ext uri="{FF2B5EF4-FFF2-40B4-BE49-F238E27FC236}">
                  <a16:creationId xmlns:a16="http://schemas.microsoft.com/office/drawing/2014/main" id="{00000000-0008-0000-0200-0000DDA70600}"/>
                </a:ext>
              </a:extLst>
            </xdr:cNvPr>
            <xdr:cNvSpPr>
              <a:spLocks noChangeArrowheads="1"/>
            </xdr:cNvSpPr>
          </xdr:nvSpPr>
          <xdr:spPr bwMode="auto">
            <a:xfrm rot="5400000">
              <a:off x="5675491" y="21733887"/>
              <a:ext cx="119658" cy="46800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</xdr:grpSp>
      <xdr:grpSp>
        <xdr:nvGrpSpPr>
          <xdr:cNvPr id="436183" name="Skupina 1">
            <a:extLst>
              <a:ext uri="{FF2B5EF4-FFF2-40B4-BE49-F238E27FC236}">
                <a16:creationId xmlns:a16="http://schemas.microsoft.com/office/drawing/2014/main" id="{00000000-0008-0000-0200-0000D7A70600}"/>
              </a:ext>
            </a:extLst>
          </xdr:cNvPr>
          <xdr:cNvGrpSpPr>
            <a:grpSpLocks/>
          </xdr:cNvGrpSpPr>
        </xdr:nvGrpSpPr>
        <xdr:grpSpPr bwMode="auto">
          <a:xfrm>
            <a:off x="3888762" y="16713561"/>
            <a:ext cx="356068" cy="172800"/>
            <a:chOff x="3888762" y="16713561"/>
            <a:chExt cx="356068" cy="172800"/>
          </a:xfrm>
        </xdr:grpSpPr>
        <xdr:sp macro="" textlink="">
          <xdr:nvSpPr>
            <xdr:cNvPr id="436185" name="Obdélník 23">
              <a:extLst>
                <a:ext uri="{FF2B5EF4-FFF2-40B4-BE49-F238E27FC236}">
                  <a16:creationId xmlns:a16="http://schemas.microsoft.com/office/drawing/2014/main" id="{00000000-0008-0000-0200-0000D9A706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892030" y="16841353"/>
              <a:ext cx="352800" cy="36000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436186" name="Obdélník 23">
              <a:extLst>
                <a:ext uri="{FF2B5EF4-FFF2-40B4-BE49-F238E27FC236}">
                  <a16:creationId xmlns:a16="http://schemas.microsoft.com/office/drawing/2014/main" id="{00000000-0008-0000-0200-0000DAA706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892030" y="16721667"/>
              <a:ext cx="352800" cy="104886"/>
            </a:xfrm>
            <a:prstGeom prst="rect">
              <a:avLst/>
            </a:prstGeom>
            <a:solidFill>
              <a:srgbClr val="C6D9F1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436187" name="Obdélník 30">
              <a:extLst>
                <a:ext uri="{FF2B5EF4-FFF2-40B4-BE49-F238E27FC236}">
                  <a16:creationId xmlns:a16="http://schemas.microsoft.com/office/drawing/2014/main" id="{00000000-0008-0000-0200-0000DBA70600}"/>
                </a:ext>
              </a:extLst>
            </xdr:cNvPr>
            <xdr:cNvSpPr>
              <a:spLocks noChangeArrowheads="1"/>
            </xdr:cNvSpPr>
          </xdr:nvSpPr>
          <xdr:spPr bwMode="auto">
            <a:xfrm rot="5400000">
              <a:off x="3817390" y="16784933"/>
              <a:ext cx="172800" cy="30056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</xdr:grpSp>
      <xdr:sp macro="" textlink="">
        <xdr:nvSpPr>
          <xdr:cNvPr id="436184" name="Obdélník 24">
            <a:extLst>
              <a:ext uri="{FF2B5EF4-FFF2-40B4-BE49-F238E27FC236}">
                <a16:creationId xmlns:a16="http://schemas.microsoft.com/office/drawing/2014/main" id="{00000000-0008-0000-0200-0000D8A70600}"/>
              </a:ext>
            </a:extLst>
          </xdr:cNvPr>
          <xdr:cNvSpPr>
            <a:spLocks noChangeArrowheads="1"/>
          </xdr:cNvSpPr>
        </xdr:nvSpPr>
        <xdr:spPr bwMode="auto">
          <a:xfrm>
            <a:off x="3821835" y="16194993"/>
            <a:ext cx="38900" cy="976837"/>
          </a:xfrm>
          <a:prstGeom prst="rect">
            <a:avLst/>
          </a:prstGeom>
          <a:solidFill>
            <a:srgbClr val="FFFFE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>
      <xdr:col>22</xdr:col>
      <xdr:colOff>144780</xdr:colOff>
      <xdr:row>93</xdr:row>
      <xdr:rowOff>91440</xdr:rowOff>
    </xdr:from>
    <xdr:to>
      <xdr:col>28</xdr:col>
      <xdr:colOff>15240</xdr:colOff>
      <xdr:row>99</xdr:row>
      <xdr:rowOff>45720</xdr:rowOff>
    </xdr:to>
    <xdr:grpSp>
      <xdr:nvGrpSpPr>
        <xdr:cNvPr id="6" name="Skupina 5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GrpSpPr/>
      </xdr:nvGrpSpPr>
      <xdr:grpSpPr>
        <a:xfrm>
          <a:off x="5302317" y="17721714"/>
          <a:ext cx="1266123" cy="1061185"/>
          <a:chOff x="4941369" y="17721714"/>
          <a:chExt cx="1169871" cy="1061185"/>
        </a:xfrm>
      </xdr:grpSpPr>
      <xdr:grpSp>
        <xdr:nvGrpSpPr>
          <xdr:cNvPr id="436104" name="Skupina 96">
            <a:extLst>
              <a:ext uri="{FF2B5EF4-FFF2-40B4-BE49-F238E27FC236}">
                <a16:creationId xmlns:a16="http://schemas.microsoft.com/office/drawing/2014/main" id="{00000000-0008-0000-0200-000088A70600}"/>
              </a:ext>
            </a:extLst>
          </xdr:cNvPr>
          <xdr:cNvGrpSpPr>
            <a:grpSpLocks/>
          </xdr:cNvGrpSpPr>
        </xdr:nvGrpSpPr>
        <xdr:grpSpPr bwMode="auto">
          <a:xfrm>
            <a:off x="4941369" y="17944298"/>
            <a:ext cx="896754" cy="838601"/>
            <a:chOff x="9103519" y="4391025"/>
            <a:chExt cx="976394" cy="805761"/>
          </a:xfrm>
        </xdr:grpSpPr>
        <xdr:sp macro="" textlink="">
          <xdr:nvSpPr>
            <xdr:cNvPr id="436175" name="Obdélník 98">
              <a:extLst>
                <a:ext uri="{FF2B5EF4-FFF2-40B4-BE49-F238E27FC236}">
                  <a16:creationId xmlns:a16="http://schemas.microsoft.com/office/drawing/2014/main" id="{00000000-0008-0000-0200-0000CFA706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150142" y="4484886"/>
              <a:ext cx="801101" cy="454489"/>
            </a:xfrm>
            <a:prstGeom prst="rect">
              <a:avLst/>
            </a:prstGeom>
            <a:solidFill>
              <a:srgbClr val="C6D9F1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436176" name="Obdélník 99">
              <a:extLst>
                <a:ext uri="{FF2B5EF4-FFF2-40B4-BE49-F238E27FC236}">
                  <a16:creationId xmlns:a16="http://schemas.microsoft.com/office/drawing/2014/main" id="{00000000-0008-0000-0200-0000D0A706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146635" y="4954788"/>
              <a:ext cx="771525" cy="126452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436177" name="Obdélník 100">
              <a:extLst>
                <a:ext uri="{FF2B5EF4-FFF2-40B4-BE49-F238E27FC236}">
                  <a16:creationId xmlns:a16="http://schemas.microsoft.com/office/drawing/2014/main" id="{00000000-0008-0000-0200-0000D1A706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103519" y="4433584"/>
              <a:ext cx="52095" cy="720159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436178" name="Volný tvar 101">
              <a:extLst>
                <a:ext uri="{FF2B5EF4-FFF2-40B4-BE49-F238E27FC236}">
                  <a16:creationId xmlns:a16="http://schemas.microsoft.com/office/drawing/2014/main" id="{00000000-0008-0000-0200-0000D2A70600}"/>
                </a:ext>
              </a:extLst>
            </xdr:cNvPr>
            <xdr:cNvSpPr>
              <a:spLocks/>
            </xdr:cNvSpPr>
          </xdr:nvSpPr>
          <xdr:spPr bwMode="auto">
            <a:xfrm>
              <a:off x="9789320" y="4391025"/>
              <a:ext cx="290593" cy="805761"/>
            </a:xfrm>
            <a:custGeom>
              <a:avLst/>
              <a:gdLst>
                <a:gd name="T0" fmla="*/ 76200 w 290593"/>
                <a:gd name="T1" fmla="*/ 5010 h 817667"/>
                <a:gd name="T2" fmla="*/ 76200 w 290593"/>
                <a:gd name="T3" fmla="*/ 5010 h 817667"/>
                <a:gd name="T4" fmla="*/ 77390 w 290593"/>
                <a:gd name="T5" fmla="*/ 34148 h 817667"/>
                <a:gd name="T6" fmla="*/ 38100 w 290593"/>
                <a:gd name="T7" fmla="*/ 57244 h 817667"/>
                <a:gd name="T8" fmla="*/ 85725 w 290593"/>
                <a:gd name="T9" fmla="*/ 73568 h 817667"/>
                <a:gd name="T10" fmla="*/ 57150 w 290593"/>
                <a:gd name="T11" fmla="*/ 129068 h 817667"/>
                <a:gd name="T12" fmla="*/ 28575 w 290593"/>
                <a:gd name="T13" fmla="*/ 132332 h 817667"/>
                <a:gd name="T14" fmla="*/ 28575 w 290593"/>
                <a:gd name="T15" fmla="*/ 168242 h 817667"/>
                <a:gd name="T16" fmla="*/ 47625 w 290593"/>
                <a:gd name="T17" fmla="*/ 178034 h 817667"/>
                <a:gd name="T18" fmla="*/ 38100 w 290593"/>
                <a:gd name="T19" fmla="*/ 197624 h 817667"/>
                <a:gd name="T20" fmla="*/ 9525 w 290593"/>
                <a:gd name="T21" fmla="*/ 200890 h 817667"/>
                <a:gd name="T22" fmla="*/ 0 w 290593"/>
                <a:gd name="T23" fmla="*/ 210682 h 817667"/>
                <a:gd name="T24" fmla="*/ 19050 w 290593"/>
                <a:gd name="T25" fmla="*/ 230271 h 817667"/>
                <a:gd name="T26" fmla="*/ 57150 w 290593"/>
                <a:gd name="T27" fmla="*/ 249858 h 817667"/>
                <a:gd name="T28" fmla="*/ 57150 w 290593"/>
                <a:gd name="T29" fmla="*/ 279239 h 817667"/>
                <a:gd name="T30" fmla="*/ 266700 w 290593"/>
                <a:gd name="T31" fmla="*/ 266183 h 817667"/>
                <a:gd name="T32" fmla="*/ 266700 w 290593"/>
                <a:gd name="T33" fmla="*/ 174772 h 817667"/>
                <a:gd name="T34" fmla="*/ 285750 w 290593"/>
                <a:gd name="T35" fmla="*/ 14801 h 817667"/>
                <a:gd name="T36" fmla="*/ 76200 w 290593"/>
                <a:gd name="T37" fmla="*/ 5010 h 817667"/>
                <a:gd name="T38" fmla="*/ 0 60000 65536"/>
                <a:gd name="T39" fmla="*/ 0 60000 65536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w 290593"/>
                <a:gd name="T58" fmla="*/ 0 h 817667"/>
                <a:gd name="T59" fmla="*/ 290593 w 290593"/>
                <a:gd name="T60" fmla="*/ 817667 h 817667"/>
              </a:gdLst>
              <a:ahLst/>
              <a:cxnLst>
                <a:cxn ang="T38">
                  <a:pos x="T0" y="T1"/>
                </a:cxn>
                <a:cxn ang="T39">
                  <a:pos x="T2" y="T3"/>
                </a:cxn>
                <a:cxn ang="T40">
                  <a:pos x="T4" y="T5"/>
                </a:cxn>
                <a:cxn ang="T41">
                  <a:pos x="T6" y="T7"/>
                </a:cxn>
                <a:cxn ang="T42">
                  <a:pos x="T8" y="T9"/>
                </a:cxn>
                <a:cxn ang="T43">
                  <a:pos x="T10" y="T11"/>
                </a:cxn>
                <a:cxn ang="T44">
                  <a:pos x="T12" y="T13"/>
                </a:cxn>
                <a:cxn ang="T45">
                  <a:pos x="T14" y="T15"/>
                </a:cxn>
                <a:cxn ang="T46">
                  <a:pos x="T16" y="T17"/>
                </a:cxn>
                <a:cxn ang="T47">
                  <a:pos x="T18" y="T19"/>
                </a:cxn>
                <a:cxn ang="T48">
                  <a:pos x="T20" y="T21"/>
                </a:cxn>
                <a:cxn ang="T49">
                  <a:pos x="T22" y="T23"/>
                </a:cxn>
                <a:cxn ang="T50">
                  <a:pos x="T24" y="T25"/>
                </a:cxn>
                <a:cxn ang="T51">
                  <a:pos x="T26" y="T27"/>
                </a:cxn>
                <a:cxn ang="T52">
                  <a:pos x="T28" y="T29"/>
                </a:cxn>
                <a:cxn ang="T53">
                  <a:pos x="T30" y="T31"/>
                </a:cxn>
                <a:cxn ang="T54">
                  <a:pos x="T32" y="T33"/>
                </a:cxn>
                <a:cxn ang="T55">
                  <a:pos x="T34" y="T35"/>
                </a:cxn>
                <a:cxn ang="T56">
                  <a:pos x="T36" y="T37"/>
                </a:cxn>
              </a:cxnLst>
              <a:rect l="T57" t="T58" r="T59" b="T60"/>
              <a:pathLst>
                <a:path w="290593" h="817667">
                  <a:moveTo>
                    <a:pt x="76200" y="14613"/>
                  </a:moveTo>
                  <a:lnTo>
                    <a:pt x="76200" y="14613"/>
                  </a:lnTo>
                  <a:cubicBezTo>
                    <a:pt x="86511" y="42109"/>
                    <a:pt x="109205" y="63275"/>
                    <a:pt x="77390" y="99635"/>
                  </a:cubicBezTo>
                  <a:cubicBezTo>
                    <a:pt x="64167" y="114747"/>
                    <a:pt x="38100" y="167013"/>
                    <a:pt x="38100" y="167013"/>
                  </a:cubicBezTo>
                  <a:cubicBezTo>
                    <a:pt x="52096" y="176344"/>
                    <a:pt x="84429" y="192607"/>
                    <a:pt x="85725" y="214638"/>
                  </a:cubicBezTo>
                  <a:cubicBezTo>
                    <a:pt x="86693" y="231091"/>
                    <a:pt x="98014" y="343872"/>
                    <a:pt x="57150" y="376563"/>
                  </a:cubicBezTo>
                  <a:cubicBezTo>
                    <a:pt x="49310" y="382835"/>
                    <a:pt x="38100" y="382913"/>
                    <a:pt x="28575" y="386088"/>
                  </a:cubicBezTo>
                  <a:cubicBezTo>
                    <a:pt x="13701" y="430709"/>
                    <a:pt x="10804" y="425702"/>
                    <a:pt x="28575" y="490863"/>
                  </a:cubicBezTo>
                  <a:cubicBezTo>
                    <a:pt x="31587" y="501907"/>
                    <a:pt x="41275" y="509913"/>
                    <a:pt x="47625" y="519438"/>
                  </a:cubicBezTo>
                  <a:cubicBezTo>
                    <a:pt x="44450" y="538488"/>
                    <a:pt x="47682" y="559820"/>
                    <a:pt x="38100" y="576588"/>
                  </a:cubicBezTo>
                  <a:cubicBezTo>
                    <a:pt x="33119" y="585305"/>
                    <a:pt x="16625" y="579013"/>
                    <a:pt x="9525" y="586113"/>
                  </a:cubicBezTo>
                  <a:cubicBezTo>
                    <a:pt x="2425" y="593213"/>
                    <a:pt x="3175" y="605163"/>
                    <a:pt x="0" y="614688"/>
                  </a:cubicBezTo>
                  <a:cubicBezTo>
                    <a:pt x="6350" y="633738"/>
                    <a:pt x="7911" y="655130"/>
                    <a:pt x="19050" y="671838"/>
                  </a:cubicBezTo>
                  <a:lnTo>
                    <a:pt x="57150" y="728988"/>
                  </a:lnTo>
                  <a:cubicBezTo>
                    <a:pt x="51516" y="745889"/>
                    <a:pt x="26742" y="805357"/>
                    <a:pt x="57150" y="814713"/>
                  </a:cubicBezTo>
                  <a:cubicBezTo>
                    <a:pt x="66751" y="817667"/>
                    <a:pt x="248114" y="780330"/>
                    <a:pt x="266700" y="776613"/>
                  </a:cubicBezTo>
                  <a:cubicBezTo>
                    <a:pt x="290593" y="633254"/>
                    <a:pt x="266700" y="801168"/>
                    <a:pt x="266700" y="509913"/>
                  </a:cubicBezTo>
                  <a:cubicBezTo>
                    <a:pt x="266700" y="283161"/>
                    <a:pt x="272633" y="226829"/>
                    <a:pt x="285750" y="43188"/>
                  </a:cubicBezTo>
                  <a:cubicBezTo>
                    <a:pt x="199373" y="0"/>
                    <a:pt x="111125" y="19376"/>
                    <a:pt x="76200" y="14613"/>
                  </a:cubicBezTo>
                  <a:close/>
                </a:path>
              </a:pathLst>
            </a:cu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 cap="flat" cmpd="sng" algn="ctr">
                  <a:solidFill>
                    <a:srgbClr val="000000"/>
                  </a:solidFill>
                  <a:prstDash val="solid"/>
                  <a:round/>
                  <a:headEnd type="none" w="med" len="med"/>
                  <a:tailEnd type="none" w="med" len="med"/>
                </a14:hiddenLine>
              </a:ext>
            </a:extLst>
          </xdr:spPr>
        </xdr:sp>
      </xdr:grpSp>
      <xdr:grpSp>
        <xdr:nvGrpSpPr>
          <xdr:cNvPr id="436105" name="Skupina 21">
            <a:extLst>
              <a:ext uri="{FF2B5EF4-FFF2-40B4-BE49-F238E27FC236}">
                <a16:creationId xmlns:a16="http://schemas.microsoft.com/office/drawing/2014/main" id="{00000000-0008-0000-0200-000089A70600}"/>
              </a:ext>
            </a:extLst>
          </xdr:cNvPr>
          <xdr:cNvGrpSpPr>
            <a:grpSpLocks/>
          </xdr:cNvGrpSpPr>
        </xdr:nvGrpSpPr>
        <xdr:grpSpPr bwMode="auto">
          <a:xfrm>
            <a:off x="5229726" y="17721714"/>
            <a:ext cx="881514" cy="838601"/>
            <a:chOff x="1771649" y="3300087"/>
            <a:chExt cx="976394" cy="817667"/>
          </a:xfrm>
        </xdr:grpSpPr>
        <xdr:sp macro="" textlink="">
          <xdr:nvSpPr>
            <xdr:cNvPr id="436172" name="Obdélník 19">
              <a:extLst>
                <a:ext uri="{FF2B5EF4-FFF2-40B4-BE49-F238E27FC236}">
                  <a16:creationId xmlns:a16="http://schemas.microsoft.com/office/drawing/2014/main" id="{00000000-0008-0000-0200-0000CCA706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819603" y="3695700"/>
              <a:ext cx="790246" cy="304800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436173" name="Obdélník 18">
              <a:extLst>
                <a:ext uri="{FF2B5EF4-FFF2-40B4-BE49-F238E27FC236}">
                  <a16:creationId xmlns:a16="http://schemas.microsoft.com/office/drawing/2014/main" id="{00000000-0008-0000-0200-0000CDA706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771649" y="3562350"/>
              <a:ext cx="53016" cy="480409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436174" name="Volný tvar 20">
              <a:extLst>
                <a:ext uri="{FF2B5EF4-FFF2-40B4-BE49-F238E27FC236}">
                  <a16:creationId xmlns:a16="http://schemas.microsoft.com/office/drawing/2014/main" id="{00000000-0008-0000-0200-0000CEA70600}"/>
                </a:ext>
              </a:extLst>
            </xdr:cNvPr>
            <xdr:cNvSpPr>
              <a:spLocks/>
            </xdr:cNvSpPr>
          </xdr:nvSpPr>
          <xdr:spPr bwMode="auto">
            <a:xfrm>
              <a:off x="2457450" y="3300087"/>
              <a:ext cx="290593" cy="817667"/>
            </a:xfrm>
            <a:custGeom>
              <a:avLst/>
              <a:gdLst>
                <a:gd name="T0" fmla="*/ 76200 w 290593"/>
                <a:gd name="T1" fmla="*/ 14613 h 817667"/>
                <a:gd name="T2" fmla="*/ 76200 w 290593"/>
                <a:gd name="T3" fmla="*/ 14613 h 817667"/>
                <a:gd name="T4" fmla="*/ 95250 w 290593"/>
                <a:gd name="T5" fmla="*/ 147963 h 817667"/>
                <a:gd name="T6" fmla="*/ 38100 w 290593"/>
                <a:gd name="T7" fmla="*/ 167013 h 817667"/>
                <a:gd name="T8" fmla="*/ 85725 w 290593"/>
                <a:gd name="T9" fmla="*/ 214638 h 817667"/>
                <a:gd name="T10" fmla="*/ 57150 w 290593"/>
                <a:gd name="T11" fmla="*/ 376563 h 817667"/>
                <a:gd name="T12" fmla="*/ 28575 w 290593"/>
                <a:gd name="T13" fmla="*/ 386088 h 817667"/>
                <a:gd name="T14" fmla="*/ 28575 w 290593"/>
                <a:gd name="T15" fmla="*/ 490863 h 817667"/>
                <a:gd name="T16" fmla="*/ 47625 w 290593"/>
                <a:gd name="T17" fmla="*/ 519438 h 817667"/>
                <a:gd name="T18" fmla="*/ 38100 w 290593"/>
                <a:gd name="T19" fmla="*/ 576588 h 817667"/>
                <a:gd name="T20" fmla="*/ 9525 w 290593"/>
                <a:gd name="T21" fmla="*/ 586113 h 817667"/>
                <a:gd name="T22" fmla="*/ 0 w 290593"/>
                <a:gd name="T23" fmla="*/ 614688 h 817667"/>
                <a:gd name="T24" fmla="*/ 19050 w 290593"/>
                <a:gd name="T25" fmla="*/ 671838 h 817667"/>
                <a:gd name="T26" fmla="*/ 57150 w 290593"/>
                <a:gd name="T27" fmla="*/ 728988 h 817667"/>
                <a:gd name="T28" fmla="*/ 57150 w 290593"/>
                <a:gd name="T29" fmla="*/ 814713 h 817667"/>
                <a:gd name="T30" fmla="*/ 266700 w 290593"/>
                <a:gd name="T31" fmla="*/ 776613 h 817667"/>
                <a:gd name="T32" fmla="*/ 266700 w 290593"/>
                <a:gd name="T33" fmla="*/ 509913 h 817667"/>
                <a:gd name="T34" fmla="*/ 285750 w 290593"/>
                <a:gd name="T35" fmla="*/ 43188 h 817667"/>
                <a:gd name="T36" fmla="*/ 76200 w 290593"/>
                <a:gd name="T37" fmla="*/ 14613 h 817667"/>
                <a:gd name="T38" fmla="*/ 0 60000 65536"/>
                <a:gd name="T39" fmla="*/ 0 60000 65536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w 290593"/>
                <a:gd name="T58" fmla="*/ 0 h 817667"/>
                <a:gd name="T59" fmla="*/ 290593 w 290593"/>
                <a:gd name="T60" fmla="*/ 817667 h 817667"/>
              </a:gdLst>
              <a:ahLst/>
              <a:cxnLst>
                <a:cxn ang="T38">
                  <a:pos x="T0" y="T1"/>
                </a:cxn>
                <a:cxn ang="T39">
                  <a:pos x="T2" y="T3"/>
                </a:cxn>
                <a:cxn ang="T40">
                  <a:pos x="T4" y="T5"/>
                </a:cxn>
                <a:cxn ang="T41">
                  <a:pos x="T6" y="T7"/>
                </a:cxn>
                <a:cxn ang="T42">
                  <a:pos x="T8" y="T9"/>
                </a:cxn>
                <a:cxn ang="T43">
                  <a:pos x="T10" y="T11"/>
                </a:cxn>
                <a:cxn ang="T44">
                  <a:pos x="T12" y="T13"/>
                </a:cxn>
                <a:cxn ang="T45">
                  <a:pos x="T14" y="T15"/>
                </a:cxn>
                <a:cxn ang="T46">
                  <a:pos x="T16" y="T17"/>
                </a:cxn>
                <a:cxn ang="T47">
                  <a:pos x="T18" y="T19"/>
                </a:cxn>
                <a:cxn ang="T48">
                  <a:pos x="T20" y="T21"/>
                </a:cxn>
                <a:cxn ang="T49">
                  <a:pos x="T22" y="T23"/>
                </a:cxn>
                <a:cxn ang="T50">
                  <a:pos x="T24" y="T25"/>
                </a:cxn>
                <a:cxn ang="T51">
                  <a:pos x="T26" y="T27"/>
                </a:cxn>
                <a:cxn ang="T52">
                  <a:pos x="T28" y="T29"/>
                </a:cxn>
                <a:cxn ang="T53">
                  <a:pos x="T30" y="T31"/>
                </a:cxn>
                <a:cxn ang="T54">
                  <a:pos x="T32" y="T33"/>
                </a:cxn>
                <a:cxn ang="T55">
                  <a:pos x="T34" y="T35"/>
                </a:cxn>
                <a:cxn ang="T56">
                  <a:pos x="T36" y="T37"/>
                </a:cxn>
              </a:cxnLst>
              <a:rect l="T57" t="T58" r="T59" b="T60"/>
              <a:pathLst>
                <a:path w="290593" h="817667">
                  <a:moveTo>
                    <a:pt x="76200" y="14613"/>
                  </a:moveTo>
                  <a:lnTo>
                    <a:pt x="76200" y="14613"/>
                  </a:lnTo>
                  <a:cubicBezTo>
                    <a:pt x="86511" y="42109"/>
                    <a:pt x="127065" y="111603"/>
                    <a:pt x="95250" y="147963"/>
                  </a:cubicBezTo>
                  <a:cubicBezTo>
                    <a:pt x="82027" y="163075"/>
                    <a:pt x="38100" y="167013"/>
                    <a:pt x="38100" y="167013"/>
                  </a:cubicBezTo>
                  <a:cubicBezTo>
                    <a:pt x="52096" y="176344"/>
                    <a:pt x="84429" y="192607"/>
                    <a:pt x="85725" y="214638"/>
                  </a:cubicBezTo>
                  <a:cubicBezTo>
                    <a:pt x="86693" y="231091"/>
                    <a:pt x="98014" y="343872"/>
                    <a:pt x="57150" y="376563"/>
                  </a:cubicBezTo>
                  <a:cubicBezTo>
                    <a:pt x="49310" y="382835"/>
                    <a:pt x="38100" y="382913"/>
                    <a:pt x="28575" y="386088"/>
                  </a:cubicBezTo>
                  <a:cubicBezTo>
                    <a:pt x="13701" y="430709"/>
                    <a:pt x="10804" y="425702"/>
                    <a:pt x="28575" y="490863"/>
                  </a:cubicBezTo>
                  <a:cubicBezTo>
                    <a:pt x="31587" y="501907"/>
                    <a:pt x="41275" y="509913"/>
                    <a:pt x="47625" y="519438"/>
                  </a:cubicBezTo>
                  <a:cubicBezTo>
                    <a:pt x="44450" y="538488"/>
                    <a:pt x="47682" y="559820"/>
                    <a:pt x="38100" y="576588"/>
                  </a:cubicBezTo>
                  <a:cubicBezTo>
                    <a:pt x="33119" y="585305"/>
                    <a:pt x="16625" y="579013"/>
                    <a:pt x="9525" y="586113"/>
                  </a:cubicBezTo>
                  <a:cubicBezTo>
                    <a:pt x="2425" y="593213"/>
                    <a:pt x="3175" y="605163"/>
                    <a:pt x="0" y="614688"/>
                  </a:cubicBezTo>
                  <a:cubicBezTo>
                    <a:pt x="6350" y="633738"/>
                    <a:pt x="7911" y="655130"/>
                    <a:pt x="19050" y="671838"/>
                  </a:cubicBezTo>
                  <a:lnTo>
                    <a:pt x="57150" y="728988"/>
                  </a:lnTo>
                  <a:cubicBezTo>
                    <a:pt x="51516" y="745889"/>
                    <a:pt x="26742" y="805357"/>
                    <a:pt x="57150" y="814713"/>
                  </a:cubicBezTo>
                  <a:cubicBezTo>
                    <a:pt x="66751" y="817667"/>
                    <a:pt x="248114" y="780330"/>
                    <a:pt x="266700" y="776613"/>
                  </a:cubicBezTo>
                  <a:cubicBezTo>
                    <a:pt x="290593" y="633254"/>
                    <a:pt x="266700" y="801168"/>
                    <a:pt x="266700" y="509913"/>
                  </a:cubicBezTo>
                  <a:cubicBezTo>
                    <a:pt x="266700" y="283161"/>
                    <a:pt x="272633" y="226829"/>
                    <a:pt x="285750" y="43188"/>
                  </a:cubicBezTo>
                  <a:cubicBezTo>
                    <a:pt x="199373" y="0"/>
                    <a:pt x="111125" y="19376"/>
                    <a:pt x="76200" y="14613"/>
                  </a:cubicBezTo>
                  <a:close/>
                </a:path>
              </a:pathLst>
            </a:cu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 cap="flat" cmpd="sng" algn="ctr">
                  <a:solidFill>
                    <a:srgbClr val="000000"/>
                  </a:solidFill>
                  <a:prstDash val="solid"/>
                  <a:round/>
                  <a:headEnd type="none" w="med" len="med"/>
                  <a:tailEnd type="none" w="med" len="med"/>
                </a14:hiddenLine>
              </a:ext>
            </a:extLst>
          </xdr:spPr>
        </xdr:sp>
      </xdr:grpSp>
    </xdr:grpSp>
    <xdr:clientData/>
  </xdr:twoCellAnchor>
  <xdr:twoCellAnchor>
    <xdr:from>
      <xdr:col>9</xdr:col>
      <xdr:colOff>7620</xdr:colOff>
      <xdr:row>93</xdr:row>
      <xdr:rowOff>91440</xdr:rowOff>
    </xdr:from>
    <xdr:to>
      <xdr:col>14</xdr:col>
      <xdr:colOff>99060</xdr:colOff>
      <xdr:row>98</xdr:row>
      <xdr:rowOff>83820</xdr:rowOff>
    </xdr:to>
    <xdr:grpSp>
      <xdr:nvGrpSpPr>
        <xdr:cNvPr id="5" name="Skupina 4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pSpPr/>
      </xdr:nvGrpSpPr>
      <xdr:grpSpPr>
        <a:xfrm>
          <a:off x="2141220" y="17721714"/>
          <a:ext cx="1254493" cy="914801"/>
          <a:chOff x="1988820" y="17721714"/>
          <a:chExt cx="1174282" cy="914801"/>
        </a:xfrm>
      </xdr:grpSpPr>
      <xdr:grpSp>
        <xdr:nvGrpSpPr>
          <xdr:cNvPr id="436106" name="Skupina 32">
            <a:extLst>
              <a:ext uri="{FF2B5EF4-FFF2-40B4-BE49-F238E27FC236}">
                <a16:creationId xmlns:a16="http://schemas.microsoft.com/office/drawing/2014/main" id="{00000000-0008-0000-0200-00008AA70600}"/>
              </a:ext>
            </a:extLst>
          </xdr:cNvPr>
          <xdr:cNvGrpSpPr>
            <a:grpSpLocks/>
          </xdr:cNvGrpSpPr>
        </xdr:nvGrpSpPr>
        <xdr:grpSpPr bwMode="auto">
          <a:xfrm>
            <a:off x="1988820" y="17797914"/>
            <a:ext cx="896754" cy="838601"/>
            <a:chOff x="5762624" y="1547487"/>
            <a:chExt cx="976394" cy="817667"/>
          </a:xfrm>
        </xdr:grpSpPr>
        <xdr:sp macro="" textlink="">
          <xdr:nvSpPr>
            <xdr:cNvPr id="436169" name="Obdélník 34">
              <a:extLst>
                <a:ext uri="{FF2B5EF4-FFF2-40B4-BE49-F238E27FC236}">
                  <a16:creationId xmlns:a16="http://schemas.microsoft.com/office/drawing/2014/main" id="{00000000-0008-0000-0200-0000C9A706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805531" y="1662453"/>
              <a:ext cx="795293" cy="585448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436170" name="Obdélník 35">
              <a:extLst>
                <a:ext uri="{FF2B5EF4-FFF2-40B4-BE49-F238E27FC236}">
                  <a16:creationId xmlns:a16="http://schemas.microsoft.com/office/drawing/2014/main" id="{00000000-0008-0000-0200-0000CAA706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762624" y="1590675"/>
              <a:ext cx="52095" cy="730800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436171" name="Volný tvar 36">
              <a:extLst>
                <a:ext uri="{FF2B5EF4-FFF2-40B4-BE49-F238E27FC236}">
                  <a16:creationId xmlns:a16="http://schemas.microsoft.com/office/drawing/2014/main" id="{00000000-0008-0000-0200-0000CBA70600}"/>
                </a:ext>
              </a:extLst>
            </xdr:cNvPr>
            <xdr:cNvSpPr>
              <a:spLocks/>
            </xdr:cNvSpPr>
          </xdr:nvSpPr>
          <xdr:spPr bwMode="auto">
            <a:xfrm>
              <a:off x="6448425" y="1547487"/>
              <a:ext cx="290593" cy="817667"/>
            </a:xfrm>
            <a:custGeom>
              <a:avLst/>
              <a:gdLst>
                <a:gd name="T0" fmla="*/ 76200 w 290593"/>
                <a:gd name="T1" fmla="*/ 14613 h 817667"/>
                <a:gd name="T2" fmla="*/ 76200 w 290593"/>
                <a:gd name="T3" fmla="*/ 14613 h 817667"/>
                <a:gd name="T4" fmla="*/ 77390 w 290593"/>
                <a:gd name="T5" fmla="*/ 99635 h 817667"/>
                <a:gd name="T6" fmla="*/ 38100 w 290593"/>
                <a:gd name="T7" fmla="*/ 167013 h 817667"/>
                <a:gd name="T8" fmla="*/ 85725 w 290593"/>
                <a:gd name="T9" fmla="*/ 214638 h 817667"/>
                <a:gd name="T10" fmla="*/ 57150 w 290593"/>
                <a:gd name="T11" fmla="*/ 376563 h 817667"/>
                <a:gd name="T12" fmla="*/ 28575 w 290593"/>
                <a:gd name="T13" fmla="*/ 386088 h 817667"/>
                <a:gd name="T14" fmla="*/ 28575 w 290593"/>
                <a:gd name="T15" fmla="*/ 490863 h 817667"/>
                <a:gd name="T16" fmla="*/ 47625 w 290593"/>
                <a:gd name="T17" fmla="*/ 519438 h 817667"/>
                <a:gd name="T18" fmla="*/ 38100 w 290593"/>
                <a:gd name="T19" fmla="*/ 576588 h 817667"/>
                <a:gd name="T20" fmla="*/ 9525 w 290593"/>
                <a:gd name="T21" fmla="*/ 586113 h 817667"/>
                <a:gd name="T22" fmla="*/ 0 w 290593"/>
                <a:gd name="T23" fmla="*/ 614688 h 817667"/>
                <a:gd name="T24" fmla="*/ 19050 w 290593"/>
                <a:gd name="T25" fmla="*/ 671838 h 817667"/>
                <a:gd name="T26" fmla="*/ 57150 w 290593"/>
                <a:gd name="T27" fmla="*/ 728988 h 817667"/>
                <a:gd name="T28" fmla="*/ 57150 w 290593"/>
                <a:gd name="T29" fmla="*/ 814713 h 817667"/>
                <a:gd name="T30" fmla="*/ 266700 w 290593"/>
                <a:gd name="T31" fmla="*/ 776613 h 817667"/>
                <a:gd name="T32" fmla="*/ 266700 w 290593"/>
                <a:gd name="T33" fmla="*/ 509913 h 817667"/>
                <a:gd name="T34" fmla="*/ 285750 w 290593"/>
                <a:gd name="T35" fmla="*/ 43188 h 817667"/>
                <a:gd name="T36" fmla="*/ 76200 w 290593"/>
                <a:gd name="T37" fmla="*/ 14613 h 817667"/>
                <a:gd name="T38" fmla="*/ 0 60000 65536"/>
                <a:gd name="T39" fmla="*/ 0 60000 65536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w 290593"/>
                <a:gd name="T58" fmla="*/ 0 h 817667"/>
                <a:gd name="T59" fmla="*/ 290593 w 290593"/>
                <a:gd name="T60" fmla="*/ 817667 h 817667"/>
              </a:gdLst>
              <a:ahLst/>
              <a:cxnLst>
                <a:cxn ang="T38">
                  <a:pos x="T0" y="T1"/>
                </a:cxn>
                <a:cxn ang="T39">
                  <a:pos x="T2" y="T3"/>
                </a:cxn>
                <a:cxn ang="T40">
                  <a:pos x="T4" y="T5"/>
                </a:cxn>
                <a:cxn ang="T41">
                  <a:pos x="T6" y="T7"/>
                </a:cxn>
                <a:cxn ang="T42">
                  <a:pos x="T8" y="T9"/>
                </a:cxn>
                <a:cxn ang="T43">
                  <a:pos x="T10" y="T11"/>
                </a:cxn>
                <a:cxn ang="T44">
                  <a:pos x="T12" y="T13"/>
                </a:cxn>
                <a:cxn ang="T45">
                  <a:pos x="T14" y="T15"/>
                </a:cxn>
                <a:cxn ang="T46">
                  <a:pos x="T16" y="T17"/>
                </a:cxn>
                <a:cxn ang="T47">
                  <a:pos x="T18" y="T19"/>
                </a:cxn>
                <a:cxn ang="T48">
                  <a:pos x="T20" y="T21"/>
                </a:cxn>
                <a:cxn ang="T49">
                  <a:pos x="T22" y="T23"/>
                </a:cxn>
                <a:cxn ang="T50">
                  <a:pos x="T24" y="T25"/>
                </a:cxn>
                <a:cxn ang="T51">
                  <a:pos x="T26" y="T27"/>
                </a:cxn>
                <a:cxn ang="T52">
                  <a:pos x="T28" y="T29"/>
                </a:cxn>
                <a:cxn ang="T53">
                  <a:pos x="T30" y="T31"/>
                </a:cxn>
                <a:cxn ang="T54">
                  <a:pos x="T32" y="T33"/>
                </a:cxn>
                <a:cxn ang="T55">
                  <a:pos x="T34" y="T35"/>
                </a:cxn>
                <a:cxn ang="T56">
                  <a:pos x="T36" y="T37"/>
                </a:cxn>
              </a:cxnLst>
              <a:rect l="T57" t="T58" r="T59" b="T60"/>
              <a:pathLst>
                <a:path w="290593" h="817667">
                  <a:moveTo>
                    <a:pt x="76200" y="14613"/>
                  </a:moveTo>
                  <a:lnTo>
                    <a:pt x="76200" y="14613"/>
                  </a:lnTo>
                  <a:cubicBezTo>
                    <a:pt x="86511" y="42109"/>
                    <a:pt x="109205" y="63275"/>
                    <a:pt x="77390" y="99635"/>
                  </a:cubicBezTo>
                  <a:cubicBezTo>
                    <a:pt x="64167" y="114747"/>
                    <a:pt x="38100" y="167013"/>
                    <a:pt x="38100" y="167013"/>
                  </a:cubicBezTo>
                  <a:cubicBezTo>
                    <a:pt x="52096" y="176344"/>
                    <a:pt x="84429" y="192607"/>
                    <a:pt x="85725" y="214638"/>
                  </a:cubicBezTo>
                  <a:cubicBezTo>
                    <a:pt x="86693" y="231091"/>
                    <a:pt x="98014" y="343872"/>
                    <a:pt x="57150" y="376563"/>
                  </a:cubicBezTo>
                  <a:cubicBezTo>
                    <a:pt x="49310" y="382835"/>
                    <a:pt x="38100" y="382913"/>
                    <a:pt x="28575" y="386088"/>
                  </a:cubicBezTo>
                  <a:cubicBezTo>
                    <a:pt x="13701" y="430709"/>
                    <a:pt x="10804" y="425702"/>
                    <a:pt x="28575" y="490863"/>
                  </a:cubicBezTo>
                  <a:cubicBezTo>
                    <a:pt x="31587" y="501907"/>
                    <a:pt x="41275" y="509913"/>
                    <a:pt x="47625" y="519438"/>
                  </a:cubicBezTo>
                  <a:cubicBezTo>
                    <a:pt x="44450" y="538488"/>
                    <a:pt x="47682" y="559820"/>
                    <a:pt x="38100" y="576588"/>
                  </a:cubicBezTo>
                  <a:cubicBezTo>
                    <a:pt x="33119" y="585305"/>
                    <a:pt x="16625" y="579013"/>
                    <a:pt x="9525" y="586113"/>
                  </a:cubicBezTo>
                  <a:cubicBezTo>
                    <a:pt x="2425" y="593213"/>
                    <a:pt x="3175" y="605163"/>
                    <a:pt x="0" y="614688"/>
                  </a:cubicBezTo>
                  <a:cubicBezTo>
                    <a:pt x="6350" y="633738"/>
                    <a:pt x="7911" y="655130"/>
                    <a:pt x="19050" y="671838"/>
                  </a:cubicBezTo>
                  <a:lnTo>
                    <a:pt x="57150" y="728988"/>
                  </a:lnTo>
                  <a:cubicBezTo>
                    <a:pt x="51516" y="745889"/>
                    <a:pt x="26742" y="805357"/>
                    <a:pt x="57150" y="814713"/>
                  </a:cubicBezTo>
                  <a:cubicBezTo>
                    <a:pt x="66751" y="817667"/>
                    <a:pt x="248114" y="780330"/>
                    <a:pt x="266700" y="776613"/>
                  </a:cubicBezTo>
                  <a:cubicBezTo>
                    <a:pt x="290593" y="633254"/>
                    <a:pt x="266700" y="801168"/>
                    <a:pt x="266700" y="509913"/>
                  </a:cubicBezTo>
                  <a:cubicBezTo>
                    <a:pt x="266700" y="283161"/>
                    <a:pt x="272633" y="226829"/>
                    <a:pt x="285750" y="43188"/>
                  </a:cubicBezTo>
                  <a:cubicBezTo>
                    <a:pt x="199373" y="0"/>
                    <a:pt x="111125" y="19376"/>
                    <a:pt x="76200" y="14613"/>
                  </a:cubicBezTo>
                  <a:close/>
                </a:path>
              </a:pathLst>
            </a:cu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 cap="flat" cmpd="sng" algn="ctr">
                  <a:solidFill>
                    <a:srgbClr val="000000"/>
                  </a:solidFill>
                  <a:prstDash val="solid"/>
                  <a:round/>
                  <a:headEnd type="none" w="med" len="med"/>
                  <a:tailEnd type="none" w="med" len="med"/>
                </a14:hiddenLine>
              </a:ext>
            </a:extLst>
          </xdr:spPr>
        </xdr:sp>
      </xdr:grpSp>
      <xdr:grpSp>
        <xdr:nvGrpSpPr>
          <xdr:cNvPr id="436107" name="Skupina 21">
            <a:extLst>
              <a:ext uri="{FF2B5EF4-FFF2-40B4-BE49-F238E27FC236}">
                <a16:creationId xmlns:a16="http://schemas.microsoft.com/office/drawing/2014/main" id="{00000000-0008-0000-0200-00008BA70600}"/>
              </a:ext>
            </a:extLst>
          </xdr:cNvPr>
          <xdr:cNvGrpSpPr>
            <a:grpSpLocks/>
          </xdr:cNvGrpSpPr>
        </xdr:nvGrpSpPr>
        <xdr:grpSpPr bwMode="auto">
          <a:xfrm>
            <a:off x="2281588" y="17721714"/>
            <a:ext cx="881514" cy="692217"/>
            <a:chOff x="1771649" y="3440863"/>
            <a:chExt cx="976394" cy="676891"/>
          </a:xfrm>
        </xdr:grpSpPr>
        <xdr:sp macro="" textlink="">
          <xdr:nvSpPr>
            <xdr:cNvPr id="436166" name="Obdélník 19">
              <a:extLst>
                <a:ext uri="{FF2B5EF4-FFF2-40B4-BE49-F238E27FC236}">
                  <a16:creationId xmlns:a16="http://schemas.microsoft.com/office/drawing/2014/main" id="{00000000-0008-0000-0200-0000C6A706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815062" y="3695700"/>
              <a:ext cx="794788" cy="304800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436167" name="Obdélník 18">
              <a:extLst>
                <a:ext uri="{FF2B5EF4-FFF2-40B4-BE49-F238E27FC236}">
                  <a16:creationId xmlns:a16="http://schemas.microsoft.com/office/drawing/2014/main" id="{00000000-0008-0000-0200-0000C7A706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771649" y="3562350"/>
              <a:ext cx="53016" cy="514350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436168" name="Volný tvar 20">
              <a:extLst>
                <a:ext uri="{FF2B5EF4-FFF2-40B4-BE49-F238E27FC236}">
                  <a16:creationId xmlns:a16="http://schemas.microsoft.com/office/drawing/2014/main" id="{00000000-0008-0000-0200-0000C8A70600}"/>
                </a:ext>
              </a:extLst>
            </xdr:cNvPr>
            <xdr:cNvSpPr>
              <a:spLocks/>
            </xdr:cNvSpPr>
          </xdr:nvSpPr>
          <xdr:spPr bwMode="auto">
            <a:xfrm>
              <a:off x="2457450" y="3440863"/>
              <a:ext cx="290593" cy="676891"/>
            </a:xfrm>
            <a:custGeom>
              <a:avLst/>
              <a:gdLst>
                <a:gd name="T0" fmla="*/ 76200 w 290593"/>
                <a:gd name="T1" fmla="*/ 1037 h 817667"/>
                <a:gd name="T2" fmla="*/ 76200 w 290593"/>
                <a:gd name="T3" fmla="*/ 1037 h 817667"/>
                <a:gd name="T4" fmla="*/ 95250 w 290593"/>
                <a:gd name="T5" fmla="*/ 10504 h 817667"/>
                <a:gd name="T6" fmla="*/ 38100 w 290593"/>
                <a:gd name="T7" fmla="*/ 11856 h 817667"/>
                <a:gd name="T8" fmla="*/ 85725 w 290593"/>
                <a:gd name="T9" fmla="*/ 15236 h 817667"/>
                <a:gd name="T10" fmla="*/ 57150 w 290593"/>
                <a:gd name="T11" fmla="*/ 26732 h 817667"/>
                <a:gd name="T12" fmla="*/ 28575 w 290593"/>
                <a:gd name="T13" fmla="*/ 27407 h 817667"/>
                <a:gd name="T14" fmla="*/ 28575 w 290593"/>
                <a:gd name="T15" fmla="*/ 34846 h 817667"/>
                <a:gd name="T16" fmla="*/ 47625 w 290593"/>
                <a:gd name="T17" fmla="*/ 36874 h 817667"/>
                <a:gd name="T18" fmla="*/ 38100 w 290593"/>
                <a:gd name="T19" fmla="*/ 40931 h 817667"/>
                <a:gd name="T20" fmla="*/ 9525 w 290593"/>
                <a:gd name="T21" fmla="*/ 41608 h 817667"/>
                <a:gd name="T22" fmla="*/ 0 w 290593"/>
                <a:gd name="T23" fmla="*/ 43636 h 817667"/>
                <a:gd name="T24" fmla="*/ 19050 w 290593"/>
                <a:gd name="T25" fmla="*/ 47692 h 817667"/>
                <a:gd name="T26" fmla="*/ 57150 w 290593"/>
                <a:gd name="T27" fmla="*/ 51750 h 817667"/>
                <a:gd name="T28" fmla="*/ 57150 w 290593"/>
                <a:gd name="T29" fmla="*/ 57836 h 817667"/>
                <a:gd name="T30" fmla="*/ 266700 w 290593"/>
                <a:gd name="T31" fmla="*/ 55131 h 817667"/>
                <a:gd name="T32" fmla="*/ 266700 w 290593"/>
                <a:gd name="T33" fmla="*/ 36198 h 817667"/>
                <a:gd name="T34" fmla="*/ 285750 w 290593"/>
                <a:gd name="T35" fmla="*/ 3066 h 817667"/>
                <a:gd name="T36" fmla="*/ 76200 w 290593"/>
                <a:gd name="T37" fmla="*/ 1037 h 817667"/>
                <a:gd name="T38" fmla="*/ 0 60000 65536"/>
                <a:gd name="T39" fmla="*/ 0 60000 65536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w 290593"/>
                <a:gd name="T58" fmla="*/ 0 h 817667"/>
                <a:gd name="T59" fmla="*/ 290593 w 290593"/>
                <a:gd name="T60" fmla="*/ 817667 h 817667"/>
              </a:gdLst>
              <a:ahLst/>
              <a:cxnLst>
                <a:cxn ang="T38">
                  <a:pos x="T0" y="T1"/>
                </a:cxn>
                <a:cxn ang="T39">
                  <a:pos x="T2" y="T3"/>
                </a:cxn>
                <a:cxn ang="T40">
                  <a:pos x="T4" y="T5"/>
                </a:cxn>
                <a:cxn ang="T41">
                  <a:pos x="T6" y="T7"/>
                </a:cxn>
                <a:cxn ang="T42">
                  <a:pos x="T8" y="T9"/>
                </a:cxn>
                <a:cxn ang="T43">
                  <a:pos x="T10" y="T11"/>
                </a:cxn>
                <a:cxn ang="T44">
                  <a:pos x="T12" y="T13"/>
                </a:cxn>
                <a:cxn ang="T45">
                  <a:pos x="T14" y="T15"/>
                </a:cxn>
                <a:cxn ang="T46">
                  <a:pos x="T16" y="T17"/>
                </a:cxn>
                <a:cxn ang="T47">
                  <a:pos x="T18" y="T19"/>
                </a:cxn>
                <a:cxn ang="T48">
                  <a:pos x="T20" y="T21"/>
                </a:cxn>
                <a:cxn ang="T49">
                  <a:pos x="T22" y="T23"/>
                </a:cxn>
                <a:cxn ang="T50">
                  <a:pos x="T24" y="T25"/>
                </a:cxn>
                <a:cxn ang="T51">
                  <a:pos x="T26" y="T27"/>
                </a:cxn>
                <a:cxn ang="T52">
                  <a:pos x="T28" y="T29"/>
                </a:cxn>
                <a:cxn ang="T53">
                  <a:pos x="T30" y="T31"/>
                </a:cxn>
                <a:cxn ang="T54">
                  <a:pos x="T32" y="T33"/>
                </a:cxn>
                <a:cxn ang="T55">
                  <a:pos x="T34" y="T35"/>
                </a:cxn>
                <a:cxn ang="T56">
                  <a:pos x="T36" y="T37"/>
                </a:cxn>
              </a:cxnLst>
              <a:rect l="T57" t="T58" r="T59" b="T60"/>
              <a:pathLst>
                <a:path w="290593" h="817667">
                  <a:moveTo>
                    <a:pt x="76200" y="14613"/>
                  </a:moveTo>
                  <a:lnTo>
                    <a:pt x="76200" y="14613"/>
                  </a:lnTo>
                  <a:cubicBezTo>
                    <a:pt x="86511" y="42109"/>
                    <a:pt x="127065" y="111603"/>
                    <a:pt x="95250" y="147963"/>
                  </a:cubicBezTo>
                  <a:cubicBezTo>
                    <a:pt x="82027" y="163075"/>
                    <a:pt x="38100" y="167013"/>
                    <a:pt x="38100" y="167013"/>
                  </a:cubicBezTo>
                  <a:cubicBezTo>
                    <a:pt x="52096" y="176344"/>
                    <a:pt x="84429" y="192607"/>
                    <a:pt x="85725" y="214638"/>
                  </a:cubicBezTo>
                  <a:cubicBezTo>
                    <a:pt x="86693" y="231091"/>
                    <a:pt x="98014" y="343872"/>
                    <a:pt x="57150" y="376563"/>
                  </a:cubicBezTo>
                  <a:cubicBezTo>
                    <a:pt x="49310" y="382835"/>
                    <a:pt x="38100" y="382913"/>
                    <a:pt x="28575" y="386088"/>
                  </a:cubicBezTo>
                  <a:cubicBezTo>
                    <a:pt x="13701" y="430709"/>
                    <a:pt x="10804" y="425702"/>
                    <a:pt x="28575" y="490863"/>
                  </a:cubicBezTo>
                  <a:cubicBezTo>
                    <a:pt x="31587" y="501907"/>
                    <a:pt x="41275" y="509913"/>
                    <a:pt x="47625" y="519438"/>
                  </a:cubicBezTo>
                  <a:cubicBezTo>
                    <a:pt x="44450" y="538488"/>
                    <a:pt x="47682" y="559820"/>
                    <a:pt x="38100" y="576588"/>
                  </a:cubicBezTo>
                  <a:cubicBezTo>
                    <a:pt x="33119" y="585305"/>
                    <a:pt x="16625" y="579013"/>
                    <a:pt x="9525" y="586113"/>
                  </a:cubicBezTo>
                  <a:cubicBezTo>
                    <a:pt x="2425" y="593213"/>
                    <a:pt x="3175" y="605163"/>
                    <a:pt x="0" y="614688"/>
                  </a:cubicBezTo>
                  <a:cubicBezTo>
                    <a:pt x="6350" y="633738"/>
                    <a:pt x="7911" y="655130"/>
                    <a:pt x="19050" y="671838"/>
                  </a:cubicBezTo>
                  <a:lnTo>
                    <a:pt x="57150" y="728988"/>
                  </a:lnTo>
                  <a:cubicBezTo>
                    <a:pt x="51516" y="745889"/>
                    <a:pt x="26742" y="805357"/>
                    <a:pt x="57150" y="814713"/>
                  </a:cubicBezTo>
                  <a:cubicBezTo>
                    <a:pt x="66751" y="817667"/>
                    <a:pt x="248114" y="780330"/>
                    <a:pt x="266700" y="776613"/>
                  </a:cubicBezTo>
                  <a:cubicBezTo>
                    <a:pt x="290593" y="633254"/>
                    <a:pt x="266700" y="801168"/>
                    <a:pt x="266700" y="509913"/>
                  </a:cubicBezTo>
                  <a:cubicBezTo>
                    <a:pt x="266700" y="283161"/>
                    <a:pt x="272633" y="226829"/>
                    <a:pt x="285750" y="43188"/>
                  </a:cubicBezTo>
                  <a:cubicBezTo>
                    <a:pt x="199373" y="0"/>
                    <a:pt x="111125" y="19376"/>
                    <a:pt x="76200" y="14613"/>
                  </a:cubicBezTo>
                  <a:close/>
                </a:path>
              </a:pathLst>
            </a:cu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 cap="flat" cmpd="sng" algn="ctr">
                  <a:solidFill>
                    <a:srgbClr val="000000"/>
                  </a:solidFill>
                  <a:prstDash val="solid"/>
                  <a:round/>
                  <a:headEnd type="none" w="med" len="med"/>
                  <a:tailEnd type="none" w="med" len="med"/>
                </a14:hiddenLine>
              </a:ext>
            </a:extLst>
          </xdr:spPr>
        </xdr:sp>
      </xdr:grpSp>
    </xdr:grpSp>
    <xdr:clientData/>
  </xdr:twoCellAnchor>
  <xdr:twoCellAnchor>
    <xdr:from>
      <xdr:col>3</xdr:col>
      <xdr:colOff>182880</xdr:colOff>
      <xdr:row>95</xdr:row>
      <xdr:rowOff>30480</xdr:rowOff>
    </xdr:from>
    <xdr:to>
      <xdr:col>5</xdr:col>
      <xdr:colOff>175260</xdr:colOff>
      <xdr:row>100</xdr:row>
      <xdr:rowOff>114300</xdr:rowOff>
    </xdr:to>
    <xdr:grpSp>
      <xdr:nvGrpSpPr>
        <xdr:cNvPr id="436108" name="Skupina 6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00000000-0008-0000-0200-00008CA70600}"/>
            </a:ext>
          </a:extLst>
        </xdr:cNvPr>
        <xdr:cNvGrpSpPr>
          <a:grpSpLocks/>
        </xdr:cNvGrpSpPr>
      </xdr:nvGrpSpPr>
      <xdr:grpSpPr bwMode="auto">
        <a:xfrm>
          <a:off x="920817" y="18029722"/>
          <a:ext cx="457601" cy="1006241"/>
          <a:chOff x="854290" y="17809673"/>
          <a:chExt cx="415122" cy="993987"/>
        </a:xfrm>
      </xdr:grpSpPr>
      <xdr:sp macro="" textlink="">
        <xdr:nvSpPr>
          <xdr:cNvPr id="436152" name="Obdélník 23">
            <a:extLst>
              <a:ext uri="{FF2B5EF4-FFF2-40B4-BE49-F238E27FC236}">
                <a16:creationId xmlns:a16="http://schemas.microsoft.com/office/drawing/2014/main" id="{00000000-0008-0000-0200-0000B8A70600}"/>
              </a:ext>
            </a:extLst>
          </xdr:cNvPr>
          <xdr:cNvSpPr>
            <a:spLocks noChangeArrowheads="1"/>
          </xdr:cNvSpPr>
        </xdr:nvSpPr>
        <xdr:spPr bwMode="auto">
          <a:xfrm>
            <a:off x="861949" y="17809673"/>
            <a:ext cx="406982" cy="993987"/>
          </a:xfrm>
          <a:prstGeom prst="rect">
            <a:avLst/>
          </a:pr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algn="ctr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436153" name="Obdélník 24">
            <a:extLst>
              <a:ext uri="{FF2B5EF4-FFF2-40B4-BE49-F238E27FC236}">
                <a16:creationId xmlns:a16="http://schemas.microsoft.com/office/drawing/2014/main" id="{00000000-0008-0000-0200-0000B9A70600}"/>
              </a:ext>
            </a:extLst>
          </xdr:cNvPr>
          <xdr:cNvSpPr>
            <a:spLocks noChangeArrowheads="1"/>
          </xdr:cNvSpPr>
        </xdr:nvSpPr>
        <xdr:spPr bwMode="auto">
          <a:xfrm>
            <a:off x="854290" y="17817246"/>
            <a:ext cx="38900" cy="976837"/>
          </a:xfrm>
          <a:prstGeom prst="rect">
            <a:avLst/>
          </a:prstGeom>
          <a:solidFill>
            <a:srgbClr val="FFFFE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grpSp>
        <xdr:nvGrpSpPr>
          <xdr:cNvPr id="436154" name="Skupina 238">
            <a:extLst>
              <a:ext uri="{FF2B5EF4-FFF2-40B4-BE49-F238E27FC236}">
                <a16:creationId xmlns:a16="http://schemas.microsoft.com/office/drawing/2014/main" id="{00000000-0008-0000-0200-0000BAA70600}"/>
              </a:ext>
            </a:extLst>
          </xdr:cNvPr>
          <xdr:cNvGrpSpPr>
            <a:grpSpLocks/>
          </xdr:cNvGrpSpPr>
        </xdr:nvGrpSpPr>
        <xdr:grpSpPr bwMode="auto">
          <a:xfrm>
            <a:off x="919926" y="17873755"/>
            <a:ext cx="349486" cy="88570"/>
            <a:chOff x="5711920" y="21697458"/>
            <a:chExt cx="544182" cy="120565"/>
          </a:xfrm>
        </xdr:grpSpPr>
        <xdr:sp macro="" textlink="">
          <xdr:nvSpPr>
            <xdr:cNvPr id="436164" name="Obdélník 23">
              <a:extLst>
                <a:ext uri="{FF2B5EF4-FFF2-40B4-BE49-F238E27FC236}">
                  <a16:creationId xmlns:a16="http://schemas.microsoft.com/office/drawing/2014/main" id="{00000000-0008-0000-0200-0000C4A706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721017" y="21712035"/>
              <a:ext cx="535085" cy="105988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436165" name="Obdélník 30">
              <a:extLst>
                <a:ext uri="{FF2B5EF4-FFF2-40B4-BE49-F238E27FC236}">
                  <a16:creationId xmlns:a16="http://schemas.microsoft.com/office/drawing/2014/main" id="{00000000-0008-0000-0200-0000C5A70600}"/>
                </a:ext>
              </a:extLst>
            </xdr:cNvPr>
            <xdr:cNvSpPr>
              <a:spLocks noChangeArrowheads="1"/>
            </xdr:cNvSpPr>
          </xdr:nvSpPr>
          <xdr:spPr bwMode="auto">
            <a:xfrm rot="5400000">
              <a:off x="5675491" y="21733887"/>
              <a:ext cx="119658" cy="46800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</xdr:grpSp>
      <xdr:grpSp>
        <xdr:nvGrpSpPr>
          <xdr:cNvPr id="436155" name="Skupina 239">
            <a:extLst>
              <a:ext uri="{FF2B5EF4-FFF2-40B4-BE49-F238E27FC236}">
                <a16:creationId xmlns:a16="http://schemas.microsoft.com/office/drawing/2014/main" id="{00000000-0008-0000-0200-0000BBA70600}"/>
              </a:ext>
            </a:extLst>
          </xdr:cNvPr>
          <xdr:cNvGrpSpPr>
            <a:grpSpLocks/>
          </xdr:cNvGrpSpPr>
        </xdr:nvGrpSpPr>
        <xdr:grpSpPr bwMode="auto">
          <a:xfrm>
            <a:off x="921219" y="18335710"/>
            <a:ext cx="346909" cy="172799"/>
            <a:chOff x="5713935" y="22326425"/>
            <a:chExt cx="540171" cy="235221"/>
          </a:xfrm>
        </xdr:grpSpPr>
        <xdr:sp macro="" textlink="">
          <xdr:nvSpPr>
            <xdr:cNvPr id="436162" name="Obdélník 23">
              <a:extLst>
                <a:ext uri="{FF2B5EF4-FFF2-40B4-BE49-F238E27FC236}">
                  <a16:creationId xmlns:a16="http://schemas.microsoft.com/office/drawing/2014/main" id="{00000000-0008-0000-0200-0000C2A706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719020" y="22343224"/>
              <a:ext cx="535086" cy="207868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436163" name="Obdélník 30">
              <a:extLst>
                <a:ext uri="{FF2B5EF4-FFF2-40B4-BE49-F238E27FC236}">
                  <a16:creationId xmlns:a16="http://schemas.microsoft.com/office/drawing/2014/main" id="{00000000-0008-0000-0200-0000C3A70600}"/>
                </a:ext>
              </a:extLst>
            </xdr:cNvPr>
            <xdr:cNvSpPr>
              <a:spLocks noChangeArrowheads="1"/>
            </xdr:cNvSpPr>
          </xdr:nvSpPr>
          <xdr:spPr bwMode="auto">
            <a:xfrm rot="5400000">
              <a:off x="5619724" y="22420636"/>
              <a:ext cx="235221" cy="46800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</xdr:grpSp>
      <xdr:grpSp>
        <xdr:nvGrpSpPr>
          <xdr:cNvPr id="436156" name="Skupina 238">
            <a:extLst>
              <a:ext uri="{FF2B5EF4-FFF2-40B4-BE49-F238E27FC236}">
                <a16:creationId xmlns:a16="http://schemas.microsoft.com/office/drawing/2014/main" id="{00000000-0008-0000-0200-0000BCA70600}"/>
              </a:ext>
            </a:extLst>
          </xdr:cNvPr>
          <xdr:cNvGrpSpPr>
            <a:grpSpLocks/>
          </xdr:cNvGrpSpPr>
        </xdr:nvGrpSpPr>
        <xdr:grpSpPr bwMode="auto">
          <a:xfrm>
            <a:off x="919926" y="18123519"/>
            <a:ext cx="349486" cy="88570"/>
            <a:chOff x="5711920" y="21697458"/>
            <a:chExt cx="544182" cy="120565"/>
          </a:xfrm>
        </xdr:grpSpPr>
        <xdr:sp macro="" textlink="">
          <xdr:nvSpPr>
            <xdr:cNvPr id="436160" name="Obdélník 23">
              <a:extLst>
                <a:ext uri="{FF2B5EF4-FFF2-40B4-BE49-F238E27FC236}">
                  <a16:creationId xmlns:a16="http://schemas.microsoft.com/office/drawing/2014/main" id="{00000000-0008-0000-0200-0000C0A706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721017" y="21712035"/>
              <a:ext cx="535085" cy="105988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436161" name="Obdélník 30">
              <a:extLst>
                <a:ext uri="{FF2B5EF4-FFF2-40B4-BE49-F238E27FC236}">
                  <a16:creationId xmlns:a16="http://schemas.microsoft.com/office/drawing/2014/main" id="{00000000-0008-0000-0200-0000C1A70600}"/>
                </a:ext>
              </a:extLst>
            </xdr:cNvPr>
            <xdr:cNvSpPr>
              <a:spLocks noChangeArrowheads="1"/>
            </xdr:cNvSpPr>
          </xdr:nvSpPr>
          <xdr:spPr bwMode="auto">
            <a:xfrm rot="5400000">
              <a:off x="5675491" y="21733887"/>
              <a:ext cx="119658" cy="46800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</xdr:grpSp>
      <xdr:grpSp>
        <xdr:nvGrpSpPr>
          <xdr:cNvPr id="436157" name="Skupina 239">
            <a:extLst>
              <a:ext uri="{FF2B5EF4-FFF2-40B4-BE49-F238E27FC236}">
                <a16:creationId xmlns:a16="http://schemas.microsoft.com/office/drawing/2014/main" id="{00000000-0008-0000-0200-0000BDA70600}"/>
              </a:ext>
            </a:extLst>
          </xdr:cNvPr>
          <xdr:cNvGrpSpPr>
            <a:grpSpLocks/>
          </xdr:cNvGrpSpPr>
        </xdr:nvGrpSpPr>
        <xdr:grpSpPr bwMode="auto">
          <a:xfrm>
            <a:off x="921219" y="18598174"/>
            <a:ext cx="346909" cy="172799"/>
            <a:chOff x="5713935" y="22326425"/>
            <a:chExt cx="540171" cy="235221"/>
          </a:xfrm>
        </xdr:grpSpPr>
        <xdr:sp macro="" textlink="">
          <xdr:nvSpPr>
            <xdr:cNvPr id="436158" name="Obdélník 23">
              <a:extLst>
                <a:ext uri="{FF2B5EF4-FFF2-40B4-BE49-F238E27FC236}">
                  <a16:creationId xmlns:a16="http://schemas.microsoft.com/office/drawing/2014/main" id="{00000000-0008-0000-0200-0000BEA706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719020" y="22343224"/>
              <a:ext cx="535086" cy="207868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436159" name="Obdélník 30">
              <a:extLst>
                <a:ext uri="{FF2B5EF4-FFF2-40B4-BE49-F238E27FC236}">
                  <a16:creationId xmlns:a16="http://schemas.microsoft.com/office/drawing/2014/main" id="{00000000-0008-0000-0200-0000BFA70600}"/>
                </a:ext>
              </a:extLst>
            </xdr:cNvPr>
            <xdr:cNvSpPr>
              <a:spLocks noChangeArrowheads="1"/>
            </xdr:cNvSpPr>
          </xdr:nvSpPr>
          <xdr:spPr bwMode="auto">
            <a:xfrm rot="5400000">
              <a:off x="5619724" y="22420636"/>
              <a:ext cx="235221" cy="46800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</xdr:grpSp>
    </xdr:grpSp>
    <xdr:clientData/>
  </xdr:twoCellAnchor>
  <xdr:twoCellAnchor>
    <xdr:from>
      <xdr:col>17</xdr:col>
      <xdr:colOff>182880</xdr:colOff>
      <xdr:row>95</xdr:row>
      <xdr:rowOff>45720</xdr:rowOff>
    </xdr:from>
    <xdr:to>
      <xdr:col>19</xdr:col>
      <xdr:colOff>198120</xdr:colOff>
      <xdr:row>100</xdr:row>
      <xdr:rowOff>129540</xdr:rowOff>
    </xdr:to>
    <xdr:grpSp>
      <xdr:nvGrpSpPr>
        <xdr:cNvPr id="436109" name="Skupina 7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0200-00008DA70600}"/>
            </a:ext>
          </a:extLst>
        </xdr:cNvPr>
        <xdr:cNvGrpSpPr>
          <a:grpSpLocks/>
        </xdr:cNvGrpSpPr>
      </xdr:nvGrpSpPr>
      <xdr:grpSpPr bwMode="auto">
        <a:xfrm>
          <a:off x="4177364" y="18044962"/>
          <a:ext cx="480461" cy="1006241"/>
          <a:chOff x="3817602" y="17825720"/>
          <a:chExt cx="436899" cy="993987"/>
        </a:xfrm>
      </xdr:grpSpPr>
      <xdr:sp macro="" textlink="">
        <xdr:nvSpPr>
          <xdr:cNvPr id="436136" name="Obdélník 23">
            <a:extLst>
              <a:ext uri="{FF2B5EF4-FFF2-40B4-BE49-F238E27FC236}">
                <a16:creationId xmlns:a16="http://schemas.microsoft.com/office/drawing/2014/main" id="{00000000-0008-0000-0200-0000A8A70600}"/>
              </a:ext>
            </a:extLst>
          </xdr:cNvPr>
          <xdr:cNvSpPr>
            <a:spLocks noChangeArrowheads="1"/>
          </xdr:cNvSpPr>
        </xdr:nvSpPr>
        <xdr:spPr bwMode="auto">
          <a:xfrm>
            <a:off x="3825261" y="17825720"/>
            <a:ext cx="429240" cy="993987"/>
          </a:xfrm>
          <a:prstGeom prst="rect">
            <a:avLst/>
          </a:pr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algn="ctr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grpSp>
        <xdr:nvGrpSpPr>
          <xdr:cNvPr id="436137" name="Skupina 238">
            <a:extLst>
              <a:ext uri="{FF2B5EF4-FFF2-40B4-BE49-F238E27FC236}">
                <a16:creationId xmlns:a16="http://schemas.microsoft.com/office/drawing/2014/main" id="{00000000-0008-0000-0200-0000A9A70600}"/>
              </a:ext>
            </a:extLst>
          </xdr:cNvPr>
          <xdr:cNvGrpSpPr>
            <a:grpSpLocks/>
          </xdr:cNvGrpSpPr>
        </xdr:nvGrpSpPr>
        <xdr:grpSpPr bwMode="auto">
          <a:xfrm>
            <a:off x="3883238" y="17889802"/>
            <a:ext cx="349486" cy="88570"/>
            <a:chOff x="5711920" y="21697458"/>
            <a:chExt cx="544182" cy="120565"/>
          </a:xfrm>
        </xdr:grpSpPr>
        <xdr:sp macro="" textlink="">
          <xdr:nvSpPr>
            <xdr:cNvPr id="436150" name="Obdélník 23">
              <a:extLst>
                <a:ext uri="{FF2B5EF4-FFF2-40B4-BE49-F238E27FC236}">
                  <a16:creationId xmlns:a16="http://schemas.microsoft.com/office/drawing/2014/main" id="{00000000-0008-0000-0200-0000B6A706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721017" y="21712035"/>
              <a:ext cx="535085" cy="105988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436151" name="Obdélník 30">
              <a:extLst>
                <a:ext uri="{FF2B5EF4-FFF2-40B4-BE49-F238E27FC236}">
                  <a16:creationId xmlns:a16="http://schemas.microsoft.com/office/drawing/2014/main" id="{00000000-0008-0000-0200-0000B7A70600}"/>
                </a:ext>
              </a:extLst>
            </xdr:cNvPr>
            <xdr:cNvSpPr>
              <a:spLocks noChangeArrowheads="1"/>
            </xdr:cNvSpPr>
          </xdr:nvSpPr>
          <xdr:spPr bwMode="auto">
            <a:xfrm rot="5400000">
              <a:off x="5675491" y="21733887"/>
              <a:ext cx="119658" cy="46800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</xdr:grpSp>
      <xdr:grpSp>
        <xdr:nvGrpSpPr>
          <xdr:cNvPr id="436138" name="Skupina 299">
            <a:extLst>
              <a:ext uri="{FF2B5EF4-FFF2-40B4-BE49-F238E27FC236}">
                <a16:creationId xmlns:a16="http://schemas.microsoft.com/office/drawing/2014/main" id="{00000000-0008-0000-0200-0000AAA70600}"/>
              </a:ext>
            </a:extLst>
          </xdr:cNvPr>
          <xdr:cNvGrpSpPr>
            <a:grpSpLocks/>
          </xdr:cNvGrpSpPr>
        </xdr:nvGrpSpPr>
        <xdr:grpSpPr bwMode="auto">
          <a:xfrm>
            <a:off x="3884529" y="18351861"/>
            <a:ext cx="356068" cy="172800"/>
            <a:chOff x="3888762" y="16713561"/>
            <a:chExt cx="356068" cy="172800"/>
          </a:xfrm>
        </xdr:grpSpPr>
        <xdr:sp macro="" textlink="">
          <xdr:nvSpPr>
            <xdr:cNvPr id="436147" name="Obdélník 23">
              <a:extLst>
                <a:ext uri="{FF2B5EF4-FFF2-40B4-BE49-F238E27FC236}">
                  <a16:creationId xmlns:a16="http://schemas.microsoft.com/office/drawing/2014/main" id="{00000000-0008-0000-0200-0000B3A706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892030" y="16841353"/>
              <a:ext cx="352800" cy="36000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436148" name="Obdélník 23">
              <a:extLst>
                <a:ext uri="{FF2B5EF4-FFF2-40B4-BE49-F238E27FC236}">
                  <a16:creationId xmlns:a16="http://schemas.microsoft.com/office/drawing/2014/main" id="{00000000-0008-0000-0200-0000B4A706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892030" y="16721667"/>
              <a:ext cx="352800" cy="104886"/>
            </a:xfrm>
            <a:prstGeom prst="rect">
              <a:avLst/>
            </a:prstGeom>
            <a:solidFill>
              <a:srgbClr val="C6D9F1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436149" name="Obdélník 30">
              <a:extLst>
                <a:ext uri="{FF2B5EF4-FFF2-40B4-BE49-F238E27FC236}">
                  <a16:creationId xmlns:a16="http://schemas.microsoft.com/office/drawing/2014/main" id="{00000000-0008-0000-0200-0000B5A70600}"/>
                </a:ext>
              </a:extLst>
            </xdr:cNvPr>
            <xdr:cNvSpPr>
              <a:spLocks noChangeArrowheads="1"/>
            </xdr:cNvSpPr>
          </xdr:nvSpPr>
          <xdr:spPr bwMode="auto">
            <a:xfrm rot="5400000">
              <a:off x="3817390" y="16784933"/>
              <a:ext cx="172800" cy="30056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</xdr:grpSp>
      <xdr:sp macro="" textlink="">
        <xdr:nvSpPr>
          <xdr:cNvPr id="436139" name="Obdélník 24">
            <a:extLst>
              <a:ext uri="{FF2B5EF4-FFF2-40B4-BE49-F238E27FC236}">
                <a16:creationId xmlns:a16="http://schemas.microsoft.com/office/drawing/2014/main" id="{00000000-0008-0000-0200-0000ABA70600}"/>
              </a:ext>
            </a:extLst>
          </xdr:cNvPr>
          <xdr:cNvSpPr>
            <a:spLocks noChangeArrowheads="1"/>
          </xdr:cNvSpPr>
        </xdr:nvSpPr>
        <xdr:spPr bwMode="auto">
          <a:xfrm>
            <a:off x="3817602" y="17833293"/>
            <a:ext cx="38900" cy="976837"/>
          </a:xfrm>
          <a:prstGeom prst="rect">
            <a:avLst/>
          </a:prstGeom>
          <a:solidFill>
            <a:srgbClr val="FFFFE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grpSp>
        <xdr:nvGrpSpPr>
          <xdr:cNvPr id="436140" name="Skupina 238">
            <a:extLst>
              <a:ext uri="{FF2B5EF4-FFF2-40B4-BE49-F238E27FC236}">
                <a16:creationId xmlns:a16="http://schemas.microsoft.com/office/drawing/2014/main" id="{00000000-0008-0000-0200-0000ACA70600}"/>
              </a:ext>
            </a:extLst>
          </xdr:cNvPr>
          <xdr:cNvGrpSpPr>
            <a:grpSpLocks/>
          </xdr:cNvGrpSpPr>
        </xdr:nvGrpSpPr>
        <xdr:grpSpPr bwMode="auto">
          <a:xfrm>
            <a:off x="3883238" y="18139563"/>
            <a:ext cx="349486" cy="88570"/>
            <a:chOff x="5711920" y="21697458"/>
            <a:chExt cx="544182" cy="120565"/>
          </a:xfrm>
        </xdr:grpSpPr>
        <xdr:sp macro="" textlink="">
          <xdr:nvSpPr>
            <xdr:cNvPr id="436145" name="Obdélník 23">
              <a:extLst>
                <a:ext uri="{FF2B5EF4-FFF2-40B4-BE49-F238E27FC236}">
                  <a16:creationId xmlns:a16="http://schemas.microsoft.com/office/drawing/2014/main" id="{00000000-0008-0000-0200-0000B1A706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721017" y="21712035"/>
              <a:ext cx="535085" cy="105988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436146" name="Obdélník 30">
              <a:extLst>
                <a:ext uri="{FF2B5EF4-FFF2-40B4-BE49-F238E27FC236}">
                  <a16:creationId xmlns:a16="http://schemas.microsoft.com/office/drawing/2014/main" id="{00000000-0008-0000-0200-0000B2A70600}"/>
                </a:ext>
              </a:extLst>
            </xdr:cNvPr>
            <xdr:cNvSpPr>
              <a:spLocks noChangeArrowheads="1"/>
            </xdr:cNvSpPr>
          </xdr:nvSpPr>
          <xdr:spPr bwMode="auto">
            <a:xfrm rot="5400000">
              <a:off x="5675491" y="21733887"/>
              <a:ext cx="119658" cy="46800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</xdr:grpSp>
      <xdr:grpSp>
        <xdr:nvGrpSpPr>
          <xdr:cNvPr id="436141" name="Skupina 342">
            <a:extLst>
              <a:ext uri="{FF2B5EF4-FFF2-40B4-BE49-F238E27FC236}">
                <a16:creationId xmlns:a16="http://schemas.microsoft.com/office/drawing/2014/main" id="{00000000-0008-0000-0200-0000ADA70600}"/>
              </a:ext>
            </a:extLst>
          </xdr:cNvPr>
          <xdr:cNvGrpSpPr>
            <a:grpSpLocks/>
          </xdr:cNvGrpSpPr>
        </xdr:nvGrpSpPr>
        <xdr:grpSpPr bwMode="auto">
          <a:xfrm>
            <a:off x="3884528" y="18614324"/>
            <a:ext cx="356068" cy="172800"/>
            <a:chOff x="3888762" y="16713561"/>
            <a:chExt cx="356068" cy="172800"/>
          </a:xfrm>
        </xdr:grpSpPr>
        <xdr:sp macro="" textlink="">
          <xdr:nvSpPr>
            <xdr:cNvPr id="436142" name="Obdélník 23">
              <a:extLst>
                <a:ext uri="{FF2B5EF4-FFF2-40B4-BE49-F238E27FC236}">
                  <a16:creationId xmlns:a16="http://schemas.microsoft.com/office/drawing/2014/main" id="{00000000-0008-0000-0200-0000AEA706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892030" y="16841353"/>
              <a:ext cx="352800" cy="36000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436143" name="Obdélník 23">
              <a:extLst>
                <a:ext uri="{FF2B5EF4-FFF2-40B4-BE49-F238E27FC236}">
                  <a16:creationId xmlns:a16="http://schemas.microsoft.com/office/drawing/2014/main" id="{00000000-0008-0000-0200-0000AFA706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892030" y="16721667"/>
              <a:ext cx="352800" cy="104886"/>
            </a:xfrm>
            <a:prstGeom prst="rect">
              <a:avLst/>
            </a:prstGeom>
            <a:solidFill>
              <a:srgbClr val="C6D9F1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436144" name="Obdélník 30">
              <a:extLst>
                <a:ext uri="{FF2B5EF4-FFF2-40B4-BE49-F238E27FC236}">
                  <a16:creationId xmlns:a16="http://schemas.microsoft.com/office/drawing/2014/main" id="{00000000-0008-0000-0200-0000B0A70600}"/>
                </a:ext>
              </a:extLst>
            </xdr:cNvPr>
            <xdr:cNvSpPr>
              <a:spLocks noChangeArrowheads="1"/>
            </xdr:cNvSpPr>
          </xdr:nvSpPr>
          <xdr:spPr bwMode="auto">
            <a:xfrm rot="5400000">
              <a:off x="3817390" y="16784933"/>
              <a:ext cx="172800" cy="30056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</xdr:grpSp>
    </xdr:grpSp>
    <xdr:clientData/>
  </xdr:twoCellAnchor>
  <xdr:twoCellAnchor>
    <xdr:from>
      <xdr:col>51</xdr:col>
      <xdr:colOff>137160</xdr:colOff>
      <xdr:row>94</xdr:row>
      <xdr:rowOff>137160</xdr:rowOff>
    </xdr:from>
    <xdr:to>
      <xdr:col>55</xdr:col>
      <xdr:colOff>167640</xdr:colOff>
      <xdr:row>99</xdr:row>
      <xdr:rowOff>53340</xdr:rowOff>
    </xdr:to>
    <xdr:grpSp>
      <xdr:nvGrpSpPr>
        <xdr:cNvPr id="436110" name="Skupina 96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00000000-0008-0000-0200-00008EA70600}"/>
            </a:ext>
          </a:extLst>
        </xdr:cNvPr>
        <xdr:cNvGrpSpPr>
          <a:grpSpLocks/>
        </xdr:cNvGrpSpPr>
      </xdr:nvGrpSpPr>
      <xdr:grpSpPr bwMode="auto">
        <a:xfrm>
          <a:off x="12040402" y="17951918"/>
          <a:ext cx="960922" cy="838601"/>
          <a:chOff x="9103519" y="4391025"/>
          <a:chExt cx="976394" cy="805761"/>
        </a:xfrm>
      </xdr:grpSpPr>
      <xdr:sp macro="" textlink="">
        <xdr:nvSpPr>
          <xdr:cNvPr id="436132" name="Obdélník 98">
            <a:extLst>
              <a:ext uri="{FF2B5EF4-FFF2-40B4-BE49-F238E27FC236}">
                <a16:creationId xmlns:a16="http://schemas.microsoft.com/office/drawing/2014/main" id="{00000000-0008-0000-0200-0000A4A70600}"/>
              </a:ext>
            </a:extLst>
          </xdr:cNvPr>
          <xdr:cNvSpPr>
            <a:spLocks noChangeArrowheads="1"/>
          </xdr:cNvSpPr>
        </xdr:nvSpPr>
        <xdr:spPr bwMode="auto">
          <a:xfrm>
            <a:off x="9150142" y="4484886"/>
            <a:ext cx="801101" cy="454489"/>
          </a:xfrm>
          <a:prstGeom prst="rect">
            <a:avLst/>
          </a:prstGeom>
          <a:solidFill>
            <a:srgbClr val="C6D9F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36133" name="Obdélník 99">
            <a:extLst>
              <a:ext uri="{FF2B5EF4-FFF2-40B4-BE49-F238E27FC236}">
                <a16:creationId xmlns:a16="http://schemas.microsoft.com/office/drawing/2014/main" id="{00000000-0008-0000-0200-0000A5A70600}"/>
              </a:ext>
            </a:extLst>
          </xdr:cNvPr>
          <xdr:cNvSpPr>
            <a:spLocks noChangeArrowheads="1"/>
          </xdr:cNvSpPr>
        </xdr:nvSpPr>
        <xdr:spPr bwMode="auto">
          <a:xfrm>
            <a:off x="9146635" y="4954788"/>
            <a:ext cx="771525" cy="126452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36134" name="Obdélník 100">
            <a:extLst>
              <a:ext uri="{FF2B5EF4-FFF2-40B4-BE49-F238E27FC236}">
                <a16:creationId xmlns:a16="http://schemas.microsoft.com/office/drawing/2014/main" id="{00000000-0008-0000-0200-0000A6A70600}"/>
              </a:ext>
            </a:extLst>
          </xdr:cNvPr>
          <xdr:cNvSpPr>
            <a:spLocks noChangeArrowheads="1"/>
          </xdr:cNvSpPr>
        </xdr:nvSpPr>
        <xdr:spPr bwMode="auto">
          <a:xfrm>
            <a:off x="9103519" y="4433584"/>
            <a:ext cx="52095" cy="720159"/>
          </a:xfrm>
          <a:prstGeom prst="rect">
            <a:avLst/>
          </a:prstGeom>
          <a:solidFill>
            <a:srgbClr val="C6D9F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36135" name="Volný tvar 101">
            <a:extLst>
              <a:ext uri="{FF2B5EF4-FFF2-40B4-BE49-F238E27FC236}">
                <a16:creationId xmlns:a16="http://schemas.microsoft.com/office/drawing/2014/main" id="{00000000-0008-0000-0200-0000A7A70600}"/>
              </a:ext>
            </a:extLst>
          </xdr:cNvPr>
          <xdr:cNvSpPr>
            <a:spLocks/>
          </xdr:cNvSpPr>
        </xdr:nvSpPr>
        <xdr:spPr bwMode="auto">
          <a:xfrm>
            <a:off x="9789320" y="4391025"/>
            <a:ext cx="290593" cy="805761"/>
          </a:xfrm>
          <a:custGeom>
            <a:avLst/>
            <a:gdLst>
              <a:gd name="T0" fmla="*/ 76200 w 290593"/>
              <a:gd name="T1" fmla="*/ 5010 h 817667"/>
              <a:gd name="T2" fmla="*/ 76200 w 290593"/>
              <a:gd name="T3" fmla="*/ 5010 h 817667"/>
              <a:gd name="T4" fmla="*/ 77390 w 290593"/>
              <a:gd name="T5" fmla="*/ 34148 h 817667"/>
              <a:gd name="T6" fmla="*/ 38100 w 290593"/>
              <a:gd name="T7" fmla="*/ 57244 h 817667"/>
              <a:gd name="T8" fmla="*/ 85725 w 290593"/>
              <a:gd name="T9" fmla="*/ 73568 h 817667"/>
              <a:gd name="T10" fmla="*/ 57150 w 290593"/>
              <a:gd name="T11" fmla="*/ 129068 h 817667"/>
              <a:gd name="T12" fmla="*/ 28575 w 290593"/>
              <a:gd name="T13" fmla="*/ 132332 h 817667"/>
              <a:gd name="T14" fmla="*/ 28575 w 290593"/>
              <a:gd name="T15" fmla="*/ 168242 h 817667"/>
              <a:gd name="T16" fmla="*/ 47625 w 290593"/>
              <a:gd name="T17" fmla="*/ 178034 h 817667"/>
              <a:gd name="T18" fmla="*/ 38100 w 290593"/>
              <a:gd name="T19" fmla="*/ 197624 h 817667"/>
              <a:gd name="T20" fmla="*/ 9525 w 290593"/>
              <a:gd name="T21" fmla="*/ 200890 h 817667"/>
              <a:gd name="T22" fmla="*/ 0 w 290593"/>
              <a:gd name="T23" fmla="*/ 210682 h 817667"/>
              <a:gd name="T24" fmla="*/ 19050 w 290593"/>
              <a:gd name="T25" fmla="*/ 230271 h 817667"/>
              <a:gd name="T26" fmla="*/ 57150 w 290593"/>
              <a:gd name="T27" fmla="*/ 249858 h 817667"/>
              <a:gd name="T28" fmla="*/ 57150 w 290593"/>
              <a:gd name="T29" fmla="*/ 279239 h 817667"/>
              <a:gd name="T30" fmla="*/ 266700 w 290593"/>
              <a:gd name="T31" fmla="*/ 266183 h 817667"/>
              <a:gd name="T32" fmla="*/ 266700 w 290593"/>
              <a:gd name="T33" fmla="*/ 174772 h 817667"/>
              <a:gd name="T34" fmla="*/ 285750 w 290593"/>
              <a:gd name="T35" fmla="*/ 14801 h 817667"/>
              <a:gd name="T36" fmla="*/ 76200 w 290593"/>
              <a:gd name="T37" fmla="*/ 5010 h 817667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w 290593"/>
              <a:gd name="T58" fmla="*/ 0 h 817667"/>
              <a:gd name="T59" fmla="*/ 290593 w 290593"/>
              <a:gd name="T60" fmla="*/ 817667 h 817667"/>
            </a:gdLst>
            <a:ahLst/>
            <a:cxnLst>
              <a:cxn ang="T38">
                <a:pos x="T0" y="T1"/>
              </a:cxn>
              <a:cxn ang="T39">
                <a:pos x="T2" y="T3"/>
              </a:cxn>
              <a:cxn ang="T40">
                <a:pos x="T4" y="T5"/>
              </a:cxn>
              <a:cxn ang="T41">
                <a:pos x="T6" y="T7"/>
              </a:cxn>
              <a:cxn ang="T42">
                <a:pos x="T8" y="T9"/>
              </a:cxn>
              <a:cxn ang="T43">
                <a:pos x="T10" y="T11"/>
              </a:cxn>
              <a:cxn ang="T44">
                <a:pos x="T12" y="T13"/>
              </a:cxn>
              <a:cxn ang="T45">
                <a:pos x="T14" y="T15"/>
              </a:cxn>
              <a:cxn ang="T46">
                <a:pos x="T16" y="T17"/>
              </a:cxn>
              <a:cxn ang="T47">
                <a:pos x="T18" y="T19"/>
              </a:cxn>
              <a:cxn ang="T48">
                <a:pos x="T20" y="T21"/>
              </a:cxn>
              <a:cxn ang="T49">
                <a:pos x="T22" y="T23"/>
              </a:cxn>
              <a:cxn ang="T50">
                <a:pos x="T24" y="T25"/>
              </a:cxn>
              <a:cxn ang="T51">
                <a:pos x="T26" y="T27"/>
              </a:cxn>
              <a:cxn ang="T52">
                <a:pos x="T28" y="T29"/>
              </a:cxn>
              <a:cxn ang="T53">
                <a:pos x="T30" y="T31"/>
              </a:cxn>
              <a:cxn ang="T54">
                <a:pos x="T32" y="T33"/>
              </a:cxn>
              <a:cxn ang="T55">
                <a:pos x="T34" y="T35"/>
              </a:cxn>
              <a:cxn ang="T56">
                <a:pos x="T36" y="T37"/>
              </a:cxn>
            </a:cxnLst>
            <a:rect l="T57" t="T58" r="T59" b="T60"/>
            <a:pathLst>
              <a:path w="290593" h="817667">
                <a:moveTo>
                  <a:pt x="76200" y="14613"/>
                </a:moveTo>
                <a:lnTo>
                  <a:pt x="76200" y="14613"/>
                </a:lnTo>
                <a:cubicBezTo>
                  <a:pt x="86511" y="42109"/>
                  <a:pt x="109205" y="63275"/>
                  <a:pt x="77390" y="99635"/>
                </a:cubicBezTo>
                <a:cubicBezTo>
                  <a:pt x="64167" y="114747"/>
                  <a:pt x="38100" y="167013"/>
                  <a:pt x="38100" y="167013"/>
                </a:cubicBezTo>
                <a:cubicBezTo>
                  <a:pt x="52096" y="176344"/>
                  <a:pt x="84429" y="192607"/>
                  <a:pt x="85725" y="214638"/>
                </a:cubicBezTo>
                <a:cubicBezTo>
                  <a:pt x="86693" y="231091"/>
                  <a:pt x="98014" y="343872"/>
                  <a:pt x="57150" y="376563"/>
                </a:cubicBezTo>
                <a:cubicBezTo>
                  <a:pt x="49310" y="382835"/>
                  <a:pt x="38100" y="382913"/>
                  <a:pt x="28575" y="386088"/>
                </a:cubicBezTo>
                <a:cubicBezTo>
                  <a:pt x="13701" y="430709"/>
                  <a:pt x="10804" y="425702"/>
                  <a:pt x="28575" y="490863"/>
                </a:cubicBezTo>
                <a:cubicBezTo>
                  <a:pt x="31587" y="501907"/>
                  <a:pt x="41275" y="509913"/>
                  <a:pt x="47625" y="519438"/>
                </a:cubicBezTo>
                <a:cubicBezTo>
                  <a:pt x="44450" y="538488"/>
                  <a:pt x="47682" y="559820"/>
                  <a:pt x="38100" y="576588"/>
                </a:cubicBezTo>
                <a:cubicBezTo>
                  <a:pt x="33119" y="585305"/>
                  <a:pt x="16625" y="579013"/>
                  <a:pt x="9525" y="586113"/>
                </a:cubicBezTo>
                <a:cubicBezTo>
                  <a:pt x="2425" y="593213"/>
                  <a:pt x="3175" y="605163"/>
                  <a:pt x="0" y="614688"/>
                </a:cubicBezTo>
                <a:cubicBezTo>
                  <a:pt x="6350" y="633738"/>
                  <a:pt x="7911" y="655130"/>
                  <a:pt x="19050" y="671838"/>
                </a:cubicBezTo>
                <a:lnTo>
                  <a:pt x="57150" y="728988"/>
                </a:lnTo>
                <a:cubicBezTo>
                  <a:pt x="51516" y="745889"/>
                  <a:pt x="26742" y="805357"/>
                  <a:pt x="57150" y="814713"/>
                </a:cubicBezTo>
                <a:cubicBezTo>
                  <a:pt x="66751" y="817667"/>
                  <a:pt x="248114" y="780330"/>
                  <a:pt x="266700" y="776613"/>
                </a:cubicBezTo>
                <a:cubicBezTo>
                  <a:pt x="290593" y="633254"/>
                  <a:pt x="266700" y="801168"/>
                  <a:pt x="266700" y="509913"/>
                </a:cubicBezTo>
                <a:cubicBezTo>
                  <a:pt x="266700" y="283161"/>
                  <a:pt x="272633" y="226829"/>
                  <a:pt x="285750" y="43188"/>
                </a:cubicBezTo>
                <a:cubicBezTo>
                  <a:pt x="199373" y="0"/>
                  <a:pt x="111125" y="19376"/>
                  <a:pt x="76200" y="14613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cap="flat" cmpd="sng" algn="ctr">
                <a:solidFill>
                  <a:srgbClr val="000000"/>
                </a:solidFill>
                <a:prstDash val="solid"/>
                <a:round/>
                <a:headEnd type="none" w="med" len="med"/>
                <a:tailEnd type="none" w="med" len="med"/>
              </a14:hiddenLine>
            </a:ext>
          </a:extLst>
        </xdr:spPr>
      </xdr:sp>
    </xdr:grpSp>
    <xdr:clientData/>
  </xdr:twoCellAnchor>
  <xdr:twoCellAnchor>
    <xdr:from>
      <xdr:col>46</xdr:col>
      <xdr:colOff>183088</xdr:colOff>
      <xdr:row>95</xdr:row>
      <xdr:rowOff>53340</xdr:rowOff>
    </xdr:from>
    <xdr:to>
      <xdr:col>48</xdr:col>
      <xdr:colOff>190500</xdr:colOff>
      <xdr:row>100</xdr:row>
      <xdr:rowOff>137160</xdr:rowOff>
    </xdr:to>
    <xdr:sp macro="" textlink="">
      <xdr:nvSpPr>
        <xdr:cNvPr id="436114" name="Obdélník 23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00000000-0008-0000-0200-000092A70600}"/>
            </a:ext>
          </a:extLst>
        </xdr:cNvPr>
        <xdr:cNvSpPr>
          <a:spLocks noChangeArrowheads="1"/>
        </xdr:cNvSpPr>
      </xdr:nvSpPr>
      <xdr:spPr bwMode="auto">
        <a:xfrm>
          <a:off x="10177320" y="18052582"/>
          <a:ext cx="440548" cy="1006241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152400</xdr:colOff>
      <xdr:row>15</xdr:row>
      <xdr:rowOff>152400</xdr:rowOff>
    </xdr:from>
    <xdr:to>
      <xdr:col>20</xdr:col>
      <xdr:colOff>48126</xdr:colOff>
      <xdr:row>20</xdr:row>
      <xdr:rowOff>128337</xdr:rowOff>
    </xdr:to>
    <xdr:sp macro="" textlink="">
      <xdr:nvSpPr>
        <xdr:cNvPr id="3" name="Bublinový popisek ve tvaru obláčku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 bwMode="auto">
        <a:xfrm>
          <a:off x="1483895" y="3080084"/>
          <a:ext cx="2927684" cy="898358"/>
        </a:xfrm>
        <a:prstGeom prst="cloudCallout">
          <a:avLst>
            <a:gd name="adj1" fmla="val -42208"/>
            <a:gd name="adj2" fmla="val 77735"/>
          </a:avLst>
        </a:prstGeom>
        <a:solidFill>
          <a:schemeClr val="bg1">
            <a:lumMod val="95000"/>
          </a:schemeClr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sk-SK" sz="1000" b="1">
              <a:solidFill>
                <a:srgbClr val="FF0000"/>
              </a:solidFill>
              <a:latin typeface="Verdana" panose="020B0604030504040204" pitchFamily="34" charset="0"/>
              <a:ea typeface="Verdana" panose="020B0604030504040204" pitchFamily="34" charset="0"/>
            </a:rPr>
            <a:t>Výběr</a:t>
          </a:r>
          <a:r>
            <a:rPr lang="sk-SK" sz="1000" b="1" baseline="0">
              <a:solidFill>
                <a:srgbClr val="FF0000"/>
              </a:solidFill>
              <a:latin typeface="Verdana" panose="020B0604030504040204" pitchFamily="34" charset="0"/>
              <a:ea typeface="Verdana" panose="020B0604030504040204" pitchFamily="34" charset="0"/>
            </a:rPr>
            <a:t> udělejte kliknutím na požadovaný obrázek</a:t>
          </a:r>
          <a:endParaRPr lang="sk-SK" sz="1000" b="1">
            <a:solidFill>
              <a:srgbClr val="FF0000"/>
            </a:solidFill>
            <a:latin typeface="Verdana" panose="020B0604030504040204" pitchFamily="34" charset="0"/>
            <a:ea typeface="Verdana" panose="020B0604030504040204" pitchFamily="34" charset="0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48</xdr:col>
          <xdr:colOff>106680</xdr:colOff>
          <xdr:row>16</xdr:row>
          <xdr:rowOff>99060</xdr:rowOff>
        </xdr:from>
        <xdr:to>
          <xdr:col>54</xdr:col>
          <xdr:colOff>106680</xdr:colOff>
          <xdr:row>18</xdr:row>
          <xdr:rowOff>144780</xdr:rowOff>
        </xdr:to>
        <xdr:sp macro="" textlink="">
          <xdr:nvSpPr>
            <xdr:cNvPr id="425562" name="Button 147034" hidden="1">
              <a:extLst>
                <a:ext uri="{63B3BB69-23CF-44E3-9099-C40C66FF867C}">
                  <a14:compatExt spid="_x0000_s425562"/>
                </a:ext>
                <a:ext uri="{FF2B5EF4-FFF2-40B4-BE49-F238E27FC236}">
                  <a16:creationId xmlns:a16="http://schemas.microsoft.com/office/drawing/2014/main" id="{00000000-0008-0000-0200-00005A7E06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ffectLst/>
            <a:extLst>
              <a:ext uri="{53640926-AAD7-44D8-BBD7-CCE9431645EC}">
                <a14:shadowObscured val="1"/>
              </a:ext>
            </a:extLst>
          </xdr:spPr>
          <xdr:txBody>
            <a:bodyPr vertOverflow="clip" wrap="square" lIns="45720" tIns="32004" rIns="45720" bIns="32004" anchor="ctr" upright="1"/>
            <a:lstStyle/>
            <a:p>
              <a:pPr algn="ctr" rtl="0">
                <a:defRPr sz="1000"/>
              </a:pPr>
              <a:r>
                <a:rPr lang="cs-CZ" sz="1400" b="1" i="0" u="none" strike="noStrike" baseline="0">
                  <a:solidFill>
                    <a:srgbClr val="FF0000"/>
                  </a:solidFill>
                  <a:latin typeface="Verdana"/>
                  <a:ea typeface="Verdana"/>
                </a:rPr>
                <a:t>RESET</a:t>
              </a:r>
            </a:p>
          </xdr:txBody>
        </xdr:sp>
        <xdr:clientData fPrintsWithSheet="0"/>
      </xdr:twoCellAnchor>
    </mc:Choice>
    <mc:Fallback/>
  </mc:AlternateContent>
  <xdr:twoCellAnchor>
    <xdr:from>
      <xdr:col>16</xdr:col>
      <xdr:colOff>7851</xdr:colOff>
      <xdr:row>111</xdr:row>
      <xdr:rowOff>0</xdr:rowOff>
    </xdr:from>
    <xdr:to>
      <xdr:col>17</xdr:col>
      <xdr:colOff>208457</xdr:colOff>
      <xdr:row>116</xdr:row>
      <xdr:rowOff>123925</xdr:rowOff>
    </xdr:to>
    <xdr:sp macro="" textlink="">
      <xdr:nvSpPr>
        <xdr:cNvPr id="257" name="Obdélník 23">
          <a:extLst>
            <a:ext uri="{FF2B5EF4-FFF2-40B4-BE49-F238E27FC236}">
              <a16:creationId xmlns:a16="http://schemas.microsoft.com/office/drawing/2014/main" id="{00000000-0008-0000-0200-000001010000}"/>
            </a:ext>
          </a:extLst>
        </xdr:cNvPr>
        <xdr:cNvSpPr>
          <a:spLocks noChangeArrowheads="1"/>
        </xdr:cNvSpPr>
      </xdr:nvSpPr>
      <xdr:spPr bwMode="auto">
        <a:xfrm>
          <a:off x="3505030" y="20950989"/>
          <a:ext cx="417174" cy="1006241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46</xdr:col>
      <xdr:colOff>175260</xdr:colOff>
      <xdr:row>95</xdr:row>
      <xdr:rowOff>60913</xdr:rowOff>
    </xdr:from>
    <xdr:to>
      <xdr:col>48</xdr:col>
      <xdr:colOff>176294</xdr:colOff>
      <xdr:row>100</xdr:row>
      <xdr:rowOff>127583</xdr:rowOff>
    </xdr:to>
    <xdr:grpSp>
      <xdr:nvGrpSpPr>
        <xdr:cNvPr id="7" name="Skupina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GrpSpPr/>
      </xdr:nvGrpSpPr>
      <xdr:grpSpPr>
        <a:xfrm>
          <a:off x="10915449" y="18060155"/>
          <a:ext cx="466256" cy="989091"/>
          <a:chOff x="10169492" y="18060155"/>
          <a:chExt cx="434170" cy="989091"/>
        </a:xfrm>
      </xdr:grpSpPr>
      <xdr:sp macro="" textlink="">
        <xdr:nvSpPr>
          <xdr:cNvPr id="436116" name="Obdélník 24">
            <a:extLst>
              <a:ext uri="{FF2B5EF4-FFF2-40B4-BE49-F238E27FC236}">
                <a16:creationId xmlns:a16="http://schemas.microsoft.com/office/drawing/2014/main" id="{00000000-0008-0000-0200-000094A70600}"/>
              </a:ext>
            </a:extLst>
          </xdr:cNvPr>
          <xdr:cNvSpPr>
            <a:spLocks noChangeArrowheads="1"/>
          </xdr:cNvSpPr>
        </xdr:nvSpPr>
        <xdr:spPr bwMode="auto">
          <a:xfrm>
            <a:off x="10169492" y="18060155"/>
            <a:ext cx="39760" cy="989091"/>
          </a:xfrm>
          <a:prstGeom prst="rect">
            <a:avLst/>
          </a:prstGeom>
          <a:solidFill>
            <a:srgbClr val="FFFFE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grpSp>
        <xdr:nvGrpSpPr>
          <xdr:cNvPr id="436117" name="Skupina 399">
            <a:extLst>
              <a:ext uri="{FF2B5EF4-FFF2-40B4-BE49-F238E27FC236}">
                <a16:creationId xmlns:a16="http://schemas.microsoft.com/office/drawing/2014/main" id="{00000000-0008-0000-0200-000095A70600}"/>
              </a:ext>
            </a:extLst>
          </xdr:cNvPr>
          <xdr:cNvGrpSpPr>
            <a:grpSpLocks/>
          </xdr:cNvGrpSpPr>
        </xdr:nvGrpSpPr>
        <xdr:grpSpPr bwMode="auto">
          <a:xfrm>
            <a:off x="10237897" y="18850990"/>
            <a:ext cx="365759" cy="175250"/>
            <a:chOff x="3888762" y="16713561"/>
            <a:chExt cx="356068" cy="172800"/>
          </a:xfrm>
        </xdr:grpSpPr>
        <xdr:sp macro="" textlink="">
          <xdr:nvSpPr>
            <xdr:cNvPr id="436126" name="Obdélník 23">
              <a:extLst>
                <a:ext uri="{FF2B5EF4-FFF2-40B4-BE49-F238E27FC236}">
                  <a16:creationId xmlns:a16="http://schemas.microsoft.com/office/drawing/2014/main" id="{00000000-0008-0000-0200-00009EA706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892030" y="16841353"/>
              <a:ext cx="352800" cy="36000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436127" name="Obdélník 23">
              <a:extLst>
                <a:ext uri="{FF2B5EF4-FFF2-40B4-BE49-F238E27FC236}">
                  <a16:creationId xmlns:a16="http://schemas.microsoft.com/office/drawing/2014/main" id="{00000000-0008-0000-0200-00009FA706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892030" y="16721667"/>
              <a:ext cx="352800" cy="104886"/>
            </a:xfrm>
            <a:prstGeom prst="rect">
              <a:avLst/>
            </a:prstGeom>
            <a:solidFill>
              <a:srgbClr val="C6D9F1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436128" name="Obdélník 30">
              <a:extLst>
                <a:ext uri="{FF2B5EF4-FFF2-40B4-BE49-F238E27FC236}">
                  <a16:creationId xmlns:a16="http://schemas.microsoft.com/office/drawing/2014/main" id="{00000000-0008-0000-0200-0000A0A70600}"/>
                </a:ext>
              </a:extLst>
            </xdr:cNvPr>
            <xdr:cNvSpPr>
              <a:spLocks noChangeArrowheads="1"/>
            </xdr:cNvSpPr>
          </xdr:nvSpPr>
          <xdr:spPr bwMode="auto">
            <a:xfrm rot="5400000">
              <a:off x="3817390" y="16784933"/>
              <a:ext cx="172800" cy="30056"/>
            </a:xfrm>
            <a:prstGeom prst="rect">
              <a:avLst/>
            </a:prstGeom>
            <a:solidFill>
              <a:srgbClr val="C6D9F1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</xdr:grpSp>
      <xdr:grpSp>
        <xdr:nvGrpSpPr>
          <xdr:cNvPr id="436118" name="Skupina 400">
            <a:extLst>
              <a:ext uri="{FF2B5EF4-FFF2-40B4-BE49-F238E27FC236}">
                <a16:creationId xmlns:a16="http://schemas.microsoft.com/office/drawing/2014/main" id="{00000000-0008-0000-0200-000096A70600}"/>
              </a:ext>
            </a:extLst>
          </xdr:cNvPr>
          <xdr:cNvGrpSpPr>
            <a:grpSpLocks/>
          </xdr:cNvGrpSpPr>
        </xdr:nvGrpSpPr>
        <xdr:grpSpPr bwMode="auto">
          <a:xfrm>
            <a:off x="10237903" y="18335639"/>
            <a:ext cx="365759" cy="175251"/>
            <a:chOff x="3888762" y="16713561"/>
            <a:chExt cx="356068" cy="172800"/>
          </a:xfrm>
        </xdr:grpSpPr>
        <xdr:sp macro="" textlink="">
          <xdr:nvSpPr>
            <xdr:cNvPr id="436123" name="Obdélník 23">
              <a:extLst>
                <a:ext uri="{FF2B5EF4-FFF2-40B4-BE49-F238E27FC236}">
                  <a16:creationId xmlns:a16="http://schemas.microsoft.com/office/drawing/2014/main" id="{00000000-0008-0000-0200-00009BA706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892030" y="16841353"/>
              <a:ext cx="352800" cy="36000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436124" name="Obdélník 23">
              <a:extLst>
                <a:ext uri="{FF2B5EF4-FFF2-40B4-BE49-F238E27FC236}">
                  <a16:creationId xmlns:a16="http://schemas.microsoft.com/office/drawing/2014/main" id="{00000000-0008-0000-0200-00009CA706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892030" y="16721667"/>
              <a:ext cx="352800" cy="104886"/>
            </a:xfrm>
            <a:prstGeom prst="rect">
              <a:avLst/>
            </a:prstGeom>
            <a:solidFill>
              <a:srgbClr val="C6D9F1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436125" name="Obdélník 30">
              <a:extLst>
                <a:ext uri="{FF2B5EF4-FFF2-40B4-BE49-F238E27FC236}">
                  <a16:creationId xmlns:a16="http://schemas.microsoft.com/office/drawing/2014/main" id="{00000000-0008-0000-0200-00009DA70600}"/>
                </a:ext>
              </a:extLst>
            </xdr:cNvPr>
            <xdr:cNvSpPr>
              <a:spLocks noChangeArrowheads="1"/>
            </xdr:cNvSpPr>
          </xdr:nvSpPr>
          <xdr:spPr bwMode="auto">
            <a:xfrm rot="5400000">
              <a:off x="3817390" y="16784933"/>
              <a:ext cx="172800" cy="30056"/>
            </a:xfrm>
            <a:prstGeom prst="rect">
              <a:avLst/>
            </a:prstGeom>
            <a:solidFill>
              <a:srgbClr val="C6D9F1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</xdr:grpSp>
      <xdr:grpSp>
        <xdr:nvGrpSpPr>
          <xdr:cNvPr id="436119" name="Skupina 401">
            <a:extLst>
              <a:ext uri="{FF2B5EF4-FFF2-40B4-BE49-F238E27FC236}">
                <a16:creationId xmlns:a16="http://schemas.microsoft.com/office/drawing/2014/main" id="{00000000-0008-0000-0200-000097A70600}"/>
              </a:ext>
            </a:extLst>
          </xdr:cNvPr>
          <xdr:cNvGrpSpPr>
            <a:grpSpLocks/>
          </xdr:cNvGrpSpPr>
        </xdr:nvGrpSpPr>
        <xdr:grpSpPr bwMode="auto">
          <a:xfrm>
            <a:off x="10237898" y="18079188"/>
            <a:ext cx="365759" cy="175251"/>
            <a:chOff x="3888762" y="16713561"/>
            <a:chExt cx="356068" cy="172800"/>
          </a:xfrm>
        </xdr:grpSpPr>
        <xdr:sp macro="" textlink="">
          <xdr:nvSpPr>
            <xdr:cNvPr id="436120" name="Obdélník 23">
              <a:extLst>
                <a:ext uri="{FF2B5EF4-FFF2-40B4-BE49-F238E27FC236}">
                  <a16:creationId xmlns:a16="http://schemas.microsoft.com/office/drawing/2014/main" id="{00000000-0008-0000-0200-000098A706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892030" y="16841353"/>
              <a:ext cx="352800" cy="36000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436121" name="Obdélník 23">
              <a:extLst>
                <a:ext uri="{FF2B5EF4-FFF2-40B4-BE49-F238E27FC236}">
                  <a16:creationId xmlns:a16="http://schemas.microsoft.com/office/drawing/2014/main" id="{00000000-0008-0000-0200-000099A706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892030" y="16721667"/>
              <a:ext cx="352800" cy="104886"/>
            </a:xfrm>
            <a:prstGeom prst="rect">
              <a:avLst/>
            </a:prstGeom>
            <a:solidFill>
              <a:srgbClr val="C6D9F1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436122" name="Obdélník 30">
              <a:extLst>
                <a:ext uri="{FF2B5EF4-FFF2-40B4-BE49-F238E27FC236}">
                  <a16:creationId xmlns:a16="http://schemas.microsoft.com/office/drawing/2014/main" id="{00000000-0008-0000-0200-00009AA70600}"/>
                </a:ext>
              </a:extLst>
            </xdr:cNvPr>
            <xdr:cNvSpPr>
              <a:spLocks noChangeArrowheads="1"/>
            </xdr:cNvSpPr>
          </xdr:nvSpPr>
          <xdr:spPr bwMode="auto">
            <a:xfrm rot="5400000">
              <a:off x="3817390" y="16784933"/>
              <a:ext cx="172800" cy="30056"/>
            </a:xfrm>
            <a:prstGeom prst="rect">
              <a:avLst/>
            </a:prstGeom>
            <a:solidFill>
              <a:srgbClr val="C6D9F1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</xdr:grpSp>
      <xdr:grpSp>
        <xdr:nvGrpSpPr>
          <xdr:cNvPr id="215" name="Skupina 399">
            <a:extLst>
              <a:ext uri="{FF2B5EF4-FFF2-40B4-BE49-F238E27FC236}">
                <a16:creationId xmlns:a16="http://schemas.microsoft.com/office/drawing/2014/main" id="{00000000-0008-0000-0200-0000D7000000}"/>
              </a:ext>
            </a:extLst>
          </xdr:cNvPr>
          <xdr:cNvGrpSpPr>
            <a:grpSpLocks/>
          </xdr:cNvGrpSpPr>
        </xdr:nvGrpSpPr>
        <xdr:grpSpPr bwMode="auto">
          <a:xfrm>
            <a:off x="10237897" y="18594316"/>
            <a:ext cx="365759" cy="175250"/>
            <a:chOff x="3888762" y="16713561"/>
            <a:chExt cx="356068" cy="172800"/>
          </a:xfrm>
        </xdr:grpSpPr>
        <xdr:sp macro="" textlink="">
          <xdr:nvSpPr>
            <xdr:cNvPr id="216" name="Obdélník 23">
              <a:extLst>
                <a:ext uri="{FF2B5EF4-FFF2-40B4-BE49-F238E27FC236}">
                  <a16:creationId xmlns:a16="http://schemas.microsoft.com/office/drawing/2014/main" id="{00000000-0008-0000-0200-0000D8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892030" y="16841353"/>
              <a:ext cx="352800" cy="36000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217" name="Obdélník 23">
              <a:extLst>
                <a:ext uri="{FF2B5EF4-FFF2-40B4-BE49-F238E27FC236}">
                  <a16:creationId xmlns:a16="http://schemas.microsoft.com/office/drawing/2014/main" id="{00000000-0008-0000-0200-0000D9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892030" y="16721667"/>
              <a:ext cx="352800" cy="104886"/>
            </a:xfrm>
            <a:prstGeom prst="rect">
              <a:avLst/>
            </a:prstGeom>
            <a:solidFill>
              <a:srgbClr val="C6D9F1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218" name="Obdélník 30">
              <a:extLst>
                <a:ext uri="{FF2B5EF4-FFF2-40B4-BE49-F238E27FC236}">
                  <a16:creationId xmlns:a16="http://schemas.microsoft.com/office/drawing/2014/main" id="{00000000-0008-0000-0200-0000DA000000}"/>
                </a:ext>
              </a:extLst>
            </xdr:cNvPr>
            <xdr:cNvSpPr>
              <a:spLocks noChangeArrowheads="1"/>
            </xdr:cNvSpPr>
          </xdr:nvSpPr>
          <xdr:spPr bwMode="auto">
            <a:xfrm rot="5400000">
              <a:off x="3817390" y="16784933"/>
              <a:ext cx="172800" cy="30056"/>
            </a:xfrm>
            <a:prstGeom prst="rect">
              <a:avLst/>
            </a:prstGeom>
            <a:solidFill>
              <a:srgbClr val="C6D9F1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</xdr:grpSp>
    </xdr:grpSp>
    <xdr:clientData/>
  </xdr:twoCellAnchor>
  <xdr:twoCellAnchor>
    <xdr:from>
      <xdr:col>0</xdr:col>
      <xdr:colOff>160421</xdr:colOff>
      <xdr:row>92</xdr:row>
      <xdr:rowOff>80211</xdr:rowOff>
    </xdr:from>
    <xdr:to>
      <xdr:col>58</xdr:col>
      <xdr:colOff>112294</xdr:colOff>
      <xdr:row>101</xdr:row>
      <xdr:rowOff>112295</xdr:rowOff>
    </xdr:to>
    <xdr:sp macro="" textlink="">
      <xdr:nvSpPr>
        <xdr:cNvPr id="8" name="Obdélník 7">
          <a:extLst>
            <a:ext uri="{FF2B5EF4-FFF2-40B4-BE49-F238E27FC236}">
              <a16:creationId xmlns:a16="http://schemas.microsoft.com/office/drawing/2014/main" id="{498C3F39-0DAD-3D44-7881-6903AD0D588E}"/>
            </a:ext>
          </a:extLst>
        </xdr:cNvPr>
        <xdr:cNvSpPr/>
      </xdr:nvSpPr>
      <xdr:spPr bwMode="auto">
        <a:xfrm>
          <a:off x="160421" y="17526000"/>
          <a:ext cx="12544926" cy="1692442"/>
        </a:xfrm>
        <a:prstGeom prst="rect">
          <a:avLst/>
        </a:prstGeom>
        <a:solidFill>
          <a:schemeClr val="bg1">
            <a:alpha val="90000"/>
          </a:scheme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endParaRPr lang="sk-SK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36</xdr:col>
      <xdr:colOff>0</xdr:colOff>
      <xdr:row>42</xdr:row>
      <xdr:rowOff>91440</xdr:rowOff>
    </xdr:from>
    <xdr:to>
      <xdr:col>44</xdr:col>
      <xdr:colOff>213360</xdr:colOff>
      <xdr:row>51</xdr:row>
      <xdr:rowOff>38100</xdr:rowOff>
    </xdr:to>
    <xdr:pic>
      <xdr:nvPicPr>
        <xdr:cNvPr id="127962" name="Picture 24">
          <a:extLst>
            <a:ext uri="{FF2B5EF4-FFF2-40B4-BE49-F238E27FC236}">
              <a16:creationId xmlns:a16="http://schemas.microsoft.com/office/drawing/2014/main" id="{00000000-0008-0000-0300-0000DAF3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9060" y="8046720"/>
          <a:ext cx="1920240" cy="1592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45</xdr:col>
      <xdr:colOff>144780</xdr:colOff>
      <xdr:row>1</xdr:row>
      <xdr:rowOff>91440</xdr:rowOff>
    </xdr:from>
    <xdr:to>
      <xdr:col>57</xdr:col>
      <xdr:colOff>342900</xdr:colOff>
      <xdr:row>4</xdr:row>
      <xdr:rowOff>152400</xdr:rowOff>
    </xdr:to>
    <xdr:pic>
      <xdr:nvPicPr>
        <xdr:cNvPr id="127963" name="Picture 24">
          <a:extLst>
            <a:ext uri="{FF2B5EF4-FFF2-40B4-BE49-F238E27FC236}">
              <a16:creationId xmlns:a16="http://schemas.microsoft.com/office/drawing/2014/main" id="{00000000-0008-0000-0300-0000DBF3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51460"/>
          <a:ext cx="96012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91440</xdr:colOff>
      <xdr:row>7</xdr:row>
      <xdr:rowOff>83820</xdr:rowOff>
    </xdr:from>
    <xdr:to>
      <xdr:col>14</xdr:col>
      <xdr:colOff>144780</xdr:colOff>
      <xdr:row>12</xdr:row>
      <xdr:rowOff>30480</xdr:rowOff>
    </xdr:to>
    <xdr:pic>
      <xdr:nvPicPr>
        <xdr:cNvPr id="127964" name="Picture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300-0000DCF3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9780" y="1531620"/>
          <a:ext cx="1120140" cy="861060"/>
        </a:xfrm>
        <a:prstGeom prst="rect">
          <a:avLst/>
        </a:prstGeom>
        <a:noFill/>
        <a:ln w="28575">
          <a:solidFill>
            <a:srgbClr val="A6A6A6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45</xdr:col>
      <xdr:colOff>144780</xdr:colOff>
      <xdr:row>1</xdr:row>
      <xdr:rowOff>106680</xdr:rowOff>
    </xdr:from>
    <xdr:to>
      <xdr:col>63</xdr:col>
      <xdr:colOff>487680</xdr:colOff>
      <xdr:row>4</xdr:row>
      <xdr:rowOff>144780</xdr:rowOff>
    </xdr:to>
    <xdr:pic>
      <xdr:nvPicPr>
        <xdr:cNvPr id="367224" name="Picture 24">
          <a:extLst>
            <a:ext uri="{FF2B5EF4-FFF2-40B4-BE49-F238E27FC236}">
              <a16:creationId xmlns:a16="http://schemas.microsoft.com/office/drawing/2014/main" id="{00000000-0008-0000-0400-0000789A0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266700"/>
          <a:ext cx="960120" cy="777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7</xdr:row>
      <xdr:rowOff>91440</xdr:rowOff>
    </xdr:from>
    <xdr:to>
      <xdr:col>23</xdr:col>
      <xdr:colOff>76200</xdr:colOff>
      <xdr:row>14</xdr:row>
      <xdr:rowOff>15240</xdr:rowOff>
    </xdr:to>
    <xdr:grpSp>
      <xdr:nvGrpSpPr>
        <xdr:cNvPr id="367225" name="Skupina 21">
          <a:extLst>
            <a:ext uri="{FF2B5EF4-FFF2-40B4-BE49-F238E27FC236}">
              <a16:creationId xmlns:a16="http://schemas.microsoft.com/office/drawing/2014/main" id="{00000000-0008-0000-0400-0000799A0500}"/>
            </a:ext>
          </a:extLst>
        </xdr:cNvPr>
        <xdr:cNvGrpSpPr>
          <a:grpSpLocks noChangeAspect="1"/>
        </xdr:cNvGrpSpPr>
      </xdr:nvGrpSpPr>
      <xdr:grpSpPr bwMode="auto">
        <a:xfrm>
          <a:off x="3641558" y="1543251"/>
          <a:ext cx="2169695" cy="1215189"/>
          <a:chOff x="1771649" y="3604335"/>
          <a:chExt cx="976394" cy="513419"/>
        </a:xfrm>
      </xdr:grpSpPr>
      <xdr:sp macro="" textlink="">
        <xdr:nvSpPr>
          <xdr:cNvPr id="367227" name="Obdélník 19">
            <a:extLst>
              <a:ext uri="{FF2B5EF4-FFF2-40B4-BE49-F238E27FC236}">
                <a16:creationId xmlns:a16="http://schemas.microsoft.com/office/drawing/2014/main" id="{00000000-0008-0000-0400-00007B9A0500}"/>
              </a:ext>
            </a:extLst>
          </xdr:cNvPr>
          <xdr:cNvSpPr>
            <a:spLocks noChangeArrowheads="1"/>
          </xdr:cNvSpPr>
        </xdr:nvSpPr>
        <xdr:spPr bwMode="auto">
          <a:xfrm>
            <a:off x="1838324" y="3784983"/>
            <a:ext cx="771525" cy="215518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367228" name="Obdélník 18">
            <a:extLst>
              <a:ext uri="{FF2B5EF4-FFF2-40B4-BE49-F238E27FC236}">
                <a16:creationId xmlns:a16="http://schemas.microsoft.com/office/drawing/2014/main" id="{00000000-0008-0000-0400-00007C9A0500}"/>
              </a:ext>
            </a:extLst>
          </xdr:cNvPr>
          <xdr:cNvSpPr>
            <a:spLocks noChangeArrowheads="1"/>
          </xdr:cNvSpPr>
        </xdr:nvSpPr>
        <xdr:spPr bwMode="auto">
          <a:xfrm>
            <a:off x="1771649" y="3715173"/>
            <a:ext cx="85726" cy="358839"/>
          </a:xfrm>
          <a:prstGeom prst="rect">
            <a:avLst/>
          </a:prstGeom>
          <a:solidFill>
            <a:srgbClr val="FFFFE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367229" name="Volný tvar 20">
            <a:extLst>
              <a:ext uri="{FF2B5EF4-FFF2-40B4-BE49-F238E27FC236}">
                <a16:creationId xmlns:a16="http://schemas.microsoft.com/office/drawing/2014/main" id="{00000000-0008-0000-0400-00007D9A0500}"/>
              </a:ext>
            </a:extLst>
          </xdr:cNvPr>
          <xdr:cNvSpPr>
            <a:spLocks/>
          </xdr:cNvSpPr>
        </xdr:nvSpPr>
        <xdr:spPr bwMode="auto">
          <a:xfrm>
            <a:off x="2457450" y="3604335"/>
            <a:ext cx="290593" cy="513419"/>
          </a:xfrm>
          <a:custGeom>
            <a:avLst/>
            <a:gdLst>
              <a:gd name="T0" fmla="*/ 76200 w 290593"/>
              <a:gd name="T1" fmla="*/ 1 h 817667"/>
              <a:gd name="T2" fmla="*/ 76200 w 290593"/>
              <a:gd name="T3" fmla="*/ 1 h 817667"/>
              <a:gd name="T4" fmla="*/ 95250 w 290593"/>
              <a:gd name="T5" fmla="*/ 1 h 817667"/>
              <a:gd name="T6" fmla="*/ 38100 w 290593"/>
              <a:gd name="T7" fmla="*/ 1 h 817667"/>
              <a:gd name="T8" fmla="*/ 85725 w 290593"/>
              <a:gd name="T9" fmla="*/ 1 h 817667"/>
              <a:gd name="T10" fmla="*/ 57150 w 290593"/>
              <a:gd name="T11" fmla="*/ 1 h 817667"/>
              <a:gd name="T12" fmla="*/ 28575 w 290593"/>
              <a:gd name="T13" fmla="*/ 1 h 817667"/>
              <a:gd name="T14" fmla="*/ 28575 w 290593"/>
              <a:gd name="T15" fmla="*/ 1 h 817667"/>
              <a:gd name="T16" fmla="*/ 47625 w 290593"/>
              <a:gd name="T17" fmla="*/ 1 h 817667"/>
              <a:gd name="T18" fmla="*/ 38100 w 290593"/>
              <a:gd name="T19" fmla="*/ 1 h 817667"/>
              <a:gd name="T20" fmla="*/ 9525 w 290593"/>
              <a:gd name="T21" fmla="*/ 1 h 817667"/>
              <a:gd name="T22" fmla="*/ 0 w 290593"/>
              <a:gd name="T23" fmla="*/ 1 h 817667"/>
              <a:gd name="T24" fmla="*/ 19050 w 290593"/>
              <a:gd name="T25" fmla="*/ 1 h 817667"/>
              <a:gd name="T26" fmla="*/ 57150 w 290593"/>
              <a:gd name="T27" fmla="*/ 1 h 817667"/>
              <a:gd name="T28" fmla="*/ 57150 w 290593"/>
              <a:gd name="T29" fmla="*/ 1 h 817667"/>
              <a:gd name="T30" fmla="*/ 266700 w 290593"/>
              <a:gd name="T31" fmla="*/ 1 h 817667"/>
              <a:gd name="T32" fmla="*/ 266700 w 290593"/>
              <a:gd name="T33" fmla="*/ 1 h 817667"/>
              <a:gd name="T34" fmla="*/ 285750 w 290593"/>
              <a:gd name="T35" fmla="*/ 1 h 817667"/>
              <a:gd name="T36" fmla="*/ 76200 w 290593"/>
              <a:gd name="T37" fmla="*/ 1 h 817667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w 290593"/>
              <a:gd name="T58" fmla="*/ 0 h 817667"/>
              <a:gd name="T59" fmla="*/ 290593 w 290593"/>
              <a:gd name="T60" fmla="*/ 817667 h 817667"/>
            </a:gdLst>
            <a:ahLst/>
            <a:cxnLst>
              <a:cxn ang="T38">
                <a:pos x="T0" y="T1"/>
              </a:cxn>
              <a:cxn ang="T39">
                <a:pos x="T2" y="T3"/>
              </a:cxn>
              <a:cxn ang="T40">
                <a:pos x="T4" y="T5"/>
              </a:cxn>
              <a:cxn ang="T41">
                <a:pos x="T6" y="T7"/>
              </a:cxn>
              <a:cxn ang="T42">
                <a:pos x="T8" y="T9"/>
              </a:cxn>
              <a:cxn ang="T43">
                <a:pos x="T10" y="T11"/>
              </a:cxn>
              <a:cxn ang="T44">
                <a:pos x="T12" y="T13"/>
              </a:cxn>
              <a:cxn ang="T45">
                <a:pos x="T14" y="T15"/>
              </a:cxn>
              <a:cxn ang="T46">
                <a:pos x="T16" y="T17"/>
              </a:cxn>
              <a:cxn ang="T47">
                <a:pos x="T18" y="T19"/>
              </a:cxn>
              <a:cxn ang="T48">
                <a:pos x="T20" y="T21"/>
              </a:cxn>
              <a:cxn ang="T49">
                <a:pos x="T22" y="T23"/>
              </a:cxn>
              <a:cxn ang="T50">
                <a:pos x="T24" y="T25"/>
              </a:cxn>
              <a:cxn ang="T51">
                <a:pos x="T26" y="T27"/>
              </a:cxn>
              <a:cxn ang="T52">
                <a:pos x="T28" y="T29"/>
              </a:cxn>
              <a:cxn ang="T53">
                <a:pos x="T30" y="T31"/>
              </a:cxn>
              <a:cxn ang="T54">
                <a:pos x="T32" y="T33"/>
              </a:cxn>
              <a:cxn ang="T55">
                <a:pos x="T34" y="T35"/>
              </a:cxn>
              <a:cxn ang="T56">
                <a:pos x="T36" y="T37"/>
              </a:cxn>
            </a:cxnLst>
            <a:rect l="T57" t="T58" r="T59" b="T60"/>
            <a:pathLst>
              <a:path w="290593" h="817667">
                <a:moveTo>
                  <a:pt x="76200" y="14613"/>
                </a:moveTo>
                <a:lnTo>
                  <a:pt x="76200" y="14613"/>
                </a:lnTo>
                <a:cubicBezTo>
                  <a:pt x="86511" y="42109"/>
                  <a:pt x="127065" y="111603"/>
                  <a:pt x="95250" y="147963"/>
                </a:cubicBezTo>
                <a:cubicBezTo>
                  <a:pt x="82027" y="163075"/>
                  <a:pt x="38100" y="167013"/>
                  <a:pt x="38100" y="167013"/>
                </a:cubicBezTo>
                <a:cubicBezTo>
                  <a:pt x="52096" y="176344"/>
                  <a:pt x="84429" y="192607"/>
                  <a:pt x="85725" y="214638"/>
                </a:cubicBezTo>
                <a:cubicBezTo>
                  <a:pt x="86693" y="231091"/>
                  <a:pt x="98014" y="343872"/>
                  <a:pt x="57150" y="376563"/>
                </a:cubicBezTo>
                <a:cubicBezTo>
                  <a:pt x="49310" y="382835"/>
                  <a:pt x="38100" y="382913"/>
                  <a:pt x="28575" y="386088"/>
                </a:cubicBezTo>
                <a:cubicBezTo>
                  <a:pt x="13701" y="430709"/>
                  <a:pt x="10804" y="425702"/>
                  <a:pt x="28575" y="490863"/>
                </a:cubicBezTo>
                <a:cubicBezTo>
                  <a:pt x="31587" y="501907"/>
                  <a:pt x="41275" y="509913"/>
                  <a:pt x="47625" y="519438"/>
                </a:cubicBezTo>
                <a:cubicBezTo>
                  <a:pt x="44450" y="538488"/>
                  <a:pt x="47682" y="559820"/>
                  <a:pt x="38100" y="576588"/>
                </a:cubicBezTo>
                <a:cubicBezTo>
                  <a:pt x="33119" y="585305"/>
                  <a:pt x="16625" y="579013"/>
                  <a:pt x="9525" y="586113"/>
                </a:cubicBezTo>
                <a:cubicBezTo>
                  <a:pt x="2425" y="593213"/>
                  <a:pt x="3175" y="605163"/>
                  <a:pt x="0" y="614688"/>
                </a:cubicBezTo>
                <a:cubicBezTo>
                  <a:pt x="6350" y="633738"/>
                  <a:pt x="7911" y="655130"/>
                  <a:pt x="19050" y="671838"/>
                </a:cubicBezTo>
                <a:lnTo>
                  <a:pt x="57150" y="728988"/>
                </a:lnTo>
                <a:cubicBezTo>
                  <a:pt x="51516" y="745889"/>
                  <a:pt x="26742" y="805357"/>
                  <a:pt x="57150" y="814713"/>
                </a:cubicBezTo>
                <a:cubicBezTo>
                  <a:pt x="66751" y="817667"/>
                  <a:pt x="248114" y="780330"/>
                  <a:pt x="266700" y="776613"/>
                </a:cubicBezTo>
                <a:cubicBezTo>
                  <a:pt x="290593" y="633254"/>
                  <a:pt x="266700" y="801168"/>
                  <a:pt x="266700" y="509913"/>
                </a:cubicBezTo>
                <a:cubicBezTo>
                  <a:pt x="266700" y="283161"/>
                  <a:pt x="272633" y="226829"/>
                  <a:pt x="285750" y="43188"/>
                </a:cubicBezTo>
                <a:cubicBezTo>
                  <a:pt x="199373" y="0"/>
                  <a:pt x="111125" y="19376"/>
                  <a:pt x="76200" y="14613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cap="flat" cmpd="sng" algn="ctr">
                <a:solidFill>
                  <a:srgbClr val="000000"/>
                </a:solidFill>
                <a:prstDash val="solid"/>
                <a:round/>
                <a:headEnd type="none" w="med" len="med"/>
                <a:tailEnd type="none" w="med" len="med"/>
              </a14:hiddenLine>
            </a:ext>
          </a:extLst>
        </xdr:spPr>
      </xdr:sp>
    </xdr:grpSp>
    <xdr:clientData/>
  </xdr:twoCellAnchor>
  <xdr:twoCellAnchor editAs="oneCell">
    <xdr:from>
      <xdr:col>24</xdr:col>
      <xdr:colOff>0</xdr:colOff>
      <xdr:row>5</xdr:row>
      <xdr:rowOff>0</xdr:rowOff>
    </xdr:from>
    <xdr:to>
      <xdr:col>35</xdr:col>
      <xdr:colOff>30480</xdr:colOff>
      <xdr:row>13</xdr:row>
      <xdr:rowOff>160020</xdr:rowOff>
    </xdr:to>
    <xdr:pic>
      <xdr:nvPicPr>
        <xdr:cNvPr id="367226" name="Obrázek 9">
          <a:extLst>
            <a:ext uri="{FF2B5EF4-FFF2-40B4-BE49-F238E27FC236}">
              <a16:creationId xmlns:a16="http://schemas.microsoft.com/office/drawing/2014/main" id="{00000000-0008-0000-0400-00007A9A05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1160" y="1082040"/>
          <a:ext cx="2377440" cy="1623060"/>
        </a:xfrm>
        <a:prstGeom prst="rect">
          <a:avLst/>
        </a:prstGeom>
        <a:noFill/>
        <a:ln w="28575">
          <a:solidFill>
            <a:srgbClr val="A6A6A6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45</xdr:col>
      <xdr:colOff>144780</xdr:colOff>
      <xdr:row>1</xdr:row>
      <xdr:rowOff>106680</xdr:rowOff>
    </xdr:from>
    <xdr:to>
      <xdr:col>63</xdr:col>
      <xdr:colOff>487680</xdr:colOff>
      <xdr:row>4</xdr:row>
      <xdr:rowOff>144780</xdr:rowOff>
    </xdr:to>
    <xdr:pic>
      <xdr:nvPicPr>
        <xdr:cNvPr id="420997" name="Picture 24">
          <a:extLst>
            <a:ext uri="{FF2B5EF4-FFF2-40B4-BE49-F238E27FC236}">
              <a16:creationId xmlns:a16="http://schemas.microsoft.com/office/drawing/2014/main" id="{00000000-0008-0000-0500-0000856C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266700"/>
          <a:ext cx="960120" cy="777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205740</xdr:colOff>
      <xdr:row>4</xdr:row>
      <xdr:rowOff>76200</xdr:rowOff>
    </xdr:from>
    <xdr:to>
      <xdr:col>23</xdr:col>
      <xdr:colOff>137160</xdr:colOff>
      <xdr:row>14</xdr:row>
      <xdr:rowOff>7620</xdr:rowOff>
    </xdr:to>
    <xdr:grpSp>
      <xdr:nvGrpSpPr>
        <xdr:cNvPr id="420998" name="Skupina 21">
          <a:extLst>
            <a:ext uri="{FF2B5EF4-FFF2-40B4-BE49-F238E27FC236}">
              <a16:creationId xmlns:a16="http://schemas.microsoft.com/office/drawing/2014/main" id="{00000000-0008-0000-0500-0000866C0600}"/>
            </a:ext>
          </a:extLst>
        </xdr:cNvPr>
        <xdr:cNvGrpSpPr>
          <a:grpSpLocks noChangeAspect="1"/>
        </xdr:cNvGrpSpPr>
      </xdr:nvGrpSpPr>
      <xdr:grpSpPr bwMode="auto">
        <a:xfrm>
          <a:off x="3614687" y="974558"/>
          <a:ext cx="2257526" cy="1776262"/>
          <a:chOff x="1771649" y="3377086"/>
          <a:chExt cx="976394" cy="740669"/>
        </a:xfrm>
      </xdr:grpSpPr>
      <xdr:sp macro="" textlink="">
        <xdr:nvSpPr>
          <xdr:cNvPr id="421000" name="Obdélník 19">
            <a:extLst>
              <a:ext uri="{FF2B5EF4-FFF2-40B4-BE49-F238E27FC236}">
                <a16:creationId xmlns:a16="http://schemas.microsoft.com/office/drawing/2014/main" id="{00000000-0008-0000-0500-0000886C0600}"/>
              </a:ext>
            </a:extLst>
          </xdr:cNvPr>
          <xdr:cNvSpPr>
            <a:spLocks noChangeArrowheads="1"/>
          </xdr:cNvSpPr>
        </xdr:nvSpPr>
        <xdr:spPr bwMode="auto">
          <a:xfrm>
            <a:off x="1838324" y="3695700"/>
            <a:ext cx="771525" cy="304800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21001" name="Obdélník 18">
            <a:extLst>
              <a:ext uri="{FF2B5EF4-FFF2-40B4-BE49-F238E27FC236}">
                <a16:creationId xmlns:a16="http://schemas.microsoft.com/office/drawing/2014/main" id="{00000000-0008-0000-0500-0000896C0600}"/>
              </a:ext>
            </a:extLst>
          </xdr:cNvPr>
          <xdr:cNvSpPr>
            <a:spLocks noChangeArrowheads="1"/>
          </xdr:cNvSpPr>
        </xdr:nvSpPr>
        <xdr:spPr bwMode="auto">
          <a:xfrm>
            <a:off x="1771649" y="3562350"/>
            <a:ext cx="85726" cy="514350"/>
          </a:xfrm>
          <a:prstGeom prst="rect">
            <a:avLst/>
          </a:prstGeom>
          <a:solidFill>
            <a:srgbClr val="FFFFE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21002" name="Volný tvar 20">
            <a:extLst>
              <a:ext uri="{FF2B5EF4-FFF2-40B4-BE49-F238E27FC236}">
                <a16:creationId xmlns:a16="http://schemas.microsoft.com/office/drawing/2014/main" id="{00000000-0008-0000-0500-00008A6C0600}"/>
              </a:ext>
            </a:extLst>
          </xdr:cNvPr>
          <xdr:cNvSpPr>
            <a:spLocks/>
          </xdr:cNvSpPr>
        </xdr:nvSpPr>
        <xdr:spPr bwMode="auto">
          <a:xfrm>
            <a:off x="2457450" y="3377086"/>
            <a:ext cx="290593" cy="740669"/>
          </a:xfrm>
          <a:custGeom>
            <a:avLst/>
            <a:gdLst>
              <a:gd name="T0" fmla="*/ 76200 w 290593"/>
              <a:gd name="T1" fmla="*/ 16 h 817667"/>
              <a:gd name="T2" fmla="*/ 76200 w 290593"/>
              <a:gd name="T3" fmla="*/ 16 h 817667"/>
              <a:gd name="T4" fmla="*/ 95250 w 290593"/>
              <a:gd name="T5" fmla="*/ 161 h 817667"/>
              <a:gd name="T6" fmla="*/ 38100 w 290593"/>
              <a:gd name="T7" fmla="*/ 181 h 817667"/>
              <a:gd name="T8" fmla="*/ 85725 w 290593"/>
              <a:gd name="T9" fmla="*/ 233 h 817667"/>
              <a:gd name="T10" fmla="*/ 65211 w 290593"/>
              <a:gd name="T11" fmla="*/ 318 h 817667"/>
              <a:gd name="T12" fmla="*/ 28575 w 290593"/>
              <a:gd name="T13" fmla="*/ 421 h 817667"/>
              <a:gd name="T14" fmla="*/ 28575 w 290593"/>
              <a:gd name="T15" fmla="*/ 534 h 817667"/>
              <a:gd name="T16" fmla="*/ 47625 w 290593"/>
              <a:gd name="T17" fmla="*/ 566 h 817667"/>
              <a:gd name="T18" fmla="*/ 38100 w 290593"/>
              <a:gd name="T19" fmla="*/ 627 h 817667"/>
              <a:gd name="T20" fmla="*/ 9525 w 290593"/>
              <a:gd name="T21" fmla="*/ 637 h 817667"/>
              <a:gd name="T22" fmla="*/ 0 w 290593"/>
              <a:gd name="T23" fmla="*/ 668 h 817667"/>
              <a:gd name="T24" fmla="*/ 19050 w 290593"/>
              <a:gd name="T25" fmla="*/ 730 h 817667"/>
              <a:gd name="T26" fmla="*/ 57150 w 290593"/>
              <a:gd name="T27" fmla="*/ 793 h 817667"/>
              <a:gd name="T28" fmla="*/ 57150 w 290593"/>
              <a:gd name="T29" fmla="*/ 885 h 817667"/>
              <a:gd name="T30" fmla="*/ 266700 w 290593"/>
              <a:gd name="T31" fmla="*/ 844 h 817667"/>
              <a:gd name="T32" fmla="*/ 266700 w 290593"/>
              <a:gd name="T33" fmla="*/ 554 h 817667"/>
              <a:gd name="T34" fmla="*/ 285750 w 290593"/>
              <a:gd name="T35" fmla="*/ 47 h 817667"/>
              <a:gd name="T36" fmla="*/ 76200 w 290593"/>
              <a:gd name="T37" fmla="*/ 16 h 817667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w 290593"/>
              <a:gd name="T58" fmla="*/ 0 h 817667"/>
              <a:gd name="T59" fmla="*/ 290593 w 290593"/>
              <a:gd name="T60" fmla="*/ 817667 h 817667"/>
            </a:gdLst>
            <a:ahLst/>
            <a:cxnLst>
              <a:cxn ang="T38">
                <a:pos x="T0" y="T1"/>
              </a:cxn>
              <a:cxn ang="T39">
                <a:pos x="T2" y="T3"/>
              </a:cxn>
              <a:cxn ang="T40">
                <a:pos x="T4" y="T5"/>
              </a:cxn>
              <a:cxn ang="T41">
                <a:pos x="T6" y="T7"/>
              </a:cxn>
              <a:cxn ang="T42">
                <a:pos x="T8" y="T9"/>
              </a:cxn>
              <a:cxn ang="T43">
                <a:pos x="T10" y="T11"/>
              </a:cxn>
              <a:cxn ang="T44">
                <a:pos x="T12" y="T13"/>
              </a:cxn>
              <a:cxn ang="T45">
                <a:pos x="T14" y="T15"/>
              </a:cxn>
              <a:cxn ang="T46">
                <a:pos x="T16" y="T17"/>
              </a:cxn>
              <a:cxn ang="T47">
                <a:pos x="T18" y="T19"/>
              </a:cxn>
              <a:cxn ang="T48">
                <a:pos x="T20" y="T21"/>
              </a:cxn>
              <a:cxn ang="T49">
                <a:pos x="T22" y="T23"/>
              </a:cxn>
              <a:cxn ang="T50">
                <a:pos x="T24" y="T25"/>
              </a:cxn>
              <a:cxn ang="T51">
                <a:pos x="T26" y="T27"/>
              </a:cxn>
              <a:cxn ang="T52">
                <a:pos x="T28" y="T29"/>
              </a:cxn>
              <a:cxn ang="T53">
                <a:pos x="T30" y="T31"/>
              </a:cxn>
              <a:cxn ang="T54">
                <a:pos x="T32" y="T33"/>
              </a:cxn>
              <a:cxn ang="T55">
                <a:pos x="T34" y="T35"/>
              </a:cxn>
              <a:cxn ang="T56">
                <a:pos x="T36" y="T37"/>
              </a:cxn>
            </a:cxnLst>
            <a:rect l="T57" t="T58" r="T59" b="T60"/>
            <a:pathLst>
              <a:path w="290593" h="817667">
                <a:moveTo>
                  <a:pt x="76200" y="14613"/>
                </a:moveTo>
                <a:lnTo>
                  <a:pt x="76200" y="14613"/>
                </a:lnTo>
                <a:cubicBezTo>
                  <a:pt x="86511" y="42109"/>
                  <a:pt x="127065" y="111603"/>
                  <a:pt x="95250" y="147963"/>
                </a:cubicBezTo>
                <a:cubicBezTo>
                  <a:pt x="82027" y="163075"/>
                  <a:pt x="38100" y="167013"/>
                  <a:pt x="38100" y="167013"/>
                </a:cubicBezTo>
                <a:cubicBezTo>
                  <a:pt x="52096" y="176344"/>
                  <a:pt x="84429" y="192607"/>
                  <a:pt x="85725" y="214638"/>
                </a:cubicBezTo>
                <a:cubicBezTo>
                  <a:pt x="86693" y="231091"/>
                  <a:pt x="106075" y="259086"/>
                  <a:pt x="65211" y="291777"/>
                </a:cubicBezTo>
                <a:cubicBezTo>
                  <a:pt x="57371" y="298049"/>
                  <a:pt x="38100" y="382913"/>
                  <a:pt x="28575" y="386088"/>
                </a:cubicBezTo>
                <a:cubicBezTo>
                  <a:pt x="13701" y="430709"/>
                  <a:pt x="10804" y="425702"/>
                  <a:pt x="28575" y="490863"/>
                </a:cubicBezTo>
                <a:cubicBezTo>
                  <a:pt x="31587" y="501907"/>
                  <a:pt x="41275" y="509913"/>
                  <a:pt x="47625" y="519438"/>
                </a:cubicBezTo>
                <a:cubicBezTo>
                  <a:pt x="44450" y="538488"/>
                  <a:pt x="47682" y="559820"/>
                  <a:pt x="38100" y="576588"/>
                </a:cubicBezTo>
                <a:cubicBezTo>
                  <a:pt x="33119" y="585305"/>
                  <a:pt x="16625" y="579013"/>
                  <a:pt x="9525" y="586113"/>
                </a:cubicBezTo>
                <a:cubicBezTo>
                  <a:pt x="2425" y="593213"/>
                  <a:pt x="3175" y="605163"/>
                  <a:pt x="0" y="614688"/>
                </a:cubicBezTo>
                <a:cubicBezTo>
                  <a:pt x="6350" y="633738"/>
                  <a:pt x="7911" y="655130"/>
                  <a:pt x="19050" y="671838"/>
                </a:cubicBezTo>
                <a:lnTo>
                  <a:pt x="57150" y="728988"/>
                </a:lnTo>
                <a:cubicBezTo>
                  <a:pt x="51516" y="745889"/>
                  <a:pt x="26742" y="805357"/>
                  <a:pt x="57150" y="814713"/>
                </a:cubicBezTo>
                <a:cubicBezTo>
                  <a:pt x="66751" y="817667"/>
                  <a:pt x="248114" y="780330"/>
                  <a:pt x="266700" y="776613"/>
                </a:cubicBezTo>
                <a:cubicBezTo>
                  <a:pt x="290593" y="633254"/>
                  <a:pt x="266700" y="801168"/>
                  <a:pt x="266700" y="509913"/>
                </a:cubicBezTo>
                <a:cubicBezTo>
                  <a:pt x="266700" y="283161"/>
                  <a:pt x="272633" y="226829"/>
                  <a:pt x="285750" y="43188"/>
                </a:cubicBezTo>
                <a:cubicBezTo>
                  <a:pt x="199373" y="0"/>
                  <a:pt x="111125" y="19376"/>
                  <a:pt x="76200" y="14613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cap="flat" cmpd="sng" algn="ctr">
                <a:solidFill>
                  <a:srgbClr val="000000"/>
                </a:solidFill>
                <a:prstDash val="solid"/>
                <a:round/>
                <a:headEnd type="none" w="med" len="med"/>
                <a:tailEnd type="none" w="med" len="med"/>
              </a14:hiddenLine>
            </a:ext>
          </a:extLst>
        </xdr:spPr>
      </xdr:sp>
    </xdr:grpSp>
    <xdr:clientData/>
  </xdr:twoCellAnchor>
  <xdr:twoCellAnchor editAs="oneCell">
    <xdr:from>
      <xdr:col>24</xdr:col>
      <xdr:colOff>0</xdr:colOff>
      <xdr:row>5</xdr:row>
      <xdr:rowOff>0</xdr:rowOff>
    </xdr:from>
    <xdr:to>
      <xdr:col>35</xdr:col>
      <xdr:colOff>30480</xdr:colOff>
      <xdr:row>13</xdr:row>
      <xdr:rowOff>160020</xdr:rowOff>
    </xdr:to>
    <xdr:pic>
      <xdr:nvPicPr>
        <xdr:cNvPr id="420999" name="Obrázek 7">
          <a:extLst>
            <a:ext uri="{FF2B5EF4-FFF2-40B4-BE49-F238E27FC236}">
              <a16:creationId xmlns:a16="http://schemas.microsoft.com/office/drawing/2014/main" id="{00000000-0008-0000-0500-0000876C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1160" y="1082040"/>
          <a:ext cx="2377440" cy="1623060"/>
        </a:xfrm>
        <a:prstGeom prst="rect">
          <a:avLst/>
        </a:prstGeom>
        <a:noFill/>
        <a:ln w="28575">
          <a:solidFill>
            <a:srgbClr val="A6A6A6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205740</xdr:colOff>
      <xdr:row>4</xdr:row>
      <xdr:rowOff>91440</xdr:rowOff>
    </xdr:from>
    <xdr:to>
      <xdr:col>23</xdr:col>
      <xdr:colOff>137160</xdr:colOff>
      <xdr:row>14</xdr:row>
      <xdr:rowOff>22860</xdr:rowOff>
    </xdr:to>
    <xdr:grpSp>
      <xdr:nvGrpSpPr>
        <xdr:cNvPr id="426088" name="Skupina 21">
          <a:extLst>
            <a:ext uri="{FF2B5EF4-FFF2-40B4-BE49-F238E27FC236}">
              <a16:creationId xmlns:a16="http://schemas.microsoft.com/office/drawing/2014/main" id="{00000000-0008-0000-0600-000068800600}"/>
            </a:ext>
          </a:extLst>
        </xdr:cNvPr>
        <xdr:cNvGrpSpPr>
          <a:grpSpLocks noChangeAspect="1"/>
        </xdr:cNvGrpSpPr>
      </xdr:nvGrpSpPr>
      <xdr:grpSpPr bwMode="auto">
        <a:xfrm>
          <a:off x="3614687" y="989798"/>
          <a:ext cx="2257526" cy="1776262"/>
          <a:chOff x="1771649" y="3377086"/>
          <a:chExt cx="976394" cy="740669"/>
        </a:xfrm>
      </xdr:grpSpPr>
      <xdr:sp macro="" textlink="">
        <xdr:nvSpPr>
          <xdr:cNvPr id="426091" name="Obdélník 19">
            <a:extLst>
              <a:ext uri="{FF2B5EF4-FFF2-40B4-BE49-F238E27FC236}">
                <a16:creationId xmlns:a16="http://schemas.microsoft.com/office/drawing/2014/main" id="{00000000-0008-0000-0600-00006B800600}"/>
              </a:ext>
            </a:extLst>
          </xdr:cNvPr>
          <xdr:cNvSpPr>
            <a:spLocks noChangeArrowheads="1"/>
          </xdr:cNvSpPr>
        </xdr:nvSpPr>
        <xdr:spPr bwMode="auto">
          <a:xfrm>
            <a:off x="1838324" y="3607867"/>
            <a:ext cx="771525" cy="392635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26092" name="Obdélník 18">
            <a:extLst>
              <a:ext uri="{FF2B5EF4-FFF2-40B4-BE49-F238E27FC236}">
                <a16:creationId xmlns:a16="http://schemas.microsoft.com/office/drawing/2014/main" id="{00000000-0008-0000-0600-00006C800600}"/>
              </a:ext>
            </a:extLst>
          </xdr:cNvPr>
          <xdr:cNvSpPr>
            <a:spLocks noChangeArrowheads="1"/>
          </xdr:cNvSpPr>
        </xdr:nvSpPr>
        <xdr:spPr bwMode="auto">
          <a:xfrm>
            <a:off x="1771649" y="3378382"/>
            <a:ext cx="85726" cy="695027"/>
          </a:xfrm>
          <a:prstGeom prst="rect">
            <a:avLst/>
          </a:prstGeom>
          <a:solidFill>
            <a:srgbClr val="FFFFE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26093" name="Volný tvar 20">
            <a:extLst>
              <a:ext uri="{FF2B5EF4-FFF2-40B4-BE49-F238E27FC236}">
                <a16:creationId xmlns:a16="http://schemas.microsoft.com/office/drawing/2014/main" id="{00000000-0008-0000-0600-00006D800600}"/>
              </a:ext>
            </a:extLst>
          </xdr:cNvPr>
          <xdr:cNvSpPr>
            <a:spLocks/>
          </xdr:cNvSpPr>
        </xdr:nvSpPr>
        <xdr:spPr bwMode="auto">
          <a:xfrm>
            <a:off x="2457450" y="3377086"/>
            <a:ext cx="290593" cy="740669"/>
          </a:xfrm>
          <a:custGeom>
            <a:avLst/>
            <a:gdLst>
              <a:gd name="T0" fmla="*/ 76200 w 290593"/>
              <a:gd name="T1" fmla="*/ 16 h 817667"/>
              <a:gd name="T2" fmla="*/ 76200 w 290593"/>
              <a:gd name="T3" fmla="*/ 16 h 817667"/>
              <a:gd name="T4" fmla="*/ 95250 w 290593"/>
              <a:gd name="T5" fmla="*/ 161 h 817667"/>
              <a:gd name="T6" fmla="*/ 38100 w 290593"/>
              <a:gd name="T7" fmla="*/ 181 h 817667"/>
              <a:gd name="T8" fmla="*/ 85725 w 290593"/>
              <a:gd name="T9" fmla="*/ 233 h 817667"/>
              <a:gd name="T10" fmla="*/ 65211 w 290593"/>
              <a:gd name="T11" fmla="*/ 318 h 817667"/>
              <a:gd name="T12" fmla="*/ 28575 w 290593"/>
              <a:gd name="T13" fmla="*/ 421 h 817667"/>
              <a:gd name="T14" fmla="*/ 28575 w 290593"/>
              <a:gd name="T15" fmla="*/ 534 h 817667"/>
              <a:gd name="T16" fmla="*/ 47625 w 290593"/>
              <a:gd name="T17" fmla="*/ 566 h 817667"/>
              <a:gd name="T18" fmla="*/ 38100 w 290593"/>
              <a:gd name="T19" fmla="*/ 627 h 817667"/>
              <a:gd name="T20" fmla="*/ 9525 w 290593"/>
              <a:gd name="T21" fmla="*/ 637 h 817667"/>
              <a:gd name="T22" fmla="*/ 0 w 290593"/>
              <a:gd name="T23" fmla="*/ 668 h 817667"/>
              <a:gd name="T24" fmla="*/ 19050 w 290593"/>
              <a:gd name="T25" fmla="*/ 730 h 817667"/>
              <a:gd name="T26" fmla="*/ 57150 w 290593"/>
              <a:gd name="T27" fmla="*/ 793 h 817667"/>
              <a:gd name="T28" fmla="*/ 57150 w 290593"/>
              <a:gd name="T29" fmla="*/ 885 h 817667"/>
              <a:gd name="T30" fmla="*/ 266700 w 290593"/>
              <a:gd name="T31" fmla="*/ 844 h 817667"/>
              <a:gd name="T32" fmla="*/ 266700 w 290593"/>
              <a:gd name="T33" fmla="*/ 554 h 817667"/>
              <a:gd name="T34" fmla="*/ 285750 w 290593"/>
              <a:gd name="T35" fmla="*/ 47 h 817667"/>
              <a:gd name="T36" fmla="*/ 76200 w 290593"/>
              <a:gd name="T37" fmla="*/ 16 h 817667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w 290593"/>
              <a:gd name="T58" fmla="*/ 0 h 817667"/>
              <a:gd name="T59" fmla="*/ 290593 w 290593"/>
              <a:gd name="T60" fmla="*/ 817667 h 817667"/>
            </a:gdLst>
            <a:ahLst/>
            <a:cxnLst>
              <a:cxn ang="T38">
                <a:pos x="T0" y="T1"/>
              </a:cxn>
              <a:cxn ang="T39">
                <a:pos x="T2" y="T3"/>
              </a:cxn>
              <a:cxn ang="T40">
                <a:pos x="T4" y="T5"/>
              </a:cxn>
              <a:cxn ang="T41">
                <a:pos x="T6" y="T7"/>
              </a:cxn>
              <a:cxn ang="T42">
                <a:pos x="T8" y="T9"/>
              </a:cxn>
              <a:cxn ang="T43">
                <a:pos x="T10" y="T11"/>
              </a:cxn>
              <a:cxn ang="T44">
                <a:pos x="T12" y="T13"/>
              </a:cxn>
              <a:cxn ang="T45">
                <a:pos x="T14" y="T15"/>
              </a:cxn>
              <a:cxn ang="T46">
                <a:pos x="T16" y="T17"/>
              </a:cxn>
              <a:cxn ang="T47">
                <a:pos x="T18" y="T19"/>
              </a:cxn>
              <a:cxn ang="T48">
                <a:pos x="T20" y="T21"/>
              </a:cxn>
              <a:cxn ang="T49">
                <a:pos x="T22" y="T23"/>
              </a:cxn>
              <a:cxn ang="T50">
                <a:pos x="T24" y="T25"/>
              </a:cxn>
              <a:cxn ang="T51">
                <a:pos x="T26" y="T27"/>
              </a:cxn>
              <a:cxn ang="T52">
                <a:pos x="T28" y="T29"/>
              </a:cxn>
              <a:cxn ang="T53">
                <a:pos x="T30" y="T31"/>
              </a:cxn>
              <a:cxn ang="T54">
                <a:pos x="T32" y="T33"/>
              </a:cxn>
              <a:cxn ang="T55">
                <a:pos x="T34" y="T35"/>
              </a:cxn>
              <a:cxn ang="T56">
                <a:pos x="T36" y="T37"/>
              </a:cxn>
            </a:cxnLst>
            <a:rect l="T57" t="T58" r="T59" b="T60"/>
            <a:pathLst>
              <a:path w="290593" h="817667">
                <a:moveTo>
                  <a:pt x="76200" y="14613"/>
                </a:moveTo>
                <a:lnTo>
                  <a:pt x="76200" y="14613"/>
                </a:lnTo>
                <a:cubicBezTo>
                  <a:pt x="86511" y="42109"/>
                  <a:pt x="127065" y="111603"/>
                  <a:pt x="95250" y="147963"/>
                </a:cubicBezTo>
                <a:cubicBezTo>
                  <a:pt x="82027" y="163075"/>
                  <a:pt x="38100" y="167013"/>
                  <a:pt x="38100" y="167013"/>
                </a:cubicBezTo>
                <a:cubicBezTo>
                  <a:pt x="52096" y="176344"/>
                  <a:pt x="84429" y="192607"/>
                  <a:pt x="85725" y="214638"/>
                </a:cubicBezTo>
                <a:cubicBezTo>
                  <a:pt x="86693" y="231091"/>
                  <a:pt x="106075" y="259086"/>
                  <a:pt x="65211" y="291777"/>
                </a:cubicBezTo>
                <a:cubicBezTo>
                  <a:pt x="57371" y="298049"/>
                  <a:pt x="38100" y="382913"/>
                  <a:pt x="28575" y="386088"/>
                </a:cubicBezTo>
                <a:cubicBezTo>
                  <a:pt x="13701" y="430709"/>
                  <a:pt x="10804" y="425702"/>
                  <a:pt x="28575" y="490863"/>
                </a:cubicBezTo>
                <a:cubicBezTo>
                  <a:pt x="31587" y="501907"/>
                  <a:pt x="41275" y="509913"/>
                  <a:pt x="47625" y="519438"/>
                </a:cubicBezTo>
                <a:cubicBezTo>
                  <a:pt x="44450" y="538488"/>
                  <a:pt x="47682" y="559820"/>
                  <a:pt x="38100" y="576588"/>
                </a:cubicBezTo>
                <a:cubicBezTo>
                  <a:pt x="33119" y="585305"/>
                  <a:pt x="16625" y="579013"/>
                  <a:pt x="9525" y="586113"/>
                </a:cubicBezTo>
                <a:cubicBezTo>
                  <a:pt x="2425" y="593213"/>
                  <a:pt x="3175" y="605163"/>
                  <a:pt x="0" y="614688"/>
                </a:cubicBezTo>
                <a:cubicBezTo>
                  <a:pt x="6350" y="633738"/>
                  <a:pt x="7911" y="655130"/>
                  <a:pt x="19050" y="671838"/>
                </a:cubicBezTo>
                <a:lnTo>
                  <a:pt x="57150" y="728988"/>
                </a:lnTo>
                <a:cubicBezTo>
                  <a:pt x="51516" y="745889"/>
                  <a:pt x="26742" y="805357"/>
                  <a:pt x="57150" y="814713"/>
                </a:cubicBezTo>
                <a:cubicBezTo>
                  <a:pt x="66751" y="817667"/>
                  <a:pt x="248114" y="780330"/>
                  <a:pt x="266700" y="776613"/>
                </a:cubicBezTo>
                <a:cubicBezTo>
                  <a:pt x="290593" y="633254"/>
                  <a:pt x="266700" y="801168"/>
                  <a:pt x="266700" y="509913"/>
                </a:cubicBezTo>
                <a:cubicBezTo>
                  <a:pt x="266700" y="283161"/>
                  <a:pt x="272633" y="226829"/>
                  <a:pt x="285750" y="43188"/>
                </a:cubicBezTo>
                <a:cubicBezTo>
                  <a:pt x="199373" y="0"/>
                  <a:pt x="111125" y="19376"/>
                  <a:pt x="76200" y="14613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cap="flat" cmpd="sng" algn="ctr">
                <a:solidFill>
                  <a:srgbClr val="000000"/>
                </a:solidFill>
                <a:prstDash val="solid"/>
                <a:round/>
                <a:headEnd type="none" w="med" len="med"/>
                <a:tailEnd type="none" w="med" len="med"/>
              </a14:hiddenLine>
            </a:ext>
          </a:extLst>
        </xdr:spPr>
      </xdr:sp>
    </xdr:grpSp>
    <xdr:clientData/>
  </xdr:twoCellAnchor>
  <xdr:twoCellAnchor editAs="oneCell">
    <xdr:from>
      <xdr:col>45</xdr:col>
      <xdr:colOff>144780</xdr:colOff>
      <xdr:row>1</xdr:row>
      <xdr:rowOff>106680</xdr:rowOff>
    </xdr:from>
    <xdr:to>
      <xdr:col>63</xdr:col>
      <xdr:colOff>487680</xdr:colOff>
      <xdr:row>4</xdr:row>
      <xdr:rowOff>144780</xdr:rowOff>
    </xdr:to>
    <xdr:pic>
      <xdr:nvPicPr>
        <xdr:cNvPr id="426089" name="Picture 24">
          <a:extLst>
            <a:ext uri="{FF2B5EF4-FFF2-40B4-BE49-F238E27FC236}">
              <a16:creationId xmlns:a16="http://schemas.microsoft.com/office/drawing/2014/main" id="{00000000-0008-0000-0600-00006980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266700"/>
          <a:ext cx="960120" cy="777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0</xdr:colOff>
      <xdr:row>5</xdr:row>
      <xdr:rowOff>0</xdr:rowOff>
    </xdr:from>
    <xdr:to>
      <xdr:col>35</xdr:col>
      <xdr:colOff>30480</xdr:colOff>
      <xdr:row>13</xdr:row>
      <xdr:rowOff>160020</xdr:rowOff>
    </xdr:to>
    <xdr:pic>
      <xdr:nvPicPr>
        <xdr:cNvPr id="426090" name="Obrázek 7">
          <a:extLst>
            <a:ext uri="{FF2B5EF4-FFF2-40B4-BE49-F238E27FC236}">
              <a16:creationId xmlns:a16="http://schemas.microsoft.com/office/drawing/2014/main" id="{00000000-0008-0000-0600-00006A80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1160" y="1082040"/>
          <a:ext cx="2377440" cy="1623060"/>
        </a:xfrm>
        <a:prstGeom prst="rect">
          <a:avLst/>
        </a:prstGeom>
        <a:noFill/>
        <a:ln w="28575">
          <a:solidFill>
            <a:srgbClr val="A6A6A6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45</xdr:col>
      <xdr:colOff>144780</xdr:colOff>
      <xdr:row>1</xdr:row>
      <xdr:rowOff>106680</xdr:rowOff>
    </xdr:from>
    <xdr:to>
      <xdr:col>63</xdr:col>
      <xdr:colOff>487680</xdr:colOff>
      <xdr:row>4</xdr:row>
      <xdr:rowOff>144780</xdr:rowOff>
    </xdr:to>
    <xdr:pic>
      <xdr:nvPicPr>
        <xdr:cNvPr id="427096" name="Picture 24">
          <a:extLst>
            <a:ext uri="{FF2B5EF4-FFF2-40B4-BE49-F238E27FC236}">
              <a16:creationId xmlns:a16="http://schemas.microsoft.com/office/drawing/2014/main" id="{00000000-0008-0000-0700-00005884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266700"/>
          <a:ext cx="960120" cy="777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205740</xdr:colOff>
      <xdr:row>4</xdr:row>
      <xdr:rowOff>76200</xdr:rowOff>
    </xdr:from>
    <xdr:to>
      <xdr:col>23</xdr:col>
      <xdr:colOff>137160</xdr:colOff>
      <xdr:row>14</xdr:row>
      <xdr:rowOff>7620</xdr:rowOff>
    </xdr:to>
    <xdr:grpSp>
      <xdr:nvGrpSpPr>
        <xdr:cNvPr id="427097" name="Skupina 21">
          <a:extLst>
            <a:ext uri="{FF2B5EF4-FFF2-40B4-BE49-F238E27FC236}">
              <a16:creationId xmlns:a16="http://schemas.microsoft.com/office/drawing/2014/main" id="{00000000-0008-0000-0700-000059840600}"/>
            </a:ext>
          </a:extLst>
        </xdr:cNvPr>
        <xdr:cNvGrpSpPr>
          <a:grpSpLocks noChangeAspect="1"/>
        </xdr:cNvGrpSpPr>
      </xdr:nvGrpSpPr>
      <xdr:grpSpPr bwMode="auto">
        <a:xfrm>
          <a:off x="3614687" y="974558"/>
          <a:ext cx="2257526" cy="1776262"/>
          <a:chOff x="1771649" y="3377086"/>
          <a:chExt cx="976394" cy="740669"/>
        </a:xfrm>
      </xdr:grpSpPr>
      <xdr:sp macro="" textlink="">
        <xdr:nvSpPr>
          <xdr:cNvPr id="427099" name="Obdélník 19">
            <a:extLst>
              <a:ext uri="{FF2B5EF4-FFF2-40B4-BE49-F238E27FC236}">
                <a16:creationId xmlns:a16="http://schemas.microsoft.com/office/drawing/2014/main" id="{00000000-0008-0000-0700-00005B840600}"/>
              </a:ext>
            </a:extLst>
          </xdr:cNvPr>
          <xdr:cNvSpPr>
            <a:spLocks noChangeArrowheads="1"/>
          </xdr:cNvSpPr>
        </xdr:nvSpPr>
        <xdr:spPr bwMode="auto">
          <a:xfrm>
            <a:off x="1838324" y="3469064"/>
            <a:ext cx="771525" cy="531437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27100" name="Obdélník 18">
            <a:extLst>
              <a:ext uri="{FF2B5EF4-FFF2-40B4-BE49-F238E27FC236}">
                <a16:creationId xmlns:a16="http://schemas.microsoft.com/office/drawing/2014/main" id="{00000000-0008-0000-0700-00005C840600}"/>
              </a:ext>
            </a:extLst>
          </xdr:cNvPr>
          <xdr:cNvSpPr>
            <a:spLocks noChangeArrowheads="1"/>
          </xdr:cNvSpPr>
        </xdr:nvSpPr>
        <xdr:spPr bwMode="auto">
          <a:xfrm>
            <a:off x="1771649" y="3378382"/>
            <a:ext cx="85726" cy="695027"/>
          </a:xfrm>
          <a:prstGeom prst="rect">
            <a:avLst/>
          </a:prstGeom>
          <a:solidFill>
            <a:srgbClr val="FFFFE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27101" name="Volný tvar 20">
            <a:extLst>
              <a:ext uri="{FF2B5EF4-FFF2-40B4-BE49-F238E27FC236}">
                <a16:creationId xmlns:a16="http://schemas.microsoft.com/office/drawing/2014/main" id="{00000000-0008-0000-0700-00005D840600}"/>
              </a:ext>
            </a:extLst>
          </xdr:cNvPr>
          <xdr:cNvSpPr>
            <a:spLocks/>
          </xdr:cNvSpPr>
        </xdr:nvSpPr>
        <xdr:spPr bwMode="auto">
          <a:xfrm>
            <a:off x="2457450" y="3377086"/>
            <a:ext cx="290593" cy="740669"/>
          </a:xfrm>
          <a:custGeom>
            <a:avLst/>
            <a:gdLst>
              <a:gd name="T0" fmla="*/ 76200 w 290593"/>
              <a:gd name="T1" fmla="*/ 16 h 817667"/>
              <a:gd name="T2" fmla="*/ 76200 w 290593"/>
              <a:gd name="T3" fmla="*/ 16 h 817667"/>
              <a:gd name="T4" fmla="*/ 95250 w 290593"/>
              <a:gd name="T5" fmla="*/ 161 h 817667"/>
              <a:gd name="T6" fmla="*/ 38100 w 290593"/>
              <a:gd name="T7" fmla="*/ 181 h 817667"/>
              <a:gd name="T8" fmla="*/ 85725 w 290593"/>
              <a:gd name="T9" fmla="*/ 233 h 817667"/>
              <a:gd name="T10" fmla="*/ 65211 w 290593"/>
              <a:gd name="T11" fmla="*/ 318 h 817667"/>
              <a:gd name="T12" fmla="*/ 28575 w 290593"/>
              <a:gd name="T13" fmla="*/ 421 h 817667"/>
              <a:gd name="T14" fmla="*/ 28575 w 290593"/>
              <a:gd name="T15" fmla="*/ 534 h 817667"/>
              <a:gd name="T16" fmla="*/ 47625 w 290593"/>
              <a:gd name="T17" fmla="*/ 566 h 817667"/>
              <a:gd name="T18" fmla="*/ 38100 w 290593"/>
              <a:gd name="T19" fmla="*/ 627 h 817667"/>
              <a:gd name="T20" fmla="*/ 9525 w 290593"/>
              <a:gd name="T21" fmla="*/ 637 h 817667"/>
              <a:gd name="T22" fmla="*/ 0 w 290593"/>
              <a:gd name="T23" fmla="*/ 668 h 817667"/>
              <a:gd name="T24" fmla="*/ 19050 w 290593"/>
              <a:gd name="T25" fmla="*/ 730 h 817667"/>
              <a:gd name="T26" fmla="*/ 57150 w 290593"/>
              <a:gd name="T27" fmla="*/ 793 h 817667"/>
              <a:gd name="T28" fmla="*/ 57150 w 290593"/>
              <a:gd name="T29" fmla="*/ 885 h 817667"/>
              <a:gd name="T30" fmla="*/ 266700 w 290593"/>
              <a:gd name="T31" fmla="*/ 844 h 817667"/>
              <a:gd name="T32" fmla="*/ 266700 w 290593"/>
              <a:gd name="T33" fmla="*/ 554 h 817667"/>
              <a:gd name="T34" fmla="*/ 285750 w 290593"/>
              <a:gd name="T35" fmla="*/ 47 h 817667"/>
              <a:gd name="T36" fmla="*/ 76200 w 290593"/>
              <a:gd name="T37" fmla="*/ 16 h 817667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w 290593"/>
              <a:gd name="T58" fmla="*/ 0 h 817667"/>
              <a:gd name="T59" fmla="*/ 290593 w 290593"/>
              <a:gd name="T60" fmla="*/ 817667 h 817667"/>
            </a:gdLst>
            <a:ahLst/>
            <a:cxnLst>
              <a:cxn ang="T38">
                <a:pos x="T0" y="T1"/>
              </a:cxn>
              <a:cxn ang="T39">
                <a:pos x="T2" y="T3"/>
              </a:cxn>
              <a:cxn ang="T40">
                <a:pos x="T4" y="T5"/>
              </a:cxn>
              <a:cxn ang="T41">
                <a:pos x="T6" y="T7"/>
              </a:cxn>
              <a:cxn ang="T42">
                <a:pos x="T8" y="T9"/>
              </a:cxn>
              <a:cxn ang="T43">
                <a:pos x="T10" y="T11"/>
              </a:cxn>
              <a:cxn ang="T44">
                <a:pos x="T12" y="T13"/>
              </a:cxn>
              <a:cxn ang="T45">
                <a:pos x="T14" y="T15"/>
              </a:cxn>
              <a:cxn ang="T46">
                <a:pos x="T16" y="T17"/>
              </a:cxn>
              <a:cxn ang="T47">
                <a:pos x="T18" y="T19"/>
              </a:cxn>
              <a:cxn ang="T48">
                <a:pos x="T20" y="T21"/>
              </a:cxn>
              <a:cxn ang="T49">
                <a:pos x="T22" y="T23"/>
              </a:cxn>
              <a:cxn ang="T50">
                <a:pos x="T24" y="T25"/>
              </a:cxn>
              <a:cxn ang="T51">
                <a:pos x="T26" y="T27"/>
              </a:cxn>
              <a:cxn ang="T52">
                <a:pos x="T28" y="T29"/>
              </a:cxn>
              <a:cxn ang="T53">
                <a:pos x="T30" y="T31"/>
              </a:cxn>
              <a:cxn ang="T54">
                <a:pos x="T32" y="T33"/>
              </a:cxn>
              <a:cxn ang="T55">
                <a:pos x="T34" y="T35"/>
              </a:cxn>
              <a:cxn ang="T56">
                <a:pos x="T36" y="T37"/>
              </a:cxn>
            </a:cxnLst>
            <a:rect l="T57" t="T58" r="T59" b="T60"/>
            <a:pathLst>
              <a:path w="290593" h="817667">
                <a:moveTo>
                  <a:pt x="76200" y="14613"/>
                </a:moveTo>
                <a:lnTo>
                  <a:pt x="76200" y="14613"/>
                </a:lnTo>
                <a:cubicBezTo>
                  <a:pt x="86511" y="42109"/>
                  <a:pt x="127065" y="111603"/>
                  <a:pt x="95250" y="147963"/>
                </a:cubicBezTo>
                <a:cubicBezTo>
                  <a:pt x="82027" y="163075"/>
                  <a:pt x="38100" y="167013"/>
                  <a:pt x="38100" y="167013"/>
                </a:cubicBezTo>
                <a:cubicBezTo>
                  <a:pt x="52096" y="176344"/>
                  <a:pt x="84429" y="192607"/>
                  <a:pt x="85725" y="214638"/>
                </a:cubicBezTo>
                <a:cubicBezTo>
                  <a:pt x="86693" y="231091"/>
                  <a:pt x="106075" y="259086"/>
                  <a:pt x="65211" y="291777"/>
                </a:cubicBezTo>
                <a:cubicBezTo>
                  <a:pt x="57371" y="298049"/>
                  <a:pt x="38100" y="382913"/>
                  <a:pt x="28575" y="386088"/>
                </a:cubicBezTo>
                <a:cubicBezTo>
                  <a:pt x="13701" y="430709"/>
                  <a:pt x="10804" y="425702"/>
                  <a:pt x="28575" y="490863"/>
                </a:cubicBezTo>
                <a:cubicBezTo>
                  <a:pt x="31587" y="501907"/>
                  <a:pt x="41275" y="509913"/>
                  <a:pt x="47625" y="519438"/>
                </a:cubicBezTo>
                <a:cubicBezTo>
                  <a:pt x="44450" y="538488"/>
                  <a:pt x="47682" y="559820"/>
                  <a:pt x="38100" y="576588"/>
                </a:cubicBezTo>
                <a:cubicBezTo>
                  <a:pt x="33119" y="585305"/>
                  <a:pt x="16625" y="579013"/>
                  <a:pt x="9525" y="586113"/>
                </a:cubicBezTo>
                <a:cubicBezTo>
                  <a:pt x="2425" y="593213"/>
                  <a:pt x="3175" y="605163"/>
                  <a:pt x="0" y="614688"/>
                </a:cubicBezTo>
                <a:cubicBezTo>
                  <a:pt x="6350" y="633738"/>
                  <a:pt x="7911" y="655130"/>
                  <a:pt x="19050" y="671838"/>
                </a:cubicBezTo>
                <a:lnTo>
                  <a:pt x="57150" y="728988"/>
                </a:lnTo>
                <a:cubicBezTo>
                  <a:pt x="51516" y="745889"/>
                  <a:pt x="26742" y="805357"/>
                  <a:pt x="57150" y="814713"/>
                </a:cubicBezTo>
                <a:cubicBezTo>
                  <a:pt x="66751" y="817667"/>
                  <a:pt x="248114" y="780330"/>
                  <a:pt x="266700" y="776613"/>
                </a:cubicBezTo>
                <a:cubicBezTo>
                  <a:pt x="290593" y="633254"/>
                  <a:pt x="266700" y="801168"/>
                  <a:pt x="266700" y="509913"/>
                </a:cubicBezTo>
                <a:cubicBezTo>
                  <a:pt x="266700" y="283161"/>
                  <a:pt x="272633" y="226829"/>
                  <a:pt x="285750" y="43188"/>
                </a:cubicBezTo>
                <a:cubicBezTo>
                  <a:pt x="199373" y="0"/>
                  <a:pt x="111125" y="19376"/>
                  <a:pt x="76200" y="14613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cap="flat" cmpd="sng" algn="ctr">
                <a:solidFill>
                  <a:srgbClr val="000000"/>
                </a:solidFill>
                <a:prstDash val="solid"/>
                <a:round/>
                <a:headEnd type="none" w="med" len="med"/>
                <a:tailEnd type="none" w="med" len="med"/>
              </a14:hiddenLine>
            </a:ext>
          </a:extLst>
        </xdr:spPr>
      </xdr:sp>
    </xdr:grpSp>
    <xdr:clientData/>
  </xdr:twoCellAnchor>
  <xdr:twoCellAnchor editAs="oneCell">
    <xdr:from>
      <xdr:col>24</xdr:col>
      <xdr:colOff>0</xdr:colOff>
      <xdr:row>5</xdr:row>
      <xdr:rowOff>0</xdr:rowOff>
    </xdr:from>
    <xdr:to>
      <xdr:col>35</xdr:col>
      <xdr:colOff>30480</xdr:colOff>
      <xdr:row>13</xdr:row>
      <xdr:rowOff>160020</xdr:rowOff>
    </xdr:to>
    <xdr:pic>
      <xdr:nvPicPr>
        <xdr:cNvPr id="427098" name="Obrázek 7">
          <a:extLst>
            <a:ext uri="{FF2B5EF4-FFF2-40B4-BE49-F238E27FC236}">
              <a16:creationId xmlns:a16="http://schemas.microsoft.com/office/drawing/2014/main" id="{00000000-0008-0000-0700-00005A8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1160" y="1082040"/>
          <a:ext cx="2377440" cy="1623060"/>
        </a:xfrm>
        <a:prstGeom prst="rect">
          <a:avLst/>
        </a:prstGeom>
        <a:noFill/>
        <a:ln w="28575">
          <a:solidFill>
            <a:srgbClr val="A6A6A6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205740</xdr:colOff>
      <xdr:row>4</xdr:row>
      <xdr:rowOff>53340</xdr:rowOff>
    </xdr:from>
    <xdr:to>
      <xdr:col>23</xdr:col>
      <xdr:colOff>137160</xdr:colOff>
      <xdr:row>14</xdr:row>
      <xdr:rowOff>144780</xdr:rowOff>
    </xdr:to>
    <xdr:grpSp>
      <xdr:nvGrpSpPr>
        <xdr:cNvPr id="433186" name="Skupina 21">
          <a:extLst>
            <a:ext uri="{FF2B5EF4-FFF2-40B4-BE49-F238E27FC236}">
              <a16:creationId xmlns:a16="http://schemas.microsoft.com/office/drawing/2014/main" id="{00000000-0008-0000-0800-0000229C0600}"/>
            </a:ext>
          </a:extLst>
        </xdr:cNvPr>
        <xdr:cNvGrpSpPr>
          <a:grpSpLocks noChangeAspect="1"/>
        </xdr:cNvGrpSpPr>
      </xdr:nvGrpSpPr>
      <xdr:grpSpPr bwMode="auto">
        <a:xfrm>
          <a:off x="3614687" y="951698"/>
          <a:ext cx="2257526" cy="1936282"/>
          <a:chOff x="1771649" y="3363707"/>
          <a:chExt cx="976394" cy="806059"/>
        </a:xfrm>
      </xdr:grpSpPr>
      <xdr:sp macro="" textlink="">
        <xdr:nvSpPr>
          <xdr:cNvPr id="433189" name="Obdélník 19">
            <a:extLst>
              <a:ext uri="{FF2B5EF4-FFF2-40B4-BE49-F238E27FC236}">
                <a16:creationId xmlns:a16="http://schemas.microsoft.com/office/drawing/2014/main" id="{00000000-0008-0000-0800-0000259C0600}"/>
              </a:ext>
            </a:extLst>
          </xdr:cNvPr>
          <xdr:cNvSpPr>
            <a:spLocks noChangeArrowheads="1"/>
          </xdr:cNvSpPr>
        </xdr:nvSpPr>
        <xdr:spPr bwMode="auto">
          <a:xfrm>
            <a:off x="1838324" y="3387119"/>
            <a:ext cx="771525" cy="745855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33190" name="Obdélník 18">
            <a:extLst>
              <a:ext uri="{FF2B5EF4-FFF2-40B4-BE49-F238E27FC236}">
                <a16:creationId xmlns:a16="http://schemas.microsoft.com/office/drawing/2014/main" id="{00000000-0008-0000-0800-0000269C0600}"/>
              </a:ext>
            </a:extLst>
          </xdr:cNvPr>
          <xdr:cNvSpPr>
            <a:spLocks noChangeArrowheads="1"/>
          </xdr:cNvSpPr>
        </xdr:nvSpPr>
        <xdr:spPr bwMode="auto">
          <a:xfrm>
            <a:off x="1771649" y="3368347"/>
            <a:ext cx="85726" cy="795603"/>
          </a:xfrm>
          <a:prstGeom prst="rect">
            <a:avLst/>
          </a:prstGeom>
          <a:solidFill>
            <a:srgbClr val="FFFFE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33191" name="Volný tvar 20">
            <a:extLst>
              <a:ext uri="{FF2B5EF4-FFF2-40B4-BE49-F238E27FC236}">
                <a16:creationId xmlns:a16="http://schemas.microsoft.com/office/drawing/2014/main" id="{00000000-0008-0000-0800-0000279C0600}"/>
              </a:ext>
            </a:extLst>
          </xdr:cNvPr>
          <xdr:cNvSpPr>
            <a:spLocks/>
          </xdr:cNvSpPr>
        </xdr:nvSpPr>
        <xdr:spPr bwMode="auto">
          <a:xfrm>
            <a:off x="2457450" y="3363707"/>
            <a:ext cx="290593" cy="806059"/>
          </a:xfrm>
          <a:custGeom>
            <a:avLst/>
            <a:gdLst>
              <a:gd name="T0" fmla="*/ 76200 w 290593"/>
              <a:gd name="T1" fmla="*/ 75 h 817667"/>
              <a:gd name="T2" fmla="*/ 76200 w 290593"/>
              <a:gd name="T3" fmla="*/ 75 h 817667"/>
              <a:gd name="T4" fmla="*/ 95250 w 290593"/>
              <a:gd name="T5" fmla="*/ 737 h 817667"/>
              <a:gd name="T6" fmla="*/ 38100 w 290593"/>
              <a:gd name="T7" fmla="*/ 832 h 817667"/>
              <a:gd name="T8" fmla="*/ 85725 w 290593"/>
              <a:gd name="T9" fmla="*/ 1069 h 817667"/>
              <a:gd name="T10" fmla="*/ 65211 w 290593"/>
              <a:gd name="T11" fmla="*/ 1454 h 817667"/>
              <a:gd name="T12" fmla="*/ 28575 w 290593"/>
              <a:gd name="T13" fmla="*/ 1925 h 817667"/>
              <a:gd name="T14" fmla="*/ 28575 w 290593"/>
              <a:gd name="T15" fmla="*/ 2447 h 817667"/>
              <a:gd name="T16" fmla="*/ 47625 w 290593"/>
              <a:gd name="T17" fmla="*/ 2591 h 817667"/>
              <a:gd name="T18" fmla="*/ 38100 w 290593"/>
              <a:gd name="T19" fmla="*/ 2875 h 817667"/>
              <a:gd name="T20" fmla="*/ 9525 w 290593"/>
              <a:gd name="T21" fmla="*/ 2921 h 817667"/>
              <a:gd name="T22" fmla="*/ 0 w 290593"/>
              <a:gd name="T23" fmla="*/ 3066 h 817667"/>
              <a:gd name="T24" fmla="*/ 19050 w 290593"/>
              <a:gd name="T25" fmla="*/ 3349 h 817667"/>
              <a:gd name="T26" fmla="*/ 57150 w 290593"/>
              <a:gd name="T27" fmla="*/ 3634 h 817667"/>
              <a:gd name="T28" fmla="*/ 57150 w 290593"/>
              <a:gd name="T29" fmla="*/ 4062 h 817667"/>
              <a:gd name="T30" fmla="*/ 266700 w 290593"/>
              <a:gd name="T31" fmla="*/ 3871 h 817667"/>
              <a:gd name="T32" fmla="*/ 266700 w 290593"/>
              <a:gd name="T33" fmla="*/ 2542 h 817667"/>
              <a:gd name="T34" fmla="*/ 285750 w 290593"/>
              <a:gd name="T35" fmla="*/ 216 h 817667"/>
              <a:gd name="T36" fmla="*/ 76200 w 290593"/>
              <a:gd name="T37" fmla="*/ 75 h 817667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w 290593"/>
              <a:gd name="T58" fmla="*/ 0 h 817667"/>
              <a:gd name="T59" fmla="*/ 290593 w 290593"/>
              <a:gd name="T60" fmla="*/ 817667 h 817667"/>
            </a:gdLst>
            <a:ahLst/>
            <a:cxnLst>
              <a:cxn ang="T38">
                <a:pos x="T0" y="T1"/>
              </a:cxn>
              <a:cxn ang="T39">
                <a:pos x="T2" y="T3"/>
              </a:cxn>
              <a:cxn ang="T40">
                <a:pos x="T4" y="T5"/>
              </a:cxn>
              <a:cxn ang="T41">
                <a:pos x="T6" y="T7"/>
              </a:cxn>
              <a:cxn ang="T42">
                <a:pos x="T8" y="T9"/>
              </a:cxn>
              <a:cxn ang="T43">
                <a:pos x="T10" y="T11"/>
              </a:cxn>
              <a:cxn ang="T44">
                <a:pos x="T12" y="T13"/>
              </a:cxn>
              <a:cxn ang="T45">
                <a:pos x="T14" y="T15"/>
              </a:cxn>
              <a:cxn ang="T46">
                <a:pos x="T16" y="T17"/>
              </a:cxn>
              <a:cxn ang="T47">
                <a:pos x="T18" y="T19"/>
              </a:cxn>
              <a:cxn ang="T48">
                <a:pos x="T20" y="T21"/>
              </a:cxn>
              <a:cxn ang="T49">
                <a:pos x="T22" y="T23"/>
              </a:cxn>
              <a:cxn ang="T50">
                <a:pos x="T24" y="T25"/>
              </a:cxn>
              <a:cxn ang="T51">
                <a:pos x="T26" y="T27"/>
              </a:cxn>
              <a:cxn ang="T52">
                <a:pos x="T28" y="T29"/>
              </a:cxn>
              <a:cxn ang="T53">
                <a:pos x="T30" y="T31"/>
              </a:cxn>
              <a:cxn ang="T54">
                <a:pos x="T32" y="T33"/>
              </a:cxn>
              <a:cxn ang="T55">
                <a:pos x="T34" y="T35"/>
              </a:cxn>
              <a:cxn ang="T56">
                <a:pos x="T36" y="T37"/>
              </a:cxn>
            </a:cxnLst>
            <a:rect l="T57" t="T58" r="T59" b="T60"/>
            <a:pathLst>
              <a:path w="290593" h="817667">
                <a:moveTo>
                  <a:pt x="76200" y="14613"/>
                </a:moveTo>
                <a:lnTo>
                  <a:pt x="76200" y="14613"/>
                </a:lnTo>
                <a:cubicBezTo>
                  <a:pt x="86511" y="42109"/>
                  <a:pt x="127065" y="111603"/>
                  <a:pt x="95250" y="147963"/>
                </a:cubicBezTo>
                <a:cubicBezTo>
                  <a:pt x="82027" y="163075"/>
                  <a:pt x="38100" y="167013"/>
                  <a:pt x="38100" y="167013"/>
                </a:cubicBezTo>
                <a:cubicBezTo>
                  <a:pt x="52096" y="176344"/>
                  <a:pt x="84429" y="192607"/>
                  <a:pt x="85725" y="214638"/>
                </a:cubicBezTo>
                <a:cubicBezTo>
                  <a:pt x="86693" y="231091"/>
                  <a:pt x="106075" y="259086"/>
                  <a:pt x="65211" y="291777"/>
                </a:cubicBezTo>
                <a:cubicBezTo>
                  <a:pt x="57371" y="298049"/>
                  <a:pt x="38100" y="382913"/>
                  <a:pt x="28575" y="386088"/>
                </a:cubicBezTo>
                <a:cubicBezTo>
                  <a:pt x="13701" y="430709"/>
                  <a:pt x="10804" y="425702"/>
                  <a:pt x="28575" y="490863"/>
                </a:cubicBezTo>
                <a:cubicBezTo>
                  <a:pt x="31587" y="501907"/>
                  <a:pt x="41275" y="509913"/>
                  <a:pt x="47625" y="519438"/>
                </a:cubicBezTo>
                <a:cubicBezTo>
                  <a:pt x="44450" y="538488"/>
                  <a:pt x="47682" y="559820"/>
                  <a:pt x="38100" y="576588"/>
                </a:cubicBezTo>
                <a:cubicBezTo>
                  <a:pt x="33119" y="585305"/>
                  <a:pt x="16625" y="579013"/>
                  <a:pt x="9525" y="586113"/>
                </a:cubicBezTo>
                <a:cubicBezTo>
                  <a:pt x="2425" y="593213"/>
                  <a:pt x="3175" y="605163"/>
                  <a:pt x="0" y="614688"/>
                </a:cubicBezTo>
                <a:cubicBezTo>
                  <a:pt x="6350" y="633738"/>
                  <a:pt x="7911" y="655130"/>
                  <a:pt x="19050" y="671838"/>
                </a:cubicBezTo>
                <a:lnTo>
                  <a:pt x="57150" y="728988"/>
                </a:lnTo>
                <a:cubicBezTo>
                  <a:pt x="51516" y="745889"/>
                  <a:pt x="26742" y="805357"/>
                  <a:pt x="57150" y="814713"/>
                </a:cubicBezTo>
                <a:cubicBezTo>
                  <a:pt x="66751" y="817667"/>
                  <a:pt x="248114" y="780330"/>
                  <a:pt x="266700" y="776613"/>
                </a:cubicBezTo>
                <a:cubicBezTo>
                  <a:pt x="290593" y="633254"/>
                  <a:pt x="266700" y="801168"/>
                  <a:pt x="266700" y="509913"/>
                </a:cubicBezTo>
                <a:cubicBezTo>
                  <a:pt x="266700" y="283161"/>
                  <a:pt x="272633" y="226829"/>
                  <a:pt x="285750" y="43188"/>
                </a:cubicBezTo>
                <a:cubicBezTo>
                  <a:pt x="199373" y="0"/>
                  <a:pt x="111125" y="19376"/>
                  <a:pt x="76200" y="14613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cap="flat" cmpd="sng" algn="ctr">
                <a:solidFill>
                  <a:srgbClr val="000000"/>
                </a:solidFill>
                <a:prstDash val="solid"/>
                <a:round/>
                <a:headEnd type="none" w="med" len="med"/>
                <a:tailEnd type="none" w="med" len="med"/>
              </a14:hiddenLine>
            </a:ext>
          </a:extLst>
        </xdr:spPr>
      </xdr:sp>
    </xdr:grpSp>
    <xdr:clientData/>
  </xdr:twoCellAnchor>
  <xdr:twoCellAnchor editAs="oneCell">
    <xdr:from>
      <xdr:col>45</xdr:col>
      <xdr:colOff>144780</xdr:colOff>
      <xdr:row>1</xdr:row>
      <xdr:rowOff>106680</xdr:rowOff>
    </xdr:from>
    <xdr:to>
      <xdr:col>63</xdr:col>
      <xdr:colOff>487680</xdr:colOff>
      <xdr:row>4</xdr:row>
      <xdr:rowOff>144780</xdr:rowOff>
    </xdr:to>
    <xdr:pic>
      <xdr:nvPicPr>
        <xdr:cNvPr id="433187" name="Picture 24">
          <a:extLst>
            <a:ext uri="{FF2B5EF4-FFF2-40B4-BE49-F238E27FC236}">
              <a16:creationId xmlns:a16="http://schemas.microsoft.com/office/drawing/2014/main" id="{00000000-0008-0000-0800-0000239C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266700"/>
          <a:ext cx="960120" cy="777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0</xdr:colOff>
      <xdr:row>5</xdr:row>
      <xdr:rowOff>0</xdr:rowOff>
    </xdr:from>
    <xdr:to>
      <xdr:col>35</xdr:col>
      <xdr:colOff>30480</xdr:colOff>
      <xdr:row>13</xdr:row>
      <xdr:rowOff>160020</xdr:rowOff>
    </xdr:to>
    <xdr:pic>
      <xdr:nvPicPr>
        <xdr:cNvPr id="433188" name="Obrázek 7">
          <a:extLst>
            <a:ext uri="{FF2B5EF4-FFF2-40B4-BE49-F238E27FC236}">
              <a16:creationId xmlns:a16="http://schemas.microsoft.com/office/drawing/2014/main" id="{00000000-0008-0000-0800-0000249C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1160" y="1082040"/>
          <a:ext cx="2377440" cy="1623060"/>
        </a:xfrm>
        <a:prstGeom prst="rect">
          <a:avLst/>
        </a:prstGeom>
        <a:noFill/>
        <a:ln w="28575">
          <a:solidFill>
            <a:srgbClr val="A6A6A6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45</xdr:col>
      <xdr:colOff>144780</xdr:colOff>
      <xdr:row>1</xdr:row>
      <xdr:rowOff>106680</xdr:rowOff>
    </xdr:from>
    <xdr:to>
      <xdr:col>63</xdr:col>
      <xdr:colOff>487680</xdr:colOff>
      <xdr:row>4</xdr:row>
      <xdr:rowOff>144780</xdr:rowOff>
    </xdr:to>
    <xdr:pic>
      <xdr:nvPicPr>
        <xdr:cNvPr id="411920" name="Picture 24">
          <a:extLst>
            <a:ext uri="{FF2B5EF4-FFF2-40B4-BE49-F238E27FC236}">
              <a16:creationId xmlns:a16="http://schemas.microsoft.com/office/drawing/2014/main" id="{00000000-0008-0000-0900-00001049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266700"/>
          <a:ext cx="960120" cy="777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205740</xdr:colOff>
      <xdr:row>4</xdr:row>
      <xdr:rowOff>91440</xdr:rowOff>
    </xdr:from>
    <xdr:to>
      <xdr:col>23</xdr:col>
      <xdr:colOff>137160</xdr:colOff>
      <xdr:row>14</xdr:row>
      <xdr:rowOff>22860</xdr:rowOff>
    </xdr:to>
    <xdr:grpSp>
      <xdr:nvGrpSpPr>
        <xdr:cNvPr id="411921" name="Skupina 1">
          <a:extLst>
            <a:ext uri="{FF2B5EF4-FFF2-40B4-BE49-F238E27FC236}">
              <a16:creationId xmlns:a16="http://schemas.microsoft.com/office/drawing/2014/main" id="{00000000-0008-0000-0900-000011490600}"/>
            </a:ext>
          </a:extLst>
        </xdr:cNvPr>
        <xdr:cNvGrpSpPr>
          <a:grpSpLocks/>
        </xdr:cNvGrpSpPr>
      </xdr:nvGrpSpPr>
      <xdr:grpSpPr bwMode="auto">
        <a:xfrm>
          <a:off x="3614687" y="989798"/>
          <a:ext cx="2257526" cy="1776262"/>
          <a:chOff x="3368842" y="986589"/>
          <a:chExt cx="2097104" cy="1776257"/>
        </a:xfrm>
      </xdr:grpSpPr>
      <xdr:sp macro="" textlink="">
        <xdr:nvSpPr>
          <xdr:cNvPr id="411923" name="Obdélník 19">
            <a:extLst>
              <a:ext uri="{FF2B5EF4-FFF2-40B4-BE49-F238E27FC236}">
                <a16:creationId xmlns:a16="http://schemas.microsoft.com/office/drawing/2014/main" id="{00000000-0008-0000-0900-000013490600}"/>
              </a:ext>
            </a:extLst>
          </xdr:cNvPr>
          <xdr:cNvSpPr>
            <a:spLocks noChangeArrowheads="1"/>
          </xdr:cNvSpPr>
        </xdr:nvSpPr>
        <xdr:spPr bwMode="auto">
          <a:xfrm>
            <a:off x="3512047" y="2205790"/>
            <a:ext cx="1657085" cy="275860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11924" name="Obdélník 19">
            <a:extLst>
              <a:ext uri="{FF2B5EF4-FFF2-40B4-BE49-F238E27FC236}">
                <a16:creationId xmlns:a16="http://schemas.microsoft.com/office/drawing/2014/main" id="{00000000-0008-0000-0900-000014490600}"/>
              </a:ext>
            </a:extLst>
          </xdr:cNvPr>
          <xdr:cNvSpPr>
            <a:spLocks noChangeArrowheads="1"/>
          </xdr:cNvSpPr>
        </xdr:nvSpPr>
        <xdr:spPr bwMode="auto">
          <a:xfrm>
            <a:off x="3553326" y="1211179"/>
            <a:ext cx="1657085" cy="970547"/>
          </a:xfrm>
          <a:prstGeom prst="rect">
            <a:avLst/>
          </a:prstGeom>
          <a:solidFill>
            <a:srgbClr val="C6D9F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11925" name="Obdélník 18">
            <a:extLst>
              <a:ext uri="{FF2B5EF4-FFF2-40B4-BE49-F238E27FC236}">
                <a16:creationId xmlns:a16="http://schemas.microsoft.com/office/drawing/2014/main" id="{00000000-0008-0000-0900-000015490600}"/>
              </a:ext>
            </a:extLst>
          </xdr:cNvPr>
          <xdr:cNvSpPr>
            <a:spLocks noChangeArrowheads="1"/>
          </xdr:cNvSpPr>
        </xdr:nvSpPr>
        <xdr:spPr bwMode="auto">
          <a:xfrm>
            <a:off x="3368842" y="989697"/>
            <a:ext cx="184123" cy="1666799"/>
          </a:xfrm>
          <a:prstGeom prst="rect">
            <a:avLst/>
          </a:prstGeom>
          <a:solidFill>
            <a:srgbClr val="FFFFE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11926" name="Volný tvar 20">
            <a:extLst>
              <a:ext uri="{FF2B5EF4-FFF2-40B4-BE49-F238E27FC236}">
                <a16:creationId xmlns:a16="http://schemas.microsoft.com/office/drawing/2014/main" id="{00000000-0008-0000-0900-000016490600}"/>
              </a:ext>
            </a:extLst>
          </xdr:cNvPr>
          <xdr:cNvSpPr>
            <a:spLocks/>
          </xdr:cNvSpPr>
        </xdr:nvSpPr>
        <xdr:spPr bwMode="auto">
          <a:xfrm>
            <a:off x="4841809" y="986589"/>
            <a:ext cx="624137" cy="1776257"/>
          </a:xfrm>
          <a:custGeom>
            <a:avLst/>
            <a:gdLst>
              <a:gd name="T0" fmla="*/ 2147483646 w 290593"/>
              <a:gd name="T1" fmla="*/ 107994243 h 817667"/>
              <a:gd name="T2" fmla="*/ 2147483646 w 290593"/>
              <a:gd name="T3" fmla="*/ 107994243 h 817667"/>
              <a:gd name="T4" fmla="*/ 2147483646 w 290593"/>
              <a:gd name="T5" fmla="*/ 1107104460 h 817667"/>
              <a:gd name="T6" fmla="*/ 2147483646 w 290593"/>
              <a:gd name="T7" fmla="*/ 1248751123 h 817667"/>
              <a:gd name="T8" fmla="*/ 2147483646 w 290593"/>
              <a:gd name="T9" fmla="*/ 1606677617 h 817667"/>
              <a:gd name="T10" fmla="*/ 2147483646 w 290593"/>
              <a:gd name="T11" fmla="*/ 2147483646 h 817667"/>
              <a:gd name="T12" fmla="*/ 2147483646 w 290593"/>
              <a:gd name="T13" fmla="*/ 2147483646 h 817667"/>
              <a:gd name="T14" fmla="*/ 2147483646 w 290593"/>
              <a:gd name="T15" fmla="*/ 2147483646 h 817667"/>
              <a:gd name="T16" fmla="*/ 2147483646 w 290593"/>
              <a:gd name="T17" fmla="*/ 2147483646 h 817667"/>
              <a:gd name="T18" fmla="*/ 2147483646 w 290593"/>
              <a:gd name="T19" fmla="*/ 2147483646 h 817667"/>
              <a:gd name="T20" fmla="*/ 2147483646 w 290593"/>
              <a:gd name="T21" fmla="*/ 2147483646 h 817667"/>
              <a:gd name="T22" fmla="*/ 0 w 290593"/>
              <a:gd name="T23" fmla="*/ 2147483646 h 817667"/>
              <a:gd name="T24" fmla="*/ 2147483646 w 290593"/>
              <a:gd name="T25" fmla="*/ 2147483646 h 817667"/>
              <a:gd name="T26" fmla="*/ 2147483646 w 290593"/>
              <a:gd name="T27" fmla="*/ 2147483646 h 817667"/>
              <a:gd name="T28" fmla="*/ 2147483646 w 290593"/>
              <a:gd name="T29" fmla="*/ 2147483646 h 817667"/>
              <a:gd name="T30" fmla="*/ 2147483646 w 290593"/>
              <a:gd name="T31" fmla="*/ 2147483646 h 817667"/>
              <a:gd name="T32" fmla="*/ 2147483646 w 290593"/>
              <a:gd name="T33" fmla="*/ 2147483646 h 817667"/>
              <a:gd name="T34" fmla="*/ 2147483646 w 290593"/>
              <a:gd name="T35" fmla="*/ 322678155 h 817667"/>
              <a:gd name="T36" fmla="*/ 2147483646 w 290593"/>
              <a:gd name="T37" fmla="*/ 107994243 h 817667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w 290593"/>
              <a:gd name="T58" fmla="*/ 0 h 817667"/>
              <a:gd name="T59" fmla="*/ 290593 w 290593"/>
              <a:gd name="T60" fmla="*/ 817667 h 817667"/>
            </a:gdLst>
            <a:ahLst/>
            <a:cxnLst>
              <a:cxn ang="T38">
                <a:pos x="T0" y="T1"/>
              </a:cxn>
              <a:cxn ang="T39">
                <a:pos x="T2" y="T3"/>
              </a:cxn>
              <a:cxn ang="T40">
                <a:pos x="T4" y="T5"/>
              </a:cxn>
              <a:cxn ang="T41">
                <a:pos x="T6" y="T7"/>
              </a:cxn>
              <a:cxn ang="T42">
                <a:pos x="T8" y="T9"/>
              </a:cxn>
              <a:cxn ang="T43">
                <a:pos x="T10" y="T11"/>
              </a:cxn>
              <a:cxn ang="T44">
                <a:pos x="T12" y="T13"/>
              </a:cxn>
              <a:cxn ang="T45">
                <a:pos x="T14" y="T15"/>
              </a:cxn>
              <a:cxn ang="T46">
                <a:pos x="T16" y="T17"/>
              </a:cxn>
              <a:cxn ang="T47">
                <a:pos x="T18" y="T19"/>
              </a:cxn>
              <a:cxn ang="T48">
                <a:pos x="T20" y="T21"/>
              </a:cxn>
              <a:cxn ang="T49">
                <a:pos x="T22" y="T23"/>
              </a:cxn>
              <a:cxn ang="T50">
                <a:pos x="T24" y="T25"/>
              </a:cxn>
              <a:cxn ang="T51">
                <a:pos x="T26" y="T27"/>
              </a:cxn>
              <a:cxn ang="T52">
                <a:pos x="T28" y="T29"/>
              </a:cxn>
              <a:cxn ang="T53">
                <a:pos x="T30" y="T31"/>
              </a:cxn>
              <a:cxn ang="T54">
                <a:pos x="T32" y="T33"/>
              </a:cxn>
              <a:cxn ang="T55">
                <a:pos x="T34" y="T35"/>
              </a:cxn>
              <a:cxn ang="T56">
                <a:pos x="T36" y="T37"/>
              </a:cxn>
            </a:cxnLst>
            <a:rect l="T57" t="T58" r="T59" b="T60"/>
            <a:pathLst>
              <a:path w="290593" h="817667">
                <a:moveTo>
                  <a:pt x="76200" y="14613"/>
                </a:moveTo>
                <a:lnTo>
                  <a:pt x="76200" y="14613"/>
                </a:lnTo>
                <a:cubicBezTo>
                  <a:pt x="86511" y="42109"/>
                  <a:pt x="127065" y="111603"/>
                  <a:pt x="95250" y="147963"/>
                </a:cubicBezTo>
                <a:cubicBezTo>
                  <a:pt x="82027" y="163075"/>
                  <a:pt x="38100" y="167013"/>
                  <a:pt x="38100" y="167013"/>
                </a:cubicBezTo>
                <a:cubicBezTo>
                  <a:pt x="52096" y="176344"/>
                  <a:pt x="84429" y="192607"/>
                  <a:pt x="85725" y="214638"/>
                </a:cubicBezTo>
                <a:cubicBezTo>
                  <a:pt x="86693" y="231091"/>
                  <a:pt x="106075" y="259086"/>
                  <a:pt x="65211" y="291777"/>
                </a:cubicBezTo>
                <a:cubicBezTo>
                  <a:pt x="57371" y="298049"/>
                  <a:pt x="38100" y="382913"/>
                  <a:pt x="28575" y="386088"/>
                </a:cubicBezTo>
                <a:cubicBezTo>
                  <a:pt x="13701" y="430709"/>
                  <a:pt x="10804" y="425702"/>
                  <a:pt x="28575" y="490863"/>
                </a:cubicBezTo>
                <a:cubicBezTo>
                  <a:pt x="31587" y="501907"/>
                  <a:pt x="41275" y="509913"/>
                  <a:pt x="47625" y="519438"/>
                </a:cubicBezTo>
                <a:cubicBezTo>
                  <a:pt x="44450" y="538488"/>
                  <a:pt x="47682" y="559820"/>
                  <a:pt x="38100" y="576588"/>
                </a:cubicBezTo>
                <a:cubicBezTo>
                  <a:pt x="33119" y="585305"/>
                  <a:pt x="16625" y="579013"/>
                  <a:pt x="9525" y="586113"/>
                </a:cubicBezTo>
                <a:cubicBezTo>
                  <a:pt x="2425" y="593213"/>
                  <a:pt x="3175" y="605163"/>
                  <a:pt x="0" y="614688"/>
                </a:cubicBezTo>
                <a:cubicBezTo>
                  <a:pt x="6350" y="633738"/>
                  <a:pt x="7911" y="655130"/>
                  <a:pt x="19050" y="671838"/>
                </a:cubicBezTo>
                <a:lnTo>
                  <a:pt x="57150" y="728988"/>
                </a:lnTo>
                <a:cubicBezTo>
                  <a:pt x="51516" y="745889"/>
                  <a:pt x="26742" y="805357"/>
                  <a:pt x="57150" y="814713"/>
                </a:cubicBezTo>
                <a:cubicBezTo>
                  <a:pt x="66751" y="817667"/>
                  <a:pt x="248114" y="780330"/>
                  <a:pt x="266700" y="776613"/>
                </a:cubicBezTo>
                <a:cubicBezTo>
                  <a:pt x="290593" y="633254"/>
                  <a:pt x="266700" y="801168"/>
                  <a:pt x="266700" y="509913"/>
                </a:cubicBezTo>
                <a:cubicBezTo>
                  <a:pt x="266700" y="283161"/>
                  <a:pt x="272633" y="226829"/>
                  <a:pt x="285750" y="43188"/>
                </a:cubicBezTo>
                <a:cubicBezTo>
                  <a:pt x="199373" y="0"/>
                  <a:pt x="111125" y="19376"/>
                  <a:pt x="76200" y="14613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cap="flat" cmpd="sng" algn="ctr">
                <a:solidFill>
                  <a:srgbClr val="000000"/>
                </a:solidFill>
                <a:prstDash val="solid"/>
                <a:round/>
                <a:headEnd type="none" w="med" len="med"/>
                <a:tailEnd type="none" w="med" len="med"/>
              </a14:hiddenLine>
            </a:ext>
          </a:extLst>
        </xdr:spPr>
      </xdr:sp>
    </xdr:grpSp>
    <xdr:clientData/>
  </xdr:twoCellAnchor>
  <xdr:twoCellAnchor editAs="oneCell">
    <xdr:from>
      <xdr:col>24</xdr:col>
      <xdr:colOff>0</xdr:colOff>
      <xdr:row>5</xdr:row>
      <xdr:rowOff>0</xdr:rowOff>
    </xdr:from>
    <xdr:to>
      <xdr:col>35</xdr:col>
      <xdr:colOff>30480</xdr:colOff>
      <xdr:row>13</xdr:row>
      <xdr:rowOff>160020</xdr:rowOff>
    </xdr:to>
    <xdr:pic>
      <xdr:nvPicPr>
        <xdr:cNvPr id="411922" name="Obrázek 8">
          <a:extLst>
            <a:ext uri="{FF2B5EF4-FFF2-40B4-BE49-F238E27FC236}">
              <a16:creationId xmlns:a16="http://schemas.microsoft.com/office/drawing/2014/main" id="{00000000-0008-0000-0900-00001249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1160" y="1082040"/>
          <a:ext cx="2377440" cy="1623060"/>
        </a:xfrm>
        <a:prstGeom prst="rect">
          <a:avLst/>
        </a:prstGeom>
        <a:noFill/>
        <a:ln w="28575">
          <a:solidFill>
            <a:srgbClr val="A6A6A6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4</xdr:row>
      <xdr:rowOff>160020</xdr:rowOff>
    </xdr:from>
    <xdr:to>
      <xdr:col>23</xdr:col>
      <xdr:colOff>76200</xdr:colOff>
      <xdr:row>14</xdr:row>
      <xdr:rowOff>7620</xdr:rowOff>
    </xdr:to>
    <xdr:grpSp>
      <xdr:nvGrpSpPr>
        <xdr:cNvPr id="396067" name="Skupina 102">
          <a:extLst>
            <a:ext uri="{FF2B5EF4-FFF2-40B4-BE49-F238E27FC236}">
              <a16:creationId xmlns:a16="http://schemas.microsoft.com/office/drawing/2014/main" id="{00000000-0008-0000-0A00-0000230B0600}"/>
            </a:ext>
          </a:extLst>
        </xdr:cNvPr>
        <xdr:cNvGrpSpPr>
          <a:grpSpLocks noChangeAspect="1"/>
        </xdr:cNvGrpSpPr>
      </xdr:nvGrpSpPr>
      <xdr:grpSpPr bwMode="auto">
        <a:xfrm>
          <a:off x="3641558" y="1058378"/>
          <a:ext cx="2169695" cy="1692442"/>
          <a:chOff x="1800224" y="3409923"/>
          <a:chExt cx="947819" cy="707831"/>
        </a:xfrm>
      </xdr:grpSpPr>
      <xdr:sp macro="" textlink="">
        <xdr:nvSpPr>
          <xdr:cNvPr id="396076" name="Obdélník 103">
            <a:extLst>
              <a:ext uri="{FF2B5EF4-FFF2-40B4-BE49-F238E27FC236}">
                <a16:creationId xmlns:a16="http://schemas.microsoft.com/office/drawing/2014/main" id="{00000000-0008-0000-0A00-00002C0B0600}"/>
              </a:ext>
            </a:extLst>
          </xdr:cNvPr>
          <xdr:cNvSpPr>
            <a:spLocks noChangeArrowheads="1"/>
          </xdr:cNvSpPr>
        </xdr:nvSpPr>
        <xdr:spPr bwMode="auto">
          <a:xfrm>
            <a:off x="1838324" y="3695700"/>
            <a:ext cx="771525" cy="304800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396077" name="Obdélník 104">
            <a:extLst>
              <a:ext uri="{FF2B5EF4-FFF2-40B4-BE49-F238E27FC236}">
                <a16:creationId xmlns:a16="http://schemas.microsoft.com/office/drawing/2014/main" id="{00000000-0008-0000-0A00-00002D0B0600}"/>
              </a:ext>
            </a:extLst>
          </xdr:cNvPr>
          <xdr:cNvSpPr>
            <a:spLocks noChangeArrowheads="1"/>
          </xdr:cNvSpPr>
        </xdr:nvSpPr>
        <xdr:spPr bwMode="auto">
          <a:xfrm>
            <a:off x="1800224" y="3562350"/>
            <a:ext cx="54000" cy="478800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396078" name="Volný tvar 105">
            <a:extLst>
              <a:ext uri="{FF2B5EF4-FFF2-40B4-BE49-F238E27FC236}">
                <a16:creationId xmlns:a16="http://schemas.microsoft.com/office/drawing/2014/main" id="{00000000-0008-0000-0A00-00002E0B0600}"/>
              </a:ext>
            </a:extLst>
          </xdr:cNvPr>
          <xdr:cNvSpPr>
            <a:spLocks/>
          </xdr:cNvSpPr>
        </xdr:nvSpPr>
        <xdr:spPr bwMode="auto">
          <a:xfrm>
            <a:off x="2457450" y="3409923"/>
            <a:ext cx="290593" cy="707831"/>
          </a:xfrm>
          <a:custGeom>
            <a:avLst/>
            <a:gdLst>
              <a:gd name="T0" fmla="*/ 177463 w 290593"/>
              <a:gd name="T1" fmla="*/ 34953 h 707831"/>
              <a:gd name="T2" fmla="*/ 95250 w 290593"/>
              <a:gd name="T3" fmla="*/ 38127 h 707831"/>
              <a:gd name="T4" fmla="*/ 38100 w 290593"/>
              <a:gd name="T5" fmla="*/ 57177 h 707831"/>
              <a:gd name="T6" fmla="*/ 85725 w 290593"/>
              <a:gd name="T7" fmla="*/ 104802 h 707831"/>
              <a:gd name="T8" fmla="*/ 57150 w 290593"/>
              <a:gd name="T9" fmla="*/ 266727 h 707831"/>
              <a:gd name="T10" fmla="*/ 28575 w 290593"/>
              <a:gd name="T11" fmla="*/ 276252 h 707831"/>
              <a:gd name="T12" fmla="*/ 28575 w 290593"/>
              <a:gd name="T13" fmla="*/ 381027 h 707831"/>
              <a:gd name="T14" fmla="*/ 47625 w 290593"/>
              <a:gd name="T15" fmla="*/ 409602 h 707831"/>
              <a:gd name="T16" fmla="*/ 38100 w 290593"/>
              <a:gd name="T17" fmla="*/ 466752 h 707831"/>
              <a:gd name="T18" fmla="*/ 9525 w 290593"/>
              <a:gd name="T19" fmla="*/ 476277 h 707831"/>
              <a:gd name="T20" fmla="*/ 0 w 290593"/>
              <a:gd name="T21" fmla="*/ 504852 h 707831"/>
              <a:gd name="T22" fmla="*/ 19050 w 290593"/>
              <a:gd name="T23" fmla="*/ 562002 h 707831"/>
              <a:gd name="T24" fmla="*/ 57150 w 290593"/>
              <a:gd name="T25" fmla="*/ 619152 h 707831"/>
              <a:gd name="T26" fmla="*/ 57150 w 290593"/>
              <a:gd name="T27" fmla="*/ 704877 h 707831"/>
              <a:gd name="T28" fmla="*/ 266700 w 290593"/>
              <a:gd name="T29" fmla="*/ 666777 h 707831"/>
              <a:gd name="T30" fmla="*/ 266700 w 290593"/>
              <a:gd name="T31" fmla="*/ 400077 h 707831"/>
              <a:gd name="T32" fmla="*/ 277649 w 290593"/>
              <a:gd name="T33" fmla="*/ 43188 h 707831"/>
              <a:gd name="T34" fmla="*/ 177463 w 290593"/>
              <a:gd name="T35" fmla="*/ 34953 h 707831"/>
              <a:gd name="T36" fmla="*/ 0 60000 65536"/>
              <a:gd name="T37" fmla="*/ 0 60000 65536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w 290593"/>
              <a:gd name="T55" fmla="*/ 0 h 707831"/>
              <a:gd name="T56" fmla="*/ 290593 w 290593"/>
              <a:gd name="T57" fmla="*/ 707831 h 707831"/>
            </a:gdLst>
            <a:ahLst/>
            <a:cxnLst>
              <a:cxn ang="T36">
                <a:pos x="T0" y="T1"/>
              </a:cxn>
              <a:cxn ang="T37">
                <a:pos x="T2" y="T3"/>
              </a:cxn>
              <a:cxn ang="T38">
                <a:pos x="T4" y="T5"/>
              </a:cxn>
              <a:cxn ang="T39">
                <a:pos x="T6" y="T7"/>
              </a:cxn>
              <a:cxn ang="T40">
                <a:pos x="T8" y="T9"/>
              </a:cxn>
              <a:cxn ang="T41">
                <a:pos x="T10" y="T11"/>
              </a:cxn>
              <a:cxn ang="T42">
                <a:pos x="T12" y="T13"/>
              </a:cxn>
              <a:cxn ang="T43">
                <a:pos x="T14" y="T15"/>
              </a:cxn>
              <a:cxn ang="T44">
                <a:pos x="T16" y="T17"/>
              </a:cxn>
              <a:cxn ang="T45">
                <a:pos x="T18" y="T19"/>
              </a:cxn>
              <a:cxn ang="T46">
                <a:pos x="T20" y="T21"/>
              </a:cxn>
              <a:cxn ang="T47">
                <a:pos x="T22" y="T23"/>
              </a:cxn>
              <a:cxn ang="T48">
                <a:pos x="T24" y="T25"/>
              </a:cxn>
              <a:cxn ang="T49">
                <a:pos x="T26" y="T27"/>
              </a:cxn>
              <a:cxn ang="T50">
                <a:pos x="T28" y="T29"/>
              </a:cxn>
              <a:cxn ang="T51">
                <a:pos x="T30" y="T31"/>
              </a:cxn>
              <a:cxn ang="T52">
                <a:pos x="T32" y="T33"/>
              </a:cxn>
              <a:cxn ang="T53">
                <a:pos x="T34" y="T35"/>
              </a:cxn>
            </a:cxnLst>
            <a:rect l="T54" t="T55" r="T56" b="T57"/>
            <a:pathLst>
              <a:path w="290593" h="707831">
                <a:moveTo>
                  <a:pt x="177463" y="34953"/>
                </a:moveTo>
                <a:lnTo>
                  <a:pt x="95250" y="38127"/>
                </a:lnTo>
                <a:cubicBezTo>
                  <a:pt x="82027" y="53239"/>
                  <a:pt x="38100" y="57177"/>
                  <a:pt x="38100" y="57177"/>
                </a:cubicBezTo>
                <a:cubicBezTo>
                  <a:pt x="52096" y="66508"/>
                  <a:pt x="84429" y="82771"/>
                  <a:pt x="85725" y="104802"/>
                </a:cubicBezTo>
                <a:cubicBezTo>
                  <a:pt x="86693" y="121255"/>
                  <a:pt x="98014" y="234036"/>
                  <a:pt x="57150" y="266727"/>
                </a:cubicBezTo>
                <a:cubicBezTo>
                  <a:pt x="49310" y="272999"/>
                  <a:pt x="38100" y="273077"/>
                  <a:pt x="28575" y="276252"/>
                </a:cubicBezTo>
                <a:cubicBezTo>
                  <a:pt x="13701" y="320873"/>
                  <a:pt x="10804" y="315866"/>
                  <a:pt x="28575" y="381027"/>
                </a:cubicBezTo>
                <a:cubicBezTo>
                  <a:pt x="31587" y="392071"/>
                  <a:pt x="41275" y="400077"/>
                  <a:pt x="47625" y="409602"/>
                </a:cubicBezTo>
                <a:cubicBezTo>
                  <a:pt x="44450" y="428652"/>
                  <a:pt x="47682" y="449984"/>
                  <a:pt x="38100" y="466752"/>
                </a:cubicBezTo>
                <a:cubicBezTo>
                  <a:pt x="33119" y="475469"/>
                  <a:pt x="16625" y="469177"/>
                  <a:pt x="9525" y="476277"/>
                </a:cubicBezTo>
                <a:cubicBezTo>
                  <a:pt x="2425" y="483377"/>
                  <a:pt x="3175" y="495327"/>
                  <a:pt x="0" y="504852"/>
                </a:cubicBezTo>
                <a:cubicBezTo>
                  <a:pt x="6350" y="523902"/>
                  <a:pt x="7911" y="545294"/>
                  <a:pt x="19050" y="562002"/>
                </a:cubicBezTo>
                <a:lnTo>
                  <a:pt x="57150" y="619152"/>
                </a:lnTo>
                <a:cubicBezTo>
                  <a:pt x="51516" y="636053"/>
                  <a:pt x="26742" y="695521"/>
                  <a:pt x="57150" y="704877"/>
                </a:cubicBezTo>
                <a:cubicBezTo>
                  <a:pt x="66751" y="707831"/>
                  <a:pt x="248114" y="670494"/>
                  <a:pt x="266700" y="666777"/>
                </a:cubicBezTo>
                <a:cubicBezTo>
                  <a:pt x="290593" y="523418"/>
                  <a:pt x="266700" y="691332"/>
                  <a:pt x="266700" y="400077"/>
                </a:cubicBezTo>
                <a:cubicBezTo>
                  <a:pt x="266700" y="173325"/>
                  <a:pt x="264532" y="226829"/>
                  <a:pt x="277649" y="43188"/>
                </a:cubicBezTo>
                <a:cubicBezTo>
                  <a:pt x="191272" y="0"/>
                  <a:pt x="212388" y="39716"/>
                  <a:pt x="177463" y="34953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cap="flat" cmpd="sng" algn="ctr">
                <a:solidFill>
                  <a:srgbClr val="000000"/>
                </a:solidFill>
                <a:prstDash val="solid"/>
                <a:round/>
                <a:headEnd type="none" w="med" len="med"/>
                <a:tailEnd type="none" w="med" len="med"/>
              </a14:hiddenLine>
            </a:ext>
          </a:extLst>
        </xdr:spPr>
      </xdr:sp>
    </xdr:grpSp>
    <xdr:clientData/>
  </xdr:twoCellAnchor>
  <xdr:twoCellAnchor editAs="oneCell">
    <xdr:from>
      <xdr:col>45</xdr:col>
      <xdr:colOff>144780</xdr:colOff>
      <xdr:row>1</xdr:row>
      <xdr:rowOff>106680</xdr:rowOff>
    </xdr:from>
    <xdr:to>
      <xdr:col>63</xdr:col>
      <xdr:colOff>487680</xdr:colOff>
      <xdr:row>4</xdr:row>
      <xdr:rowOff>144780</xdr:rowOff>
    </xdr:to>
    <xdr:pic>
      <xdr:nvPicPr>
        <xdr:cNvPr id="396068" name="Picture 24">
          <a:extLst>
            <a:ext uri="{FF2B5EF4-FFF2-40B4-BE49-F238E27FC236}">
              <a16:creationId xmlns:a16="http://schemas.microsoft.com/office/drawing/2014/main" id="{00000000-0008-0000-0A00-0000240B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266700"/>
          <a:ext cx="960120" cy="777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22860</xdr:colOff>
      <xdr:row>69</xdr:row>
      <xdr:rowOff>83820</xdr:rowOff>
    </xdr:from>
    <xdr:to>
      <xdr:col>34</xdr:col>
      <xdr:colOff>0</xdr:colOff>
      <xdr:row>78</xdr:row>
      <xdr:rowOff>60960</xdr:rowOff>
    </xdr:to>
    <xdr:pic>
      <xdr:nvPicPr>
        <xdr:cNvPr id="396069" name="Picture 11">
          <a:extLst>
            <a:ext uri="{FF2B5EF4-FFF2-40B4-BE49-F238E27FC236}">
              <a16:creationId xmlns:a16="http://schemas.microsoft.com/office/drawing/2014/main" id="{00000000-0008-0000-0A00-0000250B06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4020" y="13037820"/>
          <a:ext cx="2110740" cy="1623060"/>
        </a:xfrm>
        <a:prstGeom prst="rect">
          <a:avLst/>
        </a:prstGeom>
        <a:noFill/>
        <a:ln w="28575">
          <a:solidFill>
            <a:srgbClr val="A6A6A6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205740</xdr:colOff>
      <xdr:row>69</xdr:row>
      <xdr:rowOff>160020</xdr:rowOff>
    </xdr:from>
    <xdr:to>
      <xdr:col>23</xdr:col>
      <xdr:colOff>68580</xdr:colOff>
      <xdr:row>79</xdr:row>
      <xdr:rowOff>7620</xdr:rowOff>
    </xdr:to>
    <xdr:grpSp>
      <xdr:nvGrpSpPr>
        <xdr:cNvPr id="396070" name="Skupina 102">
          <a:extLst>
            <a:ext uri="{FF2B5EF4-FFF2-40B4-BE49-F238E27FC236}">
              <a16:creationId xmlns:a16="http://schemas.microsoft.com/office/drawing/2014/main" id="{00000000-0008-0000-0A00-0000260B0600}"/>
            </a:ext>
          </a:extLst>
        </xdr:cNvPr>
        <xdr:cNvGrpSpPr>
          <a:grpSpLocks noChangeAspect="1"/>
        </xdr:cNvGrpSpPr>
      </xdr:nvGrpSpPr>
      <xdr:grpSpPr bwMode="auto">
        <a:xfrm>
          <a:off x="3614687" y="13210273"/>
          <a:ext cx="2188946" cy="1692442"/>
          <a:chOff x="1800224" y="3409923"/>
          <a:chExt cx="947819" cy="707831"/>
        </a:xfrm>
      </xdr:grpSpPr>
      <xdr:sp macro="" textlink="">
        <xdr:nvSpPr>
          <xdr:cNvPr id="396073" name="Obdélník 103">
            <a:extLst>
              <a:ext uri="{FF2B5EF4-FFF2-40B4-BE49-F238E27FC236}">
                <a16:creationId xmlns:a16="http://schemas.microsoft.com/office/drawing/2014/main" id="{00000000-0008-0000-0A00-0000290B0600}"/>
              </a:ext>
            </a:extLst>
          </xdr:cNvPr>
          <xdr:cNvSpPr>
            <a:spLocks noChangeArrowheads="1"/>
          </xdr:cNvSpPr>
        </xdr:nvSpPr>
        <xdr:spPr bwMode="auto">
          <a:xfrm>
            <a:off x="1838324" y="3695700"/>
            <a:ext cx="771525" cy="304800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396074" name="Obdélník 104">
            <a:extLst>
              <a:ext uri="{FF2B5EF4-FFF2-40B4-BE49-F238E27FC236}">
                <a16:creationId xmlns:a16="http://schemas.microsoft.com/office/drawing/2014/main" id="{00000000-0008-0000-0A00-00002A0B0600}"/>
              </a:ext>
            </a:extLst>
          </xdr:cNvPr>
          <xdr:cNvSpPr>
            <a:spLocks noChangeArrowheads="1"/>
          </xdr:cNvSpPr>
        </xdr:nvSpPr>
        <xdr:spPr bwMode="auto">
          <a:xfrm>
            <a:off x="1800224" y="3562350"/>
            <a:ext cx="54000" cy="478800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396075" name="Volný tvar 105">
            <a:extLst>
              <a:ext uri="{FF2B5EF4-FFF2-40B4-BE49-F238E27FC236}">
                <a16:creationId xmlns:a16="http://schemas.microsoft.com/office/drawing/2014/main" id="{00000000-0008-0000-0A00-00002B0B0600}"/>
              </a:ext>
            </a:extLst>
          </xdr:cNvPr>
          <xdr:cNvSpPr>
            <a:spLocks/>
          </xdr:cNvSpPr>
        </xdr:nvSpPr>
        <xdr:spPr bwMode="auto">
          <a:xfrm>
            <a:off x="2457450" y="3409923"/>
            <a:ext cx="290593" cy="707831"/>
          </a:xfrm>
          <a:custGeom>
            <a:avLst/>
            <a:gdLst>
              <a:gd name="T0" fmla="*/ 177463 w 290593"/>
              <a:gd name="T1" fmla="*/ 34953 h 707831"/>
              <a:gd name="T2" fmla="*/ 95250 w 290593"/>
              <a:gd name="T3" fmla="*/ 38127 h 707831"/>
              <a:gd name="T4" fmla="*/ 38100 w 290593"/>
              <a:gd name="T5" fmla="*/ 57177 h 707831"/>
              <a:gd name="T6" fmla="*/ 85725 w 290593"/>
              <a:gd name="T7" fmla="*/ 104802 h 707831"/>
              <a:gd name="T8" fmla="*/ 57150 w 290593"/>
              <a:gd name="T9" fmla="*/ 266727 h 707831"/>
              <a:gd name="T10" fmla="*/ 28575 w 290593"/>
              <a:gd name="T11" fmla="*/ 276252 h 707831"/>
              <a:gd name="T12" fmla="*/ 28575 w 290593"/>
              <a:gd name="T13" fmla="*/ 381027 h 707831"/>
              <a:gd name="T14" fmla="*/ 47625 w 290593"/>
              <a:gd name="T15" fmla="*/ 409602 h 707831"/>
              <a:gd name="T16" fmla="*/ 38100 w 290593"/>
              <a:gd name="T17" fmla="*/ 466752 h 707831"/>
              <a:gd name="T18" fmla="*/ 9525 w 290593"/>
              <a:gd name="T19" fmla="*/ 476277 h 707831"/>
              <a:gd name="T20" fmla="*/ 0 w 290593"/>
              <a:gd name="T21" fmla="*/ 504852 h 707831"/>
              <a:gd name="T22" fmla="*/ 19050 w 290593"/>
              <a:gd name="T23" fmla="*/ 562002 h 707831"/>
              <a:gd name="T24" fmla="*/ 57150 w 290593"/>
              <a:gd name="T25" fmla="*/ 619152 h 707831"/>
              <a:gd name="T26" fmla="*/ 57150 w 290593"/>
              <a:gd name="T27" fmla="*/ 704877 h 707831"/>
              <a:gd name="T28" fmla="*/ 266700 w 290593"/>
              <a:gd name="T29" fmla="*/ 666777 h 707831"/>
              <a:gd name="T30" fmla="*/ 266700 w 290593"/>
              <a:gd name="T31" fmla="*/ 400077 h 707831"/>
              <a:gd name="T32" fmla="*/ 277649 w 290593"/>
              <a:gd name="T33" fmla="*/ 43188 h 707831"/>
              <a:gd name="T34" fmla="*/ 177463 w 290593"/>
              <a:gd name="T35" fmla="*/ 34953 h 707831"/>
              <a:gd name="T36" fmla="*/ 0 60000 65536"/>
              <a:gd name="T37" fmla="*/ 0 60000 65536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w 290593"/>
              <a:gd name="T55" fmla="*/ 0 h 707831"/>
              <a:gd name="T56" fmla="*/ 290593 w 290593"/>
              <a:gd name="T57" fmla="*/ 707831 h 707831"/>
            </a:gdLst>
            <a:ahLst/>
            <a:cxnLst>
              <a:cxn ang="T36">
                <a:pos x="T0" y="T1"/>
              </a:cxn>
              <a:cxn ang="T37">
                <a:pos x="T2" y="T3"/>
              </a:cxn>
              <a:cxn ang="T38">
                <a:pos x="T4" y="T5"/>
              </a:cxn>
              <a:cxn ang="T39">
                <a:pos x="T6" y="T7"/>
              </a:cxn>
              <a:cxn ang="T40">
                <a:pos x="T8" y="T9"/>
              </a:cxn>
              <a:cxn ang="T41">
                <a:pos x="T10" y="T11"/>
              </a:cxn>
              <a:cxn ang="T42">
                <a:pos x="T12" y="T13"/>
              </a:cxn>
              <a:cxn ang="T43">
                <a:pos x="T14" y="T15"/>
              </a:cxn>
              <a:cxn ang="T44">
                <a:pos x="T16" y="T17"/>
              </a:cxn>
              <a:cxn ang="T45">
                <a:pos x="T18" y="T19"/>
              </a:cxn>
              <a:cxn ang="T46">
                <a:pos x="T20" y="T21"/>
              </a:cxn>
              <a:cxn ang="T47">
                <a:pos x="T22" y="T23"/>
              </a:cxn>
              <a:cxn ang="T48">
                <a:pos x="T24" y="T25"/>
              </a:cxn>
              <a:cxn ang="T49">
                <a:pos x="T26" y="T27"/>
              </a:cxn>
              <a:cxn ang="T50">
                <a:pos x="T28" y="T29"/>
              </a:cxn>
              <a:cxn ang="T51">
                <a:pos x="T30" y="T31"/>
              </a:cxn>
              <a:cxn ang="T52">
                <a:pos x="T32" y="T33"/>
              </a:cxn>
              <a:cxn ang="T53">
                <a:pos x="T34" y="T35"/>
              </a:cxn>
            </a:cxnLst>
            <a:rect l="T54" t="T55" r="T56" b="T57"/>
            <a:pathLst>
              <a:path w="290593" h="707831">
                <a:moveTo>
                  <a:pt x="177463" y="34953"/>
                </a:moveTo>
                <a:lnTo>
                  <a:pt x="95250" y="38127"/>
                </a:lnTo>
                <a:cubicBezTo>
                  <a:pt x="82027" y="53239"/>
                  <a:pt x="38100" y="57177"/>
                  <a:pt x="38100" y="57177"/>
                </a:cubicBezTo>
                <a:cubicBezTo>
                  <a:pt x="52096" y="66508"/>
                  <a:pt x="84429" y="82771"/>
                  <a:pt x="85725" y="104802"/>
                </a:cubicBezTo>
                <a:cubicBezTo>
                  <a:pt x="86693" y="121255"/>
                  <a:pt x="98014" y="234036"/>
                  <a:pt x="57150" y="266727"/>
                </a:cubicBezTo>
                <a:cubicBezTo>
                  <a:pt x="49310" y="272999"/>
                  <a:pt x="38100" y="273077"/>
                  <a:pt x="28575" y="276252"/>
                </a:cubicBezTo>
                <a:cubicBezTo>
                  <a:pt x="13701" y="320873"/>
                  <a:pt x="10804" y="315866"/>
                  <a:pt x="28575" y="381027"/>
                </a:cubicBezTo>
                <a:cubicBezTo>
                  <a:pt x="31587" y="392071"/>
                  <a:pt x="41275" y="400077"/>
                  <a:pt x="47625" y="409602"/>
                </a:cubicBezTo>
                <a:cubicBezTo>
                  <a:pt x="44450" y="428652"/>
                  <a:pt x="47682" y="449984"/>
                  <a:pt x="38100" y="466752"/>
                </a:cubicBezTo>
                <a:cubicBezTo>
                  <a:pt x="33119" y="475469"/>
                  <a:pt x="16625" y="469177"/>
                  <a:pt x="9525" y="476277"/>
                </a:cubicBezTo>
                <a:cubicBezTo>
                  <a:pt x="2425" y="483377"/>
                  <a:pt x="3175" y="495327"/>
                  <a:pt x="0" y="504852"/>
                </a:cubicBezTo>
                <a:cubicBezTo>
                  <a:pt x="6350" y="523902"/>
                  <a:pt x="7911" y="545294"/>
                  <a:pt x="19050" y="562002"/>
                </a:cubicBezTo>
                <a:lnTo>
                  <a:pt x="57150" y="619152"/>
                </a:lnTo>
                <a:cubicBezTo>
                  <a:pt x="51516" y="636053"/>
                  <a:pt x="26742" y="695521"/>
                  <a:pt x="57150" y="704877"/>
                </a:cubicBezTo>
                <a:cubicBezTo>
                  <a:pt x="66751" y="707831"/>
                  <a:pt x="248114" y="670494"/>
                  <a:pt x="266700" y="666777"/>
                </a:cubicBezTo>
                <a:cubicBezTo>
                  <a:pt x="290593" y="523418"/>
                  <a:pt x="266700" y="691332"/>
                  <a:pt x="266700" y="400077"/>
                </a:cubicBezTo>
                <a:cubicBezTo>
                  <a:pt x="266700" y="173325"/>
                  <a:pt x="264532" y="226829"/>
                  <a:pt x="277649" y="43188"/>
                </a:cubicBezTo>
                <a:cubicBezTo>
                  <a:pt x="191272" y="0"/>
                  <a:pt x="212388" y="39716"/>
                  <a:pt x="177463" y="34953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cap="flat" cmpd="sng" algn="ctr">
                <a:solidFill>
                  <a:srgbClr val="000000"/>
                </a:solidFill>
                <a:prstDash val="solid"/>
                <a:round/>
                <a:headEnd type="none" w="med" len="med"/>
                <a:tailEnd type="none" w="med" len="med"/>
              </a14:hiddenLine>
            </a:ext>
          </a:extLst>
        </xdr:spPr>
      </xdr:sp>
    </xdr:grpSp>
    <xdr:clientData/>
  </xdr:twoCellAnchor>
  <xdr:twoCellAnchor editAs="oneCell">
    <xdr:from>
      <xdr:col>4</xdr:col>
      <xdr:colOff>403860</xdr:colOff>
      <xdr:row>85</xdr:row>
      <xdr:rowOff>45720</xdr:rowOff>
    </xdr:from>
    <xdr:to>
      <xdr:col>23</xdr:col>
      <xdr:colOff>129540</xdr:colOff>
      <xdr:row>93</xdr:row>
      <xdr:rowOff>160020</xdr:rowOff>
    </xdr:to>
    <xdr:pic>
      <xdr:nvPicPr>
        <xdr:cNvPr id="396071" name="Obrázek 17">
          <a:extLst>
            <a:ext uri="{FF2B5EF4-FFF2-40B4-BE49-F238E27FC236}">
              <a16:creationId xmlns:a16="http://schemas.microsoft.com/office/drawing/2014/main" id="{00000000-0008-0000-0A00-0000270B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400" y="15925800"/>
          <a:ext cx="4091940" cy="1577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0</xdr:colOff>
      <xdr:row>5</xdr:row>
      <xdr:rowOff>0</xdr:rowOff>
    </xdr:from>
    <xdr:to>
      <xdr:col>35</xdr:col>
      <xdr:colOff>30480</xdr:colOff>
      <xdr:row>13</xdr:row>
      <xdr:rowOff>160020</xdr:rowOff>
    </xdr:to>
    <xdr:pic>
      <xdr:nvPicPr>
        <xdr:cNvPr id="396072" name="Obrázek 13">
          <a:extLst>
            <a:ext uri="{FF2B5EF4-FFF2-40B4-BE49-F238E27FC236}">
              <a16:creationId xmlns:a16="http://schemas.microsoft.com/office/drawing/2014/main" id="{00000000-0008-0000-0A00-0000280B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1160" y="1082040"/>
          <a:ext cx="2377440" cy="1623060"/>
        </a:xfrm>
        <a:prstGeom prst="rect">
          <a:avLst/>
        </a:prstGeom>
        <a:noFill/>
        <a:ln w="28575">
          <a:solidFill>
            <a:srgbClr val="A6A6A6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205740</xdr:colOff>
      <xdr:row>70</xdr:row>
      <xdr:rowOff>22860</xdr:rowOff>
    </xdr:from>
    <xdr:to>
      <xdr:col>23</xdr:col>
      <xdr:colOff>38100</xdr:colOff>
      <xdr:row>79</xdr:row>
      <xdr:rowOff>7620</xdr:rowOff>
    </xdr:to>
    <xdr:grpSp>
      <xdr:nvGrpSpPr>
        <xdr:cNvPr id="397057" name="Skupina 75">
          <a:extLst>
            <a:ext uri="{FF2B5EF4-FFF2-40B4-BE49-F238E27FC236}">
              <a16:creationId xmlns:a16="http://schemas.microsoft.com/office/drawing/2014/main" id="{00000000-0008-0000-0B00-0000010F0600}"/>
            </a:ext>
          </a:extLst>
        </xdr:cNvPr>
        <xdr:cNvGrpSpPr>
          <a:grpSpLocks noChangeAspect="1"/>
        </xdr:cNvGrpSpPr>
      </xdr:nvGrpSpPr>
      <xdr:grpSpPr bwMode="auto">
        <a:xfrm>
          <a:off x="3614687" y="13257597"/>
          <a:ext cx="2158466" cy="1645118"/>
          <a:chOff x="5794902" y="4533891"/>
          <a:chExt cx="944117" cy="722425"/>
        </a:xfrm>
      </xdr:grpSpPr>
      <xdr:sp macro="" textlink="">
        <xdr:nvSpPr>
          <xdr:cNvPr id="397066" name="Obdélník 56">
            <a:extLst>
              <a:ext uri="{FF2B5EF4-FFF2-40B4-BE49-F238E27FC236}">
                <a16:creationId xmlns:a16="http://schemas.microsoft.com/office/drawing/2014/main" id="{00000000-0008-0000-0B00-00000A0F0600}"/>
              </a:ext>
            </a:extLst>
          </xdr:cNvPr>
          <xdr:cNvSpPr>
            <a:spLocks noChangeArrowheads="1"/>
          </xdr:cNvSpPr>
        </xdr:nvSpPr>
        <xdr:spPr bwMode="auto">
          <a:xfrm>
            <a:off x="5829300" y="4717321"/>
            <a:ext cx="771525" cy="421070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397067" name="Obdélník 57">
            <a:extLst>
              <a:ext uri="{FF2B5EF4-FFF2-40B4-BE49-F238E27FC236}">
                <a16:creationId xmlns:a16="http://schemas.microsoft.com/office/drawing/2014/main" id="{00000000-0008-0000-0B00-00000B0F0600}"/>
              </a:ext>
            </a:extLst>
          </xdr:cNvPr>
          <xdr:cNvSpPr>
            <a:spLocks noChangeArrowheads="1"/>
          </xdr:cNvSpPr>
        </xdr:nvSpPr>
        <xdr:spPr bwMode="auto">
          <a:xfrm>
            <a:off x="5794902" y="4558681"/>
            <a:ext cx="53372" cy="656351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397068" name="Volný tvar 58">
            <a:extLst>
              <a:ext uri="{FF2B5EF4-FFF2-40B4-BE49-F238E27FC236}">
                <a16:creationId xmlns:a16="http://schemas.microsoft.com/office/drawing/2014/main" id="{00000000-0008-0000-0B00-00000C0F0600}"/>
              </a:ext>
            </a:extLst>
          </xdr:cNvPr>
          <xdr:cNvSpPr>
            <a:spLocks/>
          </xdr:cNvSpPr>
        </xdr:nvSpPr>
        <xdr:spPr bwMode="auto">
          <a:xfrm>
            <a:off x="6448426" y="4533891"/>
            <a:ext cx="290593" cy="722425"/>
          </a:xfrm>
          <a:custGeom>
            <a:avLst/>
            <a:gdLst>
              <a:gd name="T0" fmla="*/ 76200 w 290593"/>
              <a:gd name="T1" fmla="*/ 1228 h 817667"/>
              <a:gd name="T2" fmla="*/ 76200 w 290593"/>
              <a:gd name="T3" fmla="*/ 1228 h 817667"/>
              <a:gd name="T4" fmla="*/ 95250 w 290593"/>
              <a:gd name="T5" fmla="*/ 12431 h 817667"/>
              <a:gd name="T6" fmla="*/ 38100 w 290593"/>
              <a:gd name="T7" fmla="*/ 14030 h 817667"/>
              <a:gd name="T8" fmla="*/ 85725 w 290593"/>
              <a:gd name="T9" fmla="*/ 18031 h 817667"/>
              <a:gd name="T10" fmla="*/ 57150 w 290593"/>
              <a:gd name="T11" fmla="*/ 31635 h 817667"/>
              <a:gd name="T12" fmla="*/ 28575 w 290593"/>
              <a:gd name="T13" fmla="*/ 32435 h 817667"/>
              <a:gd name="T14" fmla="*/ 28575 w 290593"/>
              <a:gd name="T15" fmla="*/ 41237 h 817667"/>
              <a:gd name="T16" fmla="*/ 47625 w 290593"/>
              <a:gd name="T17" fmla="*/ 43638 h 817667"/>
              <a:gd name="T18" fmla="*/ 38100 w 290593"/>
              <a:gd name="T19" fmla="*/ 48438 h 817667"/>
              <a:gd name="T20" fmla="*/ 9525 w 290593"/>
              <a:gd name="T21" fmla="*/ 49239 h 817667"/>
              <a:gd name="T22" fmla="*/ 0 w 290593"/>
              <a:gd name="T23" fmla="*/ 51639 h 817667"/>
              <a:gd name="T24" fmla="*/ 19050 w 290593"/>
              <a:gd name="T25" fmla="*/ 56440 h 817667"/>
              <a:gd name="T26" fmla="*/ 57150 w 290593"/>
              <a:gd name="T27" fmla="*/ 61241 h 817667"/>
              <a:gd name="T28" fmla="*/ 57150 w 290593"/>
              <a:gd name="T29" fmla="*/ 68444 h 817667"/>
              <a:gd name="T30" fmla="*/ 266700 w 290593"/>
              <a:gd name="T31" fmla="*/ 65243 h 817667"/>
              <a:gd name="T32" fmla="*/ 266700 w 290593"/>
              <a:gd name="T33" fmla="*/ 42837 h 817667"/>
              <a:gd name="T34" fmla="*/ 285750 w 290593"/>
              <a:gd name="T35" fmla="*/ 3628 h 817667"/>
              <a:gd name="T36" fmla="*/ 76200 w 290593"/>
              <a:gd name="T37" fmla="*/ 1228 h 817667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w 290593"/>
              <a:gd name="T58" fmla="*/ 0 h 817667"/>
              <a:gd name="T59" fmla="*/ 290593 w 290593"/>
              <a:gd name="T60" fmla="*/ 817667 h 817667"/>
            </a:gdLst>
            <a:ahLst/>
            <a:cxnLst>
              <a:cxn ang="T38">
                <a:pos x="T0" y="T1"/>
              </a:cxn>
              <a:cxn ang="T39">
                <a:pos x="T2" y="T3"/>
              </a:cxn>
              <a:cxn ang="T40">
                <a:pos x="T4" y="T5"/>
              </a:cxn>
              <a:cxn ang="T41">
                <a:pos x="T6" y="T7"/>
              </a:cxn>
              <a:cxn ang="T42">
                <a:pos x="T8" y="T9"/>
              </a:cxn>
              <a:cxn ang="T43">
                <a:pos x="T10" y="T11"/>
              </a:cxn>
              <a:cxn ang="T44">
                <a:pos x="T12" y="T13"/>
              </a:cxn>
              <a:cxn ang="T45">
                <a:pos x="T14" y="T15"/>
              </a:cxn>
              <a:cxn ang="T46">
                <a:pos x="T16" y="T17"/>
              </a:cxn>
              <a:cxn ang="T47">
                <a:pos x="T18" y="T19"/>
              </a:cxn>
              <a:cxn ang="T48">
                <a:pos x="T20" y="T21"/>
              </a:cxn>
              <a:cxn ang="T49">
                <a:pos x="T22" y="T23"/>
              </a:cxn>
              <a:cxn ang="T50">
                <a:pos x="T24" y="T25"/>
              </a:cxn>
              <a:cxn ang="T51">
                <a:pos x="T26" y="T27"/>
              </a:cxn>
              <a:cxn ang="T52">
                <a:pos x="T28" y="T29"/>
              </a:cxn>
              <a:cxn ang="T53">
                <a:pos x="T30" y="T31"/>
              </a:cxn>
              <a:cxn ang="T54">
                <a:pos x="T32" y="T33"/>
              </a:cxn>
              <a:cxn ang="T55">
                <a:pos x="T34" y="T35"/>
              </a:cxn>
              <a:cxn ang="T56">
                <a:pos x="T36" y="T37"/>
              </a:cxn>
            </a:cxnLst>
            <a:rect l="T57" t="T58" r="T59" b="T60"/>
            <a:pathLst>
              <a:path w="290593" h="817667">
                <a:moveTo>
                  <a:pt x="76200" y="14613"/>
                </a:moveTo>
                <a:lnTo>
                  <a:pt x="76200" y="14613"/>
                </a:lnTo>
                <a:cubicBezTo>
                  <a:pt x="86511" y="42109"/>
                  <a:pt x="127065" y="111603"/>
                  <a:pt x="95250" y="147963"/>
                </a:cubicBezTo>
                <a:cubicBezTo>
                  <a:pt x="82027" y="163075"/>
                  <a:pt x="38100" y="167013"/>
                  <a:pt x="38100" y="167013"/>
                </a:cubicBezTo>
                <a:cubicBezTo>
                  <a:pt x="52096" y="176344"/>
                  <a:pt x="84429" y="192607"/>
                  <a:pt x="85725" y="214638"/>
                </a:cubicBezTo>
                <a:cubicBezTo>
                  <a:pt x="86693" y="231091"/>
                  <a:pt x="98014" y="343872"/>
                  <a:pt x="57150" y="376563"/>
                </a:cubicBezTo>
                <a:cubicBezTo>
                  <a:pt x="49310" y="382835"/>
                  <a:pt x="38100" y="382913"/>
                  <a:pt x="28575" y="386088"/>
                </a:cubicBezTo>
                <a:cubicBezTo>
                  <a:pt x="13701" y="430709"/>
                  <a:pt x="10804" y="425702"/>
                  <a:pt x="28575" y="490863"/>
                </a:cubicBezTo>
                <a:cubicBezTo>
                  <a:pt x="31587" y="501907"/>
                  <a:pt x="41275" y="509913"/>
                  <a:pt x="47625" y="519438"/>
                </a:cubicBezTo>
                <a:cubicBezTo>
                  <a:pt x="44450" y="538488"/>
                  <a:pt x="47682" y="559820"/>
                  <a:pt x="38100" y="576588"/>
                </a:cubicBezTo>
                <a:cubicBezTo>
                  <a:pt x="33119" y="585305"/>
                  <a:pt x="16625" y="579013"/>
                  <a:pt x="9525" y="586113"/>
                </a:cubicBezTo>
                <a:cubicBezTo>
                  <a:pt x="2425" y="593213"/>
                  <a:pt x="3175" y="605163"/>
                  <a:pt x="0" y="614688"/>
                </a:cubicBezTo>
                <a:cubicBezTo>
                  <a:pt x="6350" y="633738"/>
                  <a:pt x="7911" y="655130"/>
                  <a:pt x="19050" y="671838"/>
                </a:cubicBezTo>
                <a:lnTo>
                  <a:pt x="57150" y="728988"/>
                </a:lnTo>
                <a:cubicBezTo>
                  <a:pt x="51516" y="745889"/>
                  <a:pt x="26742" y="805357"/>
                  <a:pt x="57150" y="814713"/>
                </a:cubicBezTo>
                <a:cubicBezTo>
                  <a:pt x="66751" y="817667"/>
                  <a:pt x="248114" y="780330"/>
                  <a:pt x="266700" y="776613"/>
                </a:cubicBezTo>
                <a:cubicBezTo>
                  <a:pt x="290593" y="633254"/>
                  <a:pt x="266700" y="801168"/>
                  <a:pt x="266700" y="509913"/>
                </a:cubicBezTo>
                <a:cubicBezTo>
                  <a:pt x="266700" y="283161"/>
                  <a:pt x="272633" y="226829"/>
                  <a:pt x="285750" y="43188"/>
                </a:cubicBezTo>
                <a:cubicBezTo>
                  <a:pt x="199373" y="0"/>
                  <a:pt x="111125" y="19376"/>
                  <a:pt x="76200" y="14613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cap="flat" cmpd="sng" algn="ctr">
                <a:solidFill>
                  <a:srgbClr val="000000"/>
                </a:solidFill>
                <a:prstDash val="solid"/>
                <a:round/>
                <a:headEnd type="none" w="med" len="med"/>
                <a:tailEnd type="none" w="med" len="med"/>
              </a14:hiddenLine>
            </a:ext>
          </a:extLst>
        </xdr:spPr>
      </xdr:sp>
    </xdr:grpSp>
    <xdr:clientData/>
  </xdr:twoCellAnchor>
  <xdr:twoCellAnchor editAs="oneCell">
    <xdr:from>
      <xdr:col>45</xdr:col>
      <xdr:colOff>144780</xdr:colOff>
      <xdr:row>1</xdr:row>
      <xdr:rowOff>106680</xdr:rowOff>
    </xdr:from>
    <xdr:to>
      <xdr:col>63</xdr:col>
      <xdr:colOff>487680</xdr:colOff>
      <xdr:row>4</xdr:row>
      <xdr:rowOff>144780</xdr:rowOff>
    </xdr:to>
    <xdr:pic>
      <xdr:nvPicPr>
        <xdr:cNvPr id="397058" name="Picture 24">
          <a:extLst>
            <a:ext uri="{FF2B5EF4-FFF2-40B4-BE49-F238E27FC236}">
              <a16:creationId xmlns:a16="http://schemas.microsoft.com/office/drawing/2014/main" id="{00000000-0008-0000-0B00-0000020F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266700"/>
          <a:ext cx="960120" cy="777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205740</xdr:colOff>
      <xdr:row>3</xdr:row>
      <xdr:rowOff>281940</xdr:rowOff>
    </xdr:from>
    <xdr:to>
      <xdr:col>23</xdr:col>
      <xdr:colOff>38100</xdr:colOff>
      <xdr:row>14</xdr:row>
      <xdr:rowOff>7620</xdr:rowOff>
    </xdr:to>
    <xdr:grpSp>
      <xdr:nvGrpSpPr>
        <xdr:cNvPr id="397059" name="Skupina 75">
          <a:extLst>
            <a:ext uri="{FF2B5EF4-FFF2-40B4-BE49-F238E27FC236}">
              <a16:creationId xmlns:a16="http://schemas.microsoft.com/office/drawing/2014/main" id="{00000000-0008-0000-0B00-0000030F0600}"/>
            </a:ext>
          </a:extLst>
        </xdr:cNvPr>
        <xdr:cNvGrpSpPr>
          <a:grpSpLocks noChangeAspect="1"/>
        </xdr:cNvGrpSpPr>
      </xdr:nvGrpSpPr>
      <xdr:grpSpPr bwMode="auto">
        <a:xfrm>
          <a:off x="3614687" y="891540"/>
          <a:ext cx="2158466" cy="1859280"/>
          <a:chOff x="5794902" y="4438650"/>
          <a:chExt cx="944117" cy="817667"/>
        </a:xfrm>
      </xdr:grpSpPr>
      <xdr:sp macro="" textlink="">
        <xdr:nvSpPr>
          <xdr:cNvPr id="397063" name="Obdélník 56">
            <a:extLst>
              <a:ext uri="{FF2B5EF4-FFF2-40B4-BE49-F238E27FC236}">
                <a16:creationId xmlns:a16="http://schemas.microsoft.com/office/drawing/2014/main" id="{00000000-0008-0000-0B00-0000070F0600}"/>
              </a:ext>
            </a:extLst>
          </xdr:cNvPr>
          <xdr:cNvSpPr>
            <a:spLocks noChangeArrowheads="1"/>
          </xdr:cNvSpPr>
        </xdr:nvSpPr>
        <xdr:spPr bwMode="auto">
          <a:xfrm>
            <a:off x="5829300" y="4717321"/>
            <a:ext cx="771525" cy="421070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397064" name="Obdélník 57">
            <a:extLst>
              <a:ext uri="{FF2B5EF4-FFF2-40B4-BE49-F238E27FC236}">
                <a16:creationId xmlns:a16="http://schemas.microsoft.com/office/drawing/2014/main" id="{00000000-0008-0000-0B00-0000080F0600}"/>
              </a:ext>
            </a:extLst>
          </xdr:cNvPr>
          <xdr:cNvSpPr>
            <a:spLocks noChangeArrowheads="1"/>
          </xdr:cNvSpPr>
        </xdr:nvSpPr>
        <xdr:spPr bwMode="auto">
          <a:xfrm>
            <a:off x="5794902" y="4558681"/>
            <a:ext cx="53372" cy="656351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397065" name="Volný tvar 58">
            <a:extLst>
              <a:ext uri="{FF2B5EF4-FFF2-40B4-BE49-F238E27FC236}">
                <a16:creationId xmlns:a16="http://schemas.microsoft.com/office/drawing/2014/main" id="{00000000-0008-0000-0B00-0000090F0600}"/>
              </a:ext>
            </a:extLst>
          </xdr:cNvPr>
          <xdr:cNvSpPr>
            <a:spLocks/>
          </xdr:cNvSpPr>
        </xdr:nvSpPr>
        <xdr:spPr bwMode="auto">
          <a:xfrm>
            <a:off x="6448426" y="4438650"/>
            <a:ext cx="290593" cy="817667"/>
          </a:xfrm>
          <a:custGeom>
            <a:avLst/>
            <a:gdLst>
              <a:gd name="T0" fmla="*/ 76200 w 290593"/>
              <a:gd name="T1" fmla="*/ 14613 h 817667"/>
              <a:gd name="T2" fmla="*/ 76200 w 290593"/>
              <a:gd name="T3" fmla="*/ 14613 h 817667"/>
              <a:gd name="T4" fmla="*/ 95250 w 290593"/>
              <a:gd name="T5" fmla="*/ 147963 h 817667"/>
              <a:gd name="T6" fmla="*/ 38100 w 290593"/>
              <a:gd name="T7" fmla="*/ 167013 h 817667"/>
              <a:gd name="T8" fmla="*/ 85725 w 290593"/>
              <a:gd name="T9" fmla="*/ 214638 h 817667"/>
              <a:gd name="T10" fmla="*/ 57150 w 290593"/>
              <a:gd name="T11" fmla="*/ 376563 h 817667"/>
              <a:gd name="T12" fmla="*/ 28575 w 290593"/>
              <a:gd name="T13" fmla="*/ 386088 h 817667"/>
              <a:gd name="T14" fmla="*/ 28575 w 290593"/>
              <a:gd name="T15" fmla="*/ 490863 h 817667"/>
              <a:gd name="T16" fmla="*/ 47625 w 290593"/>
              <a:gd name="T17" fmla="*/ 519438 h 817667"/>
              <a:gd name="T18" fmla="*/ 38100 w 290593"/>
              <a:gd name="T19" fmla="*/ 576588 h 817667"/>
              <a:gd name="T20" fmla="*/ 9525 w 290593"/>
              <a:gd name="T21" fmla="*/ 586113 h 817667"/>
              <a:gd name="T22" fmla="*/ 0 w 290593"/>
              <a:gd name="T23" fmla="*/ 614688 h 817667"/>
              <a:gd name="T24" fmla="*/ 19050 w 290593"/>
              <a:gd name="T25" fmla="*/ 671838 h 817667"/>
              <a:gd name="T26" fmla="*/ 57150 w 290593"/>
              <a:gd name="T27" fmla="*/ 728988 h 817667"/>
              <a:gd name="T28" fmla="*/ 57150 w 290593"/>
              <a:gd name="T29" fmla="*/ 814713 h 817667"/>
              <a:gd name="T30" fmla="*/ 266700 w 290593"/>
              <a:gd name="T31" fmla="*/ 776613 h 817667"/>
              <a:gd name="T32" fmla="*/ 266700 w 290593"/>
              <a:gd name="T33" fmla="*/ 509913 h 817667"/>
              <a:gd name="T34" fmla="*/ 285750 w 290593"/>
              <a:gd name="T35" fmla="*/ 43188 h 817667"/>
              <a:gd name="T36" fmla="*/ 76200 w 290593"/>
              <a:gd name="T37" fmla="*/ 14613 h 817667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w 290593"/>
              <a:gd name="T58" fmla="*/ 0 h 817667"/>
              <a:gd name="T59" fmla="*/ 290593 w 290593"/>
              <a:gd name="T60" fmla="*/ 817667 h 817667"/>
            </a:gdLst>
            <a:ahLst/>
            <a:cxnLst>
              <a:cxn ang="T38">
                <a:pos x="T0" y="T1"/>
              </a:cxn>
              <a:cxn ang="T39">
                <a:pos x="T2" y="T3"/>
              </a:cxn>
              <a:cxn ang="T40">
                <a:pos x="T4" y="T5"/>
              </a:cxn>
              <a:cxn ang="T41">
                <a:pos x="T6" y="T7"/>
              </a:cxn>
              <a:cxn ang="T42">
                <a:pos x="T8" y="T9"/>
              </a:cxn>
              <a:cxn ang="T43">
                <a:pos x="T10" y="T11"/>
              </a:cxn>
              <a:cxn ang="T44">
                <a:pos x="T12" y="T13"/>
              </a:cxn>
              <a:cxn ang="T45">
                <a:pos x="T14" y="T15"/>
              </a:cxn>
              <a:cxn ang="T46">
                <a:pos x="T16" y="T17"/>
              </a:cxn>
              <a:cxn ang="T47">
                <a:pos x="T18" y="T19"/>
              </a:cxn>
              <a:cxn ang="T48">
                <a:pos x="T20" y="T21"/>
              </a:cxn>
              <a:cxn ang="T49">
                <a:pos x="T22" y="T23"/>
              </a:cxn>
              <a:cxn ang="T50">
                <a:pos x="T24" y="T25"/>
              </a:cxn>
              <a:cxn ang="T51">
                <a:pos x="T26" y="T27"/>
              </a:cxn>
              <a:cxn ang="T52">
                <a:pos x="T28" y="T29"/>
              </a:cxn>
              <a:cxn ang="T53">
                <a:pos x="T30" y="T31"/>
              </a:cxn>
              <a:cxn ang="T54">
                <a:pos x="T32" y="T33"/>
              </a:cxn>
              <a:cxn ang="T55">
                <a:pos x="T34" y="T35"/>
              </a:cxn>
              <a:cxn ang="T56">
                <a:pos x="T36" y="T37"/>
              </a:cxn>
            </a:cxnLst>
            <a:rect l="T57" t="T58" r="T59" b="T60"/>
            <a:pathLst>
              <a:path w="290593" h="817667">
                <a:moveTo>
                  <a:pt x="76200" y="14613"/>
                </a:moveTo>
                <a:lnTo>
                  <a:pt x="76200" y="14613"/>
                </a:lnTo>
                <a:cubicBezTo>
                  <a:pt x="86511" y="42109"/>
                  <a:pt x="127065" y="111603"/>
                  <a:pt x="95250" y="147963"/>
                </a:cubicBezTo>
                <a:cubicBezTo>
                  <a:pt x="82027" y="163075"/>
                  <a:pt x="38100" y="167013"/>
                  <a:pt x="38100" y="167013"/>
                </a:cubicBezTo>
                <a:cubicBezTo>
                  <a:pt x="52096" y="176344"/>
                  <a:pt x="84429" y="192607"/>
                  <a:pt x="85725" y="214638"/>
                </a:cubicBezTo>
                <a:cubicBezTo>
                  <a:pt x="86693" y="231091"/>
                  <a:pt x="98014" y="343872"/>
                  <a:pt x="57150" y="376563"/>
                </a:cubicBezTo>
                <a:cubicBezTo>
                  <a:pt x="49310" y="382835"/>
                  <a:pt x="38100" y="382913"/>
                  <a:pt x="28575" y="386088"/>
                </a:cubicBezTo>
                <a:cubicBezTo>
                  <a:pt x="13701" y="430709"/>
                  <a:pt x="10804" y="425702"/>
                  <a:pt x="28575" y="490863"/>
                </a:cubicBezTo>
                <a:cubicBezTo>
                  <a:pt x="31587" y="501907"/>
                  <a:pt x="41275" y="509913"/>
                  <a:pt x="47625" y="519438"/>
                </a:cubicBezTo>
                <a:cubicBezTo>
                  <a:pt x="44450" y="538488"/>
                  <a:pt x="47682" y="559820"/>
                  <a:pt x="38100" y="576588"/>
                </a:cubicBezTo>
                <a:cubicBezTo>
                  <a:pt x="33119" y="585305"/>
                  <a:pt x="16625" y="579013"/>
                  <a:pt x="9525" y="586113"/>
                </a:cubicBezTo>
                <a:cubicBezTo>
                  <a:pt x="2425" y="593213"/>
                  <a:pt x="3175" y="605163"/>
                  <a:pt x="0" y="614688"/>
                </a:cubicBezTo>
                <a:cubicBezTo>
                  <a:pt x="6350" y="633738"/>
                  <a:pt x="7911" y="655130"/>
                  <a:pt x="19050" y="671838"/>
                </a:cubicBezTo>
                <a:lnTo>
                  <a:pt x="57150" y="728988"/>
                </a:lnTo>
                <a:cubicBezTo>
                  <a:pt x="51516" y="745889"/>
                  <a:pt x="26742" y="805357"/>
                  <a:pt x="57150" y="814713"/>
                </a:cubicBezTo>
                <a:cubicBezTo>
                  <a:pt x="66751" y="817667"/>
                  <a:pt x="248114" y="780330"/>
                  <a:pt x="266700" y="776613"/>
                </a:cubicBezTo>
                <a:cubicBezTo>
                  <a:pt x="290593" y="633254"/>
                  <a:pt x="266700" y="801168"/>
                  <a:pt x="266700" y="509913"/>
                </a:cubicBezTo>
                <a:cubicBezTo>
                  <a:pt x="266700" y="283161"/>
                  <a:pt x="272633" y="226829"/>
                  <a:pt x="285750" y="43188"/>
                </a:cubicBezTo>
                <a:cubicBezTo>
                  <a:pt x="199373" y="0"/>
                  <a:pt x="111125" y="19376"/>
                  <a:pt x="76200" y="14613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cap="flat" cmpd="sng" algn="ctr">
                <a:solidFill>
                  <a:srgbClr val="000000"/>
                </a:solidFill>
                <a:prstDash val="solid"/>
                <a:round/>
                <a:headEnd type="none" w="med" len="med"/>
                <a:tailEnd type="none" w="med" len="med"/>
              </a14:hiddenLine>
            </a:ext>
          </a:extLst>
        </xdr:spPr>
      </xdr:sp>
    </xdr:grpSp>
    <xdr:clientData/>
  </xdr:twoCellAnchor>
  <xdr:twoCellAnchor editAs="oneCell">
    <xdr:from>
      <xdr:col>24</xdr:col>
      <xdr:colOff>22860</xdr:colOff>
      <xdr:row>69</xdr:row>
      <xdr:rowOff>83820</xdr:rowOff>
    </xdr:from>
    <xdr:to>
      <xdr:col>34</xdr:col>
      <xdr:colOff>0</xdr:colOff>
      <xdr:row>78</xdr:row>
      <xdr:rowOff>60960</xdr:rowOff>
    </xdr:to>
    <xdr:pic>
      <xdr:nvPicPr>
        <xdr:cNvPr id="397060" name="Picture 11">
          <a:extLst>
            <a:ext uri="{FF2B5EF4-FFF2-40B4-BE49-F238E27FC236}">
              <a16:creationId xmlns:a16="http://schemas.microsoft.com/office/drawing/2014/main" id="{00000000-0008-0000-0B00-0000040F06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4020" y="13037820"/>
          <a:ext cx="2110740" cy="1623060"/>
        </a:xfrm>
        <a:prstGeom prst="rect">
          <a:avLst/>
        </a:prstGeom>
        <a:noFill/>
        <a:ln w="28575">
          <a:solidFill>
            <a:srgbClr val="A6A6A6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403860</xdr:colOff>
      <xdr:row>85</xdr:row>
      <xdr:rowOff>45720</xdr:rowOff>
    </xdr:from>
    <xdr:to>
      <xdr:col>23</xdr:col>
      <xdr:colOff>129540</xdr:colOff>
      <xdr:row>93</xdr:row>
      <xdr:rowOff>160020</xdr:rowOff>
    </xdr:to>
    <xdr:pic>
      <xdr:nvPicPr>
        <xdr:cNvPr id="397061" name="Obrázek 17">
          <a:extLst>
            <a:ext uri="{FF2B5EF4-FFF2-40B4-BE49-F238E27FC236}">
              <a16:creationId xmlns:a16="http://schemas.microsoft.com/office/drawing/2014/main" id="{00000000-0008-0000-0B00-0000050F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400" y="15925800"/>
          <a:ext cx="4091940" cy="1577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0</xdr:colOff>
      <xdr:row>5</xdr:row>
      <xdr:rowOff>0</xdr:rowOff>
    </xdr:from>
    <xdr:to>
      <xdr:col>35</xdr:col>
      <xdr:colOff>30480</xdr:colOff>
      <xdr:row>13</xdr:row>
      <xdr:rowOff>160020</xdr:rowOff>
    </xdr:to>
    <xdr:pic>
      <xdr:nvPicPr>
        <xdr:cNvPr id="397062" name="Obrázek 13">
          <a:extLst>
            <a:ext uri="{FF2B5EF4-FFF2-40B4-BE49-F238E27FC236}">
              <a16:creationId xmlns:a16="http://schemas.microsoft.com/office/drawing/2014/main" id="{00000000-0008-0000-0B00-0000060F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1160" y="1082040"/>
          <a:ext cx="2377440" cy="1623060"/>
        </a:xfrm>
        <a:prstGeom prst="rect">
          <a:avLst/>
        </a:prstGeom>
        <a:noFill/>
        <a:ln w="28575">
          <a:solidFill>
            <a:srgbClr val="A6A6A6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45</xdr:col>
      <xdr:colOff>144780</xdr:colOff>
      <xdr:row>1</xdr:row>
      <xdr:rowOff>106680</xdr:rowOff>
    </xdr:from>
    <xdr:to>
      <xdr:col>63</xdr:col>
      <xdr:colOff>487680</xdr:colOff>
      <xdr:row>4</xdr:row>
      <xdr:rowOff>144780</xdr:rowOff>
    </xdr:to>
    <xdr:pic>
      <xdr:nvPicPr>
        <xdr:cNvPr id="403102" name="Picture 24">
          <a:extLst>
            <a:ext uri="{FF2B5EF4-FFF2-40B4-BE49-F238E27FC236}">
              <a16:creationId xmlns:a16="http://schemas.microsoft.com/office/drawing/2014/main" id="{00000000-0008-0000-0C00-00009E26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266700"/>
          <a:ext cx="960120" cy="777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205740</xdr:colOff>
      <xdr:row>69</xdr:row>
      <xdr:rowOff>0</xdr:rowOff>
    </xdr:from>
    <xdr:to>
      <xdr:col>23</xdr:col>
      <xdr:colOff>38100</xdr:colOff>
      <xdr:row>79</xdr:row>
      <xdr:rowOff>7620</xdr:rowOff>
    </xdr:to>
    <xdr:grpSp>
      <xdr:nvGrpSpPr>
        <xdr:cNvPr id="403103" name="Skupina 75">
          <a:extLst>
            <a:ext uri="{FF2B5EF4-FFF2-40B4-BE49-F238E27FC236}">
              <a16:creationId xmlns:a16="http://schemas.microsoft.com/office/drawing/2014/main" id="{00000000-0008-0000-0C00-00009F260600}"/>
            </a:ext>
          </a:extLst>
        </xdr:cNvPr>
        <xdr:cNvGrpSpPr>
          <a:grpSpLocks noChangeAspect="1"/>
        </xdr:cNvGrpSpPr>
      </xdr:nvGrpSpPr>
      <xdr:grpSpPr bwMode="auto">
        <a:xfrm>
          <a:off x="3614687" y="13050253"/>
          <a:ext cx="2158466" cy="1852462"/>
          <a:chOff x="5794902" y="4438650"/>
          <a:chExt cx="944117" cy="817667"/>
        </a:xfrm>
      </xdr:grpSpPr>
      <xdr:sp macro="" textlink="">
        <xdr:nvSpPr>
          <xdr:cNvPr id="403111" name="Obdélník 56">
            <a:extLst>
              <a:ext uri="{FF2B5EF4-FFF2-40B4-BE49-F238E27FC236}">
                <a16:creationId xmlns:a16="http://schemas.microsoft.com/office/drawing/2014/main" id="{00000000-0008-0000-0C00-0000A7260600}"/>
              </a:ext>
            </a:extLst>
          </xdr:cNvPr>
          <xdr:cNvSpPr>
            <a:spLocks noChangeArrowheads="1"/>
          </xdr:cNvSpPr>
        </xdr:nvSpPr>
        <xdr:spPr bwMode="auto">
          <a:xfrm>
            <a:off x="5829300" y="4576221"/>
            <a:ext cx="771525" cy="562170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03112" name="Obdélník 57">
            <a:extLst>
              <a:ext uri="{FF2B5EF4-FFF2-40B4-BE49-F238E27FC236}">
                <a16:creationId xmlns:a16="http://schemas.microsoft.com/office/drawing/2014/main" id="{00000000-0008-0000-0C00-0000A8260600}"/>
              </a:ext>
            </a:extLst>
          </xdr:cNvPr>
          <xdr:cNvSpPr>
            <a:spLocks noChangeArrowheads="1"/>
          </xdr:cNvSpPr>
        </xdr:nvSpPr>
        <xdr:spPr bwMode="auto">
          <a:xfrm>
            <a:off x="5794902" y="4495195"/>
            <a:ext cx="52776" cy="720353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03113" name="Volný tvar 58">
            <a:extLst>
              <a:ext uri="{FF2B5EF4-FFF2-40B4-BE49-F238E27FC236}">
                <a16:creationId xmlns:a16="http://schemas.microsoft.com/office/drawing/2014/main" id="{00000000-0008-0000-0C00-0000A9260600}"/>
              </a:ext>
            </a:extLst>
          </xdr:cNvPr>
          <xdr:cNvSpPr>
            <a:spLocks/>
          </xdr:cNvSpPr>
        </xdr:nvSpPr>
        <xdr:spPr bwMode="auto">
          <a:xfrm>
            <a:off x="6448426" y="4438650"/>
            <a:ext cx="290593" cy="817667"/>
          </a:xfrm>
          <a:custGeom>
            <a:avLst/>
            <a:gdLst>
              <a:gd name="T0" fmla="*/ 76200 w 290593"/>
              <a:gd name="T1" fmla="*/ 14613 h 817667"/>
              <a:gd name="T2" fmla="*/ 76200 w 290593"/>
              <a:gd name="T3" fmla="*/ 14613 h 817667"/>
              <a:gd name="T4" fmla="*/ 95250 w 290593"/>
              <a:gd name="T5" fmla="*/ 147963 h 817667"/>
              <a:gd name="T6" fmla="*/ 38100 w 290593"/>
              <a:gd name="T7" fmla="*/ 167013 h 817667"/>
              <a:gd name="T8" fmla="*/ 85725 w 290593"/>
              <a:gd name="T9" fmla="*/ 214638 h 817667"/>
              <a:gd name="T10" fmla="*/ 57150 w 290593"/>
              <a:gd name="T11" fmla="*/ 376563 h 817667"/>
              <a:gd name="T12" fmla="*/ 28575 w 290593"/>
              <a:gd name="T13" fmla="*/ 386088 h 817667"/>
              <a:gd name="T14" fmla="*/ 28575 w 290593"/>
              <a:gd name="T15" fmla="*/ 490863 h 817667"/>
              <a:gd name="T16" fmla="*/ 47625 w 290593"/>
              <a:gd name="T17" fmla="*/ 519438 h 817667"/>
              <a:gd name="T18" fmla="*/ 38100 w 290593"/>
              <a:gd name="T19" fmla="*/ 576588 h 817667"/>
              <a:gd name="T20" fmla="*/ 9525 w 290593"/>
              <a:gd name="T21" fmla="*/ 586113 h 817667"/>
              <a:gd name="T22" fmla="*/ 0 w 290593"/>
              <a:gd name="T23" fmla="*/ 614688 h 817667"/>
              <a:gd name="T24" fmla="*/ 19050 w 290593"/>
              <a:gd name="T25" fmla="*/ 671838 h 817667"/>
              <a:gd name="T26" fmla="*/ 57150 w 290593"/>
              <a:gd name="T27" fmla="*/ 728988 h 817667"/>
              <a:gd name="T28" fmla="*/ 57150 w 290593"/>
              <a:gd name="T29" fmla="*/ 814713 h 817667"/>
              <a:gd name="T30" fmla="*/ 266700 w 290593"/>
              <a:gd name="T31" fmla="*/ 776613 h 817667"/>
              <a:gd name="T32" fmla="*/ 266700 w 290593"/>
              <a:gd name="T33" fmla="*/ 509913 h 817667"/>
              <a:gd name="T34" fmla="*/ 285750 w 290593"/>
              <a:gd name="T35" fmla="*/ 43188 h 817667"/>
              <a:gd name="T36" fmla="*/ 76200 w 290593"/>
              <a:gd name="T37" fmla="*/ 14613 h 817667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w 290593"/>
              <a:gd name="T58" fmla="*/ 0 h 817667"/>
              <a:gd name="T59" fmla="*/ 290593 w 290593"/>
              <a:gd name="T60" fmla="*/ 817667 h 817667"/>
            </a:gdLst>
            <a:ahLst/>
            <a:cxnLst>
              <a:cxn ang="T38">
                <a:pos x="T0" y="T1"/>
              </a:cxn>
              <a:cxn ang="T39">
                <a:pos x="T2" y="T3"/>
              </a:cxn>
              <a:cxn ang="T40">
                <a:pos x="T4" y="T5"/>
              </a:cxn>
              <a:cxn ang="T41">
                <a:pos x="T6" y="T7"/>
              </a:cxn>
              <a:cxn ang="T42">
                <a:pos x="T8" y="T9"/>
              </a:cxn>
              <a:cxn ang="T43">
                <a:pos x="T10" y="T11"/>
              </a:cxn>
              <a:cxn ang="T44">
                <a:pos x="T12" y="T13"/>
              </a:cxn>
              <a:cxn ang="T45">
                <a:pos x="T14" y="T15"/>
              </a:cxn>
              <a:cxn ang="T46">
                <a:pos x="T16" y="T17"/>
              </a:cxn>
              <a:cxn ang="T47">
                <a:pos x="T18" y="T19"/>
              </a:cxn>
              <a:cxn ang="T48">
                <a:pos x="T20" y="T21"/>
              </a:cxn>
              <a:cxn ang="T49">
                <a:pos x="T22" y="T23"/>
              </a:cxn>
              <a:cxn ang="T50">
                <a:pos x="T24" y="T25"/>
              </a:cxn>
              <a:cxn ang="T51">
                <a:pos x="T26" y="T27"/>
              </a:cxn>
              <a:cxn ang="T52">
                <a:pos x="T28" y="T29"/>
              </a:cxn>
              <a:cxn ang="T53">
                <a:pos x="T30" y="T31"/>
              </a:cxn>
              <a:cxn ang="T54">
                <a:pos x="T32" y="T33"/>
              </a:cxn>
              <a:cxn ang="T55">
                <a:pos x="T34" y="T35"/>
              </a:cxn>
              <a:cxn ang="T56">
                <a:pos x="T36" y="T37"/>
              </a:cxn>
            </a:cxnLst>
            <a:rect l="T57" t="T58" r="T59" b="T60"/>
            <a:pathLst>
              <a:path w="290593" h="817667">
                <a:moveTo>
                  <a:pt x="76200" y="14613"/>
                </a:moveTo>
                <a:lnTo>
                  <a:pt x="76200" y="14613"/>
                </a:lnTo>
                <a:cubicBezTo>
                  <a:pt x="86511" y="42109"/>
                  <a:pt x="127065" y="111603"/>
                  <a:pt x="95250" y="147963"/>
                </a:cubicBezTo>
                <a:cubicBezTo>
                  <a:pt x="82027" y="163075"/>
                  <a:pt x="38100" y="167013"/>
                  <a:pt x="38100" y="167013"/>
                </a:cubicBezTo>
                <a:cubicBezTo>
                  <a:pt x="52096" y="176344"/>
                  <a:pt x="84429" y="192607"/>
                  <a:pt x="85725" y="214638"/>
                </a:cubicBezTo>
                <a:cubicBezTo>
                  <a:pt x="86693" y="231091"/>
                  <a:pt x="98014" y="343872"/>
                  <a:pt x="57150" y="376563"/>
                </a:cubicBezTo>
                <a:cubicBezTo>
                  <a:pt x="49310" y="382835"/>
                  <a:pt x="38100" y="382913"/>
                  <a:pt x="28575" y="386088"/>
                </a:cubicBezTo>
                <a:cubicBezTo>
                  <a:pt x="13701" y="430709"/>
                  <a:pt x="10804" y="425702"/>
                  <a:pt x="28575" y="490863"/>
                </a:cubicBezTo>
                <a:cubicBezTo>
                  <a:pt x="31587" y="501907"/>
                  <a:pt x="41275" y="509913"/>
                  <a:pt x="47625" y="519438"/>
                </a:cubicBezTo>
                <a:cubicBezTo>
                  <a:pt x="44450" y="538488"/>
                  <a:pt x="47682" y="559820"/>
                  <a:pt x="38100" y="576588"/>
                </a:cubicBezTo>
                <a:cubicBezTo>
                  <a:pt x="33119" y="585305"/>
                  <a:pt x="16625" y="579013"/>
                  <a:pt x="9525" y="586113"/>
                </a:cubicBezTo>
                <a:cubicBezTo>
                  <a:pt x="2425" y="593213"/>
                  <a:pt x="3175" y="605163"/>
                  <a:pt x="0" y="614688"/>
                </a:cubicBezTo>
                <a:cubicBezTo>
                  <a:pt x="6350" y="633738"/>
                  <a:pt x="7911" y="655130"/>
                  <a:pt x="19050" y="671838"/>
                </a:cubicBezTo>
                <a:lnTo>
                  <a:pt x="57150" y="728988"/>
                </a:lnTo>
                <a:cubicBezTo>
                  <a:pt x="51516" y="745889"/>
                  <a:pt x="26742" y="805357"/>
                  <a:pt x="57150" y="814713"/>
                </a:cubicBezTo>
                <a:cubicBezTo>
                  <a:pt x="66751" y="817667"/>
                  <a:pt x="248114" y="780330"/>
                  <a:pt x="266700" y="776613"/>
                </a:cubicBezTo>
                <a:cubicBezTo>
                  <a:pt x="290593" y="633254"/>
                  <a:pt x="266700" y="801168"/>
                  <a:pt x="266700" y="509913"/>
                </a:cubicBezTo>
                <a:cubicBezTo>
                  <a:pt x="266700" y="283161"/>
                  <a:pt x="272633" y="226829"/>
                  <a:pt x="285750" y="43188"/>
                </a:cubicBezTo>
                <a:cubicBezTo>
                  <a:pt x="199373" y="0"/>
                  <a:pt x="111125" y="19376"/>
                  <a:pt x="76200" y="14613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cap="flat" cmpd="sng" algn="ctr">
                <a:solidFill>
                  <a:srgbClr val="000000"/>
                </a:solidFill>
                <a:prstDash val="solid"/>
                <a:round/>
                <a:headEnd type="none" w="med" len="med"/>
                <a:tailEnd type="none" w="med" len="med"/>
              </a14:hiddenLine>
            </a:ext>
          </a:extLst>
        </xdr:spPr>
      </xdr:sp>
    </xdr:grpSp>
    <xdr:clientData/>
  </xdr:twoCellAnchor>
  <xdr:twoCellAnchor editAs="oneCell">
    <xdr:from>
      <xdr:col>24</xdr:col>
      <xdr:colOff>22860</xdr:colOff>
      <xdr:row>69</xdr:row>
      <xdr:rowOff>83820</xdr:rowOff>
    </xdr:from>
    <xdr:to>
      <xdr:col>34</xdr:col>
      <xdr:colOff>0</xdr:colOff>
      <xdr:row>78</xdr:row>
      <xdr:rowOff>60960</xdr:rowOff>
    </xdr:to>
    <xdr:pic>
      <xdr:nvPicPr>
        <xdr:cNvPr id="403104" name="Picture 11">
          <a:extLst>
            <a:ext uri="{FF2B5EF4-FFF2-40B4-BE49-F238E27FC236}">
              <a16:creationId xmlns:a16="http://schemas.microsoft.com/office/drawing/2014/main" id="{00000000-0008-0000-0C00-0000A02606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4020" y="13037820"/>
          <a:ext cx="2110740" cy="1623060"/>
        </a:xfrm>
        <a:prstGeom prst="rect">
          <a:avLst/>
        </a:prstGeom>
        <a:noFill/>
        <a:ln w="28575">
          <a:solidFill>
            <a:srgbClr val="A6A6A6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403860</xdr:colOff>
      <xdr:row>85</xdr:row>
      <xdr:rowOff>45720</xdr:rowOff>
    </xdr:from>
    <xdr:to>
      <xdr:col>23</xdr:col>
      <xdr:colOff>129540</xdr:colOff>
      <xdr:row>93</xdr:row>
      <xdr:rowOff>160020</xdr:rowOff>
    </xdr:to>
    <xdr:pic>
      <xdr:nvPicPr>
        <xdr:cNvPr id="403105" name="Obrázek 17">
          <a:extLst>
            <a:ext uri="{FF2B5EF4-FFF2-40B4-BE49-F238E27FC236}">
              <a16:creationId xmlns:a16="http://schemas.microsoft.com/office/drawing/2014/main" id="{00000000-0008-0000-0C00-0000A12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400" y="15925800"/>
          <a:ext cx="4091940" cy="1577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205740</xdr:colOff>
      <xdr:row>4</xdr:row>
      <xdr:rowOff>0</xdr:rowOff>
    </xdr:from>
    <xdr:to>
      <xdr:col>23</xdr:col>
      <xdr:colOff>38100</xdr:colOff>
      <xdr:row>14</xdr:row>
      <xdr:rowOff>7620</xdr:rowOff>
    </xdr:to>
    <xdr:grpSp>
      <xdr:nvGrpSpPr>
        <xdr:cNvPr id="403106" name="Skupina 75">
          <a:extLst>
            <a:ext uri="{FF2B5EF4-FFF2-40B4-BE49-F238E27FC236}">
              <a16:creationId xmlns:a16="http://schemas.microsoft.com/office/drawing/2014/main" id="{00000000-0008-0000-0C00-0000A2260600}"/>
            </a:ext>
          </a:extLst>
        </xdr:cNvPr>
        <xdr:cNvGrpSpPr>
          <a:grpSpLocks noChangeAspect="1"/>
        </xdr:cNvGrpSpPr>
      </xdr:nvGrpSpPr>
      <xdr:grpSpPr bwMode="auto">
        <a:xfrm>
          <a:off x="3614687" y="898358"/>
          <a:ext cx="2158466" cy="1852462"/>
          <a:chOff x="5794902" y="4438650"/>
          <a:chExt cx="944117" cy="817667"/>
        </a:xfrm>
      </xdr:grpSpPr>
      <xdr:sp macro="" textlink="">
        <xdr:nvSpPr>
          <xdr:cNvPr id="403108" name="Obdélník 56">
            <a:extLst>
              <a:ext uri="{FF2B5EF4-FFF2-40B4-BE49-F238E27FC236}">
                <a16:creationId xmlns:a16="http://schemas.microsoft.com/office/drawing/2014/main" id="{00000000-0008-0000-0C00-0000A4260600}"/>
              </a:ext>
            </a:extLst>
          </xdr:cNvPr>
          <xdr:cNvSpPr>
            <a:spLocks noChangeArrowheads="1"/>
          </xdr:cNvSpPr>
        </xdr:nvSpPr>
        <xdr:spPr bwMode="auto">
          <a:xfrm>
            <a:off x="5829300" y="4576221"/>
            <a:ext cx="771525" cy="562170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03109" name="Obdélník 57">
            <a:extLst>
              <a:ext uri="{FF2B5EF4-FFF2-40B4-BE49-F238E27FC236}">
                <a16:creationId xmlns:a16="http://schemas.microsoft.com/office/drawing/2014/main" id="{00000000-0008-0000-0C00-0000A5260600}"/>
              </a:ext>
            </a:extLst>
          </xdr:cNvPr>
          <xdr:cNvSpPr>
            <a:spLocks noChangeArrowheads="1"/>
          </xdr:cNvSpPr>
        </xdr:nvSpPr>
        <xdr:spPr bwMode="auto">
          <a:xfrm>
            <a:off x="5794902" y="4495195"/>
            <a:ext cx="52776" cy="720353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03110" name="Volný tvar 58">
            <a:extLst>
              <a:ext uri="{FF2B5EF4-FFF2-40B4-BE49-F238E27FC236}">
                <a16:creationId xmlns:a16="http://schemas.microsoft.com/office/drawing/2014/main" id="{00000000-0008-0000-0C00-0000A6260600}"/>
              </a:ext>
            </a:extLst>
          </xdr:cNvPr>
          <xdr:cNvSpPr>
            <a:spLocks/>
          </xdr:cNvSpPr>
        </xdr:nvSpPr>
        <xdr:spPr bwMode="auto">
          <a:xfrm>
            <a:off x="6448426" y="4438650"/>
            <a:ext cx="290593" cy="817667"/>
          </a:xfrm>
          <a:custGeom>
            <a:avLst/>
            <a:gdLst>
              <a:gd name="T0" fmla="*/ 76200 w 290593"/>
              <a:gd name="T1" fmla="*/ 14613 h 817667"/>
              <a:gd name="T2" fmla="*/ 76200 w 290593"/>
              <a:gd name="T3" fmla="*/ 14613 h 817667"/>
              <a:gd name="T4" fmla="*/ 95250 w 290593"/>
              <a:gd name="T5" fmla="*/ 147963 h 817667"/>
              <a:gd name="T6" fmla="*/ 38100 w 290593"/>
              <a:gd name="T7" fmla="*/ 167013 h 817667"/>
              <a:gd name="T8" fmla="*/ 85725 w 290593"/>
              <a:gd name="T9" fmla="*/ 214638 h 817667"/>
              <a:gd name="T10" fmla="*/ 57150 w 290593"/>
              <a:gd name="T11" fmla="*/ 376563 h 817667"/>
              <a:gd name="T12" fmla="*/ 28575 w 290593"/>
              <a:gd name="T13" fmla="*/ 386088 h 817667"/>
              <a:gd name="T14" fmla="*/ 28575 w 290593"/>
              <a:gd name="T15" fmla="*/ 490863 h 817667"/>
              <a:gd name="T16" fmla="*/ 47625 w 290593"/>
              <a:gd name="T17" fmla="*/ 519438 h 817667"/>
              <a:gd name="T18" fmla="*/ 38100 w 290593"/>
              <a:gd name="T19" fmla="*/ 576588 h 817667"/>
              <a:gd name="T20" fmla="*/ 9525 w 290593"/>
              <a:gd name="T21" fmla="*/ 586113 h 817667"/>
              <a:gd name="T22" fmla="*/ 0 w 290593"/>
              <a:gd name="T23" fmla="*/ 614688 h 817667"/>
              <a:gd name="T24" fmla="*/ 19050 w 290593"/>
              <a:gd name="T25" fmla="*/ 671838 h 817667"/>
              <a:gd name="T26" fmla="*/ 57150 w 290593"/>
              <a:gd name="T27" fmla="*/ 728988 h 817667"/>
              <a:gd name="T28" fmla="*/ 57150 w 290593"/>
              <a:gd name="T29" fmla="*/ 814713 h 817667"/>
              <a:gd name="T30" fmla="*/ 266700 w 290593"/>
              <a:gd name="T31" fmla="*/ 776613 h 817667"/>
              <a:gd name="T32" fmla="*/ 266700 w 290593"/>
              <a:gd name="T33" fmla="*/ 509913 h 817667"/>
              <a:gd name="T34" fmla="*/ 285750 w 290593"/>
              <a:gd name="T35" fmla="*/ 43188 h 817667"/>
              <a:gd name="T36" fmla="*/ 76200 w 290593"/>
              <a:gd name="T37" fmla="*/ 14613 h 817667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w 290593"/>
              <a:gd name="T58" fmla="*/ 0 h 817667"/>
              <a:gd name="T59" fmla="*/ 290593 w 290593"/>
              <a:gd name="T60" fmla="*/ 817667 h 817667"/>
            </a:gdLst>
            <a:ahLst/>
            <a:cxnLst>
              <a:cxn ang="T38">
                <a:pos x="T0" y="T1"/>
              </a:cxn>
              <a:cxn ang="T39">
                <a:pos x="T2" y="T3"/>
              </a:cxn>
              <a:cxn ang="T40">
                <a:pos x="T4" y="T5"/>
              </a:cxn>
              <a:cxn ang="T41">
                <a:pos x="T6" y="T7"/>
              </a:cxn>
              <a:cxn ang="T42">
                <a:pos x="T8" y="T9"/>
              </a:cxn>
              <a:cxn ang="T43">
                <a:pos x="T10" y="T11"/>
              </a:cxn>
              <a:cxn ang="T44">
                <a:pos x="T12" y="T13"/>
              </a:cxn>
              <a:cxn ang="T45">
                <a:pos x="T14" y="T15"/>
              </a:cxn>
              <a:cxn ang="T46">
                <a:pos x="T16" y="T17"/>
              </a:cxn>
              <a:cxn ang="T47">
                <a:pos x="T18" y="T19"/>
              </a:cxn>
              <a:cxn ang="T48">
                <a:pos x="T20" y="T21"/>
              </a:cxn>
              <a:cxn ang="T49">
                <a:pos x="T22" y="T23"/>
              </a:cxn>
              <a:cxn ang="T50">
                <a:pos x="T24" y="T25"/>
              </a:cxn>
              <a:cxn ang="T51">
                <a:pos x="T26" y="T27"/>
              </a:cxn>
              <a:cxn ang="T52">
                <a:pos x="T28" y="T29"/>
              </a:cxn>
              <a:cxn ang="T53">
                <a:pos x="T30" y="T31"/>
              </a:cxn>
              <a:cxn ang="T54">
                <a:pos x="T32" y="T33"/>
              </a:cxn>
              <a:cxn ang="T55">
                <a:pos x="T34" y="T35"/>
              </a:cxn>
              <a:cxn ang="T56">
                <a:pos x="T36" y="T37"/>
              </a:cxn>
            </a:cxnLst>
            <a:rect l="T57" t="T58" r="T59" b="T60"/>
            <a:pathLst>
              <a:path w="290593" h="817667">
                <a:moveTo>
                  <a:pt x="76200" y="14613"/>
                </a:moveTo>
                <a:lnTo>
                  <a:pt x="76200" y="14613"/>
                </a:lnTo>
                <a:cubicBezTo>
                  <a:pt x="86511" y="42109"/>
                  <a:pt x="127065" y="111603"/>
                  <a:pt x="95250" y="147963"/>
                </a:cubicBezTo>
                <a:cubicBezTo>
                  <a:pt x="82027" y="163075"/>
                  <a:pt x="38100" y="167013"/>
                  <a:pt x="38100" y="167013"/>
                </a:cubicBezTo>
                <a:cubicBezTo>
                  <a:pt x="52096" y="176344"/>
                  <a:pt x="84429" y="192607"/>
                  <a:pt x="85725" y="214638"/>
                </a:cubicBezTo>
                <a:cubicBezTo>
                  <a:pt x="86693" y="231091"/>
                  <a:pt x="98014" y="343872"/>
                  <a:pt x="57150" y="376563"/>
                </a:cubicBezTo>
                <a:cubicBezTo>
                  <a:pt x="49310" y="382835"/>
                  <a:pt x="38100" y="382913"/>
                  <a:pt x="28575" y="386088"/>
                </a:cubicBezTo>
                <a:cubicBezTo>
                  <a:pt x="13701" y="430709"/>
                  <a:pt x="10804" y="425702"/>
                  <a:pt x="28575" y="490863"/>
                </a:cubicBezTo>
                <a:cubicBezTo>
                  <a:pt x="31587" y="501907"/>
                  <a:pt x="41275" y="509913"/>
                  <a:pt x="47625" y="519438"/>
                </a:cubicBezTo>
                <a:cubicBezTo>
                  <a:pt x="44450" y="538488"/>
                  <a:pt x="47682" y="559820"/>
                  <a:pt x="38100" y="576588"/>
                </a:cubicBezTo>
                <a:cubicBezTo>
                  <a:pt x="33119" y="585305"/>
                  <a:pt x="16625" y="579013"/>
                  <a:pt x="9525" y="586113"/>
                </a:cubicBezTo>
                <a:cubicBezTo>
                  <a:pt x="2425" y="593213"/>
                  <a:pt x="3175" y="605163"/>
                  <a:pt x="0" y="614688"/>
                </a:cubicBezTo>
                <a:cubicBezTo>
                  <a:pt x="6350" y="633738"/>
                  <a:pt x="7911" y="655130"/>
                  <a:pt x="19050" y="671838"/>
                </a:cubicBezTo>
                <a:lnTo>
                  <a:pt x="57150" y="728988"/>
                </a:lnTo>
                <a:cubicBezTo>
                  <a:pt x="51516" y="745889"/>
                  <a:pt x="26742" y="805357"/>
                  <a:pt x="57150" y="814713"/>
                </a:cubicBezTo>
                <a:cubicBezTo>
                  <a:pt x="66751" y="817667"/>
                  <a:pt x="248114" y="780330"/>
                  <a:pt x="266700" y="776613"/>
                </a:cubicBezTo>
                <a:cubicBezTo>
                  <a:pt x="290593" y="633254"/>
                  <a:pt x="266700" y="801168"/>
                  <a:pt x="266700" y="509913"/>
                </a:cubicBezTo>
                <a:cubicBezTo>
                  <a:pt x="266700" y="283161"/>
                  <a:pt x="272633" y="226829"/>
                  <a:pt x="285750" y="43188"/>
                </a:cubicBezTo>
                <a:cubicBezTo>
                  <a:pt x="199373" y="0"/>
                  <a:pt x="111125" y="19376"/>
                  <a:pt x="76200" y="14613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cap="flat" cmpd="sng" algn="ctr">
                <a:solidFill>
                  <a:srgbClr val="000000"/>
                </a:solidFill>
                <a:prstDash val="solid"/>
                <a:round/>
                <a:headEnd type="none" w="med" len="med"/>
                <a:tailEnd type="none" w="med" len="med"/>
              </a14:hiddenLine>
            </a:ext>
          </a:extLst>
        </xdr:spPr>
      </xdr:sp>
    </xdr:grpSp>
    <xdr:clientData/>
  </xdr:twoCellAnchor>
  <xdr:twoCellAnchor editAs="oneCell">
    <xdr:from>
      <xdr:col>24</xdr:col>
      <xdr:colOff>0</xdr:colOff>
      <xdr:row>5</xdr:row>
      <xdr:rowOff>0</xdr:rowOff>
    </xdr:from>
    <xdr:to>
      <xdr:col>35</xdr:col>
      <xdr:colOff>30480</xdr:colOff>
      <xdr:row>13</xdr:row>
      <xdr:rowOff>160020</xdr:rowOff>
    </xdr:to>
    <xdr:pic>
      <xdr:nvPicPr>
        <xdr:cNvPr id="403107" name="Obrázek 13">
          <a:extLst>
            <a:ext uri="{FF2B5EF4-FFF2-40B4-BE49-F238E27FC236}">
              <a16:creationId xmlns:a16="http://schemas.microsoft.com/office/drawing/2014/main" id="{00000000-0008-0000-0C00-0000A32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1160" y="1082040"/>
          <a:ext cx="2377440" cy="1623060"/>
        </a:xfrm>
        <a:prstGeom prst="rect">
          <a:avLst/>
        </a:prstGeom>
        <a:noFill/>
        <a:ln w="28575">
          <a:solidFill>
            <a:srgbClr val="A6A6A6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205740</xdr:colOff>
      <xdr:row>69</xdr:row>
      <xdr:rowOff>99060</xdr:rowOff>
    </xdr:from>
    <xdr:to>
      <xdr:col>23</xdr:col>
      <xdr:colOff>60960</xdr:colOff>
      <xdr:row>79</xdr:row>
      <xdr:rowOff>30480</xdr:rowOff>
    </xdr:to>
    <xdr:grpSp>
      <xdr:nvGrpSpPr>
        <xdr:cNvPr id="413255" name="Skupina 33">
          <a:extLst>
            <a:ext uri="{FF2B5EF4-FFF2-40B4-BE49-F238E27FC236}">
              <a16:creationId xmlns:a16="http://schemas.microsoft.com/office/drawing/2014/main" id="{00000000-0008-0000-0D00-0000474E0600}"/>
            </a:ext>
          </a:extLst>
        </xdr:cNvPr>
        <xdr:cNvGrpSpPr>
          <a:grpSpLocks/>
        </xdr:cNvGrpSpPr>
      </xdr:nvGrpSpPr>
      <xdr:grpSpPr bwMode="auto">
        <a:xfrm>
          <a:off x="3614687" y="13149313"/>
          <a:ext cx="2181326" cy="1776262"/>
          <a:chOff x="3449052" y="986589"/>
          <a:chExt cx="2016894" cy="1776257"/>
        </a:xfrm>
      </xdr:grpSpPr>
      <xdr:sp macro="" textlink="">
        <xdr:nvSpPr>
          <xdr:cNvPr id="413266" name="Obdélník 19">
            <a:extLst>
              <a:ext uri="{FF2B5EF4-FFF2-40B4-BE49-F238E27FC236}">
                <a16:creationId xmlns:a16="http://schemas.microsoft.com/office/drawing/2014/main" id="{00000000-0008-0000-0D00-0000524E0600}"/>
              </a:ext>
            </a:extLst>
          </xdr:cNvPr>
          <xdr:cNvSpPr>
            <a:spLocks noChangeArrowheads="1"/>
          </xdr:cNvSpPr>
        </xdr:nvSpPr>
        <xdr:spPr bwMode="auto">
          <a:xfrm>
            <a:off x="3512047" y="2205790"/>
            <a:ext cx="1657085" cy="275860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13267" name="Obdélník 19">
            <a:extLst>
              <a:ext uri="{FF2B5EF4-FFF2-40B4-BE49-F238E27FC236}">
                <a16:creationId xmlns:a16="http://schemas.microsoft.com/office/drawing/2014/main" id="{00000000-0008-0000-0D00-0000534E0600}"/>
              </a:ext>
            </a:extLst>
          </xdr:cNvPr>
          <xdr:cNvSpPr>
            <a:spLocks noChangeArrowheads="1"/>
          </xdr:cNvSpPr>
        </xdr:nvSpPr>
        <xdr:spPr bwMode="auto">
          <a:xfrm>
            <a:off x="3553326" y="1211179"/>
            <a:ext cx="1657085" cy="970547"/>
          </a:xfrm>
          <a:prstGeom prst="rect">
            <a:avLst/>
          </a:prstGeom>
          <a:solidFill>
            <a:srgbClr val="C6D9F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13268" name="Obdélník 18">
            <a:extLst>
              <a:ext uri="{FF2B5EF4-FFF2-40B4-BE49-F238E27FC236}">
                <a16:creationId xmlns:a16="http://schemas.microsoft.com/office/drawing/2014/main" id="{00000000-0008-0000-0D00-0000544E0600}"/>
              </a:ext>
            </a:extLst>
          </xdr:cNvPr>
          <xdr:cNvSpPr>
            <a:spLocks noChangeArrowheads="1"/>
          </xdr:cNvSpPr>
        </xdr:nvSpPr>
        <xdr:spPr bwMode="auto">
          <a:xfrm>
            <a:off x="3449052" y="989697"/>
            <a:ext cx="111600" cy="1666799"/>
          </a:xfrm>
          <a:prstGeom prst="rect">
            <a:avLst/>
          </a:prstGeom>
          <a:solidFill>
            <a:srgbClr val="C6D9F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13269" name="Volný tvar 20">
            <a:extLst>
              <a:ext uri="{FF2B5EF4-FFF2-40B4-BE49-F238E27FC236}">
                <a16:creationId xmlns:a16="http://schemas.microsoft.com/office/drawing/2014/main" id="{00000000-0008-0000-0D00-0000554E0600}"/>
              </a:ext>
            </a:extLst>
          </xdr:cNvPr>
          <xdr:cNvSpPr>
            <a:spLocks/>
          </xdr:cNvSpPr>
        </xdr:nvSpPr>
        <xdr:spPr bwMode="auto">
          <a:xfrm>
            <a:off x="4841809" y="986589"/>
            <a:ext cx="624137" cy="1776257"/>
          </a:xfrm>
          <a:custGeom>
            <a:avLst/>
            <a:gdLst>
              <a:gd name="T0" fmla="*/ 2147483646 w 290593"/>
              <a:gd name="T1" fmla="*/ 107994243 h 817667"/>
              <a:gd name="T2" fmla="*/ 2147483646 w 290593"/>
              <a:gd name="T3" fmla="*/ 107994243 h 817667"/>
              <a:gd name="T4" fmla="*/ 2147483646 w 290593"/>
              <a:gd name="T5" fmla="*/ 1107104460 h 817667"/>
              <a:gd name="T6" fmla="*/ 2147483646 w 290593"/>
              <a:gd name="T7" fmla="*/ 1248751123 h 817667"/>
              <a:gd name="T8" fmla="*/ 2147483646 w 290593"/>
              <a:gd name="T9" fmla="*/ 1606677617 h 817667"/>
              <a:gd name="T10" fmla="*/ 2147483646 w 290593"/>
              <a:gd name="T11" fmla="*/ 2147483646 h 817667"/>
              <a:gd name="T12" fmla="*/ 2147483646 w 290593"/>
              <a:gd name="T13" fmla="*/ 2147483646 h 817667"/>
              <a:gd name="T14" fmla="*/ 2147483646 w 290593"/>
              <a:gd name="T15" fmla="*/ 2147483646 h 817667"/>
              <a:gd name="T16" fmla="*/ 2147483646 w 290593"/>
              <a:gd name="T17" fmla="*/ 2147483646 h 817667"/>
              <a:gd name="T18" fmla="*/ 2147483646 w 290593"/>
              <a:gd name="T19" fmla="*/ 2147483646 h 817667"/>
              <a:gd name="T20" fmla="*/ 2147483646 w 290593"/>
              <a:gd name="T21" fmla="*/ 2147483646 h 817667"/>
              <a:gd name="T22" fmla="*/ 0 w 290593"/>
              <a:gd name="T23" fmla="*/ 2147483646 h 817667"/>
              <a:gd name="T24" fmla="*/ 2147483646 w 290593"/>
              <a:gd name="T25" fmla="*/ 2147483646 h 817667"/>
              <a:gd name="T26" fmla="*/ 2147483646 w 290593"/>
              <a:gd name="T27" fmla="*/ 2147483646 h 817667"/>
              <a:gd name="T28" fmla="*/ 2147483646 w 290593"/>
              <a:gd name="T29" fmla="*/ 2147483646 h 817667"/>
              <a:gd name="T30" fmla="*/ 2147483646 w 290593"/>
              <a:gd name="T31" fmla="*/ 2147483646 h 817667"/>
              <a:gd name="T32" fmla="*/ 2147483646 w 290593"/>
              <a:gd name="T33" fmla="*/ 2147483646 h 817667"/>
              <a:gd name="T34" fmla="*/ 2147483646 w 290593"/>
              <a:gd name="T35" fmla="*/ 322678155 h 817667"/>
              <a:gd name="T36" fmla="*/ 2147483646 w 290593"/>
              <a:gd name="T37" fmla="*/ 107994243 h 817667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w 290593"/>
              <a:gd name="T58" fmla="*/ 0 h 817667"/>
              <a:gd name="T59" fmla="*/ 290593 w 290593"/>
              <a:gd name="T60" fmla="*/ 817667 h 817667"/>
            </a:gdLst>
            <a:ahLst/>
            <a:cxnLst>
              <a:cxn ang="T38">
                <a:pos x="T0" y="T1"/>
              </a:cxn>
              <a:cxn ang="T39">
                <a:pos x="T2" y="T3"/>
              </a:cxn>
              <a:cxn ang="T40">
                <a:pos x="T4" y="T5"/>
              </a:cxn>
              <a:cxn ang="T41">
                <a:pos x="T6" y="T7"/>
              </a:cxn>
              <a:cxn ang="T42">
                <a:pos x="T8" y="T9"/>
              </a:cxn>
              <a:cxn ang="T43">
                <a:pos x="T10" y="T11"/>
              </a:cxn>
              <a:cxn ang="T44">
                <a:pos x="T12" y="T13"/>
              </a:cxn>
              <a:cxn ang="T45">
                <a:pos x="T14" y="T15"/>
              </a:cxn>
              <a:cxn ang="T46">
                <a:pos x="T16" y="T17"/>
              </a:cxn>
              <a:cxn ang="T47">
                <a:pos x="T18" y="T19"/>
              </a:cxn>
              <a:cxn ang="T48">
                <a:pos x="T20" y="T21"/>
              </a:cxn>
              <a:cxn ang="T49">
                <a:pos x="T22" y="T23"/>
              </a:cxn>
              <a:cxn ang="T50">
                <a:pos x="T24" y="T25"/>
              </a:cxn>
              <a:cxn ang="T51">
                <a:pos x="T26" y="T27"/>
              </a:cxn>
              <a:cxn ang="T52">
                <a:pos x="T28" y="T29"/>
              </a:cxn>
              <a:cxn ang="T53">
                <a:pos x="T30" y="T31"/>
              </a:cxn>
              <a:cxn ang="T54">
                <a:pos x="T32" y="T33"/>
              </a:cxn>
              <a:cxn ang="T55">
                <a:pos x="T34" y="T35"/>
              </a:cxn>
              <a:cxn ang="T56">
                <a:pos x="T36" y="T37"/>
              </a:cxn>
            </a:cxnLst>
            <a:rect l="T57" t="T58" r="T59" b="T60"/>
            <a:pathLst>
              <a:path w="290593" h="817667">
                <a:moveTo>
                  <a:pt x="76200" y="14613"/>
                </a:moveTo>
                <a:lnTo>
                  <a:pt x="76200" y="14613"/>
                </a:lnTo>
                <a:cubicBezTo>
                  <a:pt x="86511" y="42109"/>
                  <a:pt x="127065" y="111603"/>
                  <a:pt x="95250" y="147963"/>
                </a:cubicBezTo>
                <a:cubicBezTo>
                  <a:pt x="82027" y="163075"/>
                  <a:pt x="38100" y="167013"/>
                  <a:pt x="38100" y="167013"/>
                </a:cubicBezTo>
                <a:cubicBezTo>
                  <a:pt x="52096" y="176344"/>
                  <a:pt x="84429" y="192607"/>
                  <a:pt x="85725" y="214638"/>
                </a:cubicBezTo>
                <a:cubicBezTo>
                  <a:pt x="86693" y="231091"/>
                  <a:pt x="106075" y="259086"/>
                  <a:pt x="65211" y="291777"/>
                </a:cubicBezTo>
                <a:cubicBezTo>
                  <a:pt x="57371" y="298049"/>
                  <a:pt x="38100" y="382913"/>
                  <a:pt x="28575" y="386088"/>
                </a:cubicBezTo>
                <a:cubicBezTo>
                  <a:pt x="13701" y="430709"/>
                  <a:pt x="10804" y="425702"/>
                  <a:pt x="28575" y="490863"/>
                </a:cubicBezTo>
                <a:cubicBezTo>
                  <a:pt x="31587" y="501907"/>
                  <a:pt x="41275" y="509913"/>
                  <a:pt x="47625" y="519438"/>
                </a:cubicBezTo>
                <a:cubicBezTo>
                  <a:pt x="44450" y="538488"/>
                  <a:pt x="47682" y="559820"/>
                  <a:pt x="38100" y="576588"/>
                </a:cubicBezTo>
                <a:cubicBezTo>
                  <a:pt x="33119" y="585305"/>
                  <a:pt x="16625" y="579013"/>
                  <a:pt x="9525" y="586113"/>
                </a:cubicBezTo>
                <a:cubicBezTo>
                  <a:pt x="2425" y="593213"/>
                  <a:pt x="3175" y="605163"/>
                  <a:pt x="0" y="614688"/>
                </a:cubicBezTo>
                <a:cubicBezTo>
                  <a:pt x="6350" y="633738"/>
                  <a:pt x="7911" y="655130"/>
                  <a:pt x="19050" y="671838"/>
                </a:cubicBezTo>
                <a:lnTo>
                  <a:pt x="57150" y="728988"/>
                </a:lnTo>
                <a:cubicBezTo>
                  <a:pt x="51516" y="745889"/>
                  <a:pt x="26742" y="805357"/>
                  <a:pt x="57150" y="814713"/>
                </a:cubicBezTo>
                <a:cubicBezTo>
                  <a:pt x="66751" y="817667"/>
                  <a:pt x="248114" y="780330"/>
                  <a:pt x="266700" y="776613"/>
                </a:cubicBezTo>
                <a:cubicBezTo>
                  <a:pt x="290593" y="633254"/>
                  <a:pt x="266700" y="801168"/>
                  <a:pt x="266700" y="509913"/>
                </a:cubicBezTo>
                <a:cubicBezTo>
                  <a:pt x="266700" y="283161"/>
                  <a:pt x="272633" y="226829"/>
                  <a:pt x="285750" y="43188"/>
                </a:cubicBezTo>
                <a:cubicBezTo>
                  <a:pt x="199373" y="0"/>
                  <a:pt x="111125" y="19376"/>
                  <a:pt x="76200" y="14613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cap="flat" cmpd="sng" algn="ctr">
                <a:solidFill>
                  <a:srgbClr val="000000"/>
                </a:solidFill>
                <a:prstDash val="solid"/>
                <a:round/>
                <a:headEnd type="none" w="med" len="med"/>
                <a:tailEnd type="none" w="med" len="med"/>
              </a14:hiddenLine>
            </a:ext>
          </a:extLst>
        </xdr:spPr>
      </xdr:sp>
    </xdr:grpSp>
    <xdr:clientData/>
  </xdr:twoCellAnchor>
  <xdr:twoCellAnchor>
    <xdr:from>
      <xdr:col>14</xdr:col>
      <xdr:colOff>0</xdr:colOff>
      <xdr:row>4</xdr:row>
      <xdr:rowOff>129540</xdr:rowOff>
    </xdr:from>
    <xdr:to>
      <xdr:col>23</xdr:col>
      <xdr:colOff>68580</xdr:colOff>
      <xdr:row>14</xdr:row>
      <xdr:rowOff>60960</xdr:rowOff>
    </xdr:to>
    <xdr:grpSp>
      <xdr:nvGrpSpPr>
        <xdr:cNvPr id="413256" name="Skupina 11">
          <a:extLst>
            <a:ext uri="{FF2B5EF4-FFF2-40B4-BE49-F238E27FC236}">
              <a16:creationId xmlns:a16="http://schemas.microsoft.com/office/drawing/2014/main" id="{00000000-0008-0000-0D00-0000484E0600}"/>
            </a:ext>
          </a:extLst>
        </xdr:cNvPr>
        <xdr:cNvGrpSpPr>
          <a:grpSpLocks/>
        </xdr:cNvGrpSpPr>
      </xdr:nvGrpSpPr>
      <xdr:grpSpPr bwMode="auto">
        <a:xfrm>
          <a:off x="3641558" y="1027898"/>
          <a:ext cx="2162075" cy="1776262"/>
          <a:chOff x="3449052" y="986589"/>
          <a:chExt cx="2016894" cy="1776257"/>
        </a:xfrm>
      </xdr:grpSpPr>
      <xdr:sp macro="" textlink="">
        <xdr:nvSpPr>
          <xdr:cNvPr id="413262" name="Obdélník 19">
            <a:extLst>
              <a:ext uri="{FF2B5EF4-FFF2-40B4-BE49-F238E27FC236}">
                <a16:creationId xmlns:a16="http://schemas.microsoft.com/office/drawing/2014/main" id="{00000000-0008-0000-0D00-00004E4E0600}"/>
              </a:ext>
            </a:extLst>
          </xdr:cNvPr>
          <xdr:cNvSpPr>
            <a:spLocks noChangeArrowheads="1"/>
          </xdr:cNvSpPr>
        </xdr:nvSpPr>
        <xdr:spPr bwMode="auto">
          <a:xfrm>
            <a:off x="3512047" y="2205790"/>
            <a:ext cx="1657085" cy="275860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13263" name="Obdélník 19">
            <a:extLst>
              <a:ext uri="{FF2B5EF4-FFF2-40B4-BE49-F238E27FC236}">
                <a16:creationId xmlns:a16="http://schemas.microsoft.com/office/drawing/2014/main" id="{00000000-0008-0000-0D00-00004F4E0600}"/>
              </a:ext>
            </a:extLst>
          </xdr:cNvPr>
          <xdr:cNvSpPr>
            <a:spLocks noChangeArrowheads="1"/>
          </xdr:cNvSpPr>
        </xdr:nvSpPr>
        <xdr:spPr bwMode="auto">
          <a:xfrm>
            <a:off x="3553326" y="1211179"/>
            <a:ext cx="1657085" cy="970547"/>
          </a:xfrm>
          <a:prstGeom prst="rect">
            <a:avLst/>
          </a:prstGeom>
          <a:solidFill>
            <a:srgbClr val="C6D9F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13264" name="Obdélník 18">
            <a:extLst>
              <a:ext uri="{FF2B5EF4-FFF2-40B4-BE49-F238E27FC236}">
                <a16:creationId xmlns:a16="http://schemas.microsoft.com/office/drawing/2014/main" id="{00000000-0008-0000-0D00-0000504E0600}"/>
              </a:ext>
            </a:extLst>
          </xdr:cNvPr>
          <xdr:cNvSpPr>
            <a:spLocks noChangeArrowheads="1"/>
          </xdr:cNvSpPr>
        </xdr:nvSpPr>
        <xdr:spPr bwMode="auto">
          <a:xfrm>
            <a:off x="3449052" y="989697"/>
            <a:ext cx="111600" cy="1666799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13265" name="Volný tvar 20">
            <a:extLst>
              <a:ext uri="{FF2B5EF4-FFF2-40B4-BE49-F238E27FC236}">
                <a16:creationId xmlns:a16="http://schemas.microsoft.com/office/drawing/2014/main" id="{00000000-0008-0000-0D00-0000514E0600}"/>
              </a:ext>
            </a:extLst>
          </xdr:cNvPr>
          <xdr:cNvSpPr>
            <a:spLocks/>
          </xdr:cNvSpPr>
        </xdr:nvSpPr>
        <xdr:spPr bwMode="auto">
          <a:xfrm>
            <a:off x="4841809" y="986589"/>
            <a:ext cx="624137" cy="1776257"/>
          </a:xfrm>
          <a:custGeom>
            <a:avLst/>
            <a:gdLst>
              <a:gd name="T0" fmla="*/ 2147483646 w 290593"/>
              <a:gd name="T1" fmla="*/ 107994243 h 817667"/>
              <a:gd name="T2" fmla="*/ 2147483646 w 290593"/>
              <a:gd name="T3" fmla="*/ 107994243 h 817667"/>
              <a:gd name="T4" fmla="*/ 2147483646 w 290593"/>
              <a:gd name="T5" fmla="*/ 1107104460 h 817667"/>
              <a:gd name="T6" fmla="*/ 2147483646 w 290593"/>
              <a:gd name="T7" fmla="*/ 1248751123 h 817667"/>
              <a:gd name="T8" fmla="*/ 2147483646 w 290593"/>
              <a:gd name="T9" fmla="*/ 1606677617 h 817667"/>
              <a:gd name="T10" fmla="*/ 2147483646 w 290593"/>
              <a:gd name="T11" fmla="*/ 2147483646 h 817667"/>
              <a:gd name="T12" fmla="*/ 2147483646 w 290593"/>
              <a:gd name="T13" fmla="*/ 2147483646 h 817667"/>
              <a:gd name="T14" fmla="*/ 2147483646 w 290593"/>
              <a:gd name="T15" fmla="*/ 2147483646 h 817667"/>
              <a:gd name="T16" fmla="*/ 2147483646 w 290593"/>
              <a:gd name="T17" fmla="*/ 2147483646 h 817667"/>
              <a:gd name="T18" fmla="*/ 2147483646 w 290593"/>
              <a:gd name="T19" fmla="*/ 2147483646 h 817667"/>
              <a:gd name="T20" fmla="*/ 2147483646 w 290593"/>
              <a:gd name="T21" fmla="*/ 2147483646 h 817667"/>
              <a:gd name="T22" fmla="*/ 0 w 290593"/>
              <a:gd name="T23" fmla="*/ 2147483646 h 817667"/>
              <a:gd name="T24" fmla="*/ 2147483646 w 290593"/>
              <a:gd name="T25" fmla="*/ 2147483646 h 817667"/>
              <a:gd name="T26" fmla="*/ 2147483646 w 290593"/>
              <a:gd name="T27" fmla="*/ 2147483646 h 817667"/>
              <a:gd name="T28" fmla="*/ 2147483646 w 290593"/>
              <a:gd name="T29" fmla="*/ 2147483646 h 817667"/>
              <a:gd name="T30" fmla="*/ 2147483646 w 290593"/>
              <a:gd name="T31" fmla="*/ 2147483646 h 817667"/>
              <a:gd name="T32" fmla="*/ 2147483646 w 290593"/>
              <a:gd name="T33" fmla="*/ 2147483646 h 817667"/>
              <a:gd name="T34" fmla="*/ 2147483646 w 290593"/>
              <a:gd name="T35" fmla="*/ 322678155 h 817667"/>
              <a:gd name="T36" fmla="*/ 2147483646 w 290593"/>
              <a:gd name="T37" fmla="*/ 107994243 h 817667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w 290593"/>
              <a:gd name="T58" fmla="*/ 0 h 817667"/>
              <a:gd name="T59" fmla="*/ 290593 w 290593"/>
              <a:gd name="T60" fmla="*/ 817667 h 817667"/>
            </a:gdLst>
            <a:ahLst/>
            <a:cxnLst>
              <a:cxn ang="T38">
                <a:pos x="T0" y="T1"/>
              </a:cxn>
              <a:cxn ang="T39">
                <a:pos x="T2" y="T3"/>
              </a:cxn>
              <a:cxn ang="T40">
                <a:pos x="T4" y="T5"/>
              </a:cxn>
              <a:cxn ang="T41">
                <a:pos x="T6" y="T7"/>
              </a:cxn>
              <a:cxn ang="T42">
                <a:pos x="T8" y="T9"/>
              </a:cxn>
              <a:cxn ang="T43">
                <a:pos x="T10" y="T11"/>
              </a:cxn>
              <a:cxn ang="T44">
                <a:pos x="T12" y="T13"/>
              </a:cxn>
              <a:cxn ang="T45">
                <a:pos x="T14" y="T15"/>
              </a:cxn>
              <a:cxn ang="T46">
                <a:pos x="T16" y="T17"/>
              </a:cxn>
              <a:cxn ang="T47">
                <a:pos x="T18" y="T19"/>
              </a:cxn>
              <a:cxn ang="T48">
                <a:pos x="T20" y="T21"/>
              </a:cxn>
              <a:cxn ang="T49">
                <a:pos x="T22" y="T23"/>
              </a:cxn>
              <a:cxn ang="T50">
                <a:pos x="T24" y="T25"/>
              </a:cxn>
              <a:cxn ang="T51">
                <a:pos x="T26" y="T27"/>
              </a:cxn>
              <a:cxn ang="T52">
                <a:pos x="T28" y="T29"/>
              </a:cxn>
              <a:cxn ang="T53">
                <a:pos x="T30" y="T31"/>
              </a:cxn>
              <a:cxn ang="T54">
                <a:pos x="T32" y="T33"/>
              </a:cxn>
              <a:cxn ang="T55">
                <a:pos x="T34" y="T35"/>
              </a:cxn>
              <a:cxn ang="T56">
                <a:pos x="T36" y="T37"/>
              </a:cxn>
            </a:cxnLst>
            <a:rect l="T57" t="T58" r="T59" b="T60"/>
            <a:pathLst>
              <a:path w="290593" h="817667">
                <a:moveTo>
                  <a:pt x="76200" y="14613"/>
                </a:moveTo>
                <a:lnTo>
                  <a:pt x="76200" y="14613"/>
                </a:lnTo>
                <a:cubicBezTo>
                  <a:pt x="86511" y="42109"/>
                  <a:pt x="127065" y="111603"/>
                  <a:pt x="95250" y="147963"/>
                </a:cubicBezTo>
                <a:cubicBezTo>
                  <a:pt x="82027" y="163075"/>
                  <a:pt x="38100" y="167013"/>
                  <a:pt x="38100" y="167013"/>
                </a:cubicBezTo>
                <a:cubicBezTo>
                  <a:pt x="52096" y="176344"/>
                  <a:pt x="84429" y="192607"/>
                  <a:pt x="85725" y="214638"/>
                </a:cubicBezTo>
                <a:cubicBezTo>
                  <a:pt x="86693" y="231091"/>
                  <a:pt x="106075" y="259086"/>
                  <a:pt x="65211" y="291777"/>
                </a:cubicBezTo>
                <a:cubicBezTo>
                  <a:pt x="57371" y="298049"/>
                  <a:pt x="38100" y="382913"/>
                  <a:pt x="28575" y="386088"/>
                </a:cubicBezTo>
                <a:cubicBezTo>
                  <a:pt x="13701" y="430709"/>
                  <a:pt x="10804" y="425702"/>
                  <a:pt x="28575" y="490863"/>
                </a:cubicBezTo>
                <a:cubicBezTo>
                  <a:pt x="31587" y="501907"/>
                  <a:pt x="41275" y="509913"/>
                  <a:pt x="47625" y="519438"/>
                </a:cubicBezTo>
                <a:cubicBezTo>
                  <a:pt x="44450" y="538488"/>
                  <a:pt x="47682" y="559820"/>
                  <a:pt x="38100" y="576588"/>
                </a:cubicBezTo>
                <a:cubicBezTo>
                  <a:pt x="33119" y="585305"/>
                  <a:pt x="16625" y="579013"/>
                  <a:pt x="9525" y="586113"/>
                </a:cubicBezTo>
                <a:cubicBezTo>
                  <a:pt x="2425" y="593213"/>
                  <a:pt x="3175" y="605163"/>
                  <a:pt x="0" y="614688"/>
                </a:cubicBezTo>
                <a:cubicBezTo>
                  <a:pt x="6350" y="633738"/>
                  <a:pt x="7911" y="655130"/>
                  <a:pt x="19050" y="671838"/>
                </a:cubicBezTo>
                <a:lnTo>
                  <a:pt x="57150" y="728988"/>
                </a:lnTo>
                <a:cubicBezTo>
                  <a:pt x="51516" y="745889"/>
                  <a:pt x="26742" y="805357"/>
                  <a:pt x="57150" y="814713"/>
                </a:cubicBezTo>
                <a:cubicBezTo>
                  <a:pt x="66751" y="817667"/>
                  <a:pt x="248114" y="780330"/>
                  <a:pt x="266700" y="776613"/>
                </a:cubicBezTo>
                <a:cubicBezTo>
                  <a:pt x="290593" y="633254"/>
                  <a:pt x="266700" y="801168"/>
                  <a:pt x="266700" y="509913"/>
                </a:cubicBezTo>
                <a:cubicBezTo>
                  <a:pt x="266700" y="283161"/>
                  <a:pt x="272633" y="226829"/>
                  <a:pt x="285750" y="43188"/>
                </a:cubicBezTo>
                <a:cubicBezTo>
                  <a:pt x="199373" y="0"/>
                  <a:pt x="111125" y="19376"/>
                  <a:pt x="76200" y="14613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cap="flat" cmpd="sng" algn="ctr">
                <a:solidFill>
                  <a:srgbClr val="000000"/>
                </a:solidFill>
                <a:prstDash val="solid"/>
                <a:round/>
                <a:headEnd type="none" w="med" len="med"/>
                <a:tailEnd type="none" w="med" len="med"/>
              </a14:hiddenLine>
            </a:ext>
          </a:extLst>
        </xdr:spPr>
      </xdr:sp>
    </xdr:grpSp>
    <xdr:clientData/>
  </xdr:twoCellAnchor>
  <xdr:twoCellAnchor editAs="oneCell">
    <xdr:from>
      <xdr:col>45</xdr:col>
      <xdr:colOff>144780</xdr:colOff>
      <xdr:row>1</xdr:row>
      <xdr:rowOff>106680</xdr:rowOff>
    </xdr:from>
    <xdr:to>
      <xdr:col>63</xdr:col>
      <xdr:colOff>487680</xdr:colOff>
      <xdr:row>4</xdr:row>
      <xdr:rowOff>144780</xdr:rowOff>
    </xdr:to>
    <xdr:pic>
      <xdr:nvPicPr>
        <xdr:cNvPr id="413257" name="Picture 24">
          <a:extLst>
            <a:ext uri="{FF2B5EF4-FFF2-40B4-BE49-F238E27FC236}">
              <a16:creationId xmlns:a16="http://schemas.microsoft.com/office/drawing/2014/main" id="{00000000-0008-0000-0D00-0000494E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266700"/>
          <a:ext cx="960120" cy="777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22860</xdr:colOff>
      <xdr:row>69</xdr:row>
      <xdr:rowOff>83820</xdr:rowOff>
    </xdr:from>
    <xdr:to>
      <xdr:col>34</xdr:col>
      <xdr:colOff>0</xdr:colOff>
      <xdr:row>78</xdr:row>
      <xdr:rowOff>60960</xdr:rowOff>
    </xdr:to>
    <xdr:pic>
      <xdr:nvPicPr>
        <xdr:cNvPr id="413258" name="Picture 11">
          <a:extLst>
            <a:ext uri="{FF2B5EF4-FFF2-40B4-BE49-F238E27FC236}">
              <a16:creationId xmlns:a16="http://schemas.microsoft.com/office/drawing/2014/main" id="{00000000-0008-0000-0D00-00004A4E06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4020" y="13037820"/>
          <a:ext cx="2110740" cy="1623060"/>
        </a:xfrm>
        <a:prstGeom prst="rect">
          <a:avLst/>
        </a:prstGeom>
        <a:noFill/>
        <a:ln w="28575">
          <a:solidFill>
            <a:srgbClr val="A6A6A6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22860</xdr:colOff>
      <xdr:row>69</xdr:row>
      <xdr:rowOff>83820</xdr:rowOff>
    </xdr:from>
    <xdr:to>
      <xdr:col>34</xdr:col>
      <xdr:colOff>0</xdr:colOff>
      <xdr:row>78</xdr:row>
      <xdr:rowOff>60960</xdr:rowOff>
    </xdr:to>
    <xdr:pic>
      <xdr:nvPicPr>
        <xdr:cNvPr id="413259" name="Picture 11">
          <a:extLst>
            <a:ext uri="{FF2B5EF4-FFF2-40B4-BE49-F238E27FC236}">
              <a16:creationId xmlns:a16="http://schemas.microsoft.com/office/drawing/2014/main" id="{00000000-0008-0000-0D00-00004B4E06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4020" y="13037820"/>
          <a:ext cx="2110740" cy="1623060"/>
        </a:xfrm>
        <a:prstGeom prst="rect">
          <a:avLst/>
        </a:prstGeom>
        <a:noFill/>
        <a:ln w="28575">
          <a:solidFill>
            <a:srgbClr val="A6A6A6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403860</xdr:colOff>
      <xdr:row>85</xdr:row>
      <xdr:rowOff>45720</xdr:rowOff>
    </xdr:from>
    <xdr:to>
      <xdr:col>23</xdr:col>
      <xdr:colOff>129540</xdr:colOff>
      <xdr:row>93</xdr:row>
      <xdr:rowOff>160020</xdr:rowOff>
    </xdr:to>
    <xdr:pic>
      <xdr:nvPicPr>
        <xdr:cNvPr id="413260" name="Obrázek 17">
          <a:extLst>
            <a:ext uri="{FF2B5EF4-FFF2-40B4-BE49-F238E27FC236}">
              <a16:creationId xmlns:a16="http://schemas.microsoft.com/office/drawing/2014/main" id="{00000000-0008-0000-0D00-00004C4E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400" y="15925800"/>
          <a:ext cx="4091940" cy="1577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0</xdr:colOff>
      <xdr:row>5</xdr:row>
      <xdr:rowOff>0</xdr:rowOff>
    </xdr:from>
    <xdr:to>
      <xdr:col>35</xdr:col>
      <xdr:colOff>30480</xdr:colOff>
      <xdr:row>13</xdr:row>
      <xdr:rowOff>160020</xdr:rowOff>
    </xdr:to>
    <xdr:pic>
      <xdr:nvPicPr>
        <xdr:cNvPr id="413261" name="Obrázek 16">
          <a:extLst>
            <a:ext uri="{FF2B5EF4-FFF2-40B4-BE49-F238E27FC236}">
              <a16:creationId xmlns:a16="http://schemas.microsoft.com/office/drawing/2014/main" id="{00000000-0008-0000-0D00-00004D4E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1160" y="1082040"/>
          <a:ext cx="2377440" cy="1623060"/>
        </a:xfrm>
        <a:prstGeom prst="rect">
          <a:avLst/>
        </a:prstGeom>
        <a:noFill/>
        <a:ln w="28575">
          <a:solidFill>
            <a:srgbClr val="A6A6A6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205740</xdr:colOff>
      <xdr:row>69</xdr:row>
      <xdr:rowOff>0</xdr:rowOff>
    </xdr:from>
    <xdr:to>
      <xdr:col>23</xdr:col>
      <xdr:colOff>38100</xdr:colOff>
      <xdr:row>79</xdr:row>
      <xdr:rowOff>7620</xdr:rowOff>
    </xdr:to>
    <xdr:grpSp>
      <xdr:nvGrpSpPr>
        <xdr:cNvPr id="407155" name="Skupina 75">
          <a:extLst>
            <a:ext uri="{FF2B5EF4-FFF2-40B4-BE49-F238E27FC236}">
              <a16:creationId xmlns:a16="http://schemas.microsoft.com/office/drawing/2014/main" id="{00000000-0008-0000-0E00-000073360600}"/>
            </a:ext>
          </a:extLst>
        </xdr:cNvPr>
        <xdr:cNvGrpSpPr>
          <a:grpSpLocks noChangeAspect="1"/>
        </xdr:cNvGrpSpPr>
      </xdr:nvGrpSpPr>
      <xdr:grpSpPr bwMode="auto">
        <a:xfrm>
          <a:off x="3614687" y="13050253"/>
          <a:ext cx="2158466" cy="1852462"/>
          <a:chOff x="5794902" y="4438650"/>
          <a:chExt cx="944117" cy="817667"/>
        </a:xfrm>
      </xdr:grpSpPr>
      <xdr:sp macro="" textlink="">
        <xdr:nvSpPr>
          <xdr:cNvPr id="407165" name="Obdélník 56">
            <a:extLst>
              <a:ext uri="{FF2B5EF4-FFF2-40B4-BE49-F238E27FC236}">
                <a16:creationId xmlns:a16="http://schemas.microsoft.com/office/drawing/2014/main" id="{00000000-0008-0000-0E00-00007D360600}"/>
              </a:ext>
            </a:extLst>
          </xdr:cNvPr>
          <xdr:cNvSpPr>
            <a:spLocks noChangeArrowheads="1"/>
          </xdr:cNvSpPr>
        </xdr:nvSpPr>
        <xdr:spPr bwMode="auto">
          <a:xfrm>
            <a:off x="5829300" y="4576221"/>
            <a:ext cx="771525" cy="562170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07166" name="Obdélník 57">
            <a:extLst>
              <a:ext uri="{FF2B5EF4-FFF2-40B4-BE49-F238E27FC236}">
                <a16:creationId xmlns:a16="http://schemas.microsoft.com/office/drawing/2014/main" id="{00000000-0008-0000-0E00-00007E360600}"/>
              </a:ext>
            </a:extLst>
          </xdr:cNvPr>
          <xdr:cNvSpPr>
            <a:spLocks noChangeArrowheads="1"/>
          </xdr:cNvSpPr>
        </xdr:nvSpPr>
        <xdr:spPr bwMode="auto">
          <a:xfrm>
            <a:off x="5794902" y="4495195"/>
            <a:ext cx="52776" cy="720353"/>
          </a:xfrm>
          <a:prstGeom prst="rect">
            <a:avLst/>
          </a:prstGeom>
          <a:solidFill>
            <a:srgbClr val="C6D9F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07167" name="Volný tvar 58">
            <a:extLst>
              <a:ext uri="{FF2B5EF4-FFF2-40B4-BE49-F238E27FC236}">
                <a16:creationId xmlns:a16="http://schemas.microsoft.com/office/drawing/2014/main" id="{00000000-0008-0000-0E00-00007F360600}"/>
              </a:ext>
            </a:extLst>
          </xdr:cNvPr>
          <xdr:cNvSpPr>
            <a:spLocks/>
          </xdr:cNvSpPr>
        </xdr:nvSpPr>
        <xdr:spPr bwMode="auto">
          <a:xfrm>
            <a:off x="6448426" y="4438650"/>
            <a:ext cx="290593" cy="817667"/>
          </a:xfrm>
          <a:custGeom>
            <a:avLst/>
            <a:gdLst>
              <a:gd name="T0" fmla="*/ 76200 w 290593"/>
              <a:gd name="T1" fmla="*/ 14613 h 817667"/>
              <a:gd name="T2" fmla="*/ 76200 w 290593"/>
              <a:gd name="T3" fmla="*/ 14613 h 817667"/>
              <a:gd name="T4" fmla="*/ 95250 w 290593"/>
              <a:gd name="T5" fmla="*/ 147963 h 817667"/>
              <a:gd name="T6" fmla="*/ 38100 w 290593"/>
              <a:gd name="T7" fmla="*/ 167013 h 817667"/>
              <a:gd name="T8" fmla="*/ 85725 w 290593"/>
              <a:gd name="T9" fmla="*/ 214638 h 817667"/>
              <a:gd name="T10" fmla="*/ 57150 w 290593"/>
              <a:gd name="T11" fmla="*/ 376563 h 817667"/>
              <a:gd name="T12" fmla="*/ 28575 w 290593"/>
              <a:gd name="T13" fmla="*/ 386088 h 817667"/>
              <a:gd name="T14" fmla="*/ 28575 w 290593"/>
              <a:gd name="T15" fmla="*/ 490863 h 817667"/>
              <a:gd name="T16" fmla="*/ 47625 w 290593"/>
              <a:gd name="T17" fmla="*/ 519438 h 817667"/>
              <a:gd name="T18" fmla="*/ 38100 w 290593"/>
              <a:gd name="T19" fmla="*/ 576588 h 817667"/>
              <a:gd name="T20" fmla="*/ 9525 w 290593"/>
              <a:gd name="T21" fmla="*/ 586113 h 817667"/>
              <a:gd name="T22" fmla="*/ 0 w 290593"/>
              <a:gd name="T23" fmla="*/ 614688 h 817667"/>
              <a:gd name="T24" fmla="*/ 19050 w 290593"/>
              <a:gd name="T25" fmla="*/ 671838 h 817667"/>
              <a:gd name="T26" fmla="*/ 57150 w 290593"/>
              <a:gd name="T27" fmla="*/ 728988 h 817667"/>
              <a:gd name="T28" fmla="*/ 57150 w 290593"/>
              <a:gd name="T29" fmla="*/ 814713 h 817667"/>
              <a:gd name="T30" fmla="*/ 266700 w 290593"/>
              <a:gd name="T31" fmla="*/ 776613 h 817667"/>
              <a:gd name="T32" fmla="*/ 266700 w 290593"/>
              <a:gd name="T33" fmla="*/ 509913 h 817667"/>
              <a:gd name="T34" fmla="*/ 285750 w 290593"/>
              <a:gd name="T35" fmla="*/ 43188 h 817667"/>
              <a:gd name="T36" fmla="*/ 76200 w 290593"/>
              <a:gd name="T37" fmla="*/ 14613 h 817667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w 290593"/>
              <a:gd name="T58" fmla="*/ 0 h 817667"/>
              <a:gd name="T59" fmla="*/ 290593 w 290593"/>
              <a:gd name="T60" fmla="*/ 817667 h 817667"/>
            </a:gdLst>
            <a:ahLst/>
            <a:cxnLst>
              <a:cxn ang="T38">
                <a:pos x="T0" y="T1"/>
              </a:cxn>
              <a:cxn ang="T39">
                <a:pos x="T2" y="T3"/>
              </a:cxn>
              <a:cxn ang="T40">
                <a:pos x="T4" y="T5"/>
              </a:cxn>
              <a:cxn ang="T41">
                <a:pos x="T6" y="T7"/>
              </a:cxn>
              <a:cxn ang="T42">
                <a:pos x="T8" y="T9"/>
              </a:cxn>
              <a:cxn ang="T43">
                <a:pos x="T10" y="T11"/>
              </a:cxn>
              <a:cxn ang="T44">
                <a:pos x="T12" y="T13"/>
              </a:cxn>
              <a:cxn ang="T45">
                <a:pos x="T14" y="T15"/>
              </a:cxn>
              <a:cxn ang="T46">
                <a:pos x="T16" y="T17"/>
              </a:cxn>
              <a:cxn ang="T47">
                <a:pos x="T18" y="T19"/>
              </a:cxn>
              <a:cxn ang="T48">
                <a:pos x="T20" y="T21"/>
              </a:cxn>
              <a:cxn ang="T49">
                <a:pos x="T22" y="T23"/>
              </a:cxn>
              <a:cxn ang="T50">
                <a:pos x="T24" y="T25"/>
              </a:cxn>
              <a:cxn ang="T51">
                <a:pos x="T26" y="T27"/>
              </a:cxn>
              <a:cxn ang="T52">
                <a:pos x="T28" y="T29"/>
              </a:cxn>
              <a:cxn ang="T53">
                <a:pos x="T30" y="T31"/>
              </a:cxn>
              <a:cxn ang="T54">
                <a:pos x="T32" y="T33"/>
              </a:cxn>
              <a:cxn ang="T55">
                <a:pos x="T34" y="T35"/>
              </a:cxn>
              <a:cxn ang="T56">
                <a:pos x="T36" y="T37"/>
              </a:cxn>
            </a:cxnLst>
            <a:rect l="T57" t="T58" r="T59" b="T60"/>
            <a:pathLst>
              <a:path w="290593" h="817667">
                <a:moveTo>
                  <a:pt x="76200" y="14613"/>
                </a:moveTo>
                <a:lnTo>
                  <a:pt x="76200" y="14613"/>
                </a:lnTo>
                <a:cubicBezTo>
                  <a:pt x="86511" y="42109"/>
                  <a:pt x="127065" y="111603"/>
                  <a:pt x="95250" y="147963"/>
                </a:cubicBezTo>
                <a:cubicBezTo>
                  <a:pt x="82027" y="163075"/>
                  <a:pt x="38100" y="167013"/>
                  <a:pt x="38100" y="167013"/>
                </a:cubicBezTo>
                <a:cubicBezTo>
                  <a:pt x="52096" y="176344"/>
                  <a:pt x="84429" y="192607"/>
                  <a:pt x="85725" y="214638"/>
                </a:cubicBezTo>
                <a:cubicBezTo>
                  <a:pt x="86693" y="231091"/>
                  <a:pt x="98014" y="343872"/>
                  <a:pt x="57150" y="376563"/>
                </a:cubicBezTo>
                <a:cubicBezTo>
                  <a:pt x="49310" y="382835"/>
                  <a:pt x="38100" y="382913"/>
                  <a:pt x="28575" y="386088"/>
                </a:cubicBezTo>
                <a:cubicBezTo>
                  <a:pt x="13701" y="430709"/>
                  <a:pt x="10804" y="425702"/>
                  <a:pt x="28575" y="490863"/>
                </a:cubicBezTo>
                <a:cubicBezTo>
                  <a:pt x="31587" y="501907"/>
                  <a:pt x="41275" y="509913"/>
                  <a:pt x="47625" y="519438"/>
                </a:cubicBezTo>
                <a:cubicBezTo>
                  <a:pt x="44450" y="538488"/>
                  <a:pt x="47682" y="559820"/>
                  <a:pt x="38100" y="576588"/>
                </a:cubicBezTo>
                <a:cubicBezTo>
                  <a:pt x="33119" y="585305"/>
                  <a:pt x="16625" y="579013"/>
                  <a:pt x="9525" y="586113"/>
                </a:cubicBezTo>
                <a:cubicBezTo>
                  <a:pt x="2425" y="593213"/>
                  <a:pt x="3175" y="605163"/>
                  <a:pt x="0" y="614688"/>
                </a:cubicBezTo>
                <a:cubicBezTo>
                  <a:pt x="6350" y="633738"/>
                  <a:pt x="7911" y="655130"/>
                  <a:pt x="19050" y="671838"/>
                </a:cubicBezTo>
                <a:lnTo>
                  <a:pt x="57150" y="728988"/>
                </a:lnTo>
                <a:cubicBezTo>
                  <a:pt x="51516" y="745889"/>
                  <a:pt x="26742" y="805357"/>
                  <a:pt x="57150" y="814713"/>
                </a:cubicBezTo>
                <a:cubicBezTo>
                  <a:pt x="66751" y="817667"/>
                  <a:pt x="248114" y="780330"/>
                  <a:pt x="266700" y="776613"/>
                </a:cubicBezTo>
                <a:cubicBezTo>
                  <a:pt x="290593" y="633254"/>
                  <a:pt x="266700" y="801168"/>
                  <a:pt x="266700" y="509913"/>
                </a:cubicBezTo>
                <a:cubicBezTo>
                  <a:pt x="266700" y="283161"/>
                  <a:pt x="272633" y="226829"/>
                  <a:pt x="285750" y="43188"/>
                </a:cubicBezTo>
                <a:cubicBezTo>
                  <a:pt x="199373" y="0"/>
                  <a:pt x="111125" y="19376"/>
                  <a:pt x="76200" y="14613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cap="flat" cmpd="sng" algn="ctr">
                <a:solidFill>
                  <a:srgbClr val="000000"/>
                </a:solidFill>
                <a:prstDash val="solid"/>
                <a:round/>
                <a:headEnd type="none" w="med" len="med"/>
                <a:tailEnd type="none" w="med" len="med"/>
              </a14:hiddenLine>
            </a:ext>
          </a:extLst>
        </xdr:spPr>
      </xdr:sp>
    </xdr:grpSp>
    <xdr:clientData/>
  </xdr:twoCellAnchor>
  <xdr:twoCellAnchor editAs="oneCell">
    <xdr:from>
      <xdr:col>45</xdr:col>
      <xdr:colOff>144780</xdr:colOff>
      <xdr:row>1</xdr:row>
      <xdr:rowOff>106680</xdr:rowOff>
    </xdr:from>
    <xdr:to>
      <xdr:col>63</xdr:col>
      <xdr:colOff>487680</xdr:colOff>
      <xdr:row>4</xdr:row>
      <xdr:rowOff>144780</xdr:rowOff>
    </xdr:to>
    <xdr:pic>
      <xdr:nvPicPr>
        <xdr:cNvPr id="407156" name="Picture 24">
          <a:extLst>
            <a:ext uri="{FF2B5EF4-FFF2-40B4-BE49-F238E27FC236}">
              <a16:creationId xmlns:a16="http://schemas.microsoft.com/office/drawing/2014/main" id="{00000000-0008-0000-0E00-00007436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266700"/>
          <a:ext cx="960120" cy="777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22860</xdr:colOff>
      <xdr:row>69</xdr:row>
      <xdr:rowOff>83820</xdr:rowOff>
    </xdr:from>
    <xdr:to>
      <xdr:col>34</xdr:col>
      <xdr:colOff>0</xdr:colOff>
      <xdr:row>78</xdr:row>
      <xdr:rowOff>60960</xdr:rowOff>
    </xdr:to>
    <xdr:pic>
      <xdr:nvPicPr>
        <xdr:cNvPr id="407157" name="Picture 11">
          <a:extLst>
            <a:ext uri="{FF2B5EF4-FFF2-40B4-BE49-F238E27FC236}">
              <a16:creationId xmlns:a16="http://schemas.microsoft.com/office/drawing/2014/main" id="{00000000-0008-0000-0E00-0000753606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4020" y="13037820"/>
          <a:ext cx="2110740" cy="1623060"/>
        </a:xfrm>
        <a:prstGeom prst="rect">
          <a:avLst/>
        </a:prstGeom>
        <a:noFill/>
        <a:ln w="28575">
          <a:solidFill>
            <a:srgbClr val="A6A6A6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205740</xdr:colOff>
      <xdr:row>4</xdr:row>
      <xdr:rowOff>0</xdr:rowOff>
    </xdr:from>
    <xdr:to>
      <xdr:col>23</xdr:col>
      <xdr:colOff>38100</xdr:colOff>
      <xdr:row>14</xdr:row>
      <xdr:rowOff>7620</xdr:rowOff>
    </xdr:to>
    <xdr:grpSp>
      <xdr:nvGrpSpPr>
        <xdr:cNvPr id="407158" name="Skupina 75">
          <a:extLst>
            <a:ext uri="{FF2B5EF4-FFF2-40B4-BE49-F238E27FC236}">
              <a16:creationId xmlns:a16="http://schemas.microsoft.com/office/drawing/2014/main" id="{00000000-0008-0000-0E00-000076360600}"/>
            </a:ext>
          </a:extLst>
        </xdr:cNvPr>
        <xdr:cNvGrpSpPr>
          <a:grpSpLocks noChangeAspect="1"/>
        </xdr:cNvGrpSpPr>
      </xdr:nvGrpSpPr>
      <xdr:grpSpPr bwMode="auto">
        <a:xfrm>
          <a:off x="3614687" y="898358"/>
          <a:ext cx="2158466" cy="1852462"/>
          <a:chOff x="5794902" y="4438650"/>
          <a:chExt cx="944117" cy="817667"/>
        </a:xfrm>
      </xdr:grpSpPr>
      <xdr:sp macro="" textlink="">
        <xdr:nvSpPr>
          <xdr:cNvPr id="407162" name="Obdélník 56">
            <a:extLst>
              <a:ext uri="{FF2B5EF4-FFF2-40B4-BE49-F238E27FC236}">
                <a16:creationId xmlns:a16="http://schemas.microsoft.com/office/drawing/2014/main" id="{00000000-0008-0000-0E00-00007A360600}"/>
              </a:ext>
            </a:extLst>
          </xdr:cNvPr>
          <xdr:cNvSpPr>
            <a:spLocks noChangeArrowheads="1"/>
          </xdr:cNvSpPr>
        </xdr:nvSpPr>
        <xdr:spPr bwMode="auto">
          <a:xfrm>
            <a:off x="5829300" y="4576221"/>
            <a:ext cx="771525" cy="562170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07163" name="Obdélník 57">
            <a:extLst>
              <a:ext uri="{FF2B5EF4-FFF2-40B4-BE49-F238E27FC236}">
                <a16:creationId xmlns:a16="http://schemas.microsoft.com/office/drawing/2014/main" id="{00000000-0008-0000-0E00-00007B360600}"/>
              </a:ext>
            </a:extLst>
          </xdr:cNvPr>
          <xdr:cNvSpPr>
            <a:spLocks noChangeArrowheads="1"/>
          </xdr:cNvSpPr>
        </xdr:nvSpPr>
        <xdr:spPr bwMode="auto">
          <a:xfrm>
            <a:off x="5794902" y="4495195"/>
            <a:ext cx="52776" cy="720353"/>
          </a:xfrm>
          <a:prstGeom prst="rect">
            <a:avLst/>
          </a:prstGeom>
          <a:solidFill>
            <a:srgbClr val="C6D9F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07164" name="Volný tvar 58">
            <a:extLst>
              <a:ext uri="{FF2B5EF4-FFF2-40B4-BE49-F238E27FC236}">
                <a16:creationId xmlns:a16="http://schemas.microsoft.com/office/drawing/2014/main" id="{00000000-0008-0000-0E00-00007C360600}"/>
              </a:ext>
            </a:extLst>
          </xdr:cNvPr>
          <xdr:cNvSpPr>
            <a:spLocks/>
          </xdr:cNvSpPr>
        </xdr:nvSpPr>
        <xdr:spPr bwMode="auto">
          <a:xfrm>
            <a:off x="6448426" y="4438650"/>
            <a:ext cx="290593" cy="817667"/>
          </a:xfrm>
          <a:custGeom>
            <a:avLst/>
            <a:gdLst>
              <a:gd name="T0" fmla="*/ 76200 w 290593"/>
              <a:gd name="T1" fmla="*/ 14613 h 817667"/>
              <a:gd name="T2" fmla="*/ 76200 w 290593"/>
              <a:gd name="T3" fmla="*/ 14613 h 817667"/>
              <a:gd name="T4" fmla="*/ 95250 w 290593"/>
              <a:gd name="T5" fmla="*/ 147963 h 817667"/>
              <a:gd name="T6" fmla="*/ 38100 w 290593"/>
              <a:gd name="T7" fmla="*/ 167013 h 817667"/>
              <a:gd name="T8" fmla="*/ 85725 w 290593"/>
              <a:gd name="T9" fmla="*/ 214638 h 817667"/>
              <a:gd name="T10" fmla="*/ 57150 w 290593"/>
              <a:gd name="T11" fmla="*/ 376563 h 817667"/>
              <a:gd name="T12" fmla="*/ 28575 w 290593"/>
              <a:gd name="T13" fmla="*/ 386088 h 817667"/>
              <a:gd name="T14" fmla="*/ 28575 w 290593"/>
              <a:gd name="T15" fmla="*/ 490863 h 817667"/>
              <a:gd name="T16" fmla="*/ 47625 w 290593"/>
              <a:gd name="T17" fmla="*/ 519438 h 817667"/>
              <a:gd name="T18" fmla="*/ 38100 w 290593"/>
              <a:gd name="T19" fmla="*/ 576588 h 817667"/>
              <a:gd name="T20" fmla="*/ 9525 w 290593"/>
              <a:gd name="T21" fmla="*/ 586113 h 817667"/>
              <a:gd name="T22" fmla="*/ 0 w 290593"/>
              <a:gd name="T23" fmla="*/ 614688 h 817667"/>
              <a:gd name="T24" fmla="*/ 19050 w 290593"/>
              <a:gd name="T25" fmla="*/ 671838 h 817667"/>
              <a:gd name="T26" fmla="*/ 57150 w 290593"/>
              <a:gd name="T27" fmla="*/ 728988 h 817667"/>
              <a:gd name="T28" fmla="*/ 57150 w 290593"/>
              <a:gd name="T29" fmla="*/ 814713 h 817667"/>
              <a:gd name="T30" fmla="*/ 266700 w 290593"/>
              <a:gd name="T31" fmla="*/ 776613 h 817667"/>
              <a:gd name="T32" fmla="*/ 266700 w 290593"/>
              <a:gd name="T33" fmla="*/ 509913 h 817667"/>
              <a:gd name="T34" fmla="*/ 285750 w 290593"/>
              <a:gd name="T35" fmla="*/ 43188 h 817667"/>
              <a:gd name="T36" fmla="*/ 76200 w 290593"/>
              <a:gd name="T37" fmla="*/ 14613 h 817667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w 290593"/>
              <a:gd name="T58" fmla="*/ 0 h 817667"/>
              <a:gd name="T59" fmla="*/ 290593 w 290593"/>
              <a:gd name="T60" fmla="*/ 817667 h 817667"/>
            </a:gdLst>
            <a:ahLst/>
            <a:cxnLst>
              <a:cxn ang="T38">
                <a:pos x="T0" y="T1"/>
              </a:cxn>
              <a:cxn ang="T39">
                <a:pos x="T2" y="T3"/>
              </a:cxn>
              <a:cxn ang="T40">
                <a:pos x="T4" y="T5"/>
              </a:cxn>
              <a:cxn ang="T41">
                <a:pos x="T6" y="T7"/>
              </a:cxn>
              <a:cxn ang="T42">
                <a:pos x="T8" y="T9"/>
              </a:cxn>
              <a:cxn ang="T43">
                <a:pos x="T10" y="T11"/>
              </a:cxn>
              <a:cxn ang="T44">
                <a:pos x="T12" y="T13"/>
              </a:cxn>
              <a:cxn ang="T45">
                <a:pos x="T14" y="T15"/>
              </a:cxn>
              <a:cxn ang="T46">
                <a:pos x="T16" y="T17"/>
              </a:cxn>
              <a:cxn ang="T47">
                <a:pos x="T18" y="T19"/>
              </a:cxn>
              <a:cxn ang="T48">
                <a:pos x="T20" y="T21"/>
              </a:cxn>
              <a:cxn ang="T49">
                <a:pos x="T22" y="T23"/>
              </a:cxn>
              <a:cxn ang="T50">
                <a:pos x="T24" y="T25"/>
              </a:cxn>
              <a:cxn ang="T51">
                <a:pos x="T26" y="T27"/>
              </a:cxn>
              <a:cxn ang="T52">
                <a:pos x="T28" y="T29"/>
              </a:cxn>
              <a:cxn ang="T53">
                <a:pos x="T30" y="T31"/>
              </a:cxn>
              <a:cxn ang="T54">
                <a:pos x="T32" y="T33"/>
              </a:cxn>
              <a:cxn ang="T55">
                <a:pos x="T34" y="T35"/>
              </a:cxn>
              <a:cxn ang="T56">
                <a:pos x="T36" y="T37"/>
              </a:cxn>
            </a:cxnLst>
            <a:rect l="T57" t="T58" r="T59" b="T60"/>
            <a:pathLst>
              <a:path w="290593" h="817667">
                <a:moveTo>
                  <a:pt x="76200" y="14613"/>
                </a:moveTo>
                <a:lnTo>
                  <a:pt x="76200" y="14613"/>
                </a:lnTo>
                <a:cubicBezTo>
                  <a:pt x="86511" y="42109"/>
                  <a:pt x="127065" y="111603"/>
                  <a:pt x="95250" y="147963"/>
                </a:cubicBezTo>
                <a:cubicBezTo>
                  <a:pt x="82027" y="163075"/>
                  <a:pt x="38100" y="167013"/>
                  <a:pt x="38100" y="167013"/>
                </a:cubicBezTo>
                <a:cubicBezTo>
                  <a:pt x="52096" y="176344"/>
                  <a:pt x="84429" y="192607"/>
                  <a:pt x="85725" y="214638"/>
                </a:cubicBezTo>
                <a:cubicBezTo>
                  <a:pt x="86693" y="231091"/>
                  <a:pt x="98014" y="343872"/>
                  <a:pt x="57150" y="376563"/>
                </a:cubicBezTo>
                <a:cubicBezTo>
                  <a:pt x="49310" y="382835"/>
                  <a:pt x="38100" y="382913"/>
                  <a:pt x="28575" y="386088"/>
                </a:cubicBezTo>
                <a:cubicBezTo>
                  <a:pt x="13701" y="430709"/>
                  <a:pt x="10804" y="425702"/>
                  <a:pt x="28575" y="490863"/>
                </a:cubicBezTo>
                <a:cubicBezTo>
                  <a:pt x="31587" y="501907"/>
                  <a:pt x="41275" y="509913"/>
                  <a:pt x="47625" y="519438"/>
                </a:cubicBezTo>
                <a:cubicBezTo>
                  <a:pt x="44450" y="538488"/>
                  <a:pt x="47682" y="559820"/>
                  <a:pt x="38100" y="576588"/>
                </a:cubicBezTo>
                <a:cubicBezTo>
                  <a:pt x="33119" y="585305"/>
                  <a:pt x="16625" y="579013"/>
                  <a:pt x="9525" y="586113"/>
                </a:cubicBezTo>
                <a:cubicBezTo>
                  <a:pt x="2425" y="593213"/>
                  <a:pt x="3175" y="605163"/>
                  <a:pt x="0" y="614688"/>
                </a:cubicBezTo>
                <a:cubicBezTo>
                  <a:pt x="6350" y="633738"/>
                  <a:pt x="7911" y="655130"/>
                  <a:pt x="19050" y="671838"/>
                </a:cubicBezTo>
                <a:lnTo>
                  <a:pt x="57150" y="728988"/>
                </a:lnTo>
                <a:cubicBezTo>
                  <a:pt x="51516" y="745889"/>
                  <a:pt x="26742" y="805357"/>
                  <a:pt x="57150" y="814713"/>
                </a:cubicBezTo>
                <a:cubicBezTo>
                  <a:pt x="66751" y="817667"/>
                  <a:pt x="248114" y="780330"/>
                  <a:pt x="266700" y="776613"/>
                </a:cubicBezTo>
                <a:cubicBezTo>
                  <a:pt x="290593" y="633254"/>
                  <a:pt x="266700" y="801168"/>
                  <a:pt x="266700" y="509913"/>
                </a:cubicBezTo>
                <a:cubicBezTo>
                  <a:pt x="266700" y="283161"/>
                  <a:pt x="272633" y="226829"/>
                  <a:pt x="285750" y="43188"/>
                </a:cubicBezTo>
                <a:cubicBezTo>
                  <a:pt x="199373" y="0"/>
                  <a:pt x="111125" y="19376"/>
                  <a:pt x="76200" y="14613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cap="flat" cmpd="sng" algn="ctr">
                <a:solidFill>
                  <a:srgbClr val="000000"/>
                </a:solidFill>
                <a:prstDash val="solid"/>
                <a:round/>
                <a:headEnd type="none" w="med" len="med"/>
                <a:tailEnd type="none" w="med" len="med"/>
              </a14:hiddenLine>
            </a:ext>
          </a:extLst>
        </xdr:spPr>
      </xdr:sp>
    </xdr:grpSp>
    <xdr:clientData/>
  </xdr:twoCellAnchor>
  <xdr:twoCellAnchor editAs="oneCell">
    <xdr:from>
      <xdr:col>29</xdr:col>
      <xdr:colOff>198120</xdr:colOff>
      <xdr:row>84</xdr:row>
      <xdr:rowOff>160020</xdr:rowOff>
    </xdr:from>
    <xdr:to>
      <xdr:col>42</xdr:col>
      <xdr:colOff>182880</xdr:colOff>
      <xdr:row>95</xdr:row>
      <xdr:rowOff>137160</xdr:rowOff>
    </xdr:to>
    <xdr:pic>
      <xdr:nvPicPr>
        <xdr:cNvPr id="407159" name="Obrázek 21">
          <a:extLst>
            <a:ext uri="{FF2B5EF4-FFF2-40B4-BE49-F238E27FC236}">
              <a16:creationId xmlns:a16="http://schemas.microsoft.com/office/drawing/2014/main" id="{00000000-0008-0000-0E00-0000773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36080" y="15857220"/>
          <a:ext cx="2758440" cy="1988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30480</xdr:colOff>
      <xdr:row>84</xdr:row>
      <xdr:rowOff>22860</xdr:rowOff>
    </xdr:from>
    <xdr:to>
      <xdr:col>19</xdr:col>
      <xdr:colOff>198120</xdr:colOff>
      <xdr:row>94</xdr:row>
      <xdr:rowOff>137160</xdr:rowOff>
    </xdr:to>
    <xdr:pic>
      <xdr:nvPicPr>
        <xdr:cNvPr id="407160" name="Obrázek 22">
          <a:extLst>
            <a:ext uri="{FF2B5EF4-FFF2-40B4-BE49-F238E27FC236}">
              <a16:creationId xmlns:a16="http://schemas.microsoft.com/office/drawing/2014/main" id="{00000000-0008-0000-0E00-0000783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4520" y="15720060"/>
          <a:ext cx="2727960" cy="194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0</xdr:colOff>
      <xdr:row>5</xdr:row>
      <xdr:rowOff>0</xdr:rowOff>
    </xdr:from>
    <xdr:to>
      <xdr:col>35</xdr:col>
      <xdr:colOff>30480</xdr:colOff>
      <xdr:row>13</xdr:row>
      <xdr:rowOff>160020</xdr:rowOff>
    </xdr:to>
    <xdr:pic>
      <xdr:nvPicPr>
        <xdr:cNvPr id="407161" name="Obrázek 14">
          <a:extLst>
            <a:ext uri="{FF2B5EF4-FFF2-40B4-BE49-F238E27FC236}">
              <a16:creationId xmlns:a16="http://schemas.microsoft.com/office/drawing/2014/main" id="{00000000-0008-0000-0E00-0000793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1160" y="1082040"/>
          <a:ext cx="2377440" cy="1623060"/>
        </a:xfrm>
        <a:prstGeom prst="rect">
          <a:avLst/>
        </a:prstGeom>
        <a:noFill/>
        <a:ln w="28575">
          <a:solidFill>
            <a:srgbClr val="A6A6A6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205740</xdr:colOff>
      <xdr:row>69</xdr:row>
      <xdr:rowOff>99060</xdr:rowOff>
    </xdr:from>
    <xdr:to>
      <xdr:col>23</xdr:col>
      <xdr:colOff>60960</xdr:colOff>
      <xdr:row>79</xdr:row>
      <xdr:rowOff>30480</xdr:rowOff>
    </xdr:to>
    <xdr:grpSp>
      <xdr:nvGrpSpPr>
        <xdr:cNvPr id="399322" name="Skupina 33">
          <a:extLst>
            <a:ext uri="{FF2B5EF4-FFF2-40B4-BE49-F238E27FC236}">
              <a16:creationId xmlns:a16="http://schemas.microsoft.com/office/drawing/2014/main" id="{00000000-0008-0000-0F00-0000DA170600}"/>
            </a:ext>
          </a:extLst>
        </xdr:cNvPr>
        <xdr:cNvGrpSpPr>
          <a:grpSpLocks/>
        </xdr:cNvGrpSpPr>
      </xdr:nvGrpSpPr>
      <xdr:grpSpPr bwMode="auto">
        <a:xfrm>
          <a:off x="3614687" y="13149313"/>
          <a:ext cx="2181326" cy="1776262"/>
          <a:chOff x="3449052" y="986589"/>
          <a:chExt cx="2016894" cy="1776257"/>
        </a:xfrm>
      </xdr:grpSpPr>
      <xdr:sp macro="" textlink="">
        <xdr:nvSpPr>
          <xdr:cNvPr id="399334" name="Obdélník 19">
            <a:extLst>
              <a:ext uri="{FF2B5EF4-FFF2-40B4-BE49-F238E27FC236}">
                <a16:creationId xmlns:a16="http://schemas.microsoft.com/office/drawing/2014/main" id="{00000000-0008-0000-0F00-0000E6170600}"/>
              </a:ext>
            </a:extLst>
          </xdr:cNvPr>
          <xdr:cNvSpPr>
            <a:spLocks noChangeArrowheads="1"/>
          </xdr:cNvSpPr>
        </xdr:nvSpPr>
        <xdr:spPr bwMode="auto">
          <a:xfrm>
            <a:off x="3512047" y="2205790"/>
            <a:ext cx="1657085" cy="275860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399335" name="Obdélník 19">
            <a:extLst>
              <a:ext uri="{FF2B5EF4-FFF2-40B4-BE49-F238E27FC236}">
                <a16:creationId xmlns:a16="http://schemas.microsoft.com/office/drawing/2014/main" id="{00000000-0008-0000-0F00-0000E7170600}"/>
              </a:ext>
            </a:extLst>
          </xdr:cNvPr>
          <xdr:cNvSpPr>
            <a:spLocks noChangeArrowheads="1"/>
          </xdr:cNvSpPr>
        </xdr:nvSpPr>
        <xdr:spPr bwMode="auto">
          <a:xfrm>
            <a:off x="3553326" y="1211179"/>
            <a:ext cx="1657085" cy="970547"/>
          </a:xfrm>
          <a:prstGeom prst="rect">
            <a:avLst/>
          </a:prstGeom>
          <a:solidFill>
            <a:srgbClr val="C6D9F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399336" name="Obdélník 18">
            <a:extLst>
              <a:ext uri="{FF2B5EF4-FFF2-40B4-BE49-F238E27FC236}">
                <a16:creationId xmlns:a16="http://schemas.microsoft.com/office/drawing/2014/main" id="{00000000-0008-0000-0F00-0000E8170600}"/>
              </a:ext>
            </a:extLst>
          </xdr:cNvPr>
          <xdr:cNvSpPr>
            <a:spLocks noChangeArrowheads="1"/>
          </xdr:cNvSpPr>
        </xdr:nvSpPr>
        <xdr:spPr bwMode="auto">
          <a:xfrm>
            <a:off x="3449052" y="989697"/>
            <a:ext cx="111600" cy="1666799"/>
          </a:xfrm>
          <a:prstGeom prst="rect">
            <a:avLst/>
          </a:prstGeom>
          <a:solidFill>
            <a:srgbClr val="C6D9F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399337" name="Volný tvar 20">
            <a:extLst>
              <a:ext uri="{FF2B5EF4-FFF2-40B4-BE49-F238E27FC236}">
                <a16:creationId xmlns:a16="http://schemas.microsoft.com/office/drawing/2014/main" id="{00000000-0008-0000-0F00-0000E9170600}"/>
              </a:ext>
            </a:extLst>
          </xdr:cNvPr>
          <xdr:cNvSpPr>
            <a:spLocks/>
          </xdr:cNvSpPr>
        </xdr:nvSpPr>
        <xdr:spPr bwMode="auto">
          <a:xfrm>
            <a:off x="4841809" y="986589"/>
            <a:ext cx="624137" cy="1776257"/>
          </a:xfrm>
          <a:custGeom>
            <a:avLst/>
            <a:gdLst>
              <a:gd name="T0" fmla="*/ 2147483646 w 290593"/>
              <a:gd name="T1" fmla="*/ 107994243 h 817667"/>
              <a:gd name="T2" fmla="*/ 2147483646 w 290593"/>
              <a:gd name="T3" fmla="*/ 107994243 h 817667"/>
              <a:gd name="T4" fmla="*/ 2147483646 w 290593"/>
              <a:gd name="T5" fmla="*/ 1107104460 h 817667"/>
              <a:gd name="T6" fmla="*/ 2147483646 w 290593"/>
              <a:gd name="T7" fmla="*/ 1248751123 h 817667"/>
              <a:gd name="T8" fmla="*/ 2147483646 w 290593"/>
              <a:gd name="T9" fmla="*/ 1606677617 h 817667"/>
              <a:gd name="T10" fmla="*/ 2147483646 w 290593"/>
              <a:gd name="T11" fmla="*/ 2147483646 h 817667"/>
              <a:gd name="T12" fmla="*/ 2147483646 w 290593"/>
              <a:gd name="T13" fmla="*/ 2147483646 h 817667"/>
              <a:gd name="T14" fmla="*/ 2147483646 w 290593"/>
              <a:gd name="T15" fmla="*/ 2147483646 h 817667"/>
              <a:gd name="T16" fmla="*/ 2147483646 w 290593"/>
              <a:gd name="T17" fmla="*/ 2147483646 h 817667"/>
              <a:gd name="T18" fmla="*/ 2147483646 w 290593"/>
              <a:gd name="T19" fmla="*/ 2147483646 h 817667"/>
              <a:gd name="T20" fmla="*/ 2147483646 w 290593"/>
              <a:gd name="T21" fmla="*/ 2147483646 h 817667"/>
              <a:gd name="T22" fmla="*/ 0 w 290593"/>
              <a:gd name="T23" fmla="*/ 2147483646 h 817667"/>
              <a:gd name="T24" fmla="*/ 2147483646 w 290593"/>
              <a:gd name="T25" fmla="*/ 2147483646 h 817667"/>
              <a:gd name="T26" fmla="*/ 2147483646 w 290593"/>
              <a:gd name="T27" fmla="*/ 2147483646 h 817667"/>
              <a:gd name="T28" fmla="*/ 2147483646 w 290593"/>
              <a:gd name="T29" fmla="*/ 2147483646 h 817667"/>
              <a:gd name="T30" fmla="*/ 2147483646 w 290593"/>
              <a:gd name="T31" fmla="*/ 2147483646 h 817667"/>
              <a:gd name="T32" fmla="*/ 2147483646 w 290593"/>
              <a:gd name="T33" fmla="*/ 2147483646 h 817667"/>
              <a:gd name="T34" fmla="*/ 2147483646 w 290593"/>
              <a:gd name="T35" fmla="*/ 322678155 h 817667"/>
              <a:gd name="T36" fmla="*/ 2147483646 w 290593"/>
              <a:gd name="T37" fmla="*/ 107994243 h 817667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w 290593"/>
              <a:gd name="T58" fmla="*/ 0 h 817667"/>
              <a:gd name="T59" fmla="*/ 290593 w 290593"/>
              <a:gd name="T60" fmla="*/ 817667 h 817667"/>
            </a:gdLst>
            <a:ahLst/>
            <a:cxnLst>
              <a:cxn ang="T38">
                <a:pos x="T0" y="T1"/>
              </a:cxn>
              <a:cxn ang="T39">
                <a:pos x="T2" y="T3"/>
              </a:cxn>
              <a:cxn ang="T40">
                <a:pos x="T4" y="T5"/>
              </a:cxn>
              <a:cxn ang="T41">
                <a:pos x="T6" y="T7"/>
              </a:cxn>
              <a:cxn ang="T42">
                <a:pos x="T8" y="T9"/>
              </a:cxn>
              <a:cxn ang="T43">
                <a:pos x="T10" y="T11"/>
              </a:cxn>
              <a:cxn ang="T44">
                <a:pos x="T12" y="T13"/>
              </a:cxn>
              <a:cxn ang="T45">
                <a:pos x="T14" y="T15"/>
              </a:cxn>
              <a:cxn ang="T46">
                <a:pos x="T16" y="T17"/>
              </a:cxn>
              <a:cxn ang="T47">
                <a:pos x="T18" y="T19"/>
              </a:cxn>
              <a:cxn ang="T48">
                <a:pos x="T20" y="T21"/>
              </a:cxn>
              <a:cxn ang="T49">
                <a:pos x="T22" y="T23"/>
              </a:cxn>
              <a:cxn ang="T50">
                <a:pos x="T24" y="T25"/>
              </a:cxn>
              <a:cxn ang="T51">
                <a:pos x="T26" y="T27"/>
              </a:cxn>
              <a:cxn ang="T52">
                <a:pos x="T28" y="T29"/>
              </a:cxn>
              <a:cxn ang="T53">
                <a:pos x="T30" y="T31"/>
              </a:cxn>
              <a:cxn ang="T54">
                <a:pos x="T32" y="T33"/>
              </a:cxn>
              <a:cxn ang="T55">
                <a:pos x="T34" y="T35"/>
              </a:cxn>
              <a:cxn ang="T56">
                <a:pos x="T36" y="T37"/>
              </a:cxn>
            </a:cxnLst>
            <a:rect l="T57" t="T58" r="T59" b="T60"/>
            <a:pathLst>
              <a:path w="290593" h="817667">
                <a:moveTo>
                  <a:pt x="76200" y="14613"/>
                </a:moveTo>
                <a:lnTo>
                  <a:pt x="76200" y="14613"/>
                </a:lnTo>
                <a:cubicBezTo>
                  <a:pt x="86511" y="42109"/>
                  <a:pt x="127065" y="111603"/>
                  <a:pt x="95250" y="147963"/>
                </a:cubicBezTo>
                <a:cubicBezTo>
                  <a:pt x="82027" y="163075"/>
                  <a:pt x="38100" y="167013"/>
                  <a:pt x="38100" y="167013"/>
                </a:cubicBezTo>
                <a:cubicBezTo>
                  <a:pt x="52096" y="176344"/>
                  <a:pt x="84429" y="192607"/>
                  <a:pt x="85725" y="214638"/>
                </a:cubicBezTo>
                <a:cubicBezTo>
                  <a:pt x="86693" y="231091"/>
                  <a:pt x="106075" y="259086"/>
                  <a:pt x="65211" y="291777"/>
                </a:cubicBezTo>
                <a:cubicBezTo>
                  <a:pt x="57371" y="298049"/>
                  <a:pt x="38100" y="382913"/>
                  <a:pt x="28575" y="386088"/>
                </a:cubicBezTo>
                <a:cubicBezTo>
                  <a:pt x="13701" y="430709"/>
                  <a:pt x="10804" y="425702"/>
                  <a:pt x="28575" y="490863"/>
                </a:cubicBezTo>
                <a:cubicBezTo>
                  <a:pt x="31587" y="501907"/>
                  <a:pt x="41275" y="509913"/>
                  <a:pt x="47625" y="519438"/>
                </a:cubicBezTo>
                <a:cubicBezTo>
                  <a:pt x="44450" y="538488"/>
                  <a:pt x="47682" y="559820"/>
                  <a:pt x="38100" y="576588"/>
                </a:cubicBezTo>
                <a:cubicBezTo>
                  <a:pt x="33119" y="585305"/>
                  <a:pt x="16625" y="579013"/>
                  <a:pt x="9525" y="586113"/>
                </a:cubicBezTo>
                <a:cubicBezTo>
                  <a:pt x="2425" y="593213"/>
                  <a:pt x="3175" y="605163"/>
                  <a:pt x="0" y="614688"/>
                </a:cubicBezTo>
                <a:cubicBezTo>
                  <a:pt x="6350" y="633738"/>
                  <a:pt x="7911" y="655130"/>
                  <a:pt x="19050" y="671838"/>
                </a:cubicBezTo>
                <a:lnTo>
                  <a:pt x="57150" y="728988"/>
                </a:lnTo>
                <a:cubicBezTo>
                  <a:pt x="51516" y="745889"/>
                  <a:pt x="26742" y="805357"/>
                  <a:pt x="57150" y="814713"/>
                </a:cubicBezTo>
                <a:cubicBezTo>
                  <a:pt x="66751" y="817667"/>
                  <a:pt x="248114" y="780330"/>
                  <a:pt x="266700" y="776613"/>
                </a:cubicBezTo>
                <a:cubicBezTo>
                  <a:pt x="290593" y="633254"/>
                  <a:pt x="266700" y="801168"/>
                  <a:pt x="266700" y="509913"/>
                </a:cubicBezTo>
                <a:cubicBezTo>
                  <a:pt x="266700" y="283161"/>
                  <a:pt x="272633" y="226829"/>
                  <a:pt x="285750" y="43188"/>
                </a:cubicBezTo>
                <a:cubicBezTo>
                  <a:pt x="199373" y="0"/>
                  <a:pt x="111125" y="19376"/>
                  <a:pt x="76200" y="14613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cap="flat" cmpd="sng" algn="ctr">
                <a:solidFill>
                  <a:srgbClr val="000000"/>
                </a:solidFill>
                <a:prstDash val="solid"/>
                <a:round/>
                <a:headEnd type="none" w="med" len="med"/>
                <a:tailEnd type="none" w="med" len="med"/>
              </a14:hiddenLine>
            </a:ext>
          </a:extLst>
        </xdr:spPr>
      </xdr:sp>
    </xdr:grpSp>
    <xdr:clientData/>
  </xdr:twoCellAnchor>
  <xdr:twoCellAnchor>
    <xdr:from>
      <xdr:col>14</xdr:col>
      <xdr:colOff>0</xdr:colOff>
      <xdr:row>4</xdr:row>
      <xdr:rowOff>129540</xdr:rowOff>
    </xdr:from>
    <xdr:to>
      <xdr:col>23</xdr:col>
      <xdr:colOff>68580</xdr:colOff>
      <xdr:row>14</xdr:row>
      <xdr:rowOff>60960</xdr:rowOff>
    </xdr:to>
    <xdr:grpSp>
      <xdr:nvGrpSpPr>
        <xdr:cNvPr id="399323" name="Skupina 11">
          <a:extLst>
            <a:ext uri="{FF2B5EF4-FFF2-40B4-BE49-F238E27FC236}">
              <a16:creationId xmlns:a16="http://schemas.microsoft.com/office/drawing/2014/main" id="{00000000-0008-0000-0F00-0000DB170600}"/>
            </a:ext>
          </a:extLst>
        </xdr:cNvPr>
        <xdr:cNvGrpSpPr>
          <a:grpSpLocks/>
        </xdr:cNvGrpSpPr>
      </xdr:nvGrpSpPr>
      <xdr:grpSpPr bwMode="auto">
        <a:xfrm>
          <a:off x="3641558" y="1027898"/>
          <a:ext cx="2162075" cy="1776262"/>
          <a:chOff x="3449052" y="986589"/>
          <a:chExt cx="2016894" cy="1776257"/>
        </a:xfrm>
      </xdr:grpSpPr>
      <xdr:sp macro="" textlink="">
        <xdr:nvSpPr>
          <xdr:cNvPr id="399330" name="Obdélník 19">
            <a:extLst>
              <a:ext uri="{FF2B5EF4-FFF2-40B4-BE49-F238E27FC236}">
                <a16:creationId xmlns:a16="http://schemas.microsoft.com/office/drawing/2014/main" id="{00000000-0008-0000-0F00-0000E2170600}"/>
              </a:ext>
            </a:extLst>
          </xdr:cNvPr>
          <xdr:cNvSpPr>
            <a:spLocks noChangeArrowheads="1"/>
          </xdr:cNvSpPr>
        </xdr:nvSpPr>
        <xdr:spPr bwMode="auto">
          <a:xfrm>
            <a:off x="3512047" y="2205790"/>
            <a:ext cx="1657085" cy="275860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399331" name="Obdélník 19">
            <a:extLst>
              <a:ext uri="{FF2B5EF4-FFF2-40B4-BE49-F238E27FC236}">
                <a16:creationId xmlns:a16="http://schemas.microsoft.com/office/drawing/2014/main" id="{00000000-0008-0000-0F00-0000E3170600}"/>
              </a:ext>
            </a:extLst>
          </xdr:cNvPr>
          <xdr:cNvSpPr>
            <a:spLocks noChangeArrowheads="1"/>
          </xdr:cNvSpPr>
        </xdr:nvSpPr>
        <xdr:spPr bwMode="auto">
          <a:xfrm>
            <a:off x="3553326" y="1211179"/>
            <a:ext cx="1657085" cy="970547"/>
          </a:xfrm>
          <a:prstGeom prst="rect">
            <a:avLst/>
          </a:prstGeom>
          <a:solidFill>
            <a:srgbClr val="C6D9F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399332" name="Obdélník 18">
            <a:extLst>
              <a:ext uri="{FF2B5EF4-FFF2-40B4-BE49-F238E27FC236}">
                <a16:creationId xmlns:a16="http://schemas.microsoft.com/office/drawing/2014/main" id="{00000000-0008-0000-0F00-0000E4170600}"/>
              </a:ext>
            </a:extLst>
          </xdr:cNvPr>
          <xdr:cNvSpPr>
            <a:spLocks noChangeArrowheads="1"/>
          </xdr:cNvSpPr>
        </xdr:nvSpPr>
        <xdr:spPr bwMode="auto">
          <a:xfrm>
            <a:off x="3449052" y="989697"/>
            <a:ext cx="111600" cy="1666799"/>
          </a:xfrm>
          <a:prstGeom prst="rect">
            <a:avLst/>
          </a:prstGeom>
          <a:solidFill>
            <a:srgbClr val="C6D9F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399333" name="Volný tvar 20">
            <a:extLst>
              <a:ext uri="{FF2B5EF4-FFF2-40B4-BE49-F238E27FC236}">
                <a16:creationId xmlns:a16="http://schemas.microsoft.com/office/drawing/2014/main" id="{00000000-0008-0000-0F00-0000E5170600}"/>
              </a:ext>
            </a:extLst>
          </xdr:cNvPr>
          <xdr:cNvSpPr>
            <a:spLocks/>
          </xdr:cNvSpPr>
        </xdr:nvSpPr>
        <xdr:spPr bwMode="auto">
          <a:xfrm>
            <a:off x="4841809" y="986589"/>
            <a:ext cx="624137" cy="1776257"/>
          </a:xfrm>
          <a:custGeom>
            <a:avLst/>
            <a:gdLst>
              <a:gd name="T0" fmla="*/ 2147483646 w 290593"/>
              <a:gd name="T1" fmla="*/ 107994243 h 817667"/>
              <a:gd name="T2" fmla="*/ 2147483646 w 290593"/>
              <a:gd name="T3" fmla="*/ 107994243 h 817667"/>
              <a:gd name="T4" fmla="*/ 2147483646 w 290593"/>
              <a:gd name="T5" fmla="*/ 1107104460 h 817667"/>
              <a:gd name="T6" fmla="*/ 2147483646 w 290593"/>
              <a:gd name="T7" fmla="*/ 1248751123 h 817667"/>
              <a:gd name="T8" fmla="*/ 2147483646 w 290593"/>
              <a:gd name="T9" fmla="*/ 1606677617 h 817667"/>
              <a:gd name="T10" fmla="*/ 2147483646 w 290593"/>
              <a:gd name="T11" fmla="*/ 2147483646 h 817667"/>
              <a:gd name="T12" fmla="*/ 2147483646 w 290593"/>
              <a:gd name="T13" fmla="*/ 2147483646 h 817667"/>
              <a:gd name="T14" fmla="*/ 2147483646 w 290593"/>
              <a:gd name="T15" fmla="*/ 2147483646 h 817667"/>
              <a:gd name="T16" fmla="*/ 2147483646 w 290593"/>
              <a:gd name="T17" fmla="*/ 2147483646 h 817667"/>
              <a:gd name="T18" fmla="*/ 2147483646 w 290593"/>
              <a:gd name="T19" fmla="*/ 2147483646 h 817667"/>
              <a:gd name="T20" fmla="*/ 2147483646 w 290593"/>
              <a:gd name="T21" fmla="*/ 2147483646 h 817667"/>
              <a:gd name="T22" fmla="*/ 0 w 290593"/>
              <a:gd name="T23" fmla="*/ 2147483646 h 817667"/>
              <a:gd name="T24" fmla="*/ 2147483646 w 290593"/>
              <a:gd name="T25" fmla="*/ 2147483646 h 817667"/>
              <a:gd name="T26" fmla="*/ 2147483646 w 290593"/>
              <a:gd name="T27" fmla="*/ 2147483646 h 817667"/>
              <a:gd name="T28" fmla="*/ 2147483646 w 290593"/>
              <a:gd name="T29" fmla="*/ 2147483646 h 817667"/>
              <a:gd name="T30" fmla="*/ 2147483646 w 290593"/>
              <a:gd name="T31" fmla="*/ 2147483646 h 817667"/>
              <a:gd name="T32" fmla="*/ 2147483646 w 290593"/>
              <a:gd name="T33" fmla="*/ 2147483646 h 817667"/>
              <a:gd name="T34" fmla="*/ 2147483646 w 290593"/>
              <a:gd name="T35" fmla="*/ 322678155 h 817667"/>
              <a:gd name="T36" fmla="*/ 2147483646 w 290593"/>
              <a:gd name="T37" fmla="*/ 107994243 h 817667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w 290593"/>
              <a:gd name="T58" fmla="*/ 0 h 817667"/>
              <a:gd name="T59" fmla="*/ 290593 w 290593"/>
              <a:gd name="T60" fmla="*/ 817667 h 817667"/>
            </a:gdLst>
            <a:ahLst/>
            <a:cxnLst>
              <a:cxn ang="T38">
                <a:pos x="T0" y="T1"/>
              </a:cxn>
              <a:cxn ang="T39">
                <a:pos x="T2" y="T3"/>
              </a:cxn>
              <a:cxn ang="T40">
                <a:pos x="T4" y="T5"/>
              </a:cxn>
              <a:cxn ang="T41">
                <a:pos x="T6" y="T7"/>
              </a:cxn>
              <a:cxn ang="T42">
                <a:pos x="T8" y="T9"/>
              </a:cxn>
              <a:cxn ang="T43">
                <a:pos x="T10" y="T11"/>
              </a:cxn>
              <a:cxn ang="T44">
                <a:pos x="T12" y="T13"/>
              </a:cxn>
              <a:cxn ang="T45">
                <a:pos x="T14" y="T15"/>
              </a:cxn>
              <a:cxn ang="T46">
                <a:pos x="T16" y="T17"/>
              </a:cxn>
              <a:cxn ang="T47">
                <a:pos x="T18" y="T19"/>
              </a:cxn>
              <a:cxn ang="T48">
                <a:pos x="T20" y="T21"/>
              </a:cxn>
              <a:cxn ang="T49">
                <a:pos x="T22" y="T23"/>
              </a:cxn>
              <a:cxn ang="T50">
                <a:pos x="T24" y="T25"/>
              </a:cxn>
              <a:cxn ang="T51">
                <a:pos x="T26" y="T27"/>
              </a:cxn>
              <a:cxn ang="T52">
                <a:pos x="T28" y="T29"/>
              </a:cxn>
              <a:cxn ang="T53">
                <a:pos x="T30" y="T31"/>
              </a:cxn>
              <a:cxn ang="T54">
                <a:pos x="T32" y="T33"/>
              </a:cxn>
              <a:cxn ang="T55">
                <a:pos x="T34" y="T35"/>
              </a:cxn>
              <a:cxn ang="T56">
                <a:pos x="T36" y="T37"/>
              </a:cxn>
            </a:cxnLst>
            <a:rect l="T57" t="T58" r="T59" b="T60"/>
            <a:pathLst>
              <a:path w="290593" h="817667">
                <a:moveTo>
                  <a:pt x="76200" y="14613"/>
                </a:moveTo>
                <a:lnTo>
                  <a:pt x="76200" y="14613"/>
                </a:lnTo>
                <a:cubicBezTo>
                  <a:pt x="86511" y="42109"/>
                  <a:pt x="127065" y="111603"/>
                  <a:pt x="95250" y="147963"/>
                </a:cubicBezTo>
                <a:cubicBezTo>
                  <a:pt x="82027" y="163075"/>
                  <a:pt x="38100" y="167013"/>
                  <a:pt x="38100" y="167013"/>
                </a:cubicBezTo>
                <a:cubicBezTo>
                  <a:pt x="52096" y="176344"/>
                  <a:pt x="84429" y="192607"/>
                  <a:pt x="85725" y="214638"/>
                </a:cubicBezTo>
                <a:cubicBezTo>
                  <a:pt x="86693" y="231091"/>
                  <a:pt x="106075" y="259086"/>
                  <a:pt x="65211" y="291777"/>
                </a:cubicBezTo>
                <a:cubicBezTo>
                  <a:pt x="57371" y="298049"/>
                  <a:pt x="38100" y="382913"/>
                  <a:pt x="28575" y="386088"/>
                </a:cubicBezTo>
                <a:cubicBezTo>
                  <a:pt x="13701" y="430709"/>
                  <a:pt x="10804" y="425702"/>
                  <a:pt x="28575" y="490863"/>
                </a:cubicBezTo>
                <a:cubicBezTo>
                  <a:pt x="31587" y="501907"/>
                  <a:pt x="41275" y="509913"/>
                  <a:pt x="47625" y="519438"/>
                </a:cubicBezTo>
                <a:cubicBezTo>
                  <a:pt x="44450" y="538488"/>
                  <a:pt x="47682" y="559820"/>
                  <a:pt x="38100" y="576588"/>
                </a:cubicBezTo>
                <a:cubicBezTo>
                  <a:pt x="33119" y="585305"/>
                  <a:pt x="16625" y="579013"/>
                  <a:pt x="9525" y="586113"/>
                </a:cubicBezTo>
                <a:cubicBezTo>
                  <a:pt x="2425" y="593213"/>
                  <a:pt x="3175" y="605163"/>
                  <a:pt x="0" y="614688"/>
                </a:cubicBezTo>
                <a:cubicBezTo>
                  <a:pt x="6350" y="633738"/>
                  <a:pt x="7911" y="655130"/>
                  <a:pt x="19050" y="671838"/>
                </a:cubicBezTo>
                <a:lnTo>
                  <a:pt x="57150" y="728988"/>
                </a:lnTo>
                <a:cubicBezTo>
                  <a:pt x="51516" y="745889"/>
                  <a:pt x="26742" y="805357"/>
                  <a:pt x="57150" y="814713"/>
                </a:cubicBezTo>
                <a:cubicBezTo>
                  <a:pt x="66751" y="817667"/>
                  <a:pt x="248114" y="780330"/>
                  <a:pt x="266700" y="776613"/>
                </a:cubicBezTo>
                <a:cubicBezTo>
                  <a:pt x="290593" y="633254"/>
                  <a:pt x="266700" y="801168"/>
                  <a:pt x="266700" y="509913"/>
                </a:cubicBezTo>
                <a:cubicBezTo>
                  <a:pt x="266700" y="283161"/>
                  <a:pt x="272633" y="226829"/>
                  <a:pt x="285750" y="43188"/>
                </a:cubicBezTo>
                <a:cubicBezTo>
                  <a:pt x="199373" y="0"/>
                  <a:pt x="111125" y="19376"/>
                  <a:pt x="76200" y="14613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cap="flat" cmpd="sng" algn="ctr">
                <a:solidFill>
                  <a:srgbClr val="000000"/>
                </a:solidFill>
                <a:prstDash val="solid"/>
                <a:round/>
                <a:headEnd type="none" w="med" len="med"/>
                <a:tailEnd type="none" w="med" len="med"/>
              </a14:hiddenLine>
            </a:ext>
          </a:extLst>
        </xdr:spPr>
      </xdr:sp>
    </xdr:grpSp>
    <xdr:clientData/>
  </xdr:twoCellAnchor>
  <xdr:twoCellAnchor editAs="oneCell">
    <xdr:from>
      <xdr:col>45</xdr:col>
      <xdr:colOff>144780</xdr:colOff>
      <xdr:row>1</xdr:row>
      <xdr:rowOff>106680</xdr:rowOff>
    </xdr:from>
    <xdr:to>
      <xdr:col>63</xdr:col>
      <xdr:colOff>487680</xdr:colOff>
      <xdr:row>4</xdr:row>
      <xdr:rowOff>144780</xdr:rowOff>
    </xdr:to>
    <xdr:pic>
      <xdr:nvPicPr>
        <xdr:cNvPr id="399324" name="Picture 24">
          <a:extLst>
            <a:ext uri="{FF2B5EF4-FFF2-40B4-BE49-F238E27FC236}">
              <a16:creationId xmlns:a16="http://schemas.microsoft.com/office/drawing/2014/main" id="{00000000-0008-0000-0F00-0000DC17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266700"/>
          <a:ext cx="960120" cy="777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22860</xdr:colOff>
      <xdr:row>69</xdr:row>
      <xdr:rowOff>83820</xdr:rowOff>
    </xdr:from>
    <xdr:to>
      <xdr:col>34</xdr:col>
      <xdr:colOff>0</xdr:colOff>
      <xdr:row>78</xdr:row>
      <xdr:rowOff>60960</xdr:rowOff>
    </xdr:to>
    <xdr:pic>
      <xdr:nvPicPr>
        <xdr:cNvPr id="399325" name="Picture 11">
          <a:extLst>
            <a:ext uri="{FF2B5EF4-FFF2-40B4-BE49-F238E27FC236}">
              <a16:creationId xmlns:a16="http://schemas.microsoft.com/office/drawing/2014/main" id="{00000000-0008-0000-0F00-0000DD1706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4020" y="13037820"/>
          <a:ext cx="2110740" cy="1623060"/>
        </a:xfrm>
        <a:prstGeom prst="rect">
          <a:avLst/>
        </a:prstGeom>
        <a:noFill/>
        <a:ln w="28575">
          <a:solidFill>
            <a:srgbClr val="A6A6A6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22860</xdr:colOff>
      <xdr:row>69</xdr:row>
      <xdr:rowOff>83820</xdr:rowOff>
    </xdr:from>
    <xdr:to>
      <xdr:col>34</xdr:col>
      <xdr:colOff>0</xdr:colOff>
      <xdr:row>78</xdr:row>
      <xdr:rowOff>60960</xdr:rowOff>
    </xdr:to>
    <xdr:pic>
      <xdr:nvPicPr>
        <xdr:cNvPr id="399326" name="Picture 11">
          <a:extLst>
            <a:ext uri="{FF2B5EF4-FFF2-40B4-BE49-F238E27FC236}">
              <a16:creationId xmlns:a16="http://schemas.microsoft.com/office/drawing/2014/main" id="{00000000-0008-0000-0F00-0000DE1706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4020" y="13037820"/>
          <a:ext cx="2110740" cy="1623060"/>
        </a:xfrm>
        <a:prstGeom prst="rect">
          <a:avLst/>
        </a:prstGeom>
        <a:noFill/>
        <a:ln w="28575">
          <a:solidFill>
            <a:srgbClr val="A6A6A6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198120</xdr:colOff>
      <xdr:row>84</xdr:row>
      <xdr:rowOff>160020</xdr:rowOff>
    </xdr:from>
    <xdr:to>
      <xdr:col>42</xdr:col>
      <xdr:colOff>182880</xdr:colOff>
      <xdr:row>95</xdr:row>
      <xdr:rowOff>137160</xdr:rowOff>
    </xdr:to>
    <xdr:pic>
      <xdr:nvPicPr>
        <xdr:cNvPr id="399327" name="Obrázek 31">
          <a:extLst>
            <a:ext uri="{FF2B5EF4-FFF2-40B4-BE49-F238E27FC236}">
              <a16:creationId xmlns:a16="http://schemas.microsoft.com/office/drawing/2014/main" id="{00000000-0008-0000-0F00-0000DF1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36080" y="15857220"/>
          <a:ext cx="2758440" cy="1988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30480</xdr:colOff>
      <xdr:row>84</xdr:row>
      <xdr:rowOff>22860</xdr:rowOff>
    </xdr:from>
    <xdr:to>
      <xdr:col>19</xdr:col>
      <xdr:colOff>198120</xdr:colOff>
      <xdr:row>94</xdr:row>
      <xdr:rowOff>137160</xdr:rowOff>
    </xdr:to>
    <xdr:pic>
      <xdr:nvPicPr>
        <xdr:cNvPr id="399328" name="Obrázek 32">
          <a:extLst>
            <a:ext uri="{FF2B5EF4-FFF2-40B4-BE49-F238E27FC236}">
              <a16:creationId xmlns:a16="http://schemas.microsoft.com/office/drawing/2014/main" id="{00000000-0008-0000-0F00-0000E01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4520" y="15720060"/>
          <a:ext cx="2727960" cy="194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0</xdr:colOff>
      <xdr:row>5</xdr:row>
      <xdr:rowOff>0</xdr:rowOff>
    </xdr:from>
    <xdr:to>
      <xdr:col>35</xdr:col>
      <xdr:colOff>30480</xdr:colOff>
      <xdr:row>13</xdr:row>
      <xdr:rowOff>160020</xdr:rowOff>
    </xdr:to>
    <xdr:pic>
      <xdr:nvPicPr>
        <xdr:cNvPr id="399329" name="Obrázek 17">
          <a:extLst>
            <a:ext uri="{FF2B5EF4-FFF2-40B4-BE49-F238E27FC236}">
              <a16:creationId xmlns:a16="http://schemas.microsoft.com/office/drawing/2014/main" id="{00000000-0008-0000-0F00-0000E11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1160" y="1082040"/>
          <a:ext cx="2377440" cy="1623060"/>
        </a:xfrm>
        <a:prstGeom prst="rect">
          <a:avLst/>
        </a:prstGeom>
        <a:noFill/>
        <a:ln w="28575">
          <a:solidFill>
            <a:srgbClr val="A6A6A6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0</xdr:colOff>
      <xdr:row>4</xdr:row>
      <xdr:rowOff>83820</xdr:rowOff>
    </xdr:from>
    <xdr:to>
      <xdr:col>31</xdr:col>
      <xdr:colOff>106680</xdr:colOff>
      <xdr:row>14</xdr:row>
      <xdr:rowOff>175260</xdr:rowOff>
    </xdr:to>
    <xdr:pic>
      <xdr:nvPicPr>
        <xdr:cNvPr id="377855" name="Obrázek 15">
          <a:extLst>
            <a:ext uri="{FF2B5EF4-FFF2-40B4-BE49-F238E27FC236}">
              <a16:creationId xmlns:a16="http://schemas.microsoft.com/office/drawing/2014/main" id="{00000000-0008-0000-1000-0000FFC305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1160" y="982980"/>
          <a:ext cx="1600200" cy="1920240"/>
        </a:xfrm>
        <a:prstGeom prst="rect">
          <a:avLst/>
        </a:prstGeom>
        <a:noFill/>
        <a:ln w="28575">
          <a:solidFill>
            <a:srgbClr val="A6A6A6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45</xdr:col>
      <xdr:colOff>144780</xdr:colOff>
      <xdr:row>1</xdr:row>
      <xdr:rowOff>106680</xdr:rowOff>
    </xdr:from>
    <xdr:to>
      <xdr:col>63</xdr:col>
      <xdr:colOff>487680</xdr:colOff>
      <xdr:row>4</xdr:row>
      <xdr:rowOff>144780</xdr:rowOff>
    </xdr:to>
    <xdr:pic>
      <xdr:nvPicPr>
        <xdr:cNvPr id="440320" name="Picture 24">
          <a:extLst>
            <a:ext uri="{FF2B5EF4-FFF2-40B4-BE49-F238E27FC236}">
              <a16:creationId xmlns:a16="http://schemas.microsoft.com/office/drawing/2014/main" id="{00000000-0008-0000-1000-000000B8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266700"/>
          <a:ext cx="960120" cy="777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213360</xdr:colOff>
      <xdr:row>4</xdr:row>
      <xdr:rowOff>76200</xdr:rowOff>
    </xdr:from>
    <xdr:to>
      <xdr:col>23</xdr:col>
      <xdr:colOff>144780</xdr:colOff>
      <xdr:row>14</xdr:row>
      <xdr:rowOff>7620</xdr:rowOff>
    </xdr:to>
    <xdr:grpSp>
      <xdr:nvGrpSpPr>
        <xdr:cNvPr id="440321" name="Skupina 21">
          <a:extLst>
            <a:ext uri="{FF2B5EF4-FFF2-40B4-BE49-F238E27FC236}">
              <a16:creationId xmlns:a16="http://schemas.microsoft.com/office/drawing/2014/main" id="{00000000-0008-0000-1000-000001B80600}"/>
            </a:ext>
          </a:extLst>
        </xdr:cNvPr>
        <xdr:cNvGrpSpPr>
          <a:grpSpLocks noChangeAspect="1"/>
        </xdr:cNvGrpSpPr>
      </xdr:nvGrpSpPr>
      <xdr:grpSpPr bwMode="auto">
        <a:xfrm>
          <a:off x="3622307" y="974558"/>
          <a:ext cx="2257526" cy="1776262"/>
          <a:chOff x="1771649" y="3377086"/>
          <a:chExt cx="976394" cy="740669"/>
        </a:xfrm>
      </xdr:grpSpPr>
      <xdr:sp macro="" textlink="">
        <xdr:nvSpPr>
          <xdr:cNvPr id="440327" name="Obdélník 19">
            <a:extLst>
              <a:ext uri="{FF2B5EF4-FFF2-40B4-BE49-F238E27FC236}">
                <a16:creationId xmlns:a16="http://schemas.microsoft.com/office/drawing/2014/main" id="{00000000-0008-0000-1000-000007B80600}"/>
              </a:ext>
            </a:extLst>
          </xdr:cNvPr>
          <xdr:cNvSpPr>
            <a:spLocks noChangeArrowheads="1"/>
          </xdr:cNvSpPr>
        </xdr:nvSpPr>
        <xdr:spPr bwMode="auto">
          <a:xfrm>
            <a:off x="1838324" y="3695700"/>
            <a:ext cx="771525" cy="304800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40328" name="Obdélník 18">
            <a:extLst>
              <a:ext uri="{FF2B5EF4-FFF2-40B4-BE49-F238E27FC236}">
                <a16:creationId xmlns:a16="http://schemas.microsoft.com/office/drawing/2014/main" id="{00000000-0008-0000-1000-000008B80600}"/>
              </a:ext>
            </a:extLst>
          </xdr:cNvPr>
          <xdr:cNvSpPr>
            <a:spLocks noChangeArrowheads="1"/>
          </xdr:cNvSpPr>
        </xdr:nvSpPr>
        <xdr:spPr bwMode="auto">
          <a:xfrm>
            <a:off x="1771649" y="3562350"/>
            <a:ext cx="85726" cy="514350"/>
          </a:xfrm>
          <a:prstGeom prst="rect">
            <a:avLst/>
          </a:prstGeom>
          <a:solidFill>
            <a:srgbClr val="FFFFE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40329" name="Volný tvar 20">
            <a:extLst>
              <a:ext uri="{FF2B5EF4-FFF2-40B4-BE49-F238E27FC236}">
                <a16:creationId xmlns:a16="http://schemas.microsoft.com/office/drawing/2014/main" id="{00000000-0008-0000-1000-000009B80600}"/>
              </a:ext>
            </a:extLst>
          </xdr:cNvPr>
          <xdr:cNvSpPr>
            <a:spLocks/>
          </xdr:cNvSpPr>
        </xdr:nvSpPr>
        <xdr:spPr bwMode="auto">
          <a:xfrm>
            <a:off x="2457450" y="3377086"/>
            <a:ext cx="290593" cy="740669"/>
          </a:xfrm>
          <a:custGeom>
            <a:avLst/>
            <a:gdLst>
              <a:gd name="T0" fmla="*/ 76200 w 290593"/>
              <a:gd name="T1" fmla="*/ 16 h 817667"/>
              <a:gd name="T2" fmla="*/ 76200 w 290593"/>
              <a:gd name="T3" fmla="*/ 16 h 817667"/>
              <a:gd name="T4" fmla="*/ 95250 w 290593"/>
              <a:gd name="T5" fmla="*/ 161 h 817667"/>
              <a:gd name="T6" fmla="*/ 38100 w 290593"/>
              <a:gd name="T7" fmla="*/ 181 h 817667"/>
              <a:gd name="T8" fmla="*/ 85725 w 290593"/>
              <a:gd name="T9" fmla="*/ 233 h 817667"/>
              <a:gd name="T10" fmla="*/ 65211 w 290593"/>
              <a:gd name="T11" fmla="*/ 318 h 817667"/>
              <a:gd name="T12" fmla="*/ 28575 w 290593"/>
              <a:gd name="T13" fmla="*/ 421 h 817667"/>
              <a:gd name="T14" fmla="*/ 28575 w 290593"/>
              <a:gd name="T15" fmla="*/ 534 h 817667"/>
              <a:gd name="T16" fmla="*/ 47625 w 290593"/>
              <a:gd name="T17" fmla="*/ 566 h 817667"/>
              <a:gd name="T18" fmla="*/ 38100 w 290593"/>
              <a:gd name="T19" fmla="*/ 627 h 817667"/>
              <a:gd name="T20" fmla="*/ 9525 w 290593"/>
              <a:gd name="T21" fmla="*/ 637 h 817667"/>
              <a:gd name="T22" fmla="*/ 0 w 290593"/>
              <a:gd name="T23" fmla="*/ 668 h 817667"/>
              <a:gd name="T24" fmla="*/ 19050 w 290593"/>
              <a:gd name="T25" fmla="*/ 730 h 817667"/>
              <a:gd name="T26" fmla="*/ 57150 w 290593"/>
              <a:gd name="T27" fmla="*/ 793 h 817667"/>
              <a:gd name="T28" fmla="*/ 57150 w 290593"/>
              <a:gd name="T29" fmla="*/ 885 h 817667"/>
              <a:gd name="T30" fmla="*/ 266700 w 290593"/>
              <a:gd name="T31" fmla="*/ 844 h 817667"/>
              <a:gd name="T32" fmla="*/ 266700 w 290593"/>
              <a:gd name="T33" fmla="*/ 554 h 817667"/>
              <a:gd name="T34" fmla="*/ 285750 w 290593"/>
              <a:gd name="T35" fmla="*/ 47 h 817667"/>
              <a:gd name="T36" fmla="*/ 76200 w 290593"/>
              <a:gd name="T37" fmla="*/ 16 h 817667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w 290593"/>
              <a:gd name="T58" fmla="*/ 0 h 817667"/>
              <a:gd name="T59" fmla="*/ 290593 w 290593"/>
              <a:gd name="T60" fmla="*/ 817667 h 817667"/>
            </a:gdLst>
            <a:ahLst/>
            <a:cxnLst>
              <a:cxn ang="T38">
                <a:pos x="T0" y="T1"/>
              </a:cxn>
              <a:cxn ang="T39">
                <a:pos x="T2" y="T3"/>
              </a:cxn>
              <a:cxn ang="T40">
                <a:pos x="T4" y="T5"/>
              </a:cxn>
              <a:cxn ang="T41">
                <a:pos x="T6" y="T7"/>
              </a:cxn>
              <a:cxn ang="T42">
                <a:pos x="T8" y="T9"/>
              </a:cxn>
              <a:cxn ang="T43">
                <a:pos x="T10" y="T11"/>
              </a:cxn>
              <a:cxn ang="T44">
                <a:pos x="T12" y="T13"/>
              </a:cxn>
              <a:cxn ang="T45">
                <a:pos x="T14" y="T15"/>
              </a:cxn>
              <a:cxn ang="T46">
                <a:pos x="T16" y="T17"/>
              </a:cxn>
              <a:cxn ang="T47">
                <a:pos x="T18" y="T19"/>
              </a:cxn>
              <a:cxn ang="T48">
                <a:pos x="T20" y="T21"/>
              </a:cxn>
              <a:cxn ang="T49">
                <a:pos x="T22" y="T23"/>
              </a:cxn>
              <a:cxn ang="T50">
                <a:pos x="T24" y="T25"/>
              </a:cxn>
              <a:cxn ang="T51">
                <a:pos x="T26" y="T27"/>
              </a:cxn>
              <a:cxn ang="T52">
                <a:pos x="T28" y="T29"/>
              </a:cxn>
              <a:cxn ang="T53">
                <a:pos x="T30" y="T31"/>
              </a:cxn>
              <a:cxn ang="T54">
                <a:pos x="T32" y="T33"/>
              </a:cxn>
              <a:cxn ang="T55">
                <a:pos x="T34" y="T35"/>
              </a:cxn>
              <a:cxn ang="T56">
                <a:pos x="T36" y="T37"/>
              </a:cxn>
            </a:cxnLst>
            <a:rect l="T57" t="T58" r="T59" b="T60"/>
            <a:pathLst>
              <a:path w="290593" h="817667">
                <a:moveTo>
                  <a:pt x="76200" y="14613"/>
                </a:moveTo>
                <a:lnTo>
                  <a:pt x="76200" y="14613"/>
                </a:lnTo>
                <a:cubicBezTo>
                  <a:pt x="86511" y="42109"/>
                  <a:pt x="127065" y="111603"/>
                  <a:pt x="95250" y="147963"/>
                </a:cubicBezTo>
                <a:cubicBezTo>
                  <a:pt x="82027" y="163075"/>
                  <a:pt x="38100" y="167013"/>
                  <a:pt x="38100" y="167013"/>
                </a:cubicBezTo>
                <a:cubicBezTo>
                  <a:pt x="52096" y="176344"/>
                  <a:pt x="84429" y="192607"/>
                  <a:pt x="85725" y="214638"/>
                </a:cubicBezTo>
                <a:cubicBezTo>
                  <a:pt x="86693" y="231091"/>
                  <a:pt x="106075" y="259086"/>
                  <a:pt x="65211" y="291777"/>
                </a:cubicBezTo>
                <a:cubicBezTo>
                  <a:pt x="57371" y="298049"/>
                  <a:pt x="38100" y="382913"/>
                  <a:pt x="28575" y="386088"/>
                </a:cubicBezTo>
                <a:cubicBezTo>
                  <a:pt x="13701" y="430709"/>
                  <a:pt x="10804" y="425702"/>
                  <a:pt x="28575" y="490863"/>
                </a:cubicBezTo>
                <a:cubicBezTo>
                  <a:pt x="31587" y="501907"/>
                  <a:pt x="41275" y="509913"/>
                  <a:pt x="47625" y="519438"/>
                </a:cubicBezTo>
                <a:cubicBezTo>
                  <a:pt x="44450" y="538488"/>
                  <a:pt x="47682" y="559820"/>
                  <a:pt x="38100" y="576588"/>
                </a:cubicBezTo>
                <a:cubicBezTo>
                  <a:pt x="33119" y="585305"/>
                  <a:pt x="16625" y="579013"/>
                  <a:pt x="9525" y="586113"/>
                </a:cubicBezTo>
                <a:cubicBezTo>
                  <a:pt x="2425" y="593213"/>
                  <a:pt x="3175" y="605163"/>
                  <a:pt x="0" y="614688"/>
                </a:cubicBezTo>
                <a:cubicBezTo>
                  <a:pt x="6350" y="633738"/>
                  <a:pt x="7911" y="655130"/>
                  <a:pt x="19050" y="671838"/>
                </a:cubicBezTo>
                <a:lnTo>
                  <a:pt x="57150" y="728988"/>
                </a:lnTo>
                <a:cubicBezTo>
                  <a:pt x="51516" y="745889"/>
                  <a:pt x="26742" y="805357"/>
                  <a:pt x="57150" y="814713"/>
                </a:cubicBezTo>
                <a:cubicBezTo>
                  <a:pt x="66751" y="817667"/>
                  <a:pt x="248114" y="780330"/>
                  <a:pt x="266700" y="776613"/>
                </a:cubicBezTo>
                <a:cubicBezTo>
                  <a:pt x="290593" y="633254"/>
                  <a:pt x="266700" y="801168"/>
                  <a:pt x="266700" y="509913"/>
                </a:cubicBezTo>
                <a:cubicBezTo>
                  <a:pt x="266700" y="283161"/>
                  <a:pt x="272633" y="226829"/>
                  <a:pt x="285750" y="43188"/>
                </a:cubicBezTo>
                <a:cubicBezTo>
                  <a:pt x="199373" y="0"/>
                  <a:pt x="111125" y="19376"/>
                  <a:pt x="76200" y="14613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cap="flat" cmpd="sng" algn="ctr">
                <a:solidFill>
                  <a:srgbClr val="000000"/>
                </a:solidFill>
                <a:prstDash val="solid"/>
                <a:round/>
                <a:headEnd type="none" w="med" len="med"/>
                <a:tailEnd type="none" w="med" len="med"/>
              </a14:hiddenLine>
            </a:ext>
          </a:extLst>
        </xdr:spPr>
      </xdr:sp>
    </xdr:grpSp>
    <xdr:clientData/>
  </xdr:twoCellAnchor>
  <xdr:twoCellAnchor>
    <xdr:from>
      <xdr:col>33</xdr:col>
      <xdr:colOff>205740</xdr:colOff>
      <xdr:row>4</xdr:row>
      <xdr:rowOff>83820</xdr:rowOff>
    </xdr:from>
    <xdr:to>
      <xdr:col>43</xdr:col>
      <xdr:colOff>137160</xdr:colOff>
      <xdr:row>14</xdr:row>
      <xdr:rowOff>15240</xdr:rowOff>
    </xdr:to>
    <xdr:grpSp>
      <xdr:nvGrpSpPr>
        <xdr:cNvPr id="440322" name="Skupina 21">
          <a:extLst>
            <a:ext uri="{FF2B5EF4-FFF2-40B4-BE49-F238E27FC236}">
              <a16:creationId xmlns:a16="http://schemas.microsoft.com/office/drawing/2014/main" id="{00000000-0008-0000-1000-000002B80600}"/>
            </a:ext>
          </a:extLst>
        </xdr:cNvPr>
        <xdr:cNvGrpSpPr>
          <a:grpSpLocks noChangeAspect="1"/>
        </xdr:cNvGrpSpPr>
      </xdr:nvGrpSpPr>
      <xdr:grpSpPr bwMode="auto">
        <a:xfrm>
          <a:off x="8266898" y="982178"/>
          <a:ext cx="2257525" cy="1776262"/>
          <a:chOff x="1771649" y="3377086"/>
          <a:chExt cx="976394" cy="740669"/>
        </a:xfrm>
      </xdr:grpSpPr>
      <xdr:sp macro="" textlink="">
        <xdr:nvSpPr>
          <xdr:cNvPr id="440324" name="Obdélník 19">
            <a:extLst>
              <a:ext uri="{FF2B5EF4-FFF2-40B4-BE49-F238E27FC236}">
                <a16:creationId xmlns:a16="http://schemas.microsoft.com/office/drawing/2014/main" id="{00000000-0008-0000-1000-000004B80600}"/>
              </a:ext>
            </a:extLst>
          </xdr:cNvPr>
          <xdr:cNvSpPr>
            <a:spLocks noChangeArrowheads="1"/>
          </xdr:cNvSpPr>
        </xdr:nvSpPr>
        <xdr:spPr bwMode="auto">
          <a:xfrm>
            <a:off x="1838324" y="3469064"/>
            <a:ext cx="771525" cy="531437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40325" name="Obdélník 18">
            <a:extLst>
              <a:ext uri="{FF2B5EF4-FFF2-40B4-BE49-F238E27FC236}">
                <a16:creationId xmlns:a16="http://schemas.microsoft.com/office/drawing/2014/main" id="{00000000-0008-0000-1000-000005B80600}"/>
              </a:ext>
            </a:extLst>
          </xdr:cNvPr>
          <xdr:cNvSpPr>
            <a:spLocks noChangeArrowheads="1"/>
          </xdr:cNvSpPr>
        </xdr:nvSpPr>
        <xdr:spPr bwMode="auto">
          <a:xfrm>
            <a:off x="1771649" y="3378382"/>
            <a:ext cx="85726" cy="695027"/>
          </a:xfrm>
          <a:prstGeom prst="rect">
            <a:avLst/>
          </a:prstGeom>
          <a:solidFill>
            <a:srgbClr val="FFFFE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40326" name="Volný tvar 20">
            <a:extLst>
              <a:ext uri="{FF2B5EF4-FFF2-40B4-BE49-F238E27FC236}">
                <a16:creationId xmlns:a16="http://schemas.microsoft.com/office/drawing/2014/main" id="{00000000-0008-0000-1000-000006B80600}"/>
              </a:ext>
            </a:extLst>
          </xdr:cNvPr>
          <xdr:cNvSpPr>
            <a:spLocks/>
          </xdr:cNvSpPr>
        </xdr:nvSpPr>
        <xdr:spPr bwMode="auto">
          <a:xfrm>
            <a:off x="2457450" y="3377086"/>
            <a:ext cx="290593" cy="740669"/>
          </a:xfrm>
          <a:custGeom>
            <a:avLst/>
            <a:gdLst>
              <a:gd name="T0" fmla="*/ 76200 w 290593"/>
              <a:gd name="T1" fmla="*/ 16 h 817667"/>
              <a:gd name="T2" fmla="*/ 76200 w 290593"/>
              <a:gd name="T3" fmla="*/ 16 h 817667"/>
              <a:gd name="T4" fmla="*/ 95250 w 290593"/>
              <a:gd name="T5" fmla="*/ 161 h 817667"/>
              <a:gd name="T6" fmla="*/ 38100 w 290593"/>
              <a:gd name="T7" fmla="*/ 181 h 817667"/>
              <a:gd name="T8" fmla="*/ 85725 w 290593"/>
              <a:gd name="T9" fmla="*/ 233 h 817667"/>
              <a:gd name="T10" fmla="*/ 65211 w 290593"/>
              <a:gd name="T11" fmla="*/ 318 h 817667"/>
              <a:gd name="T12" fmla="*/ 28575 w 290593"/>
              <a:gd name="T13" fmla="*/ 421 h 817667"/>
              <a:gd name="T14" fmla="*/ 28575 w 290593"/>
              <a:gd name="T15" fmla="*/ 534 h 817667"/>
              <a:gd name="T16" fmla="*/ 47625 w 290593"/>
              <a:gd name="T17" fmla="*/ 566 h 817667"/>
              <a:gd name="T18" fmla="*/ 38100 w 290593"/>
              <a:gd name="T19" fmla="*/ 627 h 817667"/>
              <a:gd name="T20" fmla="*/ 9525 w 290593"/>
              <a:gd name="T21" fmla="*/ 637 h 817667"/>
              <a:gd name="T22" fmla="*/ 0 w 290593"/>
              <a:gd name="T23" fmla="*/ 668 h 817667"/>
              <a:gd name="T24" fmla="*/ 19050 w 290593"/>
              <a:gd name="T25" fmla="*/ 730 h 817667"/>
              <a:gd name="T26" fmla="*/ 57150 w 290593"/>
              <a:gd name="T27" fmla="*/ 793 h 817667"/>
              <a:gd name="T28" fmla="*/ 57150 w 290593"/>
              <a:gd name="T29" fmla="*/ 885 h 817667"/>
              <a:gd name="T30" fmla="*/ 266700 w 290593"/>
              <a:gd name="T31" fmla="*/ 844 h 817667"/>
              <a:gd name="T32" fmla="*/ 266700 w 290593"/>
              <a:gd name="T33" fmla="*/ 554 h 817667"/>
              <a:gd name="T34" fmla="*/ 285750 w 290593"/>
              <a:gd name="T35" fmla="*/ 47 h 817667"/>
              <a:gd name="T36" fmla="*/ 76200 w 290593"/>
              <a:gd name="T37" fmla="*/ 16 h 817667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w 290593"/>
              <a:gd name="T58" fmla="*/ 0 h 817667"/>
              <a:gd name="T59" fmla="*/ 290593 w 290593"/>
              <a:gd name="T60" fmla="*/ 817667 h 817667"/>
            </a:gdLst>
            <a:ahLst/>
            <a:cxnLst>
              <a:cxn ang="T38">
                <a:pos x="T0" y="T1"/>
              </a:cxn>
              <a:cxn ang="T39">
                <a:pos x="T2" y="T3"/>
              </a:cxn>
              <a:cxn ang="T40">
                <a:pos x="T4" y="T5"/>
              </a:cxn>
              <a:cxn ang="T41">
                <a:pos x="T6" y="T7"/>
              </a:cxn>
              <a:cxn ang="T42">
                <a:pos x="T8" y="T9"/>
              </a:cxn>
              <a:cxn ang="T43">
                <a:pos x="T10" y="T11"/>
              </a:cxn>
              <a:cxn ang="T44">
                <a:pos x="T12" y="T13"/>
              </a:cxn>
              <a:cxn ang="T45">
                <a:pos x="T14" y="T15"/>
              </a:cxn>
              <a:cxn ang="T46">
                <a:pos x="T16" y="T17"/>
              </a:cxn>
              <a:cxn ang="T47">
                <a:pos x="T18" y="T19"/>
              </a:cxn>
              <a:cxn ang="T48">
                <a:pos x="T20" y="T21"/>
              </a:cxn>
              <a:cxn ang="T49">
                <a:pos x="T22" y="T23"/>
              </a:cxn>
              <a:cxn ang="T50">
                <a:pos x="T24" y="T25"/>
              </a:cxn>
              <a:cxn ang="T51">
                <a:pos x="T26" y="T27"/>
              </a:cxn>
              <a:cxn ang="T52">
                <a:pos x="T28" y="T29"/>
              </a:cxn>
              <a:cxn ang="T53">
                <a:pos x="T30" y="T31"/>
              </a:cxn>
              <a:cxn ang="T54">
                <a:pos x="T32" y="T33"/>
              </a:cxn>
              <a:cxn ang="T55">
                <a:pos x="T34" y="T35"/>
              </a:cxn>
              <a:cxn ang="T56">
                <a:pos x="T36" y="T37"/>
              </a:cxn>
            </a:cxnLst>
            <a:rect l="T57" t="T58" r="T59" b="T60"/>
            <a:pathLst>
              <a:path w="290593" h="817667">
                <a:moveTo>
                  <a:pt x="76200" y="14613"/>
                </a:moveTo>
                <a:lnTo>
                  <a:pt x="76200" y="14613"/>
                </a:lnTo>
                <a:cubicBezTo>
                  <a:pt x="86511" y="42109"/>
                  <a:pt x="127065" y="111603"/>
                  <a:pt x="95250" y="147963"/>
                </a:cubicBezTo>
                <a:cubicBezTo>
                  <a:pt x="82027" y="163075"/>
                  <a:pt x="38100" y="167013"/>
                  <a:pt x="38100" y="167013"/>
                </a:cubicBezTo>
                <a:cubicBezTo>
                  <a:pt x="52096" y="176344"/>
                  <a:pt x="84429" y="192607"/>
                  <a:pt x="85725" y="214638"/>
                </a:cubicBezTo>
                <a:cubicBezTo>
                  <a:pt x="86693" y="231091"/>
                  <a:pt x="106075" y="259086"/>
                  <a:pt x="65211" y="291777"/>
                </a:cubicBezTo>
                <a:cubicBezTo>
                  <a:pt x="57371" y="298049"/>
                  <a:pt x="38100" y="382913"/>
                  <a:pt x="28575" y="386088"/>
                </a:cubicBezTo>
                <a:cubicBezTo>
                  <a:pt x="13701" y="430709"/>
                  <a:pt x="10804" y="425702"/>
                  <a:pt x="28575" y="490863"/>
                </a:cubicBezTo>
                <a:cubicBezTo>
                  <a:pt x="31587" y="501907"/>
                  <a:pt x="41275" y="509913"/>
                  <a:pt x="47625" y="519438"/>
                </a:cubicBezTo>
                <a:cubicBezTo>
                  <a:pt x="44450" y="538488"/>
                  <a:pt x="47682" y="559820"/>
                  <a:pt x="38100" y="576588"/>
                </a:cubicBezTo>
                <a:cubicBezTo>
                  <a:pt x="33119" y="585305"/>
                  <a:pt x="16625" y="579013"/>
                  <a:pt x="9525" y="586113"/>
                </a:cubicBezTo>
                <a:cubicBezTo>
                  <a:pt x="2425" y="593213"/>
                  <a:pt x="3175" y="605163"/>
                  <a:pt x="0" y="614688"/>
                </a:cubicBezTo>
                <a:cubicBezTo>
                  <a:pt x="6350" y="633738"/>
                  <a:pt x="7911" y="655130"/>
                  <a:pt x="19050" y="671838"/>
                </a:cubicBezTo>
                <a:lnTo>
                  <a:pt x="57150" y="728988"/>
                </a:lnTo>
                <a:cubicBezTo>
                  <a:pt x="51516" y="745889"/>
                  <a:pt x="26742" y="805357"/>
                  <a:pt x="57150" y="814713"/>
                </a:cubicBezTo>
                <a:cubicBezTo>
                  <a:pt x="66751" y="817667"/>
                  <a:pt x="248114" y="780330"/>
                  <a:pt x="266700" y="776613"/>
                </a:cubicBezTo>
                <a:cubicBezTo>
                  <a:pt x="290593" y="633254"/>
                  <a:pt x="266700" y="801168"/>
                  <a:pt x="266700" y="509913"/>
                </a:cubicBezTo>
                <a:cubicBezTo>
                  <a:pt x="266700" y="283161"/>
                  <a:pt x="272633" y="226829"/>
                  <a:pt x="285750" y="43188"/>
                </a:cubicBezTo>
                <a:cubicBezTo>
                  <a:pt x="199373" y="0"/>
                  <a:pt x="111125" y="19376"/>
                  <a:pt x="76200" y="14613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cap="flat" cmpd="sng" algn="ctr">
                <a:solidFill>
                  <a:srgbClr val="000000"/>
                </a:solidFill>
                <a:prstDash val="solid"/>
                <a:round/>
                <a:headEnd type="none" w="med" len="med"/>
                <a:tailEnd type="none" w="med" len="med"/>
              </a14:hiddenLine>
            </a:ext>
          </a:extLst>
        </xdr:spPr>
      </xdr:sp>
    </xdr:grpSp>
    <xdr:clientData/>
  </xdr:twoCellAnchor>
  <xdr:twoCellAnchor>
    <xdr:from>
      <xdr:col>12</xdr:col>
      <xdr:colOff>144378</xdr:colOff>
      <xdr:row>27</xdr:row>
      <xdr:rowOff>8020</xdr:rowOff>
    </xdr:from>
    <xdr:to>
      <xdr:col>13</xdr:col>
      <xdr:colOff>92157</xdr:colOff>
      <xdr:row>28</xdr:row>
      <xdr:rowOff>3535</xdr:rowOff>
    </xdr:to>
    <xdr:sp macro="" textlink="">
      <xdr:nvSpPr>
        <xdr:cNvPr id="17" name="TextovéPole 16">
          <a:extLst>
            <a:ext uri="{FF2B5EF4-FFF2-40B4-BE49-F238E27FC236}">
              <a16:creationId xmlns:a16="http://schemas.microsoft.com/office/drawing/2014/main" id="{00000000-0008-0000-1000-000011000000}"/>
            </a:ext>
          </a:extLst>
        </xdr:cNvPr>
        <xdr:cNvSpPr txBox="1">
          <a:spLocks noChangeAspect="1"/>
        </xdr:cNvSpPr>
      </xdr:nvSpPr>
      <xdr:spPr>
        <a:xfrm>
          <a:off x="3088104" y="5702967"/>
          <a:ext cx="164348" cy="180000"/>
        </a:xfrm>
        <a:prstGeom prst="rect">
          <a:avLst/>
        </a:prstGeom>
        <a:solidFill>
          <a:srgbClr val="92D05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cs-CZ" sz="1200" b="1">
              <a:solidFill>
                <a:schemeClr val="bg1"/>
              </a:solidFill>
              <a:latin typeface="Arial" pitchFamily="34" charset="0"/>
              <a:cs typeface="Arial" pitchFamily="34" charset="0"/>
            </a:rPr>
            <a:t>i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4</xdr:row>
      <xdr:rowOff>83820</xdr:rowOff>
    </xdr:from>
    <xdr:to>
      <xdr:col>23</xdr:col>
      <xdr:colOff>144780</xdr:colOff>
      <xdr:row>14</xdr:row>
      <xdr:rowOff>15240</xdr:rowOff>
    </xdr:to>
    <xdr:grpSp>
      <xdr:nvGrpSpPr>
        <xdr:cNvPr id="380885" name="Skupina 21">
          <a:extLst>
            <a:ext uri="{FF2B5EF4-FFF2-40B4-BE49-F238E27FC236}">
              <a16:creationId xmlns:a16="http://schemas.microsoft.com/office/drawing/2014/main" id="{00000000-0008-0000-1100-0000D5CF0500}"/>
            </a:ext>
          </a:extLst>
        </xdr:cNvPr>
        <xdr:cNvGrpSpPr>
          <a:grpSpLocks noChangeAspect="1"/>
        </xdr:cNvGrpSpPr>
      </xdr:nvGrpSpPr>
      <xdr:grpSpPr bwMode="auto">
        <a:xfrm>
          <a:off x="3641558" y="982178"/>
          <a:ext cx="2238275" cy="1776262"/>
          <a:chOff x="1771649" y="3377086"/>
          <a:chExt cx="976394" cy="740669"/>
        </a:xfrm>
      </xdr:grpSpPr>
      <xdr:sp macro="" textlink="">
        <xdr:nvSpPr>
          <xdr:cNvPr id="380893" name="Obdélník 13">
            <a:extLst>
              <a:ext uri="{FF2B5EF4-FFF2-40B4-BE49-F238E27FC236}">
                <a16:creationId xmlns:a16="http://schemas.microsoft.com/office/drawing/2014/main" id="{00000000-0008-0000-1100-0000DDCF0500}"/>
              </a:ext>
            </a:extLst>
          </xdr:cNvPr>
          <xdr:cNvSpPr>
            <a:spLocks noChangeArrowheads="1"/>
          </xdr:cNvSpPr>
        </xdr:nvSpPr>
        <xdr:spPr bwMode="auto">
          <a:xfrm>
            <a:off x="1838324" y="3602849"/>
            <a:ext cx="771525" cy="397651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380894" name="Obdélník 18">
            <a:extLst>
              <a:ext uri="{FF2B5EF4-FFF2-40B4-BE49-F238E27FC236}">
                <a16:creationId xmlns:a16="http://schemas.microsoft.com/office/drawing/2014/main" id="{00000000-0008-0000-1100-0000DECF0500}"/>
              </a:ext>
            </a:extLst>
          </xdr:cNvPr>
          <xdr:cNvSpPr>
            <a:spLocks noChangeArrowheads="1"/>
          </xdr:cNvSpPr>
        </xdr:nvSpPr>
        <xdr:spPr bwMode="auto">
          <a:xfrm>
            <a:off x="1771649" y="3485786"/>
            <a:ext cx="85614" cy="590914"/>
          </a:xfrm>
          <a:prstGeom prst="rect">
            <a:avLst/>
          </a:prstGeom>
          <a:solidFill>
            <a:srgbClr val="FFFFE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380895" name="Volný tvar 20">
            <a:extLst>
              <a:ext uri="{FF2B5EF4-FFF2-40B4-BE49-F238E27FC236}">
                <a16:creationId xmlns:a16="http://schemas.microsoft.com/office/drawing/2014/main" id="{00000000-0008-0000-1100-0000DFCF0500}"/>
              </a:ext>
            </a:extLst>
          </xdr:cNvPr>
          <xdr:cNvSpPr>
            <a:spLocks/>
          </xdr:cNvSpPr>
        </xdr:nvSpPr>
        <xdr:spPr bwMode="auto">
          <a:xfrm>
            <a:off x="2457450" y="3377086"/>
            <a:ext cx="290593" cy="740669"/>
          </a:xfrm>
          <a:custGeom>
            <a:avLst/>
            <a:gdLst>
              <a:gd name="T0" fmla="*/ 76200 w 290593"/>
              <a:gd name="T1" fmla="*/ 16 h 817667"/>
              <a:gd name="T2" fmla="*/ 76200 w 290593"/>
              <a:gd name="T3" fmla="*/ 16 h 817667"/>
              <a:gd name="T4" fmla="*/ 95250 w 290593"/>
              <a:gd name="T5" fmla="*/ 161 h 817667"/>
              <a:gd name="T6" fmla="*/ 38100 w 290593"/>
              <a:gd name="T7" fmla="*/ 181 h 817667"/>
              <a:gd name="T8" fmla="*/ 85725 w 290593"/>
              <a:gd name="T9" fmla="*/ 233 h 817667"/>
              <a:gd name="T10" fmla="*/ 65211 w 290593"/>
              <a:gd name="T11" fmla="*/ 318 h 817667"/>
              <a:gd name="T12" fmla="*/ 28575 w 290593"/>
              <a:gd name="T13" fmla="*/ 421 h 817667"/>
              <a:gd name="T14" fmla="*/ 28575 w 290593"/>
              <a:gd name="T15" fmla="*/ 534 h 817667"/>
              <a:gd name="T16" fmla="*/ 47625 w 290593"/>
              <a:gd name="T17" fmla="*/ 566 h 817667"/>
              <a:gd name="T18" fmla="*/ 38100 w 290593"/>
              <a:gd name="T19" fmla="*/ 627 h 817667"/>
              <a:gd name="T20" fmla="*/ 9525 w 290593"/>
              <a:gd name="T21" fmla="*/ 637 h 817667"/>
              <a:gd name="T22" fmla="*/ 0 w 290593"/>
              <a:gd name="T23" fmla="*/ 668 h 817667"/>
              <a:gd name="T24" fmla="*/ 19050 w 290593"/>
              <a:gd name="T25" fmla="*/ 730 h 817667"/>
              <a:gd name="T26" fmla="*/ 57150 w 290593"/>
              <a:gd name="T27" fmla="*/ 793 h 817667"/>
              <a:gd name="T28" fmla="*/ 57150 w 290593"/>
              <a:gd name="T29" fmla="*/ 885 h 817667"/>
              <a:gd name="T30" fmla="*/ 266700 w 290593"/>
              <a:gd name="T31" fmla="*/ 844 h 817667"/>
              <a:gd name="T32" fmla="*/ 266700 w 290593"/>
              <a:gd name="T33" fmla="*/ 554 h 817667"/>
              <a:gd name="T34" fmla="*/ 285750 w 290593"/>
              <a:gd name="T35" fmla="*/ 47 h 817667"/>
              <a:gd name="T36" fmla="*/ 76200 w 290593"/>
              <a:gd name="T37" fmla="*/ 16 h 817667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w 290593"/>
              <a:gd name="T58" fmla="*/ 0 h 817667"/>
              <a:gd name="T59" fmla="*/ 290593 w 290593"/>
              <a:gd name="T60" fmla="*/ 817667 h 817667"/>
            </a:gdLst>
            <a:ahLst/>
            <a:cxnLst>
              <a:cxn ang="T38">
                <a:pos x="T0" y="T1"/>
              </a:cxn>
              <a:cxn ang="T39">
                <a:pos x="T2" y="T3"/>
              </a:cxn>
              <a:cxn ang="T40">
                <a:pos x="T4" y="T5"/>
              </a:cxn>
              <a:cxn ang="T41">
                <a:pos x="T6" y="T7"/>
              </a:cxn>
              <a:cxn ang="T42">
                <a:pos x="T8" y="T9"/>
              </a:cxn>
              <a:cxn ang="T43">
                <a:pos x="T10" y="T11"/>
              </a:cxn>
              <a:cxn ang="T44">
                <a:pos x="T12" y="T13"/>
              </a:cxn>
              <a:cxn ang="T45">
                <a:pos x="T14" y="T15"/>
              </a:cxn>
              <a:cxn ang="T46">
                <a:pos x="T16" y="T17"/>
              </a:cxn>
              <a:cxn ang="T47">
                <a:pos x="T18" y="T19"/>
              </a:cxn>
              <a:cxn ang="T48">
                <a:pos x="T20" y="T21"/>
              </a:cxn>
              <a:cxn ang="T49">
                <a:pos x="T22" y="T23"/>
              </a:cxn>
              <a:cxn ang="T50">
                <a:pos x="T24" y="T25"/>
              </a:cxn>
              <a:cxn ang="T51">
                <a:pos x="T26" y="T27"/>
              </a:cxn>
              <a:cxn ang="T52">
                <a:pos x="T28" y="T29"/>
              </a:cxn>
              <a:cxn ang="T53">
                <a:pos x="T30" y="T31"/>
              </a:cxn>
              <a:cxn ang="T54">
                <a:pos x="T32" y="T33"/>
              </a:cxn>
              <a:cxn ang="T55">
                <a:pos x="T34" y="T35"/>
              </a:cxn>
              <a:cxn ang="T56">
                <a:pos x="T36" y="T37"/>
              </a:cxn>
            </a:cxnLst>
            <a:rect l="T57" t="T58" r="T59" b="T60"/>
            <a:pathLst>
              <a:path w="290593" h="817667">
                <a:moveTo>
                  <a:pt x="76200" y="14613"/>
                </a:moveTo>
                <a:lnTo>
                  <a:pt x="76200" y="14613"/>
                </a:lnTo>
                <a:cubicBezTo>
                  <a:pt x="86511" y="42109"/>
                  <a:pt x="127065" y="111603"/>
                  <a:pt x="95250" y="147963"/>
                </a:cubicBezTo>
                <a:cubicBezTo>
                  <a:pt x="82027" y="163075"/>
                  <a:pt x="38100" y="167013"/>
                  <a:pt x="38100" y="167013"/>
                </a:cubicBezTo>
                <a:cubicBezTo>
                  <a:pt x="52096" y="176344"/>
                  <a:pt x="84429" y="192607"/>
                  <a:pt x="85725" y="214638"/>
                </a:cubicBezTo>
                <a:cubicBezTo>
                  <a:pt x="86693" y="231091"/>
                  <a:pt x="106075" y="259086"/>
                  <a:pt x="65211" y="291777"/>
                </a:cubicBezTo>
                <a:cubicBezTo>
                  <a:pt x="57371" y="298049"/>
                  <a:pt x="38100" y="382913"/>
                  <a:pt x="28575" y="386088"/>
                </a:cubicBezTo>
                <a:cubicBezTo>
                  <a:pt x="13701" y="430709"/>
                  <a:pt x="10804" y="425702"/>
                  <a:pt x="28575" y="490863"/>
                </a:cubicBezTo>
                <a:cubicBezTo>
                  <a:pt x="31587" y="501907"/>
                  <a:pt x="41275" y="509913"/>
                  <a:pt x="47625" y="519438"/>
                </a:cubicBezTo>
                <a:cubicBezTo>
                  <a:pt x="44450" y="538488"/>
                  <a:pt x="47682" y="559820"/>
                  <a:pt x="38100" y="576588"/>
                </a:cubicBezTo>
                <a:cubicBezTo>
                  <a:pt x="33119" y="585305"/>
                  <a:pt x="16625" y="579013"/>
                  <a:pt x="9525" y="586113"/>
                </a:cubicBezTo>
                <a:cubicBezTo>
                  <a:pt x="2425" y="593213"/>
                  <a:pt x="3175" y="605163"/>
                  <a:pt x="0" y="614688"/>
                </a:cubicBezTo>
                <a:cubicBezTo>
                  <a:pt x="6350" y="633738"/>
                  <a:pt x="7911" y="655130"/>
                  <a:pt x="19050" y="671838"/>
                </a:cubicBezTo>
                <a:lnTo>
                  <a:pt x="57150" y="728988"/>
                </a:lnTo>
                <a:cubicBezTo>
                  <a:pt x="51516" y="745889"/>
                  <a:pt x="26742" y="805357"/>
                  <a:pt x="57150" y="814713"/>
                </a:cubicBezTo>
                <a:cubicBezTo>
                  <a:pt x="66751" y="817667"/>
                  <a:pt x="248114" y="780330"/>
                  <a:pt x="266700" y="776613"/>
                </a:cubicBezTo>
                <a:cubicBezTo>
                  <a:pt x="290593" y="633254"/>
                  <a:pt x="266700" y="801168"/>
                  <a:pt x="266700" y="509913"/>
                </a:cubicBezTo>
                <a:cubicBezTo>
                  <a:pt x="266700" y="283161"/>
                  <a:pt x="272633" y="226829"/>
                  <a:pt x="285750" y="43188"/>
                </a:cubicBezTo>
                <a:cubicBezTo>
                  <a:pt x="199373" y="0"/>
                  <a:pt x="111125" y="19376"/>
                  <a:pt x="76200" y="14613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cap="flat" cmpd="sng" algn="ctr">
                <a:solidFill>
                  <a:srgbClr val="000000"/>
                </a:solidFill>
                <a:prstDash val="solid"/>
                <a:round/>
                <a:headEnd type="none" w="med" len="med"/>
                <a:tailEnd type="none" w="med" len="med"/>
              </a14:hiddenLine>
            </a:ext>
          </a:extLst>
        </xdr:spPr>
      </xdr:sp>
    </xdr:grpSp>
    <xdr:clientData/>
  </xdr:twoCellAnchor>
  <xdr:twoCellAnchor editAs="oneCell">
    <xdr:from>
      <xdr:col>24</xdr:col>
      <xdr:colOff>0</xdr:colOff>
      <xdr:row>4</xdr:row>
      <xdr:rowOff>83820</xdr:rowOff>
    </xdr:from>
    <xdr:to>
      <xdr:col>31</xdr:col>
      <xdr:colOff>106680</xdr:colOff>
      <xdr:row>14</xdr:row>
      <xdr:rowOff>175260</xdr:rowOff>
    </xdr:to>
    <xdr:pic>
      <xdr:nvPicPr>
        <xdr:cNvPr id="380886" name="Obrázek 1">
          <a:extLst>
            <a:ext uri="{FF2B5EF4-FFF2-40B4-BE49-F238E27FC236}">
              <a16:creationId xmlns:a16="http://schemas.microsoft.com/office/drawing/2014/main" id="{00000000-0008-0000-1100-0000D6CF05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1160" y="982980"/>
          <a:ext cx="1600200" cy="1920240"/>
        </a:xfrm>
        <a:prstGeom prst="rect">
          <a:avLst/>
        </a:prstGeom>
        <a:noFill/>
        <a:ln w="28575">
          <a:solidFill>
            <a:srgbClr val="A6A6A6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45</xdr:col>
      <xdr:colOff>144780</xdr:colOff>
      <xdr:row>1</xdr:row>
      <xdr:rowOff>106680</xdr:rowOff>
    </xdr:from>
    <xdr:to>
      <xdr:col>63</xdr:col>
      <xdr:colOff>487680</xdr:colOff>
      <xdr:row>4</xdr:row>
      <xdr:rowOff>144780</xdr:rowOff>
    </xdr:to>
    <xdr:pic>
      <xdr:nvPicPr>
        <xdr:cNvPr id="380887" name="Picture 24">
          <a:extLst>
            <a:ext uri="{FF2B5EF4-FFF2-40B4-BE49-F238E27FC236}">
              <a16:creationId xmlns:a16="http://schemas.microsoft.com/office/drawing/2014/main" id="{00000000-0008-0000-1100-0000D7CF0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266700"/>
          <a:ext cx="960120" cy="777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33</xdr:col>
      <xdr:colOff>205740</xdr:colOff>
      <xdr:row>4</xdr:row>
      <xdr:rowOff>83820</xdr:rowOff>
    </xdr:from>
    <xdr:to>
      <xdr:col>43</xdr:col>
      <xdr:colOff>137160</xdr:colOff>
      <xdr:row>14</xdr:row>
      <xdr:rowOff>15240</xdr:rowOff>
    </xdr:to>
    <xdr:grpSp>
      <xdr:nvGrpSpPr>
        <xdr:cNvPr id="380888" name="Skupina 21">
          <a:extLst>
            <a:ext uri="{FF2B5EF4-FFF2-40B4-BE49-F238E27FC236}">
              <a16:creationId xmlns:a16="http://schemas.microsoft.com/office/drawing/2014/main" id="{00000000-0008-0000-1100-0000D8CF0500}"/>
            </a:ext>
          </a:extLst>
        </xdr:cNvPr>
        <xdr:cNvGrpSpPr>
          <a:grpSpLocks noChangeAspect="1"/>
        </xdr:cNvGrpSpPr>
      </xdr:nvGrpSpPr>
      <xdr:grpSpPr bwMode="auto">
        <a:xfrm>
          <a:off x="8266898" y="982178"/>
          <a:ext cx="2257525" cy="1776262"/>
          <a:chOff x="1771649" y="3377086"/>
          <a:chExt cx="976394" cy="740669"/>
        </a:xfrm>
      </xdr:grpSpPr>
      <xdr:sp macro="" textlink="">
        <xdr:nvSpPr>
          <xdr:cNvPr id="380890" name="Obdélník 19">
            <a:extLst>
              <a:ext uri="{FF2B5EF4-FFF2-40B4-BE49-F238E27FC236}">
                <a16:creationId xmlns:a16="http://schemas.microsoft.com/office/drawing/2014/main" id="{00000000-0008-0000-1100-0000DACF0500}"/>
              </a:ext>
            </a:extLst>
          </xdr:cNvPr>
          <xdr:cNvSpPr>
            <a:spLocks noChangeArrowheads="1"/>
          </xdr:cNvSpPr>
        </xdr:nvSpPr>
        <xdr:spPr bwMode="auto">
          <a:xfrm>
            <a:off x="1838324" y="3469064"/>
            <a:ext cx="771525" cy="531437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380891" name="Obdélník 18">
            <a:extLst>
              <a:ext uri="{FF2B5EF4-FFF2-40B4-BE49-F238E27FC236}">
                <a16:creationId xmlns:a16="http://schemas.microsoft.com/office/drawing/2014/main" id="{00000000-0008-0000-1100-0000DBCF0500}"/>
              </a:ext>
            </a:extLst>
          </xdr:cNvPr>
          <xdr:cNvSpPr>
            <a:spLocks noChangeArrowheads="1"/>
          </xdr:cNvSpPr>
        </xdr:nvSpPr>
        <xdr:spPr bwMode="auto">
          <a:xfrm>
            <a:off x="1771649" y="3378382"/>
            <a:ext cx="85726" cy="695027"/>
          </a:xfrm>
          <a:prstGeom prst="rect">
            <a:avLst/>
          </a:prstGeom>
          <a:solidFill>
            <a:srgbClr val="FFFFE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380892" name="Volný tvar 20">
            <a:extLst>
              <a:ext uri="{FF2B5EF4-FFF2-40B4-BE49-F238E27FC236}">
                <a16:creationId xmlns:a16="http://schemas.microsoft.com/office/drawing/2014/main" id="{00000000-0008-0000-1100-0000DCCF0500}"/>
              </a:ext>
            </a:extLst>
          </xdr:cNvPr>
          <xdr:cNvSpPr>
            <a:spLocks/>
          </xdr:cNvSpPr>
        </xdr:nvSpPr>
        <xdr:spPr bwMode="auto">
          <a:xfrm>
            <a:off x="2457450" y="3377086"/>
            <a:ext cx="290593" cy="740669"/>
          </a:xfrm>
          <a:custGeom>
            <a:avLst/>
            <a:gdLst>
              <a:gd name="T0" fmla="*/ 76200 w 290593"/>
              <a:gd name="T1" fmla="*/ 16 h 817667"/>
              <a:gd name="T2" fmla="*/ 76200 w 290593"/>
              <a:gd name="T3" fmla="*/ 16 h 817667"/>
              <a:gd name="T4" fmla="*/ 95250 w 290593"/>
              <a:gd name="T5" fmla="*/ 161 h 817667"/>
              <a:gd name="T6" fmla="*/ 38100 w 290593"/>
              <a:gd name="T7" fmla="*/ 181 h 817667"/>
              <a:gd name="T8" fmla="*/ 85725 w 290593"/>
              <a:gd name="T9" fmla="*/ 233 h 817667"/>
              <a:gd name="T10" fmla="*/ 65211 w 290593"/>
              <a:gd name="T11" fmla="*/ 318 h 817667"/>
              <a:gd name="T12" fmla="*/ 28575 w 290593"/>
              <a:gd name="T13" fmla="*/ 421 h 817667"/>
              <a:gd name="T14" fmla="*/ 28575 w 290593"/>
              <a:gd name="T15" fmla="*/ 534 h 817667"/>
              <a:gd name="T16" fmla="*/ 47625 w 290593"/>
              <a:gd name="T17" fmla="*/ 566 h 817667"/>
              <a:gd name="T18" fmla="*/ 38100 w 290593"/>
              <a:gd name="T19" fmla="*/ 627 h 817667"/>
              <a:gd name="T20" fmla="*/ 9525 w 290593"/>
              <a:gd name="T21" fmla="*/ 637 h 817667"/>
              <a:gd name="T22" fmla="*/ 0 w 290593"/>
              <a:gd name="T23" fmla="*/ 668 h 817667"/>
              <a:gd name="T24" fmla="*/ 19050 w 290593"/>
              <a:gd name="T25" fmla="*/ 730 h 817667"/>
              <a:gd name="T26" fmla="*/ 57150 w 290593"/>
              <a:gd name="T27" fmla="*/ 793 h 817667"/>
              <a:gd name="T28" fmla="*/ 57150 w 290593"/>
              <a:gd name="T29" fmla="*/ 885 h 817667"/>
              <a:gd name="T30" fmla="*/ 266700 w 290593"/>
              <a:gd name="T31" fmla="*/ 844 h 817667"/>
              <a:gd name="T32" fmla="*/ 266700 w 290593"/>
              <a:gd name="T33" fmla="*/ 554 h 817667"/>
              <a:gd name="T34" fmla="*/ 285750 w 290593"/>
              <a:gd name="T35" fmla="*/ 47 h 817667"/>
              <a:gd name="T36" fmla="*/ 76200 w 290593"/>
              <a:gd name="T37" fmla="*/ 16 h 817667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w 290593"/>
              <a:gd name="T58" fmla="*/ 0 h 817667"/>
              <a:gd name="T59" fmla="*/ 290593 w 290593"/>
              <a:gd name="T60" fmla="*/ 817667 h 817667"/>
            </a:gdLst>
            <a:ahLst/>
            <a:cxnLst>
              <a:cxn ang="T38">
                <a:pos x="T0" y="T1"/>
              </a:cxn>
              <a:cxn ang="T39">
                <a:pos x="T2" y="T3"/>
              </a:cxn>
              <a:cxn ang="T40">
                <a:pos x="T4" y="T5"/>
              </a:cxn>
              <a:cxn ang="T41">
                <a:pos x="T6" y="T7"/>
              </a:cxn>
              <a:cxn ang="T42">
                <a:pos x="T8" y="T9"/>
              </a:cxn>
              <a:cxn ang="T43">
                <a:pos x="T10" y="T11"/>
              </a:cxn>
              <a:cxn ang="T44">
                <a:pos x="T12" y="T13"/>
              </a:cxn>
              <a:cxn ang="T45">
                <a:pos x="T14" y="T15"/>
              </a:cxn>
              <a:cxn ang="T46">
                <a:pos x="T16" y="T17"/>
              </a:cxn>
              <a:cxn ang="T47">
                <a:pos x="T18" y="T19"/>
              </a:cxn>
              <a:cxn ang="T48">
                <a:pos x="T20" y="T21"/>
              </a:cxn>
              <a:cxn ang="T49">
                <a:pos x="T22" y="T23"/>
              </a:cxn>
              <a:cxn ang="T50">
                <a:pos x="T24" y="T25"/>
              </a:cxn>
              <a:cxn ang="T51">
                <a:pos x="T26" y="T27"/>
              </a:cxn>
              <a:cxn ang="T52">
                <a:pos x="T28" y="T29"/>
              </a:cxn>
              <a:cxn ang="T53">
                <a:pos x="T30" y="T31"/>
              </a:cxn>
              <a:cxn ang="T54">
                <a:pos x="T32" y="T33"/>
              </a:cxn>
              <a:cxn ang="T55">
                <a:pos x="T34" y="T35"/>
              </a:cxn>
              <a:cxn ang="T56">
                <a:pos x="T36" y="T37"/>
              </a:cxn>
            </a:cxnLst>
            <a:rect l="T57" t="T58" r="T59" b="T60"/>
            <a:pathLst>
              <a:path w="290593" h="817667">
                <a:moveTo>
                  <a:pt x="76200" y="14613"/>
                </a:moveTo>
                <a:lnTo>
                  <a:pt x="76200" y="14613"/>
                </a:lnTo>
                <a:cubicBezTo>
                  <a:pt x="86511" y="42109"/>
                  <a:pt x="127065" y="111603"/>
                  <a:pt x="95250" y="147963"/>
                </a:cubicBezTo>
                <a:cubicBezTo>
                  <a:pt x="82027" y="163075"/>
                  <a:pt x="38100" y="167013"/>
                  <a:pt x="38100" y="167013"/>
                </a:cubicBezTo>
                <a:cubicBezTo>
                  <a:pt x="52096" y="176344"/>
                  <a:pt x="84429" y="192607"/>
                  <a:pt x="85725" y="214638"/>
                </a:cubicBezTo>
                <a:cubicBezTo>
                  <a:pt x="86693" y="231091"/>
                  <a:pt x="106075" y="259086"/>
                  <a:pt x="65211" y="291777"/>
                </a:cubicBezTo>
                <a:cubicBezTo>
                  <a:pt x="57371" y="298049"/>
                  <a:pt x="38100" y="382913"/>
                  <a:pt x="28575" y="386088"/>
                </a:cubicBezTo>
                <a:cubicBezTo>
                  <a:pt x="13701" y="430709"/>
                  <a:pt x="10804" y="425702"/>
                  <a:pt x="28575" y="490863"/>
                </a:cubicBezTo>
                <a:cubicBezTo>
                  <a:pt x="31587" y="501907"/>
                  <a:pt x="41275" y="509913"/>
                  <a:pt x="47625" y="519438"/>
                </a:cubicBezTo>
                <a:cubicBezTo>
                  <a:pt x="44450" y="538488"/>
                  <a:pt x="47682" y="559820"/>
                  <a:pt x="38100" y="576588"/>
                </a:cubicBezTo>
                <a:cubicBezTo>
                  <a:pt x="33119" y="585305"/>
                  <a:pt x="16625" y="579013"/>
                  <a:pt x="9525" y="586113"/>
                </a:cubicBezTo>
                <a:cubicBezTo>
                  <a:pt x="2425" y="593213"/>
                  <a:pt x="3175" y="605163"/>
                  <a:pt x="0" y="614688"/>
                </a:cubicBezTo>
                <a:cubicBezTo>
                  <a:pt x="6350" y="633738"/>
                  <a:pt x="7911" y="655130"/>
                  <a:pt x="19050" y="671838"/>
                </a:cubicBezTo>
                <a:lnTo>
                  <a:pt x="57150" y="728988"/>
                </a:lnTo>
                <a:cubicBezTo>
                  <a:pt x="51516" y="745889"/>
                  <a:pt x="26742" y="805357"/>
                  <a:pt x="57150" y="814713"/>
                </a:cubicBezTo>
                <a:cubicBezTo>
                  <a:pt x="66751" y="817667"/>
                  <a:pt x="248114" y="780330"/>
                  <a:pt x="266700" y="776613"/>
                </a:cubicBezTo>
                <a:cubicBezTo>
                  <a:pt x="290593" y="633254"/>
                  <a:pt x="266700" y="801168"/>
                  <a:pt x="266700" y="509913"/>
                </a:cubicBezTo>
                <a:cubicBezTo>
                  <a:pt x="266700" y="283161"/>
                  <a:pt x="272633" y="226829"/>
                  <a:pt x="285750" y="43188"/>
                </a:cubicBezTo>
                <a:cubicBezTo>
                  <a:pt x="199373" y="0"/>
                  <a:pt x="111125" y="19376"/>
                  <a:pt x="76200" y="14613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cap="flat" cmpd="sng" algn="ctr">
                <a:solidFill>
                  <a:srgbClr val="000000"/>
                </a:solidFill>
                <a:prstDash val="solid"/>
                <a:round/>
                <a:headEnd type="none" w="med" len="med"/>
                <a:tailEnd type="none" w="med" len="med"/>
              </a14:hiddenLine>
            </a:ext>
          </a:extLst>
        </xdr:spPr>
      </xdr:sp>
    </xdr:grpSp>
    <xdr:clientData/>
  </xdr:twoCellAnchor>
  <xdr:twoCellAnchor>
    <xdr:from>
      <xdr:col>12</xdr:col>
      <xdr:colOff>144378</xdr:colOff>
      <xdr:row>27</xdr:row>
      <xdr:rowOff>8020</xdr:rowOff>
    </xdr:from>
    <xdr:to>
      <xdr:col>13</xdr:col>
      <xdr:colOff>92157</xdr:colOff>
      <xdr:row>28</xdr:row>
      <xdr:rowOff>3535</xdr:rowOff>
    </xdr:to>
    <xdr:sp macro="" textlink="">
      <xdr:nvSpPr>
        <xdr:cNvPr id="12" name="TextovéPole 11">
          <a:extLst>
            <a:ext uri="{FF2B5EF4-FFF2-40B4-BE49-F238E27FC236}">
              <a16:creationId xmlns:a16="http://schemas.microsoft.com/office/drawing/2014/main" id="{00000000-0008-0000-1100-00000C000000}"/>
            </a:ext>
          </a:extLst>
        </xdr:cNvPr>
        <xdr:cNvSpPr txBox="1">
          <a:spLocks noChangeAspect="1"/>
        </xdr:cNvSpPr>
      </xdr:nvSpPr>
      <xdr:spPr>
        <a:xfrm>
          <a:off x="3055218" y="5113420"/>
          <a:ext cx="161139" cy="178395"/>
        </a:xfrm>
        <a:prstGeom prst="rect">
          <a:avLst/>
        </a:prstGeom>
        <a:solidFill>
          <a:srgbClr val="92D05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cs-CZ" sz="1200" b="1">
              <a:solidFill>
                <a:schemeClr val="bg1"/>
              </a:solidFill>
              <a:latin typeface="Arial" pitchFamily="34" charset="0"/>
              <a:cs typeface="Arial" pitchFamily="34" charset="0"/>
            </a:rPr>
            <a:t>i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4</xdr:row>
      <xdr:rowOff>91440</xdr:rowOff>
    </xdr:from>
    <xdr:to>
      <xdr:col>23</xdr:col>
      <xdr:colOff>144780</xdr:colOff>
      <xdr:row>14</xdr:row>
      <xdr:rowOff>22860</xdr:rowOff>
    </xdr:to>
    <xdr:grpSp>
      <xdr:nvGrpSpPr>
        <xdr:cNvPr id="381898" name="Skupina 21">
          <a:extLst>
            <a:ext uri="{FF2B5EF4-FFF2-40B4-BE49-F238E27FC236}">
              <a16:creationId xmlns:a16="http://schemas.microsoft.com/office/drawing/2014/main" id="{00000000-0008-0000-1200-0000CAD30500}"/>
            </a:ext>
          </a:extLst>
        </xdr:cNvPr>
        <xdr:cNvGrpSpPr>
          <a:grpSpLocks noChangeAspect="1"/>
        </xdr:cNvGrpSpPr>
      </xdr:nvGrpSpPr>
      <xdr:grpSpPr bwMode="auto">
        <a:xfrm>
          <a:off x="3641558" y="989798"/>
          <a:ext cx="2238275" cy="1776262"/>
          <a:chOff x="1771649" y="3377086"/>
          <a:chExt cx="976394" cy="740669"/>
        </a:xfrm>
      </xdr:grpSpPr>
      <xdr:sp macro="" textlink="">
        <xdr:nvSpPr>
          <xdr:cNvPr id="381906" name="Obdélník 19">
            <a:extLst>
              <a:ext uri="{FF2B5EF4-FFF2-40B4-BE49-F238E27FC236}">
                <a16:creationId xmlns:a16="http://schemas.microsoft.com/office/drawing/2014/main" id="{00000000-0008-0000-1200-0000D2D30500}"/>
              </a:ext>
            </a:extLst>
          </xdr:cNvPr>
          <xdr:cNvSpPr>
            <a:spLocks noChangeArrowheads="1"/>
          </xdr:cNvSpPr>
        </xdr:nvSpPr>
        <xdr:spPr bwMode="auto">
          <a:xfrm>
            <a:off x="1838324" y="3469064"/>
            <a:ext cx="771525" cy="531437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381907" name="Obdélník 18">
            <a:extLst>
              <a:ext uri="{FF2B5EF4-FFF2-40B4-BE49-F238E27FC236}">
                <a16:creationId xmlns:a16="http://schemas.microsoft.com/office/drawing/2014/main" id="{00000000-0008-0000-1200-0000D3D30500}"/>
              </a:ext>
            </a:extLst>
          </xdr:cNvPr>
          <xdr:cNvSpPr>
            <a:spLocks noChangeArrowheads="1"/>
          </xdr:cNvSpPr>
        </xdr:nvSpPr>
        <xdr:spPr bwMode="auto">
          <a:xfrm>
            <a:off x="1771649" y="3378382"/>
            <a:ext cx="85726" cy="695027"/>
          </a:xfrm>
          <a:prstGeom prst="rect">
            <a:avLst/>
          </a:prstGeom>
          <a:solidFill>
            <a:srgbClr val="FFFFE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381908" name="Volný tvar 20">
            <a:extLst>
              <a:ext uri="{FF2B5EF4-FFF2-40B4-BE49-F238E27FC236}">
                <a16:creationId xmlns:a16="http://schemas.microsoft.com/office/drawing/2014/main" id="{00000000-0008-0000-1200-0000D4D30500}"/>
              </a:ext>
            </a:extLst>
          </xdr:cNvPr>
          <xdr:cNvSpPr>
            <a:spLocks/>
          </xdr:cNvSpPr>
        </xdr:nvSpPr>
        <xdr:spPr bwMode="auto">
          <a:xfrm>
            <a:off x="2457450" y="3377086"/>
            <a:ext cx="290593" cy="740669"/>
          </a:xfrm>
          <a:custGeom>
            <a:avLst/>
            <a:gdLst>
              <a:gd name="T0" fmla="*/ 76200 w 290593"/>
              <a:gd name="T1" fmla="*/ 16 h 817667"/>
              <a:gd name="T2" fmla="*/ 76200 w 290593"/>
              <a:gd name="T3" fmla="*/ 16 h 817667"/>
              <a:gd name="T4" fmla="*/ 95250 w 290593"/>
              <a:gd name="T5" fmla="*/ 161 h 817667"/>
              <a:gd name="T6" fmla="*/ 38100 w 290593"/>
              <a:gd name="T7" fmla="*/ 181 h 817667"/>
              <a:gd name="T8" fmla="*/ 85725 w 290593"/>
              <a:gd name="T9" fmla="*/ 233 h 817667"/>
              <a:gd name="T10" fmla="*/ 65211 w 290593"/>
              <a:gd name="T11" fmla="*/ 318 h 817667"/>
              <a:gd name="T12" fmla="*/ 28575 w 290593"/>
              <a:gd name="T13" fmla="*/ 421 h 817667"/>
              <a:gd name="T14" fmla="*/ 28575 w 290593"/>
              <a:gd name="T15" fmla="*/ 534 h 817667"/>
              <a:gd name="T16" fmla="*/ 47625 w 290593"/>
              <a:gd name="T17" fmla="*/ 566 h 817667"/>
              <a:gd name="T18" fmla="*/ 38100 w 290593"/>
              <a:gd name="T19" fmla="*/ 627 h 817667"/>
              <a:gd name="T20" fmla="*/ 9525 w 290593"/>
              <a:gd name="T21" fmla="*/ 637 h 817667"/>
              <a:gd name="T22" fmla="*/ 0 w 290593"/>
              <a:gd name="T23" fmla="*/ 668 h 817667"/>
              <a:gd name="T24" fmla="*/ 19050 w 290593"/>
              <a:gd name="T25" fmla="*/ 730 h 817667"/>
              <a:gd name="T26" fmla="*/ 57150 w 290593"/>
              <a:gd name="T27" fmla="*/ 793 h 817667"/>
              <a:gd name="T28" fmla="*/ 57150 w 290593"/>
              <a:gd name="T29" fmla="*/ 885 h 817667"/>
              <a:gd name="T30" fmla="*/ 266700 w 290593"/>
              <a:gd name="T31" fmla="*/ 844 h 817667"/>
              <a:gd name="T32" fmla="*/ 266700 w 290593"/>
              <a:gd name="T33" fmla="*/ 554 h 817667"/>
              <a:gd name="T34" fmla="*/ 285750 w 290593"/>
              <a:gd name="T35" fmla="*/ 47 h 817667"/>
              <a:gd name="T36" fmla="*/ 76200 w 290593"/>
              <a:gd name="T37" fmla="*/ 16 h 817667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w 290593"/>
              <a:gd name="T58" fmla="*/ 0 h 817667"/>
              <a:gd name="T59" fmla="*/ 290593 w 290593"/>
              <a:gd name="T60" fmla="*/ 817667 h 817667"/>
            </a:gdLst>
            <a:ahLst/>
            <a:cxnLst>
              <a:cxn ang="T38">
                <a:pos x="T0" y="T1"/>
              </a:cxn>
              <a:cxn ang="T39">
                <a:pos x="T2" y="T3"/>
              </a:cxn>
              <a:cxn ang="T40">
                <a:pos x="T4" y="T5"/>
              </a:cxn>
              <a:cxn ang="T41">
                <a:pos x="T6" y="T7"/>
              </a:cxn>
              <a:cxn ang="T42">
                <a:pos x="T8" y="T9"/>
              </a:cxn>
              <a:cxn ang="T43">
                <a:pos x="T10" y="T11"/>
              </a:cxn>
              <a:cxn ang="T44">
                <a:pos x="T12" y="T13"/>
              </a:cxn>
              <a:cxn ang="T45">
                <a:pos x="T14" y="T15"/>
              </a:cxn>
              <a:cxn ang="T46">
                <a:pos x="T16" y="T17"/>
              </a:cxn>
              <a:cxn ang="T47">
                <a:pos x="T18" y="T19"/>
              </a:cxn>
              <a:cxn ang="T48">
                <a:pos x="T20" y="T21"/>
              </a:cxn>
              <a:cxn ang="T49">
                <a:pos x="T22" y="T23"/>
              </a:cxn>
              <a:cxn ang="T50">
                <a:pos x="T24" y="T25"/>
              </a:cxn>
              <a:cxn ang="T51">
                <a:pos x="T26" y="T27"/>
              </a:cxn>
              <a:cxn ang="T52">
                <a:pos x="T28" y="T29"/>
              </a:cxn>
              <a:cxn ang="T53">
                <a:pos x="T30" y="T31"/>
              </a:cxn>
              <a:cxn ang="T54">
                <a:pos x="T32" y="T33"/>
              </a:cxn>
              <a:cxn ang="T55">
                <a:pos x="T34" y="T35"/>
              </a:cxn>
              <a:cxn ang="T56">
                <a:pos x="T36" y="T37"/>
              </a:cxn>
            </a:cxnLst>
            <a:rect l="T57" t="T58" r="T59" b="T60"/>
            <a:pathLst>
              <a:path w="290593" h="817667">
                <a:moveTo>
                  <a:pt x="76200" y="14613"/>
                </a:moveTo>
                <a:lnTo>
                  <a:pt x="76200" y="14613"/>
                </a:lnTo>
                <a:cubicBezTo>
                  <a:pt x="86511" y="42109"/>
                  <a:pt x="127065" y="111603"/>
                  <a:pt x="95250" y="147963"/>
                </a:cubicBezTo>
                <a:cubicBezTo>
                  <a:pt x="82027" y="163075"/>
                  <a:pt x="38100" y="167013"/>
                  <a:pt x="38100" y="167013"/>
                </a:cubicBezTo>
                <a:cubicBezTo>
                  <a:pt x="52096" y="176344"/>
                  <a:pt x="84429" y="192607"/>
                  <a:pt x="85725" y="214638"/>
                </a:cubicBezTo>
                <a:cubicBezTo>
                  <a:pt x="86693" y="231091"/>
                  <a:pt x="106075" y="259086"/>
                  <a:pt x="65211" y="291777"/>
                </a:cubicBezTo>
                <a:cubicBezTo>
                  <a:pt x="57371" y="298049"/>
                  <a:pt x="38100" y="382913"/>
                  <a:pt x="28575" y="386088"/>
                </a:cubicBezTo>
                <a:cubicBezTo>
                  <a:pt x="13701" y="430709"/>
                  <a:pt x="10804" y="425702"/>
                  <a:pt x="28575" y="490863"/>
                </a:cubicBezTo>
                <a:cubicBezTo>
                  <a:pt x="31587" y="501907"/>
                  <a:pt x="41275" y="509913"/>
                  <a:pt x="47625" y="519438"/>
                </a:cubicBezTo>
                <a:cubicBezTo>
                  <a:pt x="44450" y="538488"/>
                  <a:pt x="47682" y="559820"/>
                  <a:pt x="38100" y="576588"/>
                </a:cubicBezTo>
                <a:cubicBezTo>
                  <a:pt x="33119" y="585305"/>
                  <a:pt x="16625" y="579013"/>
                  <a:pt x="9525" y="586113"/>
                </a:cubicBezTo>
                <a:cubicBezTo>
                  <a:pt x="2425" y="593213"/>
                  <a:pt x="3175" y="605163"/>
                  <a:pt x="0" y="614688"/>
                </a:cubicBezTo>
                <a:cubicBezTo>
                  <a:pt x="6350" y="633738"/>
                  <a:pt x="7911" y="655130"/>
                  <a:pt x="19050" y="671838"/>
                </a:cubicBezTo>
                <a:lnTo>
                  <a:pt x="57150" y="728988"/>
                </a:lnTo>
                <a:cubicBezTo>
                  <a:pt x="51516" y="745889"/>
                  <a:pt x="26742" y="805357"/>
                  <a:pt x="57150" y="814713"/>
                </a:cubicBezTo>
                <a:cubicBezTo>
                  <a:pt x="66751" y="817667"/>
                  <a:pt x="248114" y="780330"/>
                  <a:pt x="266700" y="776613"/>
                </a:cubicBezTo>
                <a:cubicBezTo>
                  <a:pt x="290593" y="633254"/>
                  <a:pt x="266700" y="801168"/>
                  <a:pt x="266700" y="509913"/>
                </a:cubicBezTo>
                <a:cubicBezTo>
                  <a:pt x="266700" y="283161"/>
                  <a:pt x="272633" y="226829"/>
                  <a:pt x="285750" y="43188"/>
                </a:cubicBezTo>
                <a:cubicBezTo>
                  <a:pt x="199373" y="0"/>
                  <a:pt x="111125" y="19376"/>
                  <a:pt x="76200" y="14613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cap="flat" cmpd="sng" algn="ctr">
                <a:solidFill>
                  <a:srgbClr val="000000"/>
                </a:solidFill>
                <a:prstDash val="solid"/>
                <a:round/>
                <a:headEnd type="none" w="med" len="med"/>
                <a:tailEnd type="none" w="med" len="med"/>
              </a14:hiddenLine>
            </a:ext>
          </a:extLst>
        </xdr:spPr>
      </xdr:sp>
    </xdr:grpSp>
    <xdr:clientData/>
  </xdr:twoCellAnchor>
  <xdr:twoCellAnchor editAs="oneCell">
    <xdr:from>
      <xdr:col>24</xdr:col>
      <xdr:colOff>0</xdr:colOff>
      <xdr:row>4</xdr:row>
      <xdr:rowOff>83820</xdr:rowOff>
    </xdr:from>
    <xdr:to>
      <xdr:col>31</xdr:col>
      <xdr:colOff>106680</xdr:colOff>
      <xdr:row>14</xdr:row>
      <xdr:rowOff>175260</xdr:rowOff>
    </xdr:to>
    <xdr:pic>
      <xdr:nvPicPr>
        <xdr:cNvPr id="381899" name="Obrázek 1">
          <a:extLst>
            <a:ext uri="{FF2B5EF4-FFF2-40B4-BE49-F238E27FC236}">
              <a16:creationId xmlns:a16="http://schemas.microsoft.com/office/drawing/2014/main" id="{00000000-0008-0000-1200-0000CBD305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1160" y="982980"/>
          <a:ext cx="1600200" cy="1920240"/>
        </a:xfrm>
        <a:prstGeom prst="rect">
          <a:avLst/>
        </a:prstGeom>
        <a:noFill/>
        <a:ln w="28575">
          <a:solidFill>
            <a:srgbClr val="A6A6A6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45</xdr:col>
      <xdr:colOff>144780</xdr:colOff>
      <xdr:row>1</xdr:row>
      <xdr:rowOff>106680</xdr:rowOff>
    </xdr:from>
    <xdr:to>
      <xdr:col>63</xdr:col>
      <xdr:colOff>487680</xdr:colOff>
      <xdr:row>4</xdr:row>
      <xdr:rowOff>144780</xdr:rowOff>
    </xdr:to>
    <xdr:pic>
      <xdr:nvPicPr>
        <xdr:cNvPr id="381900" name="Picture 24">
          <a:extLst>
            <a:ext uri="{FF2B5EF4-FFF2-40B4-BE49-F238E27FC236}">
              <a16:creationId xmlns:a16="http://schemas.microsoft.com/office/drawing/2014/main" id="{00000000-0008-0000-1200-0000CCD30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266700"/>
          <a:ext cx="960120" cy="777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33</xdr:col>
      <xdr:colOff>205740</xdr:colOff>
      <xdr:row>4</xdr:row>
      <xdr:rowOff>83820</xdr:rowOff>
    </xdr:from>
    <xdr:to>
      <xdr:col>43</xdr:col>
      <xdr:colOff>137160</xdr:colOff>
      <xdr:row>14</xdr:row>
      <xdr:rowOff>15240</xdr:rowOff>
    </xdr:to>
    <xdr:grpSp>
      <xdr:nvGrpSpPr>
        <xdr:cNvPr id="381901" name="Skupina 21">
          <a:extLst>
            <a:ext uri="{FF2B5EF4-FFF2-40B4-BE49-F238E27FC236}">
              <a16:creationId xmlns:a16="http://schemas.microsoft.com/office/drawing/2014/main" id="{00000000-0008-0000-1200-0000CDD30500}"/>
            </a:ext>
          </a:extLst>
        </xdr:cNvPr>
        <xdr:cNvGrpSpPr>
          <a:grpSpLocks noChangeAspect="1"/>
        </xdr:cNvGrpSpPr>
      </xdr:nvGrpSpPr>
      <xdr:grpSpPr bwMode="auto">
        <a:xfrm>
          <a:off x="8266898" y="982178"/>
          <a:ext cx="2257525" cy="1776262"/>
          <a:chOff x="1771649" y="3377086"/>
          <a:chExt cx="976394" cy="740669"/>
        </a:xfrm>
      </xdr:grpSpPr>
      <xdr:sp macro="" textlink="">
        <xdr:nvSpPr>
          <xdr:cNvPr id="381903" name="Obdélník 19">
            <a:extLst>
              <a:ext uri="{FF2B5EF4-FFF2-40B4-BE49-F238E27FC236}">
                <a16:creationId xmlns:a16="http://schemas.microsoft.com/office/drawing/2014/main" id="{00000000-0008-0000-1200-0000CFD30500}"/>
              </a:ext>
            </a:extLst>
          </xdr:cNvPr>
          <xdr:cNvSpPr>
            <a:spLocks noChangeArrowheads="1"/>
          </xdr:cNvSpPr>
        </xdr:nvSpPr>
        <xdr:spPr bwMode="auto">
          <a:xfrm>
            <a:off x="1838324" y="3469064"/>
            <a:ext cx="771525" cy="531437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381904" name="Obdélník 18">
            <a:extLst>
              <a:ext uri="{FF2B5EF4-FFF2-40B4-BE49-F238E27FC236}">
                <a16:creationId xmlns:a16="http://schemas.microsoft.com/office/drawing/2014/main" id="{00000000-0008-0000-1200-0000D0D30500}"/>
              </a:ext>
            </a:extLst>
          </xdr:cNvPr>
          <xdr:cNvSpPr>
            <a:spLocks noChangeArrowheads="1"/>
          </xdr:cNvSpPr>
        </xdr:nvSpPr>
        <xdr:spPr bwMode="auto">
          <a:xfrm>
            <a:off x="1771649" y="3378382"/>
            <a:ext cx="85726" cy="695027"/>
          </a:xfrm>
          <a:prstGeom prst="rect">
            <a:avLst/>
          </a:prstGeom>
          <a:solidFill>
            <a:srgbClr val="FFFFE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381905" name="Volný tvar 20">
            <a:extLst>
              <a:ext uri="{FF2B5EF4-FFF2-40B4-BE49-F238E27FC236}">
                <a16:creationId xmlns:a16="http://schemas.microsoft.com/office/drawing/2014/main" id="{00000000-0008-0000-1200-0000D1D30500}"/>
              </a:ext>
            </a:extLst>
          </xdr:cNvPr>
          <xdr:cNvSpPr>
            <a:spLocks/>
          </xdr:cNvSpPr>
        </xdr:nvSpPr>
        <xdr:spPr bwMode="auto">
          <a:xfrm>
            <a:off x="2457450" y="3377086"/>
            <a:ext cx="290593" cy="740669"/>
          </a:xfrm>
          <a:custGeom>
            <a:avLst/>
            <a:gdLst>
              <a:gd name="T0" fmla="*/ 76200 w 290593"/>
              <a:gd name="T1" fmla="*/ 16 h 817667"/>
              <a:gd name="T2" fmla="*/ 76200 w 290593"/>
              <a:gd name="T3" fmla="*/ 16 h 817667"/>
              <a:gd name="T4" fmla="*/ 95250 w 290593"/>
              <a:gd name="T5" fmla="*/ 161 h 817667"/>
              <a:gd name="T6" fmla="*/ 38100 w 290593"/>
              <a:gd name="T7" fmla="*/ 181 h 817667"/>
              <a:gd name="T8" fmla="*/ 85725 w 290593"/>
              <a:gd name="T9" fmla="*/ 233 h 817667"/>
              <a:gd name="T10" fmla="*/ 65211 w 290593"/>
              <a:gd name="T11" fmla="*/ 318 h 817667"/>
              <a:gd name="T12" fmla="*/ 28575 w 290593"/>
              <a:gd name="T13" fmla="*/ 421 h 817667"/>
              <a:gd name="T14" fmla="*/ 28575 w 290593"/>
              <a:gd name="T15" fmla="*/ 534 h 817667"/>
              <a:gd name="T16" fmla="*/ 47625 w 290593"/>
              <a:gd name="T17" fmla="*/ 566 h 817667"/>
              <a:gd name="T18" fmla="*/ 38100 w 290593"/>
              <a:gd name="T19" fmla="*/ 627 h 817667"/>
              <a:gd name="T20" fmla="*/ 9525 w 290593"/>
              <a:gd name="T21" fmla="*/ 637 h 817667"/>
              <a:gd name="T22" fmla="*/ 0 w 290593"/>
              <a:gd name="T23" fmla="*/ 668 h 817667"/>
              <a:gd name="T24" fmla="*/ 19050 w 290593"/>
              <a:gd name="T25" fmla="*/ 730 h 817667"/>
              <a:gd name="T26" fmla="*/ 57150 w 290593"/>
              <a:gd name="T27" fmla="*/ 793 h 817667"/>
              <a:gd name="T28" fmla="*/ 57150 w 290593"/>
              <a:gd name="T29" fmla="*/ 885 h 817667"/>
              <a:gd name="T30" fmla="*/ 266700 w 290593"/>
              <a:gd name="T31" fmla="*/ 844 h 817667"/>
              <a:gd name="T32" fmla="*/ 266700 w 290593"/>
              <a:gd name="T33" fmla="*/ 554 h 817667"/>
              <a:gd name="T34" fmla="*/ 285750 w 290593"/>
              <a:gd name="T35" fmla="*/ 47 h 817667"/>
              <a:gd name="T36" fmla="*/ 76200 w 290593"/>
              <a:gd name="T37" fmla="*/ 16 h 817667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w 290593"/>
              <a:gd name="T58" fmla="*/ 0 h 817667"/>
              <a:gd name="T59" fmla="*/ 290593 w 290593"/>
              <a:gd name="T60" fmla="*/ 817667 h 817667"/>
            </a:gdLst>
            <a:ahLst/>
            <a:cxnLst>
              <a:cxn ang="T38">
                <a:pos x="T0" y="T1"/>
              </a:cxn>
              <a:cxn ang="T39">
                <a:pos x="T2" y="T3"/>
              </a:cxn>
              <a:cxn ang="T40">
                <a:pos x="T4" y="T5"/>
              </a:cxn>
              <a:cxn ang="T41">
                <a:pos x="T6" y="T7"/>
              </a:cxn>
              <a:cxn ang="T42">
                <a:pos x="T8" y="T9"/>
              </a:cxn>
              <a:cxn ang="T43">
                <a:pos x="T10" y="T11"/>
              </a:cxn>
              <a:cxn ang="T44">
                <a:pos x="T12" y="T13"/>
              </a:cxn>
              <a:cxn ang="T45">
                <a:pos x="T14" y="T15"/>
              </a:cxn>
              <a:cxn ang="T46">
                <a:pos x="T16" y="T17"/>
              </a:cxn>
              <a:cxn ang="T47">
                <a:pos x="T18" y="T19"/>
              </a:cxn>
              <a:cxn ang="T48">
                <a:pos x="T20" y="T21"/>
              </a:cxn>
              <a:cxn ang="T49">
                <a:pos x="T22" y="T23"/>
              </a:cxn>
              <a:cxn ang="T50">
                <a:pos x="T24" y="T25"/>
              </a:cxn>
              <a:cxn ang="T51">
                <a:pos x="T26" y="T27"/>
              </a:cxn>
              <a:cxn ang="T52">
                <a:pos x="T28" y="T29"/>
              </a:cxn>
              <a:cxn ang="T53">
                <a:pos x="T30" y="T31"/>
              </a:cxn>
              <a:cxn ang="T54">
                <a:pos x="T32" y="T33"/>
              </a:cxn>
              <a:cxn ang="T55">
                <a:pos x="T34" y="T35"/>
              </a:cxn>
              <a:cxn ang="T56">
                <a:pos x="T36" y="T37"/>
              </a:cxn>
            </a:cxnLst>
            <a:rect l="T57" t="T58" r="T59" b="T60"/>
            <a:pathLst>
              <a:path w="290593" h="817667">
                <a:moveTo>
                  <a:pt x="76200" y="14613"/>
                </a:moveTo>
                <a:lnTo>
                  <a:pt x="76200" y="14613"/>
                </a:lnTo>
                <a:cubicBezTo>
                  <a:pt x="86511" y="42109"/>
                  <a:pt x="127065" y="111603"/>
                  <a:pt x="95250" y="147963"/>
                </a:cubicBezTo>
                <a:cubicBezTo>
                  <a:pt x="82027" y="163075"/>
                  <a:pt x="38100" y="167013"/>
                  <a:pt x="38100" y="167013"/>
                </a:cubicBezTo>
                <a:cubicBezTo>
                  <a:pt x="52096" y="176344"/>
                  <a:pt x="84429" y="192607"/>
                  <a:pt x="85725" y="214638"/>
                </a:cubicBezTo>
                <a:cubicBezTo>
                  <a:pt x="86693" y="231091"/>
                  <a:pt x="106075" y="259086"/>
                  <a:pt x="65211" y="291777"/>
                </a:cubicBezTo>
                <a:cubicBezTo>
                  <a:pt x="57371" y="298049"/>
                  <a:pt x="38100" y="382913"/>
                  <a:pt x="28575" y="386088"/>
                </a:cubicBezTo>
                <a:cubicBezTo>
                  <a:pt x="13701" y="430709"/>
                  <a:pt x="10804" y="425702"/>
                  <a:pt x="28575" y="490863"/>
                </a:cubicBezTo>
                <a:cubicBezTo>
                  <a:pt x="31587" y="501907"/>
                  <a:pt x="41275" y="509913"/>
                  <a:pt x="47625" y="519438"/>
                </a:cubicBezTo>
                <a:cubicBezTo>
                  <a:pt x="44450" y="538488"/>
                  <a:pt x="47682" y="559820"/>
                  <a:pt x="38100" y="576588"/>
                </a:cubicBezTo>
                <a:cubicBezTo>
                  <a:pt x="33119" y="585305"/>
                  <a:pt x="16625" y="579013"/>
                  <a:pt x="9525" y="586113"/>
                </a:cubicBezTo>
                <a:cubicBezTo>
                  <a:pt x="2425" y="593213"/>
                  <a:pt x="3175" y="605163"/>
                  <a:pt x="0" y="614688"/>
                </a:cubicBezTo>
                <a:cubicBezTo>
                  <a:pt x="6350" y="633738"/>
                  <a:pt x="7911" y="655130"/>
                  <a:pt x="19050" y="671838"/>
                </a:cubicBezTo>
                <a:lnTo>
                  <a:pt x="57150" y="728988"/>
                </a:lnTo>
                <a:cubicBezTo>
                  <a:pt x="51516" y="745889"/>
                  <a:pt x="26742" y="805357"/>
                  <a:pt x="57150" y="814713"/>
                </a:cubicBezTo>
                <a:cubicBezTo>
                  <a:pt x="66751" y="817667"/>
                  <a:pt x="248114" y="780330"/>
                  <a:pt x="266700" y="776613"/>
                </a:cubicBezTo>
                <a:cubicBezTo>
                  <a:pt x="290593" y="633254"/>
                  <a:pt x="266700" y="801168"/>
                  <a:pt x="266700" y="509913"/>
                </a:cubicBezTo>
                <a:cubicBezTo>
                  <a:pt x="266700" y="283161"/>
                  <a:pt x="272633" y="226829"/>
                  <a:pt x="285750" y="43188"/>
                </a:cubicBezTo>
                <a:cubicBezTo>
                  <a:pt x="199373" y="0"/>
                  <a:pt x="111125" y="19376"/>
                  <a:pt x="76200" y="14613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cap="flat" cmpd="sng" algn="ctr">
                <a:solidFill>
                  <a:srgbClr val="000000"/>
                </a:solidFill>
                <a:prstDash val="solid"/>
                <a:round/>
                <a:headEnd type="none" w="med" len="med"/>
                <a:tailEnd type="none" w="med" len="med"/>
              </a14:hiddenLine>
            </a:ext>
          </a:extLst>
        </xdr:spPr>
      </xdr:sp>
    </xdr:grpSp>
    <xdr:clientData/>
  </xdr:twoCellAnchor>
  <xdr:twoCellAnchor>
    <xdr:from>
      <xdr:col>12</xdr:col>
      <xdr:colOff>144378</xdr:colOff>
      <xdr:row>27</xdr:row>
      <xdr:rowOff>8020</xdr:rowOff>
    </xdr:from>
    <xdr:to>
      <xdr:col>13</xdr:col>
      <xdr:colOff>92157</xdr:colOff>
      <xdr:row>28</xdr:row>
      <xdr:rowOff>3535</xdr:rowOff>
    </xdr:to>
    <xdr:sp macro="" textlink="">
      <xdr:nvSpPr>
        <xdr:cNvPr id="12" name="TextovéPole 11">
          <a:extLst>
            <a:ext uri="{FF2B5EF4-FFF2-40B4-BE49-F238E27FC236}">
              <a16:creationId xmlns:a16="http://schemas.microsoft.com/office/drawing/2014/main" id="{00000000-0008-0000-1200-00000C000000}"/>
            </a:ext>
          </a:extLst>
        </xdr:cNvPr>
        <xdr:cNvSpPr txBox="1">
          <a:spLocks noChangeAspect="1"/>
        </xdr:cNvSpPr>
      </xdr:nvSpPr>
      <xdr:spPr>
        <a:xfrm>
          <a:off x="3055218" y="5113420"/>
          <a:ext cx="161139" cy="178395"/>
        </a:xfrm>
        <a:prstGeom prst="rect">
          <a:avLst/>
        </a:prstGeom>
        <a:solidFill>
          <a:srgbClr val="92D05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cs-CZ" sz="1200" b="1">
              <a:solidFill>
                <a:schemeClr val="bg1"/>
              </a:solidFill>
              <a:latin typeface="Arial" pitchFamily="34" charset="0"/>
              <a:cs typeface="Arial" pitchFamily="34" charset="0"/>
            </a:rPr>
            <a:t>i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4</xdr:row>
      <xdr:rowOff>91440</xdr:rowOff>
    </xdr:from>
    <xdr:to>
      <xdr:col>23</xdr:col>
      <xdr:colOff>144780</xdr:colOff>
      <xdr:row>14</xdr:row>
      <xdr:rowOff>22860</xdr:rowOff>
    </xdr:to>
    <xdr:grpSp>
      <xdr:nvGrpSpPr>
        <xdr:cNvPr id="430202" name="Skupina 1">
          <a:extLst>
            <a:ext uri="{FF2B5EF4-FFF2-40B4-BE49-F238E27FC236}">
              <a16:creationId xmlns:a16="http://schemas.microsoft.com/office/drawing/2014/main" id="{00000000-0008-0000-1300-00007A900600}"/>
            </a:ext>
          </a:extLst>
        </xdr:cNvPr>
        <xdr:cNvGrpSpPr>
          <a:grpSpLocks/>
        </xdr:cNvGrpSpPr>
      </xdr:nvGrpSpPr>
      <xdr:grpSpPr bwMode="auto">
        <a:xfrm>
          <a:off x="3641558" y="989798"/>
          <a:ext cx="2238275" cy="1776262"/>
          <a:chOff x="3368842" y="986589"/>
          <a:chExt cx="2097104" cy="1776257"/>
        </a:xfrm>
      </xdr:grpSpPr>
      <xdr:sp macro="" textlink="">
        <xdr:nvSpPr>
          <xdr:cNvPr id="430211" name="Obdélník 19">
            <a:extLst>
              <a:ext uri="{FF2B5EF4-FFF2-40B4-BE49-F238E27FC236}">
                <a16:creationId xmlns:a16="http://schemas.microsoft.com/office/drawing/2014/main" id="{00000000-0008-0000-1300-000083900600}"/>
              </a:ext>
            </a:extLst>
          </xdr:cNvPr>
          <xdr:cNvSpPr>
            <a:spLocks noChangeArrowheads="1"/>
          </xdr:cNvSpPr>
        </xdr:nvSpPr>
        <xdr:spPr bwMode="auto">
          <a:xfrm>
            <a:off x="3512047" y="2205790"/>
            <a:ext cx="1657085" cy="275860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30212" name="Obdélník 19">
            <a:extLst>
              <a:ext uri="{FF2B5EF4-FFF2-40B4-BE49-F238E27FC236}">
                <a16:creationId xmlns:a16="http://schemas.microsoft.com/office/drawing/2014/main" id="{00000000-0008-0000-1300-000084900600}"/>
              </a:ext>
            </a:extLst>
          </xdr:cNvPr>
          <xdr:cNvSpPr>
            <a:spLocks noChangeArrowheads="1"/>
          </xdr:cNvSpPr>
        </xdr:nvSpPr>
        <xdr:spPr bwMode="auto">
          <a:xfrm>
            <a:off x="3553326" y="1211179"/>
            <a:ext cx="1657085" cy="970547"/>
          </a:xfrm>
          <a:prstGeom prst="rect">
            <a:avLst/>
          </a:prstGeom>
          <a:solidFill>
            <a:srgbClr val="C6D9F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30213" name="Obdélník 18">
            <a:extLst>
              <a:ext uri="{FF2B5EF4-FFF2-40B4-BE49-F238E27FC236}">
                <a16:creationId xmlns:a16="http://schemas.microsoft.com/office/drawing/2014/main" id="{00000000-0008-0000-1300-000085900600}"/>
              </a:ext>
            </a:extLst>
          </xdr:cNvPr>
          <xdr:cNvSpPr>
            <a:spLocks noChangeArrowheads="1"/>
          </xdr:cNvSpPr>
        </xdr:nvSpPr>
        <xdr:spPr bwMode="auto">
          <a:xfrm>
            <a:off x="3368842" y="989697"/>
            <a:ext cx="184123" cy="1666799"/>
          </a:xfrm>
          <a:prstGeom prst="rect">
            <a:avLst/>
          </a:prstGeom>
          <a:solidFill>
            <a:srgbClr val="FFFFE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30214" name="Volný tvar 20">
            <a:extLst>
              <a:ext uri="{FF2B5EF4-FFF2-40B4-BE49-F238E27FC236}">
                <a16:creationId xmlns:a16="http://schemas.microsoft.com/office/drawing/2014/main" id="{00000000-0008-0000-1300-000086900600}"/>
              </a:ext>
            </a:extLst>
          </xdr:cNvPr>
          <xdr:cNvSpPr>
            <a:spLocks/>
          </xdr:cNvSpPr>
        </xdr:nvSpPr>
        <xdr:spPr bwMode="auto">
          <a:xfrm>
            <a:off x="4841809" y="986589"/>
            <a:ext cx="624137" cy="1776257"/>
          </a:xfrm>
          <a:custGeom>
            <a:avLst/>
            <a:gdLst>
              <a:gd name="T0" fmla="*/ 2147483646 w 290593"/>
              <a:gd name="T1" fmla="*/ 107994243 h 817667"/>
              <a:gd name="T2" fmla="*/ 2147483646 w 290593"/>
              <a:gd name="T3" fmla="*/ 107994243 h 817667"/>
              <a:gd name="T4" fmla="*/ 2147483646 w 290593"/>
              <a:gd name="T5" fmla="*/ 1107104460 h 817667"/>
              <a:gd name="T6" fmla="*/ 2147483646 w 290593"/>
              <a:gd name="T7" fmla="*/ 1248751123 h 817667"/>
              <a:gd name="T8" fmla="*/ 2147483646 w 290593"/>
              <a:gd name="T9" fmla="*/ 1606677617 h 817667"/>
              <a:gd name="T10" fmla="*/ 2147483646 w 290593"/>
              <a:gd name="T11" fmla="*/ 2147483646 h 817667"/>
              <a:gd name="T12" fmla="*/ 2147483646 w 290593"/>
              <a:gd name="T13" fmla="*/ 2147483646 h 817667"/>
              <a:gd name="T14" fmla="*/ 2147483646 w 290593"/>
              <a:gd name="T15" fmla="*/ 2147483646 h 817667"/>
              <a:gd name="T16" fmla="*/ 2147483646 w 290593"/>
              <a:gd name="T17" fmla="*/ 2147483646 h 817667"/>
              <a:gd name="T18" fmla="*/ 2147483646 w 290593"/>
              <a:gd name="T19" fmla="*/ 2147483646 h 817667"/>
              <a:gd name="T20" fmla="*/ 2147483646 w 290593"/>
              <a:gd name="T21" fmla="*/ 2147483646 h 817667"/>
              <a:gd name="T22" fmla="*/ 0 w 290593"/>
              <a:gd name="T23" fmla="*/ 2147483646 h 817667"/>
              <a:gd name="T24" fmla="*/ 2147483646 w 290593"/>
              <a:gd name="T25" fmla="*/ 2147483646 h 817667"/>
              <a:gd name="T26" fmla="*/ 2147483646 w 290593"/>
              <a:gd name="T27" fmla="*/ 2147483646 h 817667"/>
              <a:gd name="T28" fmla="*/ 2147483646 w 290593"/>
              <a:gd name="T29" fmla="*/ 2147483646 h 817667"/>
              <a:gd name="T30" fmla="*/ 2147483646 w 290593"/>
              <a:gd name="T31" fmla="*/ 2147483646 h 817667"/>
              <a:gd name="T32" fmla="*/ 2147483646 w 290593"/>
              <a:gd name="T33" fmla="*/ 2147483646 h 817667"/>
              <a:gd name="T34" fmla="*/ 2147483646 w 290593"/>
              <a:gd name="T35" fmla="*/ 322678155 h 817667"/>
              <a:gd name="T36" fmla="*/ 2147483646 w 290593"/>
              <a:gd name="T37" fmla="*/ 107994243 h 817667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w 290593"/>
              <a:gd name="T58" fmla="*/ 0 h 817667"/>
              <a:gd name="T59" fmla="*/ 290593 w 290593"/>
              <a:gd name="T60" fmla="*/ 817667 h 817667"/>
            </a:gdLst>
            <a:ahLst/>
            <a:cxnLst>
              <a:cxn ang="T38">
                <a:pos x="T0" y="T1"/>
              </a:cxn>
              <a:cxn ang="T39">
                <a:pos x="T2" y="T3"/>
              </a:cxn>
              <a:cxn ang="T40">
                <a:pos x="T4" y="T5"/>
              </a:cxn>
              <a:cxn ang="T41">
                <a:pos x="T6" y="T7"/>
              </a:cxn>
              <a:cxn ang="T42">
                <a:pos x="T8" y="T9"/>
              </a:cxn>
              <a:cxn ang="T43">
                <a:pos x="T10" y="T11"/>
              </a:cxn>
              <a:cxn ang="T44">
                <a:pos x="T12" y="T13"/>
              </a:cxn>
              <a:cxn ang="T45">
                <a:pos x="T14" y="T15"/>
              </a:cxn>
              <a:cxn ang="T46">
                <a:pos x="T16" y="T17"/>
              </a:cxn>
              <a:cxn ang="T47">
                <a:pos x="T18" y="T19"/>
              </a:cxn>
              <a:cxn ang="T48">
                <a:pos x="T20" y="T21"/>
              </a:cxn>
              <a:cxn ang="T49">
                <a:pos x="T22" y="T23"/>
              </a:cxn>
              <a:cxn ang="T50">
                <a:pos x="T24" y="T25"/>
              </a:cxn>
              <a:cxn ang="T51">
                <a:pos x="T26" y="T27"/>
              </a:cxn>
              <a:cxn ang="T52">
                <a:pos x="T28" y="T29"/>
              </a:cxn>
              <a:cxn ang="T53">
                <a:pos x="T30" y="T31"/>
              </a:cxn>
              <a:cxn ang="T54">
                <a:pos x="T32" y="T33"/>
              </a:cxn>
              <a:cxn ang="T55">
                <a:pos x="T34" y="T35"/>
              </a:cxn>
              <a:cxn ang="T56">
                <a:pos x="T36" y="T37"/>
              </a:cxn>
            </a:cxnLst>
            <a:rect l="T57" t="T58" r="T59" b="T60"/>
            <a:pathLst>
              <a:path w="290593" h="817667">
                <a:moveTo>
                  <a:pt x="76200" y="14613"/>
                </a:moveTo>
                <a:lnTo>
                  <a:pt x="76200" y="14613"/>
                </a:lnTo>
                <a:cubicBezTo>
                  <a:pt x="86511" y="42109"/>
                  <a:pt x="127065" y="111603"/>
                  <a:pt x="95250" y="147963"/>
                </a:cubicBezTo>
                <a:cubicBezTo>
                  <a:pt x="82027" y="163075"/>
                  <a:pt x="38100" y="167013"/>
                  <a:pt x="38100" y="167013"/>
                </a:cubicBezTo>
                <a:cubicBezTo>
                  <a:pt x="52096" y="176344"/>
                  <a:pt x="84429" y="192607"/>
                  <a:pt x="85725" y="214638"/>
                </a:cubicBezTo>
                <a:cubicBezTo>
                  <a:pt x="86693" y="231091"/>
                  <a:pt x="106075" y="259086"/>
                  <a:pt x="65211" y="291777"/>
                </a:cubicBezTo>
                <a:cubicBezTo>
                  <a:pt x="57371" y="298049"/>
                  <a:pt x="38100" y="382913"/>
                  <a:pt x="28575" y="386088"/>
                </a:cubicBezTo>
                <a:cubicBezTo>
                  <a:pt x="13701" y="430709"/>
                  <a:pt x="10804" y="425702"/>
                  <a:pt x="28575" y="490863"/>
                </a:cubicBezTo>
                <a:cubicBezTo>
                  <a:pt x="31587" y="501907"/>
                  <a:pt x="41275" y="509913"/>
                  <a:pt x="47625" y="519438"/>
                </a:cubicBezTo>
                <a:cubicBezTo>
                  <a:pt x="44450" y="538488"/>
                  <a:pt x="47682" y="559820"/>
                  <a:pt x="38100" y="576588"/>
                </a:cubicBezTo>
                <a:cubicBezTo>
                  <a:pt x="33119" y="585305"/>
                  <a:pt x="16625" y="579013"/>
                  <a:pt x="9525" y="586113"/>
                </a:cubicBezTo>
                <a:cubicBezTo>
                  <a:pt x="2425" y="593213"/>
                  <a:pt x="3175" y="605163"/>
                  <a:pt x="0" y="614688"/>
                </a:cubicBezTo>
                <a:cubicBezTo>
                  <a:pt x="6350" y="633738"/>
                  <a:pt x="7911" y="655130"/>
                  <a:pt x="19050" y="671838"/>
                </a:cubicBezTo>
                <a:lnTo>
                  <a:pt x="57150" y="728988"/>
                </a:lnTo>
                <a:cubicBezTo>
                  <a:pt x="51516" y="745889"/>
                  <a:pt x="26742" y="805357"/>
                  <a:pt x="57150" y="814713"/>
                </a:cubicBezTo>
                <a:cubicBezTo>
                  <a:pt x="66751" y="817667"/>
                  <a:pt x="248114" y="780330"/>
                  <a:pt x="266700" y="776613"/>
                </a:cubicBezTo>
                <a:cubicBezTo>
                  <a:pt x="290593" y="633254"/>
                  <a:pt x="266700" y="801168"/>
                  <a:pt x="266700" y="509913"/>
                </a:cubicBezTo>
                <a:cubicBezTo>
                  <a:pt x="266700" y="283161"/>
                  <a:pt x="272633" y="226829"/>
                  <a:pt x="285750" y="43188"/>
                </a:cubicBezTo>
                <a:cubicBezTo>
                  <a:pt x="199373" y="0"/>
                  <a:pt x="111125" y="19376"/>
                  <a:pt x="76200" y="14613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cap="flat" cmpd="sng" algn="ctr">
                <a:solidFill>
                  <a:srgbClr val="000000"/>
                </a:solidFill>
                <a:prstDash val="solid"/>
                <a:round/>
                <a:headEnd type="none" w="med" len="med"/>
                <a:tailEnd type="none" w="med" len="med"/>
              </a14:hiddenLine>
            </a:ext>
          </a:extLst>
        </xdr:spPr>
      </xdr:sp>
    </xdr:grpSp>
    <xdr:clientData/>
  </xdr:twoCellAnchor>
  <xdr:twoCellAnchor>
    <xdr:from>
      <xdr:col>33</xdr:col>
      <xdr:colOff>205740</xdr:colOff>
      <xdr:row>4</xdr:row>
      <xdr:rowOff>83820</xdr:rowOff>
    </xdr:from>
    <xdr:to>
      <xdr:col>43</xdr:col>
      <xdr:colOff>137160</xdr:colOff>
      <xdr:row>14</xdr:row>
      <xdr:rowOff>15240</xdr:rowOff>
    </xdr:to>
    <xdr:grpSp>
      <xdr:nvGrpSpPr>
        <xdr:cNvPr id="430203" name="Skupina 1">
          <a:extLst>
            <a:ext uri="{FF2B5EF4-FFF2-40B4-BE49-F238E27FC236}">
              <a16:creationId xmlns:a16="http://schemas.microsoft.com/office/drawing/2014/main" id="{00000000-0008-0000-1300-00007B900600}"/>
            </a:ext>
          </a:extLst>
        </xdr:cNvPr>
        <xdr:cNvGrpSpPr>
          <a:grpSpLocks/>
        </xdr:cNvGrpSpPr>
      </xdr:nvGrpSpPr>
      <xdr:grpSpPr bwMode="auto">
        <a:xfrm>
          <a:off x="8266898" y="982178"/>
          <a:ext cx="2257525" cy="1776262"/>
          <a:chOff x="3368842" y="986589"/>
          <a:chExt cx="2097104" cy="1776257"/>
        </a:xfrm>
      </xdr:grpSpPr>
      <xdr:sp macro="" textlink="">
        <xdr:nvSpPr>
          <xdr:cNvPr id="430207" name="Obdélník 19">
            <a:extLst>
              <a:ext uri="{FF2B5EF4-FFF2-40B4-BE49-F238E27FC236}">
                <a16:creationId xmlns:a16="http://schemas.microsoft.com/office/drawing/2014/main" id="{00000000-0008-0000-1300-00007F900600}"/>
              </a:ext>
            </a:extLst>
          </xdr:cNvPr>
          <xdr:cNvSpPr>
            <a:spLocks noChangeArrowheads="1"/>
          </xdr:cNvSpPr>
        </xdr:nvSpPr>
        <xdr:spPr bwMode="auto">
          <a:xfrm>
            <a:off x="3512047" y="2205790"/>
            <a:ext cx="1657085" cy="275860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30208" name="Obdélník 19">
            <a:extLst>
              <a:ext uri="{FF2B5EF4-FFF2-40B4-BE49-F238E27FC236}">
                <a16:creationId xmlns:a16="http://schemas.microsoft.com/office/drawing/2014/main" id="{00000000-0008-0000-1300-000080900600}"/>
              </a:ext>
            </a:extLst>
          </xdr:cNvPr>
          <xdr:cNvSpPr>
            <a:spLocks noChangeArrowheads="1"/>
          </xdr:cNvSpPr>
        </xdr:nvSpPr>
        <xdr:spPr bwMode="auto">
          <a:xfrm>
            <a:off x="3553326" y="1211179"/>
            <a:ext cx="1657085" cy="970547"/>
          </a:xfrm>
          <a:prstGeom prst="rect">
            <a:avLst/>
          </a:prstGeom>
          <a:solidFill>
            <a:srgbClr val="C6D9F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30209" name="Obdélník 18">
            <a:extLst>
              <a:ext uri="{FF2B5EF4-FFF2-40B4-BE49-F238E27FC236}">
                <a16:creationId xmlns:a16="http://schemas.microsoft.com/office/drawing/2014/main" id="{00000000-0008-0000-1300-000081900600}"/>
              </a:ext>
            </a:extLst>
          </xdr:cNvPr>
          <xdr:cNvSpPr>
            <a:spLocks noChangeArrowheads="1"/>
          </xdr:cNvSpPr>
        </xdr:nvSpPr>
        <xdr:spPr bwMode="auto">
          <a:xfrm>
            <a:off x="3368842" y="989697"/>
            <a:ext cx="184123" cy="1666799"/>
          </a:xfrm>
          <a:prstGeom prst="rect">
            <a:avLst/>
          </a:prstGeom>
          <a:solidFill>
            <a:srgbClr val="FFFFE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30210" name="Volný tvar 20">
            <a:extLst>
              <a:ext uri="{FF2B5EF4-FFF2-40B4-BE49-F238E27FC236}">
                <a16:creationId xmlns:a16="http://schemas.microsoft.com/office/drawing/2014/main" id="{00000000-0008-0000-1300-000082900600}"/>
              </a:ext>
            </a:extLst>
          </xdr:cNvPr>
          <xdr:cNvSpPr>
            <a:spLocks/>
          </xdr:cNvSpPr>
        </xdr:nvSpPr>
        <xdr:spPr bwMode="auto">
          <a:xfrm>
            <a:off x="4841809" y="986589"/>
            <a:ext cx="624137" cy="1776257"/>
          </a:xfrm>
          <a:custGeom>
            <a:avLst/>
            <a:gdLst>
              <a:gd name="T0" fmla="*/ 2147483646 w 290593"/>
              <a:gd name="T1" fmla="*/ 107994243 h 817667"/>
              <a:gd name="T2" fmla="*/ 2147483646 w 290593"/>
              <a:gd name="T3" fmla="*/ 107994243 h 817667"/>
              <a:gd name="T4" fmla="*/ 2147483646 w 290593"/>
              <a:gd name="T5" fmla="*/ 1107104460 h 817667"/>
              <a:gd name="T6" fmla="*/ 2147483646 w 290593"/>
              <a:gd name="T7" fmla="*/ 1248751123 h 817667"/>
              <a:gd name="T8" fmla="*/ 2147483646 w 290593"/>
              <a:gd name="T9" fmla="*/ 1606677617 h 817667"/>
              <a:gd name="T10" fmla="*/ 2147483646 w 290593"/>
              <a:gd name="T11" fmla="*/ 2147483646 h 817667"/>
              <a:gd name="T12" fmla="*/ 2147483646 w 290593"/>
              <a:gd name="T13" fmla="*/ 2147483646 h 817667"/>
              <a:gd name="T14" fmla="*/ 2147483646 w 290593"/>
              <a:gd name="T15" fmla="*/ 2147483646 h 817667"/>
              <a:gd name="T16" fmla="*/ 2147483646 w 290593"/>
              <a:gd name="T17" fmla="*/ 2147483646 h 817667"/>
              <a:gd name="T18" fmla="*/ 2147483646 w 290593"/>
              <a:gd name="T19" fmla="*/ 2147483646 h 817667"/>
              <a:gd name="T20" fmla="*/ 2147483646 w 290593"/>
              <a:gd name="T21" fmla="*/ 2147483646 h 817667"/>
              <a:gd name="T22" fmla="*/ 0 w 290593"/>
              <a:gd name="T23" fmla="*/ 2147483646 h 817667"/>
              <a:gd name="T24" fmla="*/ 2147483646 w 290593"/>
              <a:gd name="T25" fmla="*/ 2147483646 h 817667"/>
              <a:gd name="T26" fmla="*/ 2147483646 w 290593"/>
              <a:gd name="T27" fmla="*/ 2147483646 h 817667"/>
              <a:gd name="T28" fmla="*/ 2147483646 w 290593"/>
              <a:gd name="T29" fmla="*/ 2147483646 h 817667"/>
              <a:gd name="T30" fmla="*/ 2147483646 w 290593"/>
              <a:gd name="T31" fmla="*/ 2147483646 h 817667"/>
              <a:gd name="T32" fmla="*/ 2147483646 w 290593"/>
              <a:gd name="T33" fmla="*/ 2147483646 h 817667"/>
              <a:gd name="T34" fmla="*/ 2147483646 w 290593"/>
              <a:gd name="T35" fmla="*/ 322678155 h 817667"/>
              <a:gd name="T36" fmla="*/ 2147483646 w 290593"/>
              <a:gd name="T37" fmla="*/ 107994243 h 817667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w 290593"/>
              <a:gd name="T58" fmla="*/ 0 h 817667"/>
              <a:gd name="T59" fmla="*/ 290593 w 290593"/>
              <a:gd name="T60" fmla="*/ 817667 h 817667"/>
            </a:gdLst>
            <a:ahLst/>
            <a:cxnLst>
              <a:cxn ang="T38">
                <a:pos x="T0" y="T1"/>
              </a:cxn>
              <a:cxn ang="T39">
                <a:pos x="T2" y="T3"/>
              </a:cxn>
              <a:cxn ang="T40">
                <a:pos x="T4" y="T5"/>
              </a:cxn>
              <a:cxn ang="T41">
                <a:pos x="T6" y="T7"/>
              </a:cxn>
              <a:cxn ang="T42">
                <a:pos x="T8" y="T9"/>
              </a:cxn>
              <a:cxn ang="T43">
                <a:pos x="T10" y="T11"/>
              </a:cxn>
              <a:cxn ang="T44">
                <a:pos x="T12" y="T13"/>
              </a:cxn>
              <a:cxn ang="T45">
                <a:pos x="T14" y="T15"/>
              </a:cxn>
              <a:cxn ang="T46">
                <a:pos x="T16" y="T17"/>
              </a:cxn>
              <a:cxn ang="T47">
                <a:pos x="T18" y="T19"/>
              </a:cxn>
              <a:cxn ang="T48">
                <a:pos x="T20" y="T21"/>
              </a:cxn>
              <a:cxn ang="T49">
                <a:pos x="T22" y="T23"/>
              </a:cxn>
              <a:cxn ang="T50">
                <a:pos x="T24" y="T25"/>
              </a:cxn>
              <a:cxn ang="T51">
                <a:pos x="T26" y="T27"/>
              </a:cxn>
              <a:cxn ang="T52">
                <a:pos x="T28" y="T29"/>
              </a:cxn>
              <a:cxn ang="T53">
                <a:pos x="T30" y="T31"/>
              </a:cxn>
              <a:cxn ang="T54">
                <a:pos x="T32" y="T33"/>
              </a:cxn>
              <a:cxn ang="T55">
                <a:pos x="T34" y="T35"/>
              </a:cxn>
              <a:cxn ang="T56">
                <a:pos x="T36" y="T37"/>
              </a:cxn>
            </a:cxnLst>
            <a:rect l="T57" t="T58" r="T59" b="T60"/>
            <a:pathLst>
              <a:path w="290593" h="817667">
                <a:moveTo>
                  <a:pt x="76200" y="14613"/>
                </a:moveTo>
                <a:lnTo>
                  <a:pt x="76200" y="14613"/>
                </a:lnTo>
                <a:cubicBezTo>
                  <a:pt x="86511" y="42109"/>
                  <a:pt x="127065" y="111603"/>
                  <a:pt x="95250" y="147963"/>
                </a:cubicBezTo>
                <a:cubicBezTo>
                  <a:pt x="82027" y="163075"/>
                  <a:pt x="38100" y="167013"/>
                  <a:pt x="38100" y="167013"/>
                </a:cubicBezTo>
                <a:cubicBezTo>
                  <a:pt x="52096" y="176344"/>
                  <a:pt x="84429" y="192607"/>
                  <a:pt x="85725" y="214638"/>
                </a:cubicBezTo>
                <a:cubicBezTo>
                  <a:pt x="86693" y="231091"/>
                  <a:pt x="106075" y="259086"/>
                  <a:pt x="65211" y="291777"/>
                </a:cubicBezTo>
                <a:cubicBezTo>
                  <a:pt x="57371" y="298049"/>
                  <a:pt x="38100" y="382913"/>
                  <a:pt x="28575" y="386088"/>
                </a:cubicBezTo>
                <a:cubicBezTo>
                  <a:pt x="13701" y="430709"/>
                  <a:pt x="10804" y="425702"/>
                  <a:pt x="28575" y="490863"/>
                </a:cubicBezTo>
                <a:cubicBezTo>
                  <a:pt x="31587" y="501907"/>
                  <a:pt x="41275" y="509913"/>
                  <a:pt x="47625" y="519438"/>
                </a:cubicBezTo>
                <a:cubicBezTo>
                  <a:pt x="44450" y="538488"/>
                  <a:pt x="47682" y="559820"/>
                  <a:pt x="38100" y="576588"/>
                </a:cubicBezTo>
                <a:cubicBezTo>
                  <a:pt x="33119" y="585305"/>
                  <a:pt x="16625" y="579013"/>
                  <a:pt x="9525" y="586113"/>
                </a:cubicBezTo>
                <a:cubicBezTo>
                  <a:pt x="2425" y="593213"/>
                  <a:pt x="3175" y="605163"/>
                  <a:pt x="0" y="614688"/>
                </a:cubicBezTo>
                <a:cubicBezTo>
                  <a:pt x="6350" y="633738"/>
                  <a:pt x="7911" y="655130"/>
                  <a:pt x="19050" y="671838"/>
                </a:cubicBezTo>
                <a:lnTo>
                  <a:pt x="57150" y="728988"/>
                </a:lnTo>
                <a:cubicBezTo>
                  <a:pt x="51516" y="745889"/>
                  <a:pt x="26742" y="805357"/>
                  <a:pt x="57150" y="814713"/>
                </a:cubicBezTo>
                <a:cubicBezTo>
                  <a:pt x="66751" y="817667"/>
                  <a:pt x="248114" y="780330"/>
                  <a:pt x="266700" y="776613"/>
                </a:cubicBezTo>
                <a:cubicBezTo>
                  <a:pt x="290593" y="633254"/>
                  <a:pt x="266700" y="801168"/>
                  <a:pt x="266700" y="509913"/>
                </a:cubicBezTo>
                <a:cubicBezTo>
                  <a:pt x="266700" y="283161"/>
                  <a:pt x="272633" y="226829"/>
                  <a:pt x="285750" y="43188"/>
                </a:cubicBezTo>
                <a:cubicBezTo>
                  <a:pt x="199373" y="0"/>
                  <a:pt x="111125" y="19376"/>
                  <a:pt x="76200" y="14613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cap="flat" cmpd="sng" algn="ctr">
                <a:solidFill>
                  <a:srgbClr val="000000"/>
                </a:solidFill>
                <a:prstDash val="solid"/>
                <a:round/>
                <a:headEnd type="none" w="med" len="med"/>
                <a:tailEnd type="none" w="med" len="med"/>
              </a14:hiddenLine>
            </a:ext>
          </a:extLst>
        </xdr:spPr>
      </xdr:sp>
    </xdr:grpSp>
    <xdr:clientData/>
  </xdr:twoCellAnchor>
  <xdr:twoCellAnchor editAs="oneCell">
    <xdr:from>
      <xdr:col>24</xdr:col>
      <xdr:colOff>0</xdr:colOff>
      <xdr:row>4</xdr:row>
      <xdr:rowOff>83820</xdr:rowOff>
    </xdr:from>
    <xdr:to>
      <xdr:col>31</xdr:col>
      <xdr:colOff>106680</xdr:colOff>
      <xdr:row>14</xdr:row>
      <xdr:rowOff>175260</xdr:rowOff>
    </xdr:to>
    <xdr:pic>
      <xdr:nvPicPr>
        <xdr:cNvPr id="430204" name="Obrázek 5">
          <a:extLst>
            <a:ext uri="{FF2B5EF4-FFF2-40B4-BE49-F238E27FC236}">
              <a16:creationId xmlns:a16="http://schemas.microsoft.com/office/drawing/2014/main" id="{00000000-0008-0000-1300-00007C90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1160" y="982980"/>
          <a:ext cx="1600200" cy="1920240"/>
        </a:xfrm>
        <a:prstGeom prst="rect">
          <a:avLst/>
        </a:prstGeom>
        <a:noFill/>
        <a:ln w="28575">
          <a:solidFill>
            <a:srgbClr val="A6A6A6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45</xdr:col>
      <xdr:colOff>144780</xdr:colOff>
      <xdr:row>1</xdr:row>
      <xdr:rowOff>106680</xdr:rowOff>
    </xdr:from>
    <xdr:to>
      <xdr:col>63</xdr:col>
      <xdr:colOff>487680</xdr:colOff>
      <xdr:row>4</xdr:row>
      <xdr:rowOff>144780</xdr:rowOff>
    </xdr:to>
    <xdr:pic>
      <xdr:nvPicPr>
        <xdr:cNvPr id="430205" name="Picture 24">
          <a:extLst>
            <a:ext uri="{FF2B5EF4-FFF2-40B4-BE49-F238E27FC236}">
              <a16:creationId xmlns:a16="http://schemas.microsoft.com/office/drawing/2014/main" id="{00000000-0008-0000-1300-00007D90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266700"/>
          <a:ext cx="960120" cy="777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144378</xdr:colOff>
      <xdr:row>27</xdr:row>
      <xdr:rowOff>8020</xdr:rowOff>
    </xdr:from>
    <xdr:to>
      <xdr:col>13</xdr:col>
      <xdr:colOff>92157</xdr:colOff>
      <xdr:row>28</xdr:row>
      <xdr:rowOff>3535</xdr:rowOff>
    </xdr:to>
    <xdr:sp macro="" textlink="">
      <xdr:nvSpPr>
        <xdr:cNvPr id="12" name="TextovéPole 11">
          <a:extLst>
            <a:ext uri="{FF2B5EF4-FFF2-40B4-BE49-F238E27FC236}">
              <a16:creationId xmlns:a16="http://schemas.microsoft.com/office/drawing/2014/main" id="{00000000-0008-0000-1300-00000C000000}"/>
            </a:ext>
          </a:extLst>
        </xdr:cNvPr>
        <xdr:cNvSpPr txBox="1">
          <a:spLocks noChangeAspect="1"/>
        </xdr:cNvSpPr>
      </xdr:nvSpPr>
      <xdr:spPr>
        <a:xfrm>
          <a:off x="3055218" y="5113420"/>
          <a:ext cx="161139" cy="178395"/>
        </a:xfrm>
        <a:prstGeom prst="rect">
          <a:avLst/>
        </a:prstGeom>
        <a:solidFill>
          <a:srgbClr val="92D05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cs-CZ" sz="1200" b="1">
              <a:solidFill>
                <a:schemeClr val="bg1"/>
              </a:solidFill>
              <a:latin typeface="Arial" pitchFamily="34" charset="0"/>
              <a:cs typeface="Arial" pitchFamily="34" charset="0"/>
            </a:rPr>
            <a:t>i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45</xdr:col>
      <xdr:colOff>144780</xdr:colOff>
      <xdr:row>1</xdr:row>
      <xdr:rowOff>106680</xdr:rowOff>
    </xdr:from>
    <xdr:to>
      <xdr:col>63</xdr:col>
      <xdr:colOff>487680</xdr:colOff>
      <xdr:row>4</xdr:row>
      <xdr:rowOff>144780</xdr:rowOff>
    </xdr:to>
    <xdr:pic>
      <xdr:nvPicPr>
        <xdr:cNvPr id="6" name="Picture 24">
          <a:extLst>
            <a:ext uri="{FF2B5EF4-FFF2-40B4-BE49-F238E27FC236}">
              <a16:creationId xmlns:a16="http://schemas.microsoft.com/office/drawing/2014/main" id="{00000000-0008-0000-14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266700"/>
          <a:ext cx="960120" cy="777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22860</xdr:colOff>
      <xdr:row>70</xdr:row>
      <xdr:rowOff>67777</xdr:rowOff>
    </xdr:from>
    <xdr:to>
      <xdr:col>34</xdr:col>
      <xdr:colOff>0</xdr:colOff>
      <xdr:row>79</xdr:row>
      <xdr:rowOff>44917</xdr:rowOff>
    </xdr:to>
    <xdr:pic>
      <xdr:nvPicPr>
        <xdr:cNvPr id="7" name="Picture 11">
          <a:extLst>
            <a:ext uri="{FF2B5EF4-FFF2-40B4-BE49-F238E27FC236}">
              <a16:creationId xmlns:a16="http://schemas.microsoft.com/office/drawing/2014/main" id="{00000000-0008-0000-1400-000007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65407" y="13302514"/>
          <a:ext cx="2142825" cy="1637498"/>
        </a:xfrm>
        <a:prstGeom prst="rect">
          <a:avLst/>
        </a:prstGeom>
        <a:noFill/>
        <a:ln w="28575">
          <a:solidFill>
            <a:srgbClr val="A6A6A6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205740</xdr:colOff>
      <xdr:row>70</xdr:row>
      <xdr:rowOff>143977</xdr:rowOff>
    </xdr:from>
    <xdr:to>
      <xdr:col>23</xdr:col>
      <xdr:colOff>68580</xdr:colOff>
      <xdr:row>79</xdr:row>
      <xdr:rowOff>176061</xdr:rowOff>
    </xdr:to>
    <xdr:grpSp>
      <xdr:nvGrpSpPr>
        <xdr:cNvPr id="8" name="Skupina 102">
          <a:extLst>
            <a:ext uri="{FF2B5EF4-FFF2-40B4-BE49-F238E27FC236}">
              <a16:creationId xmlns:a16="http://schemas.microsoft.com/office/drawing/2014/main" id="{00000000-0008-0000-1400-000008000000}"/>
            </a:ext>
          </a:extLst>
        </xdr:cNvPr>
        <xdr:cNvGrpSpPr>
          <a:grpSpLocks noChangeAspect="1"/>
        </xdr:cNvGrpSpPr>
      </xdr:nvGrpSpPr>
      <xdr:grpSpPr bwMode="auto">
        <a:xfrm>
          <a:off x="3614687" y="13378714"/>
          <a:ext cx="2188946" cy="1692442"/>
          <a:chOff x="1800224" y="3409923"/>
          <a:chExt cx="947819" cy="707831"/>
        </a:xfrm>
      </xdr:grpSpPr>
      <xdr:sp macro="" textlink="">
        <xdr:nvSpPr>
          <xdr:cNvPr id="9" name="Obdélník 103">
            <a:extLst>
              <a:ext uri="{FF2B5EF4-FFF2-40B4-BE49-F238E27FC236}">
                <a16:creationId xmlns:a16="http://schemas.microsoft.com/office/drawing/2014/main" id="{00000000-0008-0000-1400-000009000000}"/>
              </a:ext>
            </a:extLst>
          </xdr:cNvPr>
          <xdr:cNvSpPr>
            <a:spLocks noChangeArrowheads="1"/>
          </xdr:cNvSpPr>
        </xdr:nvSpPr>
        <xdr:spPr bwMode="auto">
          <a:xfrm>
            <a:off x="1838324" y="3695700"/>
            <a:ext cx="771525" cy="304800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" name="Obdélník 104">
            <a:extLst>
              <a:ext uri="{FF2B5EF4-FFF2-40B4-BE49-F238E27FC236}">
                <a16:creationId xmlns:a16="http://schemas.microsoft.com/office/drawing/2014/main" id="{00000000-0008-0000-1400-00000A000000}"/>
              </a:ext>
            </a:extLst>
          </xdr:cNvPr>
          <xdr:cNvSpPr>
            <a:spLocks noChangeArrowheads="1"/>
          </xdr:cNvSpPr>
        </xdr:nvSpPr>
        <xdr:spPr bwMode="auto">
          <a:xfrm>
            <a:off x="1800224" y="3562350"/>
            <a:ext cx="54000" cy="478800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1" name="Volný tvar 105">
            <a:extLst>
              <a:ext uri="{FF2B5EF4-FFF2-40B4-BE49-F238E27FC236}">
                <a16:creationId xmlns:a16="http://schemas.microsoft.com/office/drawing/2014/main" id="{00000000-0008-0000-1400-00000B000000}"/>
              </a:ext>
            </a:extLst>
          </xdr:cNvPr>
          <xdr:cNvSpPr>
            <a:spLocks/>
          </xdr:cNvSpPr>
        </xdr:nvSpPr>
        <xdr:spPr bwMode="auto">
          <a:xfrm>
            <a:off x="2457450" y="3409923"/>
            <a:ext cx="290593" cy="707831"/>
          </a:xfrm>
          <a:custGeom>
            <a:avLst/>
            <a:gdLst>
              <a:gd name="T0" fmla="*/ 177463 w 290593"/>
              <a:gd name="T1" fmla="*/ 34953 h 707831"/>
              <a:gd name="T2" fmla="*/ 95250 w 290593"/>
              <a:gd name="T3" fmla="*/ 38127 h 707831"/>
              <a:gd name="T4" fmla="*/ 38100 w 290593"/>
              <a:gd name="T5" fmla="*/ 57177 h 707831"/>
              <a:gd name="T6" fmla="*/ 85725 w 290593"/>
              <a:gd name="T7" fmla="*/ 104802 h 707831"/>
              <a:gd name="T8" fmla="*/ 57150 w 290593"/>
              <a:gd name="T9" fmla="*/ 266727 h 707831"/>
              <a:gd name="T10" fmla="*/ 28575 w 290593"/>
              <a:gd name="T11" fmla="*/ 276252 h 707831"/>
              <a:gd name="T12" fmla="*/ 28575 w 290593"/>
              <a:gd name="T13" fmla="*/ 381027 h 707831"/>
              <a:gd name="T14" fmla="*/ 47625 w 290593"/>
              <a:gd name="T15" fmla="*/ 409602 h 707831"/>
              <a:gd name="T16" fmla="*/ 38100 w 290593"/>
              <a:gd name="T17" fmla="*/ 466752 h 707831"/>
              <a:gd name="T18" fmla="*/ 9525 w 290593"/>
              <a:gd name="T19" fmla="*/ 476277 h 707831"/>
              <a:gd name="T20" fmla="*/ 0 w 290593"/>
              <a:gd name="T21" fmla="*/ 504852 h 707831"/>
              <a:gd name="T22" fmla="*/ 19050 w 290593"/>
              <a:gd name="T23" fmla="*/ 562002 h 707831"/>
              <a:gd name="T24" fmla="*/ 57150 w 290593"/>
              <a:gd name="T25" fmla="*/ 619152 h 707831"/>
              <a:gd name="T26" fmla="*/ 57150 w 290593"/>
              <a:gd name="T27" fmla="*/ 704877 h 707831"/>
              <a:gd name="T28" fmla="*/ 266700 w 290593"/>
              <a:gd name="T29" fmla="*/ 666777 h 707831"/>
              <a:gd name="T30" fmla="*/ 266700 w 290593"/>
              <a:gd name="T31" fmla="*/ 400077 h 707831"/>
              <a:gd name="T32" fmla="*/ 277649 w 290593"/>
              <a:gd name="T33" fmla="*/ 43188 h 707831"/>
              <a:gd name="T34" fmla="*/ 177463 w 290593"/>
              <a:gd name="T35" fmla="*/ 34953 h 707831"/>
              <a:gd name="T36" fmla="*/ 0 60000 65536"/>
              <a:gd name="T37" fmla="*/ 0 60000 65536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w 290593"/>
              <a:gd name="T55" fmla="*/ 0 h 707831"/>
              <a:gd name="T56" fmla="*/ 290593 w 290593"/>
              <a:gd name="T57" fmla="*/ 707831 h 707831"/>
            </a:gdLst>
            <a:ahLst/>
            <a:cxnLst>
              <a:cxn ang="T36">
                <a:pos x="T0" y="T1"/>
              </a:cxn>
              <a:cxn ang="T37">
                <a:pos x="T2" y="T3"/>
              </a:cxn>
              <a:cxn ang="T38">
                <a:pos x="T4" y="T5"/>
              </a:cxn>
              <a:cxn ang="T39">
                <a:pos x="T6" y="T7"/>
              </a:cxn>
              <a:cxn ang="T40">
                <a:pos x="T8" y="T9"/>
              </a:cxn>
              <a:cxn ang="T41">
                <a:pos x="T10" y="T11"/>
              </a:cxn>
              <a:cxn ang="T42">
                <a:pos x="T12" y="T13"/>
              </a:cxn>
              <a:cxn ang="T43">
                <a:pos x="T14" y="T15"/>
              </a:cxn>
              <a:cxn ang="T44">
                <a:pos x="T16" y="T17"/>
              </a:cxn>
              <a:cxn ang="T45">
                <a:pos x="T18" y="T19"/>
              </a:cxn>
              <a:cxn ang="T46">
                <a:pos x="T20" y="T21"/>
              </a:cxn>
              <a:cxn ang="T47">
                <a:pos x="T22" y="T23"/>
              </a:cxn>
              <a:cxn ang="T48">
                <a:pos x="T24" y="T25"/>
              </a:cxn>
              <a:cxn ang="T49">
                <a:pos x="T26" y="T27"/>
              </a:cxn>
              <a:cxn ang="T50">
                <a:pos x="T28" y="T29"/>
              </a:cxn>
              <a:cxn ang="T51">
                <a:pos x="T30" y="T31"/>
              </a:cxn>
              <a:cxn ang="T52">
                <a:pos x="T32" y="T33"/>
              </a:cxn>
              <a:cxn ang="T53">
                <a:pos x="T34" y="T35"/>
              </a:cxn>
            </a:cxnLst>
            <a:rect l="T54" t="T55" r="T56" b="T57"/>
            <a:pathLst>
              <a:path w="290593" h="707831">
                <a:moveTo>
                  <a:pt x="177463" y="34953"/>
                </a:moveTo>
                <a:lnTo>
                  <a:pt x="95250" y="38127"/>
                </a:lnTo>
                <a:cubicBezTo>
                  <a:pt x="82027" y="53239"/>
                  <a:pt x="38100" y="57177"/>
                  <a:pt x="38100" y="57177"/>
                </a:cubicBezTo>
                <a:cubicBezTo>
                  <a:pt x="52096" y="66508"/>
                  <a:pt x="84429" y="82771"/>
                  <a:pt x="85725" y="104802"/>
                </a:cubicBezTo>
                <a:cubicBezTo>
                  <a:pt x="86693" y="121255"/>
                  <a:pt x="98014" y="234036"/>
                  <a:pt x="57150" y="266727"/>
                </a:cubicBezTo>
                <a:cubicBezTo>
                  <a:pt x="49310" y="272999"/>
                  <a:pt x="38100" y="273077"/>
                  <a:pt x="28575" y="276252"/>
                </a:cubicBezTo>
                <a:cubicBezTo>
                  <a:pt x="13701" y="320873"/>
                  <a:pt x="10804" y="315866"/>
                  <a:pt x="28575" y="381027"/>
                </a:cubicBezTo>
                <a:cubicBezTo>
                  <a:pt x="31587" y="392071"/>
                  <a:pt x="41275" y="400077"/>
                  <a:pt x="47625" y="409602"/>
                </a:cubicBezTo>
                <a:cubicBezTo>
                  <a:pt x="44450" y="428652"/>
                  <a:pt x="47682" y="449984"/>
                  <a:pt x="38100" y="466752"/>
                </a:cubicBezTo>
                <a:cubicBezTo>
                  <a:pt x="33119" y="475469"/>
                  <a:pt x="16625" y="469177"/>
                  <a:pt x="9525" y="476277"/>
                </a:cubicBezTo>
                <a:cubicBezTo>
                  <a:pt x="2425" y="483377"/>
                  <a:pt x="3175" y="495327"/>
                  <a:pt x="0" y="504852"/>
                </a:cubicBezTo>
                <a:cubicBezTo>
                  <a:pt x="6350" y="523902"/>
                  <a:pt x="7911" y="545294"/>
                  <a:pt x="19050" y="562002"/>
                </a:cubicBezTo>
                <a:lnTo>
                  <a:pt x="57150" y="619152"/>
                </a:lnTo>
                <a:cubicBezTo>
                  <a:pt x="51516" y="636053"/>
                  <a:pt x="26742" y="695521"/>
                  <a:pt x="57150" y="704877"/>
                </a:cubicBezTo>
                <a:cubicBezTo>
                  <a:pt x="66751" y="707831"/>
                  <a:pt x="248114" y="670494"/>
                  <a:pt x="266700" y="666777"/>
                </a:cubicBezTo>
                <a:cubicBezTo>
                  <a:pt x="290593" y="523418"/>
                  <a:pt x="266700" y="691332"/>
                  <a:pt x="266700" y="400077"/>
                </a:cubicBezTo>
                <a:cubicBezTo>
                  <a:pt x="266700" y="173325"/>
                  <a:pt x="264532" y="226829"/>
                  <a:pt x="277649" y="43188"/>
                </a:cubicBezTo>
                <a:cubicBezTo>
                  <a:pt x="191272" y="0"/>
                  <a:pt x="212388" y="39716"/>
                  <a:pt x="177463" y="34953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cap="flat" cmpd="sng" algn="ctr">
                <a:solidFill>
                  <a:srgbClr val="000000"/>
                </a:solidFill>
                <a:prstDash val="solid"/>
                <a:round/>
                <a:headEnd type="none" w="med" len="med"/>
                <a:tailEnd type="none" w="med" len="med"/>
              </a14:hiddenLine>
            </a:ext>
          </a:extLst>
        </xdr:spPr>
      </xdr:sp>
    </xdr:grpSp>
    <xdr:clientData/>
  </xdr:twoCellAnchor>
  <xdr:twoCellAnchor editAs="oneCell">
    <xdr:from>
      <xdr:col>4</xdr:col>
      <xdr:colOff>403860</xdr:colOff>
      <xdr:row>86</xdr:row>
      <xdr:rowOff>45720</xdr:rowOff>
    </xdr:from>
    <xdr:to>
      <xdr:col>23</xdr:col>
      <xdr:colOff>129540</xdr:colOff>
      <xdr:row>94</xdr:row>
      <xdr:rowOff>160020</xdr:rowOff>
    </xdr:to>
    <xdr:pic>
      <xdr:nvPicPr>
        <xdr:cNvPr id="12" name="Obrázek 17">
          <a:extLst>
            <a:ext uri="{FF2B5EF4-FFF2-40B4-BE49-F238E27FC236}">
              <a16:creationId xmlns:a16="http://schemas.microsoft.com/office/drawing/2014/main" id="{00000000-0008-0000-14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400" y="15925800"/>
          <a:ext cx="4091940" cy="1577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35</xdr:col>
      <xdr:colOff>104277</xdr:colOff>
      <xdr:row>16</xdr:row>
      <xdr:rowOff>40088</xdr:rowOff>
    </xdr:from>
    <xdr:to>
      <xdr:col>39</xdr:col>
      <xdr:colOff>95397</xdr:colOff>
      <xdr:row>27</xdr:row>
      <xdr:rowOff>47706</xdr:rowOff>
    </xdr:to>
    <xdr:grpSp>
      <xdr:nvGrpSpPr>
        <xdr:cNvPr id="14" name="Skupina 242">
          <a:extLst>
            <a:ext uri="{FF2B5EF4-FFF2-40B4-BE49-F238E27FC236}">
              <a16:creationId xmlns:a16="http://schemas.microsoft.com/office/drawing/2014/main" id="{00000000-0008-0000-1400-00000E000000}"/>
            </a:ext>
          </a:extLst>
        </xdr:cNvPr>
        <xdr:cNvGrpSpPr>
          <a:grpSpLocks noChangeAspect="1"/>
        </xdr:cNvGrpSpPr>
      </xdr:nvGrpSpPr>
      <xdr:grpSpPr bwMode="auto">
        <a:xfrm>
          <a:off x="8630656" y="3152256"/>
          <a:ext cx="921562" cy="2036945"/>
          <a:chOff x="5609723" y="21620536"/>
          <a:chExt cx="632660" cy="1329699"/>
        </a:xfrm>
      </xdr:grpSpPr>
      <xdr:sp macro="" textlink="">
        <xdr:nvSpPr>
          <xdr:cNvPr id="15" name="Obdélník 23">
            <a:extLst>
              <a:ext uri="{FF2B5EF4-FFF2-40B4-BE49-F238E27FC236}">
                <a16:creationId xmlns:a16="http://schemas.microsoft.com/office/drawing/2014/main" id="{00000000-0008-0000-1400-00000F000000}"/>
              </a:ext>
            </a:extLst>
          </xdr:cNvPr>
          <xdr:cNvSpPr>
            <a:spLocks noChangeArrowheads="1"/>
          </xdr:cNvSpPr>
        </xdr:nvSpPr>
        <xdr:spPr bwMode="auto">
          <a:xfrm>
            <a:off x="5661178" y="22069168"/>
            <a:ext cx="535085" cy="105988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  <xdr:txBody>
          <a:bodyPr lIns="0" tIns="0" rIns="0" bIns="0"/>
          <a:lstStyle/>
          <a:p>
            <a:pPr algn="ctr"/>
            <a:r>
              <a:rPr lang="sk-SK" sz="1000" b="1">
                <a:solidFill>
                  <a:schemeClr val="bg1"/>
                </a:solidFill>
                <a:latin typeface="Verdana" panose="020B0604030504040204" pitchFamily="34" charset="0"/>
                <a:ea typeface="Verdana" panose="020B0604030504040204" pitchFamily="34" charset="0"/>
              </a:rPr>
              <a:t>101</a:t>
            </a:r>
            <a:endParaRPr lang="sk-SK" b="1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</a:endParaRPr>
          </a:p>
        </xdr:txBody>
      </xdr:sp>
      <xdr:sp macro="" textlink="">
        <xdr:nvSpPr>
          <xdr:cNvPr id="27" name="Obdélník 23">
            <a:extLst>
              <a:ext uri="{FF2B5EF4-FFF2-40B4-BE49-F238E27FC236}">
                <a16:creationId xmlns:a16="http://schemas.microsoft.com/office/drawing/2014/main" id="{00000000-0008-0000-1400-00001B000000}"/>
              </a:ext>
            </a:extLst>
          </xdr:cNvPr>
          <xdr:cNvSpPr>
            <a:spLocks noChangeArrowheads="1"/>
          </xdr:cNvSpPr>
        </xdr:nvSpPr>
        <xdr:spPr bwMode="auto">
          <a:xfrm>
            <a:off x="5663183" y="22764267"/>
            <a:ext cx="535085" cy="166853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  <xdr:txBody>
          <a:bodyPr lIns="0" tIns="0" rIns="0" bIns="0" anchor="ctr"/>
          <a:lstStyle/>
          <a:p>
            <a:pPr algn="ctr"/>
            <a:r>
              <a:rPr lang="sk-SK" sz="1000" b="1">
                <a:solidFill>
                  <a:schemeClr val="bg1"/>
                </a:solidFill>
                <a:latin typeface="Verdana" panose="020B0604030504040204" pitchFamily="34" charset="0"/>
                <a:ea typeface="Verdana" panose="020B0604030504040204" pitchFamily="34" charset="0"/>
              </a:rPr>
              <a:t>187</a:t>
            </a:r>
          </a:p>
        </xdr:txBody>
      </xdr:sp>
      <xdr:sp macro="" textlink="">
        <xdr:nvSpPr>
          <xdr:cNvPr id="17" name="Obdélník 24">
            <a:extLst>
              <a:ext uri="{FF2B5EF4-FFF2-40B4-BE49-F238E27FC236}">
                <a16:creationId xmlns:a16="http://schemas.microsoft.com/office/drawing/2014/main" id="{00000000-0008-0000-1400-000011000000}"/>
              </a:ext>
            </a:extLst>
          </xdr:cNvPr>
          <xdr:cNvSpPr>
            <a:spLocks noChangeArrowheads="1"/>
          </xdr:cNvSpPr>
        </xdr:nvSpPr>
        <xdr:spPr bwMode="auto">
          <a:xfrm>
            <a:off x="5609723" y="21620536"/>
            <a:ext cx="60570" cy="1329699"/>
          </a:xfrm>
          <a:prstGeom prst="rect">
            <a:avLst/>
          </a:prstGeom>
          <a:solidFill>
            <a:srgbClr val="FFFFE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grpSp>
        <xdr:nvGrpSpPr>
          <xdr:cNvPr id="18" name="Skupina 238">
            <a:extLst>
              <a:ext uri="{FF2B5EF4-FFF2-40B4-BE49-F238E27FC236}">
                <a16:creationId xmlns:a16="http://schemas.microsoft.com/office/drawing/2014/main" id="{00000000-0008-0000-1400-000012000000}"/>
              </a:ext>
            </a:extLst>
          </xdr:cNvPr>
          <xdr:cNvGrpSpPr>
            <a:grpSpLocks/>
          </xdr:cNvGrpSpPr>
        </xdr:nvGrpSpPr>
        <xdr:grpSpPr bwMode="auto">
          <a:xfrm>
            <a:off x="5702735" y="21697458"/>
            <a:ext cx="539648" cy="119658"/>
            <a:chOff x="5702735" y="21697458"/>
            <a:chExt cx="539648" cy="119658"/>
          </a:xfrm>
        </xdr:grpSpPr>
        <xdr:sp macro="" textlink="">
          <xdr:nvSpPr>
            <xdr:cNvPr id="24" name="Obdélník 23">
              <a:extLst>
                <a:ext uri="{FF2B5EF4-FFF2-40B4-BE49-F238E27FC236}">
                  <a16:creationId xmlns:a16="http://schemas.microsoft.com/office/drawing/2014/main" id="{00000000-0008-0000-1400-000018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707298" y="21712036"/>
              <a:ext cx="535085" cy="103402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  <xdr:txBody>
            <a:bodyPr lIns="0" tIns="0" rIns="0" bIns="0"/>
            <a:lstStyle/>
            <a:p>
              <a:pPr algn="ctr"/>
              <a:r>
                <a:rPr lang="sk-SK" sz="1000" b="1">
                  <a:solidFill>
                    <a:schemeClr val="bg1"/>
                  </a:solidFill>
                  <a:latin typeface="Verdana" panose="020B0604030504040204" pitchFamily="34" charset="0"/>
                  <a:ea typeface="Verdana" panose="020B0604030504040204" pitchFamily="34" charset="0"/>
                </a:rPr>
                <a:t>101</a:t>
              </a:r>
              <a:endParaRPr lang="sk-SK" b="1">
                <a:solidFill>
                  <a:schemeClr val="bg1"/>
                </a:solidFill>
                <a:latin typeface="Verdana" panose="020B0604030504040204" pitchFamily="34" charset="0"/>
                <a:ea typeface="Verdana" panose="020B0604030504040204" pitchFamily="34" charset="0"/>
              </a:endParaRPr>
            </a:p>
          </xdr:txBody>
        </xdr:sp>
        <xdr:sp macro="" textlink="">
          <xdr:nvSpPr>
            <xdr:cNvPr id="25" name="Obdélník 30">
              <a:extLst>
                <a:ext uri="{FF2B5EF4-FFF2-40B4-BE49-F238E27FC236}">
                  <a16:creationId xmlns:a16="http://schemas.microsoft.com/office/drawing/2014/main" id="{00000000-0008-0000-1400-000019000000}"/>
                </a:ext>
              </a:extLst>
            </xdr:cNvPr>
            <xdr:cNvSpPr>
              <a:spLocks noChangeArrowheads="1"/>
            </xdr:cNvSpPr>
          </xdr:nvSpPr>
          <xdr:spPr bwMode="auto">
            <a:xfrm rot="5400000">
              <a:off x="5652204" y="21747989"/>
              <a:ext cx="119658" cy="18595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</xdr:grpSp>
      <xdr:grpSp>
        <xdr:nvGrpSpPr>
          <xdr:cNvPr id="19" name="Skupina 239">
            <a:extLst>
              <a:ext uri="{FF2B5EF4-FFF2-40B4-BE49-F238E27FC236}">
                <a16:creationId xmlns:a16="http://schemas.microsoft.com/office/drawing/2014/main" id="{00000000-0008-0000-1400-000013000000}"/>
              </a:ext>
            </a:extLst>
          </xdr:cNvPr>
          <xdr:cNvGrpSpPr>
            <a:grpSpLocks/>
          </xdr:cNvGrpSpPr>
        </xdr:nvGrpSpPr>
        <xdr:grpSpPr bwMode="auto">
          <a:xfrm>
            <a:off x="5696171" y="22372523"/>
            <a:ext cx="544206" cy="183600"/>
            <a:chOff x="5696171" y="22372523"/>
            <a:chExt cx="544206" cy="183600"/>
          </a:xfrm>
        </xdr:grpSpPr>
        <xdr:sp macro="" textlink="">
          <xdr:nvSpPr>
            <xdr:cNvPr id="21" name="Obdélník 23">
              <a:extLst>
                <a:ext uri="{FF2B5EF4-FFF2-40B4-BE49-F238E27FC236}">
                  <a16:creationId xmlns:a16="http://schemas.microsoft.com/office/drawing/2014/main" id="{00000000-0008-0000-1400-000015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705292" y="22385002"/>
              <a:ext cx="535085" cy="166089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  <xdr:txBody>
            <a:bodyPr lIns="0" tIns="0" rIns="0" bIns="0" anchor="ctr"/>
            <a:lstStyle/>
            <a:p>
              <a:pPr algn="ctr"/>
              <a:r>
                <a:rPr lang="sk-SK" sz="1000" b="1">
                  <a:solidFill>
                    <a:schemeClr val="bg1"/>
                  </a:solidFill>
                  <a:latin typeface="Verdana" panose="020B0604030504040204" pitchFamily="34" charset="0"/>
                  <a:ea typeface="Verdana" panose="020B0604030504040204" pitchFamily="34" charset="0"/>
                </a:rPr>
                <a:t>187</a:t>
              </a:r>
              <a:endParaRPr lang="sk-SK" b="1">
                <a:solidFill>
                  <a:schemeClr val="bg1"/>
                </a:solidFill>
                <a:latin typeface="Verdana" panose="020B0604030504040204" pitchFamily="34" charset="0"/>
                <a:ea typeface="Verdana" panose="020B0604030504040204" pitchFamily="34" charset="0"/>
              </a:endParaRPr>
            </a:p>
          </xdr:txBody>
        </xdr:sp>
        <xdr:sp macro="" textlink="">
          <xdr:nvSpPr>
            <xdr:cNvPr id="23" name="Obdélník 30">
              <a:extLst>
                <a:ext uri="{FF2B5EF4-FFF2-40B4-BE49-F238E27FC236}">
                  <a16:creationId xmlns:a16="http://schemas.microsoft.com/office/drawing/2014/main" id="{00000000-0008-0000-1400-000017000000}"/>
                </a:ext>
              </a:extLst>
            </xdr:cNvPr>
            <xdr:cNvSpPr>
              <a:spLocks noChangeArrowheads="1"/>
            </xdr:cNvSpPr>
          </xdr:nvSpPr>
          <xdr:spPr bwMode="auto">
            <a:xfrm rot="5400000">
              <a:off x="5614997" y="22453697"/>
              <a:ext cx="183600" cy="21251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</xdr:grpSp>
    </xdr:grpSp>
    <xdr:clientData/>
  </xdr:twoCellAnchor>
  <xdr:twoCellAnchor>
    <xdr:from>
      <xdr:col>14</xdr:col>
      <xdr:colOff>0</xdr:colOff>
      <xdr:row>4</xdr:row>
      <xdr:rowOff>96254</xdr:rowOff>
    </xdr:from>
    <xdr:to>
      <xdr:col>23</xdr:col>
      <xdr:colOff>176463</xdr:colOff>
      <xdr:row>14</xdr:row>
      <xdr:rowOff>27674</xdr:rowOff>
    </xdr:to>
    <xdr:grpSp>
      <xdr:nvGrpSpPr>
        <xdr:cNvPr id="29" name="Skupina 21">
          <a:extLst>
            <a:ext uri="{FF2B5EF4-FFF2-40B4-BE49-F238E27FC236}">
              <a16:creationId xmlns:a16="http://schemas.microsoft.com/office/drawing/2014/main" id="{00000000-0008-0000-1400-00001D000000}"/>
            </a:ext>
          </a:extLst>
        </xdr:cNvPr>
        <xdr:cNvGrpSpPr>
          <a:grpSpLocks noChangeAspect="1"/>
        </xdr:cNvGrpSpPr>
      </xdr:nvGrpSpPr>
      <xdr:grpSpPr bwMode="auto">
        <a:xfrm>
          <a:off x="3641558" y="994612"/>
          <a:ext cx="2269958" cy="1776262"/>
          <a:chOff x="1771649" y="3377086"/>
          <a:chExt cx="991168" cy="740669"/>
        </a:xfrm>
      </xdr:grpSpPr>
      <xdr:sp macro="" textlink="">
        <xdr:nvSpPr>
          <xdr:cNvPr id="30" name="Obdélník 19">
            <a:extLst>
              <a:ext uri="{FF2B5EF4-FFF2-40B4-BE49-F238E27FC236}">
                <a16:creationId xmlns:a16="http://schemas.microsoft.com/office/drawing/2014/main" id="{00000000-0008-0000-1400-00001E000000}"/>
              </a:ext>
            </a:extLst>
          </xdr:cNvPr>
          <xdr:cNvSpPr>
            <a:spLocks noChangeArrowheads="1"/>
          </xdr:cNvSpPr>
        </xdr:nvSpPr>
        <xdr:spPr bwMode="auto">
          <a:xfrm>
            <a:off x="1838324" y="3469064"/>
            <a:ext cx="771525" cy="531437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31" name="Obdélník 18">
            <a:extLst>
              <a:ext uri="{FF2B5EF4-FFF2-40B4-BE49-F238E27FC236}">
                <a16:creationId xmlns:a16="http://schemas.microsoft.com/office/drawing/2014/main" id="{00000000-0008-0000-1400-00001F000000}"/>
              </a:ext>
            </a:extLst>
          </xdr:cNvPr>
          <xdr:cNvSpPr>
            <a:spLocks noChangeArrowheads="1"/>
          </xdr:cNvSpPr>
        </xdr:nvSpPr>
        <xdr:spPr bwMode="auto">
          <a:xfrm>
            <a:off x="1771649" y="3378382"/>
            <a:ext cx="85726" cy="695027"/>
          </a:xfrm>
          <a:prstGeom prst="rect">
            <a:avLst/>
          </a:prstGeom>
          <a:solidFill>
            <a:srgbClr val="FFFFE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32" name="Volný tvar 20">
            <a:extLst>
              <a:ext uri="{FF2B5EF4-FFF2-40B4-BE49-F238E27FC236}">
                <a16:creationId xmlns:a16="http://schemas.microsoft.com/office/drawing/2014/main" id="{00000000-0008-0000-1400-000020000000}"/>
              </a:ext>
            </a:extLst>
          </xdr:cNvPr>
          <xdr:cNvSpPr>
            <a:spLocks/>
          </xdr:cNvSpPr>
        </xdr:nvSpPr>
        <xdr:spPr bwMode="auto">
          <a:xfrm>
            <a:off x="2457450" y="3377086"/>
            <a:ext cx="305367" cy="740669"/>
          </a:xfrm>
          <a:custGeom>
            <a:avLst/>
            <a:gdLst>
              <a:gd name="T0" fmla="*/ 76200 w 290593"/>
              <a:gd name="T1" fmla="*/ 16 h 817667"/>
              <a:gd name="T2" fmla="*/ 76200 w 290593"/>
              <a:gd name="T3" fmla="*/ 16 h 817667"/>
              <a:gd name="T4" fmla="*/ 95250 w 290593"/>
              <a:gd name="T5" fmla="*/ 161 h 817667"/>
              <a:gd name="T6" fmla="*/ 38100 w 290593"/>
              <a:gd name="T7" fmla="*/ 181 h 817667"/>
              <a:gd name="T8" fmla="*/ 85725 w 290593"/>
              <a:gd name="T9" fmla="*/ 233 h 817667"/>
              <a:gd name="T10" fmla="*/ 65211 w 290593"/>
              <a:gd name="T11" fmla="*/ 318 h 817667"/>
              <a:gd name="T12" fmla="*/ 28575 w 290593"/>
              <a:gd name="T13" fmla="*/ 421 h 817667"/>
              <a:gd name="T14" fmla="*/ 28575 w 290593"/>
              <a:gd name="T15" fmla="*/ 534 h 817667"/>
              <a:gd name="T16" fmla="*/ 47625 w 290593"/>
              <a:gd name="T17" fmla="*/ 566 h 817667"/>
              <a:gd name="T18" fmla="*/ 38100 w 290593"/>
              <a:gd name="T19" fmla="*/ 627 h 817667"/>
              <a:gd name="T20" fmla="*/ 9525 w 290593"/>
              <a:gd name="T21" fmla="*/ 637 h 817667"/>
              <a:gd name="T22" fmla="*/ 0 w 290593"/>
              <a:gd name="T23" fmla="*/ 668 h 817667"/>
              <a:gd name="T24" fmla="*/ 19050 w 290593"/>
              <a:gd name="T25" fmla="*/ 730 h 817667"/>
              <a:gd name="T26" fmla="*/ 57150 w 290593"/>
              <a:gd name="T27" fmla="*/ 793 h 817667"/>
              <a:gd name="T28" fmla="*/ 57150 w 290593"/>
              <a:gd name="T29" fmla="*/ 885 h 817667"/>
              <a:gd name="T30" fmla="*/ 266700 w 290593"/>
              <a:gd name="T31" fmla="*/ 844 h 817667"/>
              <a:gd name="T32" fmla="*/ 266700 w 290593"/>
              <a:gd name="T33" fmla="*/ 554 h 817667"/>
              <a:gd name="T34" fmla="*/ 285750 w 290593"/>
              <a:gd name="T35" fmla="*/ 47 h 817667"/>
              <a:gd name="T36" fmla="*/ 76200 w 290593"/>
              <a:gd name="T37" fmla="*/ 16 h 817667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w 290593"/>
              <a:gd name="T58" fmla="*/ 0 h 817667"/>
              <a:gd name="T59" fmla="*/ 290593 w 290593"/>
              <a:gd name="T60" fmla="*/ 817667 h 817667"/>
            </a:gdLst>
            <a:ahLst/>
            <a:cxnLst>
              <a:cxn ang="T38">
                <a:pos x="T0" y="T1"/>
              </a:cxn>
              <a:cxn ang="T39">
                <a:pos x="T2" y="T3"/>
              </a:cxn>
              <a:cxn ang="T40">
                <a:pos x="T4" y="T5"/>
              </a:cxn>
              <a:cxn ang="T41">
                <a:pos x="T6" y="T7"/>
              </a:cxn>
              <a:cxn ang="T42">
                <a:pos x="T8" y="T9"/>
              </a:cxn>
              <a:cxn ang="T43">
                <a:pos x="T10" y="T11"/>
              </a:cxn>
              <a:cxn ang="T44">
                <a:pos x="T12" y="T13"/>
              </a:cxn>
              <a:cxn ang="T45">
                <a:pos x="T14" y="T15"/>
              </a:cxn>
              <a:cxn ang="T46">
                <a:pos x="T16" y="T17"/>
              </a:cxn>
              <a:cxn ang="T47">
                <a:pos x="T18" y="T19"/>
              </a:cxn>
              <a:cxn ang="T48">
                <a:pos x="T20" y="T21"/>
              </a:cxn>
              <a:cxn ang="T49">
                <a:pos x="T22" y="T23"/>
              </a:cxn>
              <a:cxn ang="T50">
                <a:pos x="T24" y="T25"/>
              </a:cxn>
              <a:cxn ang="T51">
                <a:pos x="T26" y="T27"/>
              </a:cxn>
              <a:cxn ang="T52">
                <a:pos x="T28" y="T29"/>
              </a:cxn>
              <a:cxn ang="T53">
                <a:pos x="T30" y="T31"/>
              </a:cxn>
              <a:cxn ang="T54">
                <a:pos x="T32" y="T33"/>
              </a:cxn>
              <a:cxn ang="T55">
                <a:pos x="T34" y="T35"/>
              </a:cxn>
              <a:cxn ang="T56">
                <a:pos x="T36" y="T37"/>
              </a:cxn>
            </a:cxnLst>
            <a:rect l="T57" t="T58" r="T59" b="T60"/>
            <a:pathLst>
              <a:path w="290593" h="817667">
                <a:moveTo>
                  <a:pt x="76200" y="14613"/>
                </a:moveTo>
                <a:lnTo>
                  <a:pt x="76200" y="14613"/>
                </a:lnTo>
                <a:cubicBezTo>
                  <a:pt x="86511" y="42109"/>
                  <a:pt x="127065" y="111603"/>
                  <a:pt x="95250" y="147963"/>
                </a:cubicBezTo>
                <a:cubicBezTo>
                  <a:pt x="82027" y="163075"/>
                  <a:pt x="38100" y="167013"/>
                  <a:pt x="38100" y="167013"/>
                </a:cubicBezTo>
                <a:cubicBezTo>
                  <a:pt x="52096" y="176344"/>
                  <a:pt x="84429" y="192607"/>
                  <a:pt x="85725" y="214638"/>
                </a:cubicBezTo>
                <a:cubicBezTo>
                  <a:pt x="86693" y="231091"/>
                  <a:pt x="106075" y="259086"/>
                  <a:pt x="65211" y="291777"/>
                </a:cubicBezTo>
                <a:cubicBezTo>
                  <a:pt x="57371" y="298049"/>
                  <a:pt x="38100" y="382913"/>
                  <a:pt x="28575" y="386088"/>
                </a:cubicBezTo>
                <a:cubicBezTo>
                  <a:pt x="13701" y="430709"/>
                  <a:pt x="10804" y="425702"/>
                  <a:pt x="28575" y="490863"/>
                </a:cubicBezTo>
                <a:cubicBezTo>
                  <a:pt x="31587" y="501907"/>
                  <a:pt x="41275" y="509913"/>
                  <a:pt x="47625" y="519438"/>
                </a:cubicBezTo>
                <a:cubicBezTo>
                  <a:pt x="44450" y="538488"/>
                  <a:pt x="47682" y="559820"/>
                  <a:pt x="38100" y="576588"/>
                </a:cubicBezTo>
                <a:cubicBezTo>
                  <a:pt x="33119" y="585305"/>
                  <a:pt x="16625" y="579013"/>
                  <a:pt x="9525" y="586113"/>
                </a:cubicBezTo>
                <a:cubicBezTo>
                  <a:pt x="2425" y="593213"/>
                  <a:pt x="3175" y="605163"/>
                  <a:pt x="0" y="614688"/>
                </a:cubicBezTo>
                <a:cubicBezTo>
                  <a:pt x="6350" y="633738"/>
                  <a:pt x="7911" y="655130"/>
                  <a:pt x="19050" y="671838"/>
                </a:cubicBezTo>
                <a:lnTo>
                  <a:pt x="57150" y="728988"/>
                </a:lnTo>
                <a:cubicBezTo>
                  <a:pt x="51516" y="745889"/>
                  <a:pt x="26742" y="805357"/>
                  <a:pt x="57150" y="814713"/>
                </a:cubicBezTo>
                <a:cubicBezTo>
                  <a:pt x="66751" y="817667"/>
                  <a:pt x="248114" y="780330"/>
                  <a:pt x="266700" y="776613"/>
                </a:cubicBezTo>
                <a:cubicBezTo>
                  <a:pt x="290593" y="633254"/>
                  <a:pt x="266700" y="801168"/>
                  <a:pt x="266700" y="509913"/>
                </a:cubicBezTo>
                <a:cubicBezTo>
                  <a:pt x="266700" y="283161"/>
                  <a:pt x="272633" y="226829"/>
                  <a:pt x="285750" y="43188"/>
                </a:cubicBezTo>
                <a:cubicBezTo>
                  <a:pt x="199373" y="0"/>
                  <a:pt x="111125" y="19376"/>
                  <a:pt x="76200" y="14613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cap="flat" cmpd="sng" algn="ctr">
                <a:solidFill>
                  <a:srgbClr val="000000"/>
                </a:solidFill>
                <a:prstDash val="solid"/>
                <a:round/>
                <a:headEnd type="none" w="med" len="med"/>
                <a:tailEnd type="none" w="med" len="med"/>
              </a14:hiddenLine>
            </a:ext>
          </a:extLst>
        </xdr:spPr>
      </xdr:sp>
    </xdr:grpSp>
    <xdr:clientData/>
  </xdr:twoCellAnchor>
  <xdr:twoCellAnchor>
    <xdr:from>
      <xdr:col>16</xdr:col>
      <xdr:colOff>160423</xdr:colOff>
      <xdr:row>5</xdr:row>
      <xdr:rowOff>48129</xdr:rowOff>
    </xdr:from>
    <xdr:to>
      <xdr:col>23</xdr:col>
      <xdr:colOff>88233</xdr:colOff>
      <xdr:row>14</xdr:row>
      <xdr:rowOff>164033</xdr:rowOff>
    </xdr:to>
    <xdr:grpSp>
      <xdr:nvGrpSpPr>
        <xdr:cNvPr id="33" name="Skupina 21">
          <a:extLst>
            <a:ext uri="{FF2B5EF4-FFF2-40B4-BE49-F238E27FC236}">
              <a16:creationId xmlns:a16="http://schemas.microsoft.com/office/drawing/2014/main" id="{00000000-0008-0000-1400-000021000000}"/>
            </a:ext>
          </a:extLst>
        </xdr:cNvPr>
        <xdr:cNvGrpSpPr>
          <a:grpSpLocks noChangeAspect="1"/>
        </xdr:cNvGrpSpPr>
      </xdr:nvGrpSpPr>
      <xdr:grpSpPr bwMode="auto">
        <a:xfrm>
          <a:off x="4267202" y="1130971"/>
          <a:ext cx="1556084" cy="1776262"/>
          <a:chOff x="1771649" y="3377086"/>
          <a:chExt cx="672216" cy="740669"/>
        </a:xfrm>
      </xdr:grpSpPr>
      <xdr:sp macro="" textlink="">
        <xdr:nvSpPr>
          <xdr:cNvPr id="34" name="Obdélník 19">
            <a:extLst>
              <a:ext uri="{FF2B5EF4-FFF2-40B4-BE49-F238E27FC236}">
                <a16:creationId xmlns:a16="http://schemas.microsoft.com/office/drawing/2014/main" id="{00000000-0008-0000-1400-000022000000}"/>
              </a:ext>
            </a:extLst>
          </xdr:cNvPr>
          <xdr:cNvSpPr>
            <a:spLocks noChangeArrowheads="1"/>
          </xdr:cNvSpPr>
        </xdr:nvSpPr>
        <xdr:spPr bwMode="auto">
          <a:xfrm>
            <a:off x="1838325" y="3695700"/>
            <a:ext cx="553256" cy="304800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35" name="Obdélník 18">
            <a:extLst>
              <a:ext uri="{FF2B5EF4-FFF2-40B4-BE49-F238E27FC236}">
                <a16:creationId xmlns:a16="http://schemas.microsoft.com/office/drawing/2014/main" id="{00000000-0008-0000-1400-000023000000}"/>
              </a:ext>
            </a:extLst>
          </xdr:cNvPr>
          <xdr:cNvSpPr>
            <a:spLocks noChangeArrowheads="1"/>
          </xdr:cNvSpPr>
        </xdr:nvSpPr>
        <xdr:spPr bwMode="auto">
          <a:xfrm>
            <a:off x="1771649" y="3562350"/>
            <a:ext cx="85726" cy="514350"/>
          </a:xfrm>
          <a:prstGeom prst="rect">
            <a:avLst/>
          </a:prstGeom>
          <a:solidFill>
            <a:srgbClr val="FFFFE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36" name="Volný tvar 20">
            <a:extLst>
              <a:ext uri="{FF2B5EF4-FFF2-40B4-BE49-F238E27FC236}">
                <a16:creationId xmlns:a16="http://schemas.microsoft.com/office/drawing/2014/main" id="{00000000-0008-0000-1400-000024000000}"/>
              </a:ext>
            </a:extLst>
          </xdr:cNvPr>
          <xdr:cNvSpPr>
            <a:spLocks/>
          </xdr:cNvSpPr>
        </xdr:nvSpPr>
        <xdr:spPr bwMode="auto">
          <a:xfrm>
            <a:off x="2192299" y="3377086"/>
            <a:ext cx="251566" cy="740669"/>
          </a:xfrm>
          <a:custGeom>
            <a:avLst/>
            <a:gdLst>
              <a:gd name="T0" fmla="*/ 76200 w 290593"/>
              <a:gd name="T1" fmla="*/ 16 h 817667"/>
              <a:gd name="T2" fmla="*/ 76200 w 290593"/>
              <a:gd name="T3" fmla="*/ 16 h 817667"/>
              <a:gd name="T4" fmla="*/ 95250 w 290593"/>
              <a:gd name="T5" fmla="*/ 161 h 817667"/>
              <a:gd name="T6" fmla="*/ 38100 w 290593"/>
              <a:gd name="T7" fmla="*/ 181 h 817667"/>
              <a:gd name="T8" fmla="*/ 85725 w 290593"/>
              <a:gd name="T9" fmla="*/ 233 h 817667"/>
              <a:gd name="T10" fmla="*/ 65211 w 290593"/>
              <a:gd name="T11" fmla="*/ 318 h 817667"/>
              <a:gd name="T12" fmla="*/ 28575 w 290593"/>
              <a:gd name="T13" fmla="*/ 421 h 817667"/>
              <a:gd name="T14" fmla="*/ 28575 w 290593"/>
              <a:gd name="T15" fmla="*/ 534 h 817667"/>
              <a:gd name="T16" fmla="*/ 47625 w 290593"/>
              <a:gd name="T17" fmla="*/ 566 h 817667"/>
              <a:gd name="T18" fmla="*/ 38100 w 290593"/>
              <a:gd name="T19" fmla="*/ 627 h 817667"/>
              <a:gd name="T20" fmla="*/ 9525 w 290593"/>
              <a:gd name="T21" fmla="*/ 637 h 817667"/>
              <a:gd name="T22" fmla="*/ 0 w 290593"/>
              <a:gd name="T23" fmla="*/ 668 h 817667"/>
              <a:gd name="T24" fmla="*/ 19050 w 290593"/>
              <a:gd name="T25" fmla="*/ 730 h 817667"/>
              <a:gd name="T26" fmla="*/ 57150 w 290593"/>
              <a:gd name="T27" fmla="*/ 793 h 817667"/>
              <a:gd name="T28" fmla="*/ 57150 w 290593"/>
              <a:gd name="T29" fmla="*/ 885 h 817667"/>
              <a:gd name="T30" fmla="*/ 266700 w 290593"/>
              <a:gd name="T31" fmla="*/ 844 h 817667"/>
              <a:gd name="T32" fmla="*/ 266700 w 290593"/>
              <a:gd name="T33" fmla="*/ 554 h 817667"/>
              <a:gd name="T34" fmla="*/ 285750 w 290593"/>
              <a:gd name="T35" fmla="*/ 47 h 817667"/>
              <a:gd name="T36" fmla="*/ 76200 w 290593"/>
              <a:gd name="T37" fmla="*/ 16 h 817667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w 290593"/>
              <a:gd name="T58" fmla="*/ 0 h 817667"/>
              <a:gd name="T59" fmla="*/ 290593 w 290593"/>
              <a:gd name="T60" fmla="*/ 817667 h 817667"/>
            </a:gdLst>
            <a:ahLst/>
            <a:cxnLst>
              <a:cxn ang="T38">
                <a:pos x="T0" y="T1"/>
              </a:cxn>
              <a:cxn ang="T39">
                <a:pos x="T2" y="T3"/>
              </a:cxn>
              <a:cxn ang="T40">
                <a:pos x="T4" y="T5"/>
              </a:cxn>
              <a:cxn ang="T41">
                <a:pos x="T6" y="T7"/>
              </a:cxn>
              <a:cxn ang="T42">
                <a:pos x="T8" y="T9"/>
              </a:cxn>
              <a:cxn ang="T43">
                <a:pos x="T10" y="T11"/>
              </a:cxn>
              <a:cxn ang="T44">
                <a:pos x="T12" y="T13"/>
              </a:cxn>
              <a:cxn ang="T45">
                <a:pos x="T14" y="T15"/>
              </a:cxn>
              <a:cxn ang="T46">
                <a:pos x="T16" y="T17"/>
              </a:cxn>
              <a:cxn ang="T47">
                <a:pos x="T18" y="T19"/>
              </a:cxn>
              <a:cxn ang="T48">
                <a:pos x="T20" y="T21"/>
              </a:cxn>
              <a:cxn ang="T49">
                <a:pos x="T22" y="T23"/>
              </a:cxn>
              <a:cxn ang="T50">
                <a:pos x="T24" y="T25"/>
              </a:cxn>
              <a:cxn ang="T51">
                <a:pos x="T26" y="T27"/>
              </a:cxn>
              <a:cxn ang="T52">
                <a:pos x="T28" y="T29"/>
              </a:cxn>
              <a:cxn ang="T53">
                <a:pos x="T30" y="T31"/>
              </a:cxn>
              <a:cxn ang="T54">
                <a:pos x="T32" y="T33"/>
              </a:cxn>
              <a:cxn ang="T55">
                <a:pos x="T34" y="T35"/>
              </a:cxn>
              <a:cxn ang="T56">
                <a:pos x="T36" y="T37"/>
              </a:cxn>
            </a:cxnLst>
            <a:rect l="T57" t="T58" r="T59" b="T60"/>
            <a:pathLst>
              <a:path w="290593" h="817667">
                <a:moveTo>
                  <a:pt x="76200" y="14613"/>
                </a:moveTo>
                <a:lnTo>
                  <a:pt x="76200" y="14613"/>
                </a:lnTo>
                <a:cubicBezTo>
                  <a:pt x="86511" y="42109"/>
                  <a:pt x="127065" y="111603"/>
                  <a:pt x="95250" y="147963"/>
                </a:cubicBezTo>
                <a:cubicBezTo>
                  <a:pt x="82027" y="163075"/>
                  <a:pt x="38100" y="167013"/>
                  <a:pt x="38100" y="167013"/>
                </a:cubicBezTo>
                <a:cubicBezTo>
                  <a:pt x="52096" y="176344"/>
                  <a:pt x="84429" y="192607"/>
                  <a:pt x="85725" y="214638"/>
                </a:cubicBezTo>
                <a:cubicBezTo>
                  <a:pt x="86693" y="231091"/>
                  <a:pt x="106075" y="259086"/>
                  <a:pt x="65211" y="291777"/>
                </a:cubicBezTo>
                <a:cubicBezTo>
                  <a:pt x="57371" y="298049"/>
                  <a:pt x="38100" y="382913"/>
                  <a:pt x="28575" y="386088"/>
                </a:cubicBezTo>
                <a:cubicBezTo>
                  <a:pt x="13701" y="430709"/>
                  <a:pt x="10804" y="425702"/>
                  <a:pt x="28575" y="490863"/>
                </a:cubicBezTo>
                <a:cubicBezTo>
                  <a:pt x="31587" y="501907"/>
                  <a:pt x="41275" y="509913"/>
                  <a:pt x="47625" y="519438"/>
                </a:cubicBezTo>
                <a:cubicBezTo>
                  <a:pt x="44450" y="538488"/>
                  <a:pt x="47682" y="559820"/>
                  <a:pt x="38100" y="576588"/>
                </a:cubicBezTo>
                <a:cubicBezTo>
                  <a:pt x="33119" y="585305"/>
                  <a:pt x="16625" y="579013"/>
                  <a:pt x="9525" y="586113"/>
                </a:cubicBezTo>
                <a:cubicBezTo>
                  <a:pt x="2425" y="593213"/>
                  <a:pt x="3175" y="605163"/>
                  <a:pt x="0" y="614688"/>
                </a:cubicBezTo>
                <a:cubicBezTo>
                  <a:pt x="6350" y="633738"/>
                  <a:pt x="7911" y="655130"/>
                  <a:pt x="19050" y="671838"/>
                </a:cubicBezTo>
                <a:lnTo>
                  <a:pt x="57150" y="728988"/>
                </a:lnTo>
                <a:cubicBezTo>
                  <a:pt x="51516" y="745889"/>
                  <a:pt x="26742" y="805357"/>
                  <a:pt x="57150" y="814713"/>
                </a:cubicBezTo>
                <a:cubicBezTo>
                  <a:pt x="66751" y="817667"/>
                  <a:pt x="248114" y="780330"/>
                  <a:pt x="266700" y="776613"/>
                </a:cubicBezTo>
                <a:cubicBezTo>
                  <a:pt x="290593" y="633254"/>
                  <a:pt x="266700" y="801168"/>
                  <a:pt x="266700" y="509913"/>
                </a:cubicBezTo>
                <a:cubicBezTo>
                  <a:pt x="266700" y="283161"/>
                  <a:pt x="272633" y="226829"/>
                  <a:pt x="285750" y="43188"/>
                </a:cubicBezTo>
                <a:cubicBezTo>
                  <a:pt x="199373" y="0"/>
                  <a:pt x="111125" y="19376"/>
                  <a:pt x="76200" y="14613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cap="flat" cmpd="sng" algn="ctr">
                <a:solidFill>
                  <a:srgbClr val="000000"/>
                </a:solidFill>
                <a:prstDash val="solid"/>
                <a:round/>
                <a:headEnd type="none" w="med" len="med"/>
                <a:tailEnd type="none" w="med" len="med"/>
              </a14:hiddenLine>
            </a:ext>
          </a:extLst>
        </xdr:spPr>
      </xdr:sp>
    </xdr:grpSp>
    <xdr:clientData/>
  </xdr:twoCellAnchor>
  <xdr:twoCellAnchor editAs="oneCell">
    <xdr:from>
      <xdr:col>23</xdr:col>
      <xdr:colOff>80211</xdr:colOff>
      <xdr:row>4</xdr:row>
      <xdr:rowOff>88231</xdr:rowOff>
    </xdr:from>
    <xdr:to>
      <xdr:col>29</xdr:col>
      <xdr:colOff>38903</xdr:colOff>
      <xdr:row>15</xdr:row>
      <xdr:rowOff>88231</xdr:rowOff>
    </xdr:to>
    <xdr:pic>
      <xdr:nvPicPr>
        <xdr:cNvPr id="53" name="Obrázek 39">
          <a:extLst>
            <a:ext uri="{FF2B5EF4-FFF2-40B4-BE49-F238E27FC236}">
              <a16:creationId xmlns:a16="http://schemas.microsoft.com/office/drawing/2014/main" id="{00000000-0008-0000-14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06190" y="986589"/>
          <a:ext cx="1258102" cy="2029326"/>
        </a:xfrm>
        <a:prstGeom prst="rect">
          <a:avLst/>
        </a:prstGeom>
        <a:noFill/>
        <a:ln w="28575">
          <a:solidFill>
            <a:srgbClr val="A6A6A6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144380</xdr:colOff>
      <xdr:row>8</xdr:row>
      <xdr:rowOff>112295</xdr:rowOff>
    </xdr:from>
    <xdr:to>
      <xdr:col>34</xdr:col>
      <xdr:colOff>96252</xdr:colOff>
      <xdr:row>14</xdr:row>
      <xdr:rowOff>152983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769769" y="1748590"/>
          <a:ext cx="1034715" cy="1147593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3</xdr:row>
      <xdr:rowOff>280737</xdr:rowOff>
    </xdr:from>
    <xdr:to>
      <xdr:col>23</xdr:col>
      <xdr:colOff>169471</xdr:colOff>
      <xdr:row>14</xdr:row>
      <xdr:rowOff>128337</xdr:rowOff>
    </xdr:to>
    <xdr:grpSp>
      <xdr:nvGrpSpPr>
        <xdr:cNvPr id="29" name="Skupina 96">
          <a:extLst>
            <a:ext uri="{FF2B5EF4-FFF2-40B4-BE49-F238E27FC236}">
              <a16:creationId xmlns:a16="http://schemas.microsoft.com/office/drawing/2014/main" id="{00000000-0008-0000-1500-00001D000000}"/>
            </a:ext>
          </a:extLst>
        </xdr:cNvPr>
        <xdr:cNvGrpSpPr>
          <a:grpSpLocks noChangeAspect="1"/>
        </xdr:cNvGrpSpPr>
      </xdr:nvGrpSpPr>
      <xdr:grpSpPr bwMode="auto">
        <a:xfrm>
          <a:off x="3641558" y="890337"/>
          <a:ext cx="2262966" cy="1981200"/>
          <a:chOff x="9103519" y="4391025"/>
          <a:chExt cx="976394" cy="805761"/>
        </a:xfrm>
      </xdr:grpSpPr>
      <xdr:sp macro="" textlink="">
        <xdr:nvSpPr>
          <xdr:cNvPr id="30" name="Obdélník 98">
            <a:extLst>
              <a:ext uri="{FF2B5EF4-FFF2-40B4-BE49-F238E27FC236}">
                <a16:creationId xmlns:a16="http://schemas.microsoft.com/office/drawing/2014/main" id="{00000000-0008-0000-1500-00001E000000}"/>
              </a:ext>
            </a:extLst>
          </xdr:cNvPr>
          <xdr:cNvSpPr>
            <a:spLocks noChangeArrowheads="1"/>
          </xdr:cNvSpPr>
        </xdr:nvSpPr>
        <xdr:spPr bwMode="auto">
          <a:xfrm>
            <a:off x="9179719" y="4484886"/>
            <a:ext cx="771525" cy="418303"/>
          </a:xfrm>
          <a:prstGeom prst="rect">
            <a:avLst/>
          </a:prstGeom>
          <a:solidFill>
            <a:srgbClr val="C6D9F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31" name="Obdélník 99">
            <a:extLst>
              <a:ext uri="{FF2B5EF4-FFF2-40B4-BE49-F238E27FC236}">
                <a16:creationId xmlns:a16="http://schemas.microsoft.com/office/drawing/2014/main" id="{00000000-0008-0000-1500-00001F000000}"/>
              </a:ext>
            </a:extLst>
          </xdr:cNvPr>
          <xdr:cNvSpPr>
            <a:spLocks noChangeArrowheads="1"/>
          </xdr:cNvSpPr>
        </xdr:nvSpPr>
        <xdr:spPr bwMode="auto">
          <a:xfrm>
            <a:off x="9170194" y="4915644"/>
            <a:ext cx="771525" cy="126452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32" name="Obdélník 100">
            <a:extLst>
              <a:ext uri="{FF2B5EF4-FFF2-40B4-BE49-F238E27FC236}">
                <a16:creationId xmlns:a16="http://schemas.microsoft.com/office/drawing/2014/main" id="{00000000-0008-0000-1500-000020000000}"/>
              </a:ext>
            </a:extLst>
          </xdr:cNvPr>
          <xdr:cNvSpPr>
            <a:spLocks noChangeArrowheads="1"/>
          </xdr:cNvSpPr>
        </xdr:nvSpPr>
        <xdr:spPr bwMode="auto">
          <a:xfrm>
            <a:off x="9103519" y="4433584"/>
            <a:ext cx="85726" cy="677893"/>
          </a:xfrm>
          <a:prstGeom prst="rect">
            <a:avLst/>
          </a:prstGeom>
          <a:solidFill>
            <a:srgbClr val="FFFFE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33" name="Volný tvar 101">
            <a:extLst>
              <a:ext uri="{FF2B5EF4-FFF2-40B4-BE49-F238E27FC236}">
                <a16:creationId xmlns:a16="http://schemas.microsoft.com/office/drawing/2014/main" id="{00000000-0008-0000-1500-000021000000}"/>
              </a:ext>
            </a:extLst>
          </xdr:cNvPr>
          <xdr:cNvSpPr>
            <a:spLocks/>
          </xdr:cNvSpPr>
        </xdr:nvSpPr>
        <xdr:spPr bwMode="auto">
          <a:xfrm>
            <a:off x="9789320" y="4391025"/>
            <a:ext cx="290593" cy="805761"/>
          </a:xfrm>
          <a:custGeom>
            <a:avLst/>
            <a:gdLst>
              <a:gd name="T0" fmla="*/ 76200 w 290593"/>
              <a:gd name="T1" fmla="*/ 5010 h 817667"/>
              <a:gd name="T2" fmla="*/ 76200 w 290593"/>
              <a:gd name="T3" fmla="*/ 5010 h 817667"/>
              <a:gd name="T4" fmla="*/ 77390 w 290593"/>
              <a:gd name="T5" fmla="*/ 34148 h 817667"/>
              <a:gd name="T6" fmla="*/ 38100 w 290593"/>
              <a:gd name="T7" fmla="*/ 57244 h 817667"/>
              <a:gd name="T8" fmla="*/ 85725 w 290593"/>
              <a:gd name="T9" fmla="*/ 73568 h 817667"/>
              <a:gd name="T10" fmla="*/ 57150 w 290593"/>
              <a:gd name="T11" fmla="*/ 129068 h 817667"/>
              <a:gd name="T12" fmla="*/ 28575 w 290593"/>
              <a:gd name="T13" fmla="*/ 132332 h 817667"/>
              <a:gd name="T14" fmla="*/ 28575 w 290593"/>
              <a:gd name="T15" fmla="*/ 168242 h 817667"/>
              <a:gd name="T16" fmla="*/ 47625 w 290593"/>
              <a:gd name="T17" fmla="*/ 178034 h 817667"/>
              <a:gd name="T18" fmla="*/ 38100 w 290593"/>
              <a:gd name="T19" fmla="*/ 197624 h 817667"/>
              <a:gd name="T20" fmla="*/ 9525 w 290593"/>
              <a:gd name="T21" fmla="*/ 200890 h 817667"/>
              <a:gd name="T22" fmla="*/ 0 w 290593"/>
              <a:gd name="T23" fmla="*/ 210682 h 817667"/>
              <a:gd name="T24" fmla="*/ 19050 w 290593"/>
              <a:gd name="T25" fmla="*/ 230271 h 817667"/>
              <a:gd name="T26" fmla="*/ 57150 w 290593"/>
              <a:gd name="T27" fmla="*/ 249858 h 817667"/>
              <a:gd name="T28" fmla="*/ 57150 w 290593"/>
              <a:gd name="T29" fmla="*/ 279239 h 817667"/>
              <a:gd name="T30" fmla="*/ 266700 w 290593"/>
              <a:gd name="T31" fmla="*/ 266183 h 817667"/>
              <a:gd name="T32" fmla="*/ 266700 w 290593"/>
              <a:gd name="T33" fmla="*/ 174772 h 817667"/>
              <a:gd name="T34" fmla="*/ 285750 w 290593"/>
              <a:gd name="T35" fmla="*/ 14801 h 817667"/>
              <a:gd name="T36" fmla="*/ 76200 w 290593"/>
              <a:gd name="T37" fmla="*/ 5010 h 817667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w 290593"/>
              <a:gd name="T58" fmla="*/ 0 h 817667"/>
              <a:gd name="T59" fmla="*/ 290593 w 290593"/>
              <a:gd name="T60" fmla="*/ 817667 h 817667"/>
            </a:gdLst>
            <a:ahLst/>
            <a:cxnLst>
              <a:cxn ang="T38">
                <a:pos x="T0" y="T1"/>
              </a:cxn>
              <a:cxn ang="T39">
                <a:pos x="T2" y="T3"/>
              </a:cxn>
              <a:cxn ang="T40">
                <a:pos x="T4" y="T5"/>
              </a:cxn>
              <a:cxn ang="T41">
                <a:pos x="T6" y="T7"/>
              </a:cxn>
              <a:cxn ang="T42">
                <a:pos x="T8" y="T9"/>
              </a:cxn>
              <a:cxn ang="T43">
                <a:pos x="T10" y="T11"/>
              </a:cxn>
              <a:cxn ang="T44">
                <a:pos x="T12" y="T13"/>
              </a:cxn>
              <a:cxn ang="T45">
                <a:pos x="T14" y="T15"/>
              </a:cxn>
              <a:cxn ang="T46">
                <a:pos x="T16" y="T17"/>
              </a:cxn>
              <a:cxn ang="T47">
                <a:pos x="T18" y="T19"/>
              </a:cxn>
              <a:cxn ang="T48">
                <a:pos x="T20" y="T21"/>
              </a:cxn>
              <a:cxn ang="T49">
                <a:pos x="T22" y="T23"/>
              </a:cxn>
              <a:cxn ang="T50">
                <a:pos x="T24" y="T25"/>
              </a:cxn>
              <a:cxn ang="T51">
                <a:pos x="T26" y="T27"/>
              </a:cxn>
              <a:cxn ang="T52">
                <a:pos x="T28" y="T29"/>
              </a:cxn>
              <a:cxn ang="T53">
                <a:pos x="T30" y="T31"/>
              </a:cxn>
              <a:cxn ang="T54">
                <a:pos x="T32" y="T33"/>
              </a:cxn>
              <a:cxn ang="T55">
                <a:pos x="T34" y="T35"/>
              </a:cxn>
              <a:cxn ang="T56">
                <a:pos x="T36" y="T37"/>
              </a:cxn>
            </a:cxnLst>
            <a:rect l="T57" t="T58" r="T59" b="T60"/>
            <a:pathLst>
              <a:path w="290593" h="817667">
                <a:moveTo>
                  <a:pt x="76200" y="14613"/>
                </a:moveTo>
                <a:lnTo>
                  <a:pt x="76200" y="14613"/>
                </a:lnTo>
                <a:cubicBezTo>
                  <a:pt x="86511" y="42109"/>
                  <a:pt x="109205" y="63275"/>
                  <a:pt x="77390" y="99635"/>
                </a:cubicBezTo>
                <a:cubicBezTo>
                  <a:pt x="64167" y="114747"/>
                  <a:pt x="38100" y="167013"/>
                  <a:pt x="38100" y="167013"/>
                </a:cubicBezTo>
                <a:cubicBezTo>
                  <a:pt x="52096" y="176344"/>
                  <a:pt x="84429" y="192607"/>
                  <a:pt x="85725" y="214638"/>
                </a:cubicBezTo>
                <a:cubicBezTo>
                  <a:pt x="86693" y="231091"/>
                  <a:pt x="98014" y="343872"/>
                  <a:pt x="57150" y="376563"/>
                </a:cubicBezTo>
                <a:cubicBezTo>
                  <a:pt x="49310" y="382835"/>
                  <a:pt x="38100" y="382913"/>
                  <a:pt x="28575" y="386088"/>
                </a:cubicBezTo>
                <a:cubicBezTo>
                  <a:pt x="13701" y="430709"/>
                  <a:pt x="10804" y="425702"/>
                  <a:pt x="28575" y="490863"/>
                </a:cubicBezTo>
                <a:cubicBezTo>
                  <a:pt x="31587" y="501907"/>
                  <a:pt x="41275" y="509913"/>
                  <a:pt x="47625" y="519438"/>
                </a:cubicBezTo>
                <a:cubicBezTo>
                  <a:pt x="44450" y="538488"/>
                  <a:pt x="47682" y="559820"/>
                  <a:pt x="38100" y="576588"/>
                </a:cubicBezTo>
                <a:cubicBezTo>
                  <a:pt x="33119" y="585305"/>
                  <a:pt x="16625" y="579013"/>
                  <a:pt x="9525" y="586113"/>
                </a:cubicBezTo>
                <a:cubicBezTo>
                  <a:pt x="2425" y="593213"/>
                  <a:pt x="3175" y="605163"/>
                  <a:pt x="0" y="614688"/>
                </a:cubicBezTo>
                <a:cubicBezTo>
                  <a:pt x="6350" y="633738"/>
                  <a:pt x="7911" y="655130"/>
                  <a:pt x="19050" y="671838"/>
                </a:cubicBezTo>
                <a:lnTo>
                  <a:pt x="57150" y="728988"/>
                </a:lnTo>
                <a:cubicBezTo>
                  <a:pt x="51516" y="745889"/>
                  <a:pt x="26742" y="805357"/>
                  <a:pt x="57150" y="814713"/>
                </a:cubicBezTo>
                <a:cubicBezTo>
                  <a:pt x="66751" y="817667"/>
                  <a:pt x="248114" y="780330"/>
                  <a:pt x="266700" y="776613"/>
                </a:cubicBezTo>
                <a:cubicBezTo>
                  <a:pt x="290593" y="633254"/>
                  <a:pt x="266700" y="801168"/>
                  <a:pt x="266700" y="509913"/>
                </a:cubicBezTo>
                <a:cubicBezTo>
                  <a:pt x="266700" y="283161"/>
                  <a:pt x="272633" y="226829"/>
                  <a:pt x="285750" y="43188"/>
                </a:cubicBezTo>
                <a:cubicBezTo>
                  <a:pt x="199373" y="0"/>
                  <a:pt x="111125" y="19376"/>
                  <a:pt x="76200" y="14613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cap="flat" cmpd="sng" algn="ctr">
                <a:solidFill>
                  <a:srgbClr val="000000"/>
                </a:solidFill>
                <a:prstDash val="solid"/>
                <a:round/>
                <a:headEnd type="none" w="med" len="med"/>
                <a:tailEnd type="none" w="med" len="med"/>
              </a14:hiddenLine>
            </a:ext>
          </a:extLst>
        </xdr:spPr>
      </xdr:sp>
    </xdr:grpSp>
    <xdr:clientData/>
  </xdr:twoCellAnchor>
  <xdr:twoCellAnchor editAs="oneCell">
    <xdr:from>
      <xdr:col>45</xdr:col>
      <xdr:colOff>144780</xdr:colOff>
      <xdr:row>1</xdr:row>
      <xdr:rowOff>106680</xdr:rowOff>
    </xdr:from>
    <xdr:to>
      <xdr:col>63</xdr:col>
      <xdr:colOff>487680</xdr:colOff>
      <xdr:row>4</xdr:row>
      <xdr:rowOff>144780</xdr:rowOff>
    </xdr:to>
    <xdr:pic>
      <xdr:nvPicPr>
        <xdr:cNvPr id="2" name="Picture 24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266700"/>
          <a:ext cx="960120" cy="777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22860</xdr:colOff>
      <xdr:row>70</xdr:row>
      <xdr:rowOff>67777</xdr:rowOff>
    </xdr:from>
    <xdr:to>
      <xdr:col>34</xdr:col>
      <xdr:colOff>0</xdr:colOff>
      <xdr:row>79</xdr:row>
      <xdr:rowOff>44917</xdr:rowOff>
    </xdr:to>
    <xdr:pic>
      <xdr:nvPicPr>
        <xdr:cNvPr id="3" name="Picture 11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4020" y="13204657"/>
          <a:ext cx="2110740" cy="1623060"/>
        </a:xfrm>
        <a:prstGeom prst="rect">
          <a:avLst/>
        </a:prstGeom>
        <a:noFill/>
        <a:ln w="28575">
          <a:solidFill>
            <a:srgbClr val="A6A6A6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205740</xdr:colOff>
      <xdr:row>70</xdr:row>
      <xdr:rowOff>143977</xdr:rowOff>
    </xdr:from>
    <xdr:to>
      <xdr:col>23</xdr:col>
      <xdr:colOff>68580</xdr:colOff>
      <xdr:row>79</xdr:row>
      <xdr:rowOff>176061</xdr:rowOff>
    </xdr:to>
    <xdr:grpSp>
      <xdr:nvGrpSpPr>
        <xdr:cNvPr id="4" name="Skupina 102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GrpSpPr>
          <a:grpSpLocks noChangeAspect="1"/>
        </xdr:cNvGrpSpPr>
      </xdr:nvGrpSpPr>
      <xdr:grpSpPr bwMode="auto">
        <a:xfrm>
          <a:off x="3614687" y="13378714"/>
          <a:ext cx="2188946" cy="1692442"/>
          <a:chOff x="1800224" y="3409923"/>
          <a:chExt cx="947819" cy="707831"/>
        </a:xfrm>
      </xdr:grpSpPr>
      <xdr:sp macro="" textlink="">
        <xdr:nvSpPr>
          <xdr:cNvPr id="5" name="Obdélník 103">
            <a:extLst>
              <a:ext uri="{FF2B5EF4-FFF2-40B4-BE49-F238E27FC236}">
                <a16:creationId xmlns:a16="http://schemas.microsoft.com/office/drawing/2014/main" id="{00000000-0008-0000-1500-000005000000}"/>
              </a:ext>
            </a:extLst>
          </xdr:cNvPr>
          <xdr:cNvSpPr>
            <a:spLocks noChangeArrowheads="1"/>
          </xdr:cNvSpPr>
        </xdr:nvSpPr>
        <xdr:spPr bwMode="auto">
          <a:xfrm>
            <a:off x="1838324" y="3695700"/>
            <a:ext cx="771525" cy="304800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" name="Obdélník 104">
            <a:extLst>
              <a:ext uri="{FF2B5EF4-FFF2-40B4-BE49-F238E27FC236}">
                <a16:creationId xmlns:a16="http://schemas.microsoft.com/office/drawing/2014/main" id="{00000000-0008-0000-1500-000006000000}"/>
              </a:ext>
            </a:extLst>
          </xdr:cNvPr>
          <xdr:cNvSpPr>
            <a:spLocks noChangeArrowheads="1"/>
          </xdr:cNvSpPr>
        </xdr:nvSpPr>
        <xdr:spPr bwMode="auto">
          <a:xfrm>
            <a:off x="1800224" y="3562350"/>
            <a:ext cx="54000" cy="478800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" name="Volný tvar 105">
            <a:extLst>
              <a:ext uri="{FF2B5EF4-FFF2-40B4-BE49-F238E27FC236}">
                <a16:creationId xmlns:a16="http://schemas.microsoft.com/office/drawing/2014/main" id="{00000000-0008-0000-1500-000007000000}"/>
              </a:ext>
            </a:extLst>
          </xdr:cNvPr>
          <xdr:cNvSpPr>
            <a:spLocks/>
          </xdr:cNvSpPr>
        </xdr:nvSpPr>
        <xdr:spPr bwMode="auto">
          <a:xfrm>
            <a:off x="2457450" y="3409923"/>
            <a:ext cx="290593" cy="707831"/>
          </a:xfrm>
          <a:custGeom>
            <a:avLst/>
            <a:gdLst>
              <a:gd name="T0" fmla="*/ 177463 w 290593"/>
              <a:gd name="T1" fmla="*/ 34953 h 707831"/>
              <a:gd name="T2" fmla="*/ 95250 w 290593"/>
              <a:gd name="T3" fmla="*/ 38127 h 707831"/>
              <a:gd name="T4" fmla="*/ 38100 w 290593"/>
              <a:gd name="T5" fmla="*/ 57177 h 707831"/>
              <a:gd name="T6" fmla="*/ 85725 w 290593"/>
              <a:gd name="T7" fmla="*/ 104802 h 707831"/>
              <a:gd name="T8" fmla="*/ 57150 w 290593"/>
              <a:gd name="T9" fmla="*/ 266727 h 707831"/>
              <a:gd name="T10" fmla="*/ 28575 w 290593"/>
              <a:gd name="T11" fmla="*/ 276252 h 707831"/>
              <a:gd name="T12" fmla="*/ 28575 w 290593"/>
              <a:gd name="T13" fmla="*/ 381027 h 707831"/>
              <a:gd name="T14" fmla="*/ 47625 w 290593"/>
              <a:gd name="T15" fmla="*/ 409602 h 707831"/>
              <a:gd name="T16" fmla="*/ 38100 w 290593"/>
              <a:gd name="T17" fmla="*/ 466752 h 707831"/>
              <a:gd name="T18" fmla="*/ 9525 w 290593"/>
              <a:gd name="T19" fmla="*/ 476277 h 707831"/>
              <a:gd name="T20" fmla="*/ 0 w 290593"/>
              <a:gd name="T21" fmla="*/ 504852 h 707831"/>
              <a:gd name="T22" fmla="*/ 19050 w 290593"/>
              <a:gd name="T23" fmla="*/ 562002 h 707831"/>
              <a:gd name="T24" fmla="*/ 57150 w 290593"/>
              <a:gd name="T25" fmla="*/ 619152 h 707831"/>
              <a:gd name="T26" fmla="*/ 57150 w 290593"/>
              <a:gd name="T27" fmla="*/ 704877 h 707831"/>
              <a:gd name="T28" fmla="*/ 266700 w 290593"/>
              <a:gd name="T29" fmla="*/ 666777 h 707831"/>
              <a:gd name="T30" fmla="*/ 266700 w 290593"/>
              <a:gd name="T31" fmla="*/ 400077 h 707831"/>
              <a:gd name="T32" fmla="*/ 277649 w 290593"/>
              <a:gd name="T33" fmla="*/ 43188 h 707831"/>
              <a:gd name="T34" fmla="*/ 177463 w 290593"/>
              <a:gd name="T35" fmla="*/ 34953 h 707831"/>
              <a:gd name="T36" fmla="*/ 0 60000 65536"/>
              <a:gd name="T37" fmla="*/ 0 60000 65536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w 290593"/>
              <a:gd name="T55" fmla="*/ 0 h 707831"/>
              <a:gd name="T56" fmla="*/ 290593 w 290593"/>
              <a:gd name="T57" fmla="*/ 707831 h 707831"/>
            </a:gdLst>
            <a:ahLst/>
            <a:cxnLst>
              <a:cxn ang="T36">
                <a:pos x="T0" y="T1"/>
              </a:cxn>
              <a:cxn ang="T37">
                <a:pos x="T2" y="T3"/>
              </a:cxn>
              <a:cxn ang="T38">
                <a:pos x="T4" y="T5"/>
              </a:cxn>
              <a:cxn ang="T39">
                <a:pos x="T6" y="T7"/>
              </a:cxn>
              <a:cxn ang="T40">
                <a:pos x="T8" y="T9"/>
              </a:cxn>
              <a:cxn ang="T41">
                <a:pos x="T10" y="T11"/>
              </a:cxn>
              <a:cxn ang="T42">
                <a:pos x="T12" y="T13"/>
              </a:cxn>
              <a:cxn ang="T43">
                <a:pos x="T14" y="T15"/>
              </a:cxn>
              <a:cxn ang="T44">
                <a:pos x="T16" y="T17"/>
              </a:cxn>
              <a:cxn ang="T45">
                <a:pos x="T18" y="T19"/>
              </a:cxn>
              <a:cxn ang="T46">
                <a:pos x="T20" y="T21"/>
              </a:cxn>
              <a:cxn ang="T47">
                <a:pos x="T22" y="T23"/>
              </a:cxn>
              <a:cxn ang="T48">
                <a:pos x="T24" y="T25"/>
              </a:cxn>
              <a:cxn ang="T49">
                <a:pos x="T26" y="T27"/>
              </a:cxn>
              <a:cxn ang="T50">
                <a:pos x="T28" y="T29"/>
              </a:cxn>
              <a:cxn ang="T51">
                <a:pos x="T30" y="T31"/>
              </a:cxn>
              <a:cxn ang="T52">
                <a:pos x="T32" y="T33"/>
              </a:cxn>
              <a:cxn ang="T53">
                <a:pos x="T34" y="T35"/>
              </a:cxn>
            </a:cxnLst>
            <a:rect l="T54" t="T55" r="T56" b="T57"/>
            <a:pathLst>
              <a:path w="290593" h="707831">
                <a:moveTo>
                  <a:pt x="177463" y="34953"/>
                </a:moveTo>
                <a:lnTo>
                  <a:pt x="95250" y="38127"/>
                </a:lnTo>
                <a:cubicBezTo>
                  <a:pt x="82027" y="53239"/>
                  <a:pt x="38100" y="57177"/>
                  <a:pt x="38100" y="57177"/>
                </a:cubicBezTo>
                <a:cubicBezTo>
                  <a:pt x="52096" y="66508"/>
                  <a:pt x="84429" y="82771"/>
                  <a:pt x="85725" y="104802"/>
                </a:cubicBezTo>
                <a:cubicBezTo>
                  <a:pt x="86693" y="121255"/>
                  <a:pt x="98014" y="234036"/>
                  <a:pt x="57150" y="266727"/>
                </a:cubicBezTo>
                <a:cubicBezTo>
                  <a:pt x="49310" y="272999"/>
                  <a:pt x="38100" y="273077"/>
                  <a:pt x="28575" y="276252"/>
                </a:cubicBezTo>
                <a:cubicBezTo>
                  <a:pt x="13701" y="320873"/>
                  <a:pt x="10804" y="315866"/>
                  <a:pt x="28575" y="381027"/>
                </a:cubicBezTo>
                <a:cubicBezTo>
                  <a:pt x="31587" y="392071"/>
                  <a:pt x="41275" y="400077"/>
                  <a:pt x="47625" y="409602"/>
                </a:cubicBezTo>
                <a:cubicBezTo>
                  <a:pt x="44450" y="428652"/>
                  <a:pt x="47682" y="449984"/>
                  <a:pt x="38100" y="466752"/>
                </a:cubicBezTo>
                <a:cubicBezTo>
                  <a:pt x="33119" y="475469"/>
                  <a:pt x="16625" y="469177"/>
                  <a:pt x="9525" y="476277"/>
                </a:cubicBezTo>
                <a:cubicBezTo>
                  <a:pt x="2425" y="483377"/>
                  <a:pt x="3175" y="495327"/>
                  <a:pt x="0" y="504852"/>
                </a:cubicBezTo>
                <a:cubicBezTo>
                  <a:pt x="6350" y="523902"/>
                  <a:pt x="7911" y="545294"/>
                  <a:pt x="19050" y="562002"/>
                </a:cubicBezTo>
                <a:lnTo>
                  <a:pt x="57150" y="619152"/>
                </a:lnTo>
                <a:cubicBezTo>
                  <a:pt x="51516" y="636053"/>
                  <a:pt x="26742" y="695521"/>
                  <a:pt x="57150" y="704877"/>
                </a:cubicBezTo>
                <a:cubicBezTo>
                  <a:pt x="66751" y="707831"/>
                  <a:pt x="248114" y="670494"/>
                  <a:pt x="266700" y="666777"/>
                </a:cubicBezTo>
                <a:cubicBezTo>
                  <a:pt x="290593" y="523418"/>
                  <a:pt x="266700" y="691332"/>
                  <a:pt x="266700" y="400077"/>
                </a:cubicBezTo>
                <a:cubicBezTo>
                  <a:pt x="266700" y="173325"/>
                  <a:pt x="264532" y="226829"/>
                  <a:pt x="277649" y="43188"/>
                </a:cubicBezTo>
                <a:cubicBezTo>
                  <a:pt x="191272" y="0"/>
                  <a:pt x="212388" y="39716"/>
                  <a:pt x="177463" y="34953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cap="flat" cmpd="sng" algn="ctr">
                <a:solidFill>
                  <a:srgbClr val="000000"/>
                </a:solidFill>
                <a:prstDash val="solid"/>
                <a:round/>
                <a:headEnd type="none" w="med" len="med"/>
                <a:tailEnd type="none" w="med" len="med"/>
              </a14:hiddenLine>
            </a:ext>
          </a:extLst>
        </xdr:spPr>
      </xdr:sp>
    </xdr:grpSp>
    <xdr:clientData/>
  </xdr:twoCellAnchor>
  <xdr:twoCellAnchor editAs="oneCell">
    <xdr:from>
      <xdr:col>4</xdr:col>
      <xdr:colOff>403860</xdr:colOff>
      <xdr:row>86</xdr:row>
      <xdr:rowOff>45720</xdr:rowOff>
    </xdr:from>
    <xdr:to>
      <xdr:col>23</xdr:col>
      <xdr:colOff>129540</xdr:colOff>
      <xdr:row>94</xdr:row>
      <xdr:rowOff>160020</xdr:rowOff>
    </xdr:to>
    <xdr:pic>
      <xdr:nvPicPr>
        <xdr:cNvPr id="8" name="Obrázek 17">
          <a:extLst>
            <a:ext uri="{FF2B5EF4-FFF2-40B4-BE49-F238E27FC236}">
              <a16:creationId xmlns:a16="http://schemas.microsoft.com/office/drawing/2014/main" id="{00000000-0008-0000-15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400" y="16108680"/>
          <a:ext cx="4091940" cy="1577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</xdr:col>
      <xdr:colOff>160423</xdr:colOff>
      <xdr:row>5</xdr:row>
      <xdr:rowOff>48129</xdr:rowOff>
    </xdr:from>
    <xdr:to>
      <xdr:col>23</xdr:col>
      <xdr:colOff>88233</xdr:colOff>
      <xdr:row>14</xdr:row>
      <xdr:rowOff>164033</xdr:rowOff>
    </xdr:to>
    <xdr:grpSp>
      <xdr:nvGrpSpPr>
        <xdr:cNvPr id="23" name="Skupina 21">
          <a:extLst>
            <a:ext uri="{FF2B5EF4-FFF2-40B4-BE49-F238E27FC236}">
              <a16:creationId xmlns:a16="http://schemas.microsoft.com/office/drawing/2014/main" id="{00000000-0008-0000-1500-000017000000}"/>
            </a:ext>
          </a:extLst>
        </xdr:cNvPr>
        <xdr:cNvGrpSpPr>
          <a:grpSpLocks noChangeAspect="1"/>
        </xdr:cNvGrpSpPr>
      </xdr:nvGrpSpPr>
      <xdr:grpSpPr bwMode="auto">
        <a:xfrm>
          <a:off x="4267202" y="1130971"/>
          <a:ext cx="1556084" cy="1776262"/>
          <a:chOff x="1771649" y="3377086"/>
          <a:chExt cx="672216" cy="740669"/>
        </a:xfrm>
      </xdr:grpSpPr>
      <xdr:sp macro="" textlink="">
        <xdr:nvSpPr>
          <xdr:cNvPr id="24" name="Obdélník 19">
            <a:extLst>
              <a:ext uri="{FF2B5EF4-FFF2-40B4-BE49-F238E27FC236}">
                <a16:creationId xmlns:a16="http://schemas.microsoft.com/office/drawing/2014/main" id="{00000000-0008-0000-1500-000018000000}"/>
              </a:ext>
            </a:extLst>
          </xdr:cNvPr>
          <xdr:cNvSpPr>
            <a:spLocks noChangeArrowheads="1"/>
          </xdr:cNvSpPr>
        </xdr:nvSpPr>
        <xdr:spPr bwMode="auto">
          <a:xfrm>
            <a:off x="1838325" y="3695700"/>
            <a:ext cx="553256" cy="304800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5" name="Obdélník 18">
            <a:extLst>
              <a:ext uri="{FF2B5EF4-FFF2-40B4-BE49-F238E27FC236}">
                <a16:creationId xmlns:a16="http://schemas.microsoft.com/office/drawing/2014/main" id="{00000000-0008-0000-1500-000019000000}"/>
              </a:ext>
            </a:extLst>
          </xdr:cNvPr>
          <xdr:cNvSpPr>
            <a:spLocks noChangeArrowheads="1"/>
          </xdr:cNvSpPr>
        </xdr:nvSpPr>
        <xdr:spPr bwMode="auto">
          <a:xfrm>
            <a:off x="1771649" y="3562350"/>
            <a:ext cx="85726" cy="514350"/>
          </a:xfrm>
          <a:prstGeom prst="rect">
            <a:avLst/>
          </a:prstGeom>
          <a:solidFill>
            <a:srgbClr val="FFFFE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6" name="Volný tvar 20">
            <a:extLst>
              <a:ext uri="{FF2B5EF4-FFF2-40B4-BE49-F238E27FC236}">
                <a16:creationId xmlns:a16="http://schemas.microsoft.com/office/drawing/2014/main" id="{00000000-0008-0000-1500-00001A000000}"/>
              </a:ext>
            </a:extLst>
          </xdr:cNvPr>
          <xdr:cNvSpPr>
            <a:spLocks/>
          </xdr:cNvSpPr>
        </xdr:nvSpPr>
        <xdr:spPr bwMode="auto">
          <a:xfrm>
            <a:off x="2192299" y="3377086"/>
            <a:ext cx="251566" cy="740669"/>
          </a:xfrm>
          <a:custGeom>
            <a:avLst/>
            <a:gdLst>
              <a:gd name="T0" fmla="*/ 76200 w 290593"/>
              <a:gd name="T1" fmla="*/ 16 h 817667"/>
              <a:gd name="T2" fmla="*/ 76200 w 290593"/>
              <a:gd name="T3" fmla="*/ 16 h 817667"/>
              <a:gd name="T4" fmla="*/ 95250 w 290593"/>
              <a:gd name="T5" fmla="*/ 161 h 817667"/>
              <a:gd name="T6" fmla="*/ 38100 w 290593"/>
              <a:gd name="T7" fmla="*/ 181 h 817667"/>
              <a:gd name="T8" fmla="*/ 85725 w 290593"/>
              <a:gd name="T9" fmla="*/ 233 h 817667"/>
              <a:gd name="T10" fmla="*/ 65211 w 290593"/>
              <a:gd name="T11" fmla="*/ 318 h 817667"/>
              <a:gd name="T12" fmla="*/ 28575 w 290593"/>
              <a:gd name="T13" fmla="*/ 421 h 817667"/>
              <a:gd name="T14" fmla="*/ 28575 w 290593"/>
              <a:gd name="T15" fmla="*/ 534 h 817667"/>
              <a:gd name="T16" fmla="*/ 47625 w 290593"/>
              <a:gd name="T17" fmla="*/ 566 h 817667"/>
              <a:gd name="T18" fmla="*/ 38100 w 290593"/>
              <a:gd name="T19" fmla="*/ 627 h 817667"/>
              <a:gd name="T20" fmla="*/ 9525 w 290593"/>
              <a:gd name="T21" fmla="*/ 637 h 817667"/>
              <a:gd name="T22" fmla="*/ 0 w 290593"/>
              <a:gd name="T23" fmla="*/ 668 h 817667"/>
              <a:gd name="T24" fmla="*/ 19050 w 290593"/>
              <a:gd name="T25" fmla="*/ 730 h 817667"/>
              <a:gd name="T26" fmla="*/ 57150 w 290593"/>
              <a:gd name="T27" fmla="*/ 793 h 817667"/>
              <a:gd name="T28" fmla="*/ 57150 w 290593"/>
              <a:gd name="T29" fmla="*/ 885 h 817667"/>
              <a:gd name="T30" fmla="*/ 266700 w 290593"/>
              <a:gd name="T31" fmla="*/ 844 h 817667"/>
              <a:gd name="T32" fmla="*/ 266700 w 290593"/>
              <a:gd name="T33" fmla="*/ 554 h 817667"/>
              <a:gd name="T34" fmla="*/ 285750 w 290593"/>
              <a:gd name="T35" fmla="*/ 47 h 817667"/>
              <a:gd name="T36" fmla="*/ 76200 w 290593"/>
              <a:gd name="T37" fmla="*/ 16 h 817667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w 290593"/>
              <a:gd name="T58" fmla="*/ 0 h 817667"/>
              <a:gd name="T59" fmla="*/ 290593 w 290593"/>
              <a:gd name="T60" fmla="*/ 817667 h 817667"/>
            </a:gdLst>
            <a:ahLst/>
            <a:cxnLst>
              <a:cxn ang="T38">
                <a:pos x="T0" y="T1"/>
              </a:cxn>
              <a:cxn ang="T39">
                <a:pos x="T2" y="T3"/>
              </a:cxn>
              <a:cxn ang="T40">
                <a:pos x="T4" y="T5"/>
              </a:cxn>
              <a:cxn ang="T41">
                <a:pos x="T6" y="T7"/>
              </a:cxn>
              <a:cxn ang="T42">
                <a:pos x="T8" y="T9"/>
              </a:cxn>
              <a:cxn ang="T43">
                <a:pos x="T10" y="T11"/>
              </a:cxn>
              <a:cxn ang="T44">
                <a:pos x="T12" y="T13"/>
              </a:cxn>
              <a:cxn ang="T45">
                <a:pos x="T14" y="T15"/>
              </a:cxn>
              <a:cxn ang="T46">
                <a:pos x="T16" y="T17"/>
              </a:cxn>
              <a:cxn ang="T47">
                <a:pos x="T18" y="T19"/>
              </a:cxn>
              <a:cxn ang="T48">
                <a:pos x="T20" y="T21"/>
              </a:cxn>
              <a:cxn ang="T49">
                <a:pos x="T22" y="T23"/>
              </a:cxn>
              <a:cxn ang="T50">
                <a:pos x="T24" y="T25"/>
              </a:cxn>
              <a:cxn ang="T51">
                <a:pos x="T26" y="T27"/>
              </a:cxn>
              <a:cxn ang="T52">
                <a:pos x="T28" y="T29"/>
              </a:cxn>
              <a:cxn ang="T53">
                <a:pos x="T30" y="T31"/>
              </a:cxn>
              <a:cxn ang="T54">
                <a:pos x="T32" y="T33"/>
              </a:cxn>
              <a:cxn ang="T55">
                <a:pos x="T34" y="T35"/>
              </a:cxn>
              <a:cxn ang="T56">
                <a:pos x="T36" y="T37"/>
              </a:cxn>
            </a:cxnLst>
            <a:rect l="T57" t="T58" r="T59" b="T60"/>
            <a:pathLst>
              <a:path w="290593" h="817667">
                <a:moveTo>
                  <a:pt x="76200" y="14613"/>
                </a:moveTo>
                <a:lnTo>
                  <a:pt x="76200" y="14613"/>
                </a:lnTo>
                <a:cubicBezTo>
                  <a:pt x="86511" y="42109"/>
                  <a:pt x="127065" y="111603"/>
                  <a:pt x="95250" y="147963"/>
                </a:cubicBezTo>
                <a:cubicBezTo>
                  <a:pt x="82027" y="163075"/>
                  <a:pt x="38100" y="167013"/>
                  <a:pt x="38100" y="167013"/>
                </a:cubicBezTo>
                <a:cubicBezTo>
                  <a:pt x="52096" y="176344"/>
                  <a:pt x="84429" y="192607"/>
                  <a:pt x="85725" y="214638"/>
                </a:cubicBezTo>
                <a:cubicBezTo>
                  <a:pt x="86693" y="231091"/>
                  <a:pt x="106075" y="259086"/>
                  <a:pt x="65211" y="291777"/>
                </a:cubicBezTo>
                <a:cubicBezTo>
                  <a:pt x="57371" y="298049"/>
                  <a:pt x="38100" y="382913"/>
                  <a:pt x="28575" y="386088"/>
                </a:cubicBezTo>
                <a:cubicBezTo>
                  <a:pt x="13701" y="430709"/>
                  <a:pt x="10804" y="425702"/>
                  <a:pt x="28575" y="490863"/>
                </a:cubicBezTo>
                <a:cubicBezTo>
                  <a:pt x="31587" y="501907"/>
                  <a:pt x="41275" y="509913"/>
                  <a:pt x="47625" y="519438"/>
                </a:cubicBezTo>
                <a:cubicBezTo>
                  <a:pt x="44450" y="538488"/>
                  <a:pt x="47682" y="559820"/>
                  <a:pt x="38100" y="576588"/>
                </a:cubicBezTo>
                <a:cubicBezTo>
                  <a:pt x="33119" y="585305"/>
                  <a:pt x="16625" y="579013"/>
                  <a:pt x="9525" y="586113"/>
                </a:cubicBezTo>
                <a:cubicBezTo>
                  <a:pt x="2425" y="593213"/>
                  <a:pt x="3175" y="605163"/>
                  <a:pt x="0" y="614688"/>
                </a:cubicBezTo>
                <a:cubicBezTo>
                  <a:pt x="6350" y="633738"/>
                  <a:pt x="7911" y="655130"/>
                  <a:pt x="19050" y="671838"/>
                </a:cubicBezTo>
                <a:lnTo>
                  <a:pt x="57150" y="728988"/>
                </a:lnTo>
                <a:cubicBezTo>
                  <a:pt x="51516" y="745889"/>
                  <a:pt x="26742" y="805357"/>
                  <a:pt x="57150" y="814713"/>
                </a:cubicBezTo>
                <a:cubicBezTo>
                  <a:pt x="66751" y="817667"/>
                  <a:pt x="248114" y="780330"/>
                  <a:pt x="266700" y="776613"/>
                </a:cubicBezTo>
                <a:cubicBezTo>
                  <a:pt x="290593" y="633254"/>
                  <a:pt x="266700" y="801168"/>
                  <a:pt x="266700" y="509913"/>
                </a:cubicBezTo>
                <a:cubicBezTo>
                  <a:pt x="266700" y="283161"/>
                  <a:pt x="272633" y="226829"/>
                  <a:pt x="285750" y="43188"/>
                </a:cubicBezTo>
                <a:cubicBezTo>
                  <a:pt x="199373" y="0"/>
                  <a:pt x="111125" y="19376"/>
                  <a:pt x="76200" y="14613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cap="flat" cmpd="sng" algn="ctr">
                <a:solidFill>
                  <a:srgbClr val="000000"/>
                </a:solidFill>
                <a:prstDash val="solid"/>
                <a:round/>
                <a:headEnd type="none" w="med" len="med"/>
                <a:tailEnd type="none" w="med" len="med"/>
              </a14:hiddenLine>
            </a:ext>
          </a:extLst>
        </xdr:spPr>
      </xdr:sp>
    </xdr:grpSp>
    <xdr:clientData/>
  </xdr:twoCellAnchor>
  <xdr:twoCellAnchor editAs="oneCell">
    <xdr:from>
      <xdr:col>23</xdr:col>
      <xdr:colOff>80211</xdr:colOff>
      <xdr:row>4</xdr:row>
      <xdr:rowOff>88231</xdr:rowOff>
    </xdr:from>
    <xdr:to>
      <xdr:col>29</xdr:col>
      <xdr:colOff>38903</xdr:colOff>
      <xdr:row>15</xdr:row>
      <xdr:rowOff>88231</xdr:rowOff>
    </xdr:to>
    <xdr:pic>
      <xdr:nvPicPr>
        <xdr:cNvPr id="27" name="Obrázek 39">
          <a:extLst>
            <a:ext uri="{FF2B5EF4-FFF2-40B4-BE49-F238E27FC236}">
              <a16:creationId xmlns:a16="http://schemas.microsoft.com/office/drawing/2014/main" id="{00000000-0008-0000-15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8011" y="987391"/>
          <a:ext cx="1238852" cy="2011680"/>
        </a:xfrm>
        <a:prstGeom prst="rect">
          <a:avLst/>
        </a:prstGeom>
        <a:noFill/>
        <a:ln w="28575">
          <a:solidFill>
            <a:srgbClr val="A6A6A6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35</xdr:col>
      <xdr:colOff>104277</xdr:colOff>
      <xdr:row>16</xdr:row>
      <xdr:rowOff>40088</xdr:rowOff>
    </xdr:from>
    <xdr:to>
      <xdr:col>39</xdr:col>
      <xdr:colOff>97959</xdr:colOff>
      <xdr:row>27</xdr:row>
      <xdr:rowOff>47706</xdr:rowOff>
    </xdr:to>
    <xdr:grpSp>
      <xdr:nvGrpSpPr>
        <xdr:cNvPr id="21" name="Skupina 20">
          <a:extLst>
            <a:ext uri="{FF2B5EF4-FFF2-40B4-BE49-F238E27FC236}">
              <a16:creationId xmlns:a16="http://schemas.microsoft.com/office/drawing/2014/main" id="{00000000-0008-0000-1500-000015000000}"/>
            </a:ext>
          </a:extLst>
        </xdr:cNvPr>
        <xdr:cNvGrpSpPr/>
      </xdr:nvGrpSpPr>
      <xdr:grpSpPr>
        <a:xfrm>
          <a:off x="8630656" y="3152256"/>
          <a:ext cx="924124" cy="2036945"/>
          <a:chOff x="8029077" y="3152256"/>
          <a:chExt cx="859956" cy="2036945"/>
        </a:xfrm>
      </xdr:grpSpPr>
      <xdr:sp macro="" textlink="">
        <xdr:nvSpPr>
          <xdr:cNvPr id="10" name="Obdélník 23">
            <a:extLst>
              <a:ext uri="{FF2B5EF4-FFF2-40B4-BE49-F238E27FC236}">
                <a16:creationId xmlns:a16="http://schemas.microsoft.com/office/drawing/2014/main" id="{00000000-0008-0000-1500-00000A000000}"/>
              </a:ext>
            </a:extLst>
          </xdr:cNvPr>
          <xdr:cNvSpPr>
            <a:spLocks noChangeArrowheads="1"/>
          </xdr:cNvSpPr>
        </xdr:nvSpPr>
        <xdr:spPr bwMode="auto">
          <a:xfrm>
            <a:off x="8098810" y="3839508"/>
            <a:ext cx="725158" cy="162361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  <xdr:txBody>
          <a:bodyPr lIns="0" tIns="0" rIns="0" bIns="0"/>
          <a:lstStyle/>
          <a:p>
            <a:pPr algn="ctr"/>
            <a:r>
              <a:rPr lang="sk-SK" sz="1000" b="1">
                <a:solidFill>
                  <a:schemeClr val="bg1"/>
                </a:solidFill>
                <a:latin typeface="Verdana" panose="020B0604030504040204" pitchFamily="34" charset="0"/>
                <a:ea typeface="Verdana" panose="020B0604030504040204" pitchFamily="34" charset="0"/>
              </a:rPr>
              <a:t>101</a:t>
            </a:r>
            <a:endParaRPr lang="sk-SK" b="1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</a:endParaRPr>
          </a:p>
        </xdr:txBody>
      </xdr:sp>
      <xdr:grpSp>
        <xdr:nvGrpSpPr>
          <xdr:cNvPr id="13" name="Skupina 238">
            <a:extLst>
              <a:ext uri="{FF2B5EF4-FFF2-40B4-BE49-F238E27FC236}">
                <a16:creationId xmlns:a16="http://schemas.microsoft.com/office/drawing/2014/main" id="{00000000-0008-0000-1500-00000D000000}"/>
              </a:ext>
            </a:extLst>
          </xdr:cNvPr>
          <xdr:cNvGrpSpPr>
            <a:grpSpLocks/>
          </xdr:cNvGrpSpPr>
        </xdr:nvGrpSpPr>
        <xdr:grpSpPr bwMode="auto">
          <a:xfrm>
            <a:off x="8155129" y="3270092"/>
            <a:ext cx="731342" cy="183302"/>
            <a:chOff x="5702735" y="21697458"/>
            <a:chExt cx="539648" cy="119658"/>
          </a:xfrm>
        </xdr:grpSpPr>
        <xdr:sp macro="" textlink="">
          <xdr:nvSpPr>
            <xdr:cNvPr id="17" name="Obdélník 16">
              <a:extLst>
                <a:ext uri="{FF2B5EF4-FFF2-40B4-BE49-F238E27FC236}">
                  <a16:creationId xmlns:a16="http://schemas.microsoft.com/office/drawing/2014/main" id="{00000000-0008-0000-1500-000011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707298" y="21712036"/>
              <a:ext cx="535085" cy="103402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  <xdr:txBody>
            <a:bodyPr lIns="0" tIns="0" rIns="0" bIns="0"/>
            <a:lstStyle/>
            <a:p>
              <a:pPr algn="ctr"/>
              <a:r>
                <a:rPr lang="sk-SK" sz="1000" b="1">
                  <a:solidFill>
                    <a:schemeClr val="bg1"/>
                  </a:solidFill>
                  <a:latin typeface="Verdana" panose="020B0604030504040204" pitchFamily="34" charset="0"/>
                  <a:ea typeface="Verdana" panose="020B0604030504040204" pitchFamily="34" charset="0"/>
                </a:rPr>
                <a:t>101</a:t>
              </a:r>
              <a:endParaRPr lang="sk-SK" b="1">
                <a:solidFill>
                  <a:schemeClr val="bg1"/>
                </a:solidFill>
                <a:latin typeface="Verdana" panose="020B0604030504040204" pitchFamily="34" charset="0"/>
                <a:ea typeface="Verdana" panose="020B0604030504040204" pitchFamily="34" charset="0"/>
              </a:endParaRPr>
            </a:p>
          </xdr:txBody>
        </xdr:sp>
        <xdr:sp macro="" textlink="">
          <xdr:nvSpPr>
            <xdr:cNvPr id="18" name="Obdélník 30">
              <a:extLst>
                <a:ext uri="{FF2B5EF4-FFF2-40B4-BE49-F238E27FC236}">
                  <a16:creationId xmlns:a16="http://schemas.microsoft.com/office/drawing/2014/main" id="{00000000-0008-0000-1500-000012000000}"/>
                </a:ext>
              </a:extLst>
            </xdr:cNvPr>
            <xdr:cNvSpPr>
              <a:spLocks noChangeArrowheads="1"/>
            </xdr:cNvSpPr>
          </xdr:nvSpPr>
          <xdr:spPr bwMode="auto">
            <a:xfrm rot="5400000">
              <a:off x="5652204" y="21747989"/>
              <a:ext cx="119658" cy="18595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</xdr:grpSp>
      <xdr:grpSp>
        <xdr:nvGrpSpPr>
          <xdr:cNvPr id="19" name="Skupina 18">
            <a:extLst>
              <a:ext uri="{FF2B5EF4-FFF2-40B4-BE49-F238E27FC236}">
                <a16:creationId xmlns:a16="http://schemas.microsoft.com/office/drawing/2014/main" id="{00000000-0008-0000-1500-000013000000}"/>
              </a:ext>
            </a:extLst>
          </xdr:cNvPr>
          <xdr:cNvGrpSpPr/>
        </xdr:nvGrpSpPr>
        <xdr:grpSpPr>
          <a:xfrm>
            <a:off x="8146234" y="4304212"/>
            <a:ext cx="742799" cy="281254"/>
            <a:chOff x="8146234" y="4304212"/>
            <a:chExt cx="742799" cy="281254"/>
          </a:xfrm>
        </xdr:grpSpPr>
        <xdr:sp macro="" textlink="">
          <xdr:nvSpPr>
            <xdr:cNvPr id="15" name="Obdélník 23">
              <a:extLst>
                <a:ext uri="{FF2B5EF4-FFF2-40B4-BE49-F238E27FC236}">
                  <a16:creationId xmlns:a16="http://schemas.microsoft.com/office/drawing/2014/main" id="{00000000-0008-0000-1500-00000F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158594" y="4523874"/>
              <a:ext cx="725158" cy="53884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  <xdr:txBody>
            <a:bodyPr lIns="0" tIns="0" rIns="0" bIns="0" anchor="ctr"/>
            <a:lstStyle/>
            <a:p>
              <a:pPr algn="ctr"/>
              <a:endParaRPr lang="sk-SK" b="1">
                <a:solidFill>
                  <a:schemeClr val="bg1"/>
                </a:solidFill>
                <a:latin typeface="Verdana" panose="020B0604030504040204" pitchFamily="34" charset="0"/>
                <a:ea typeface="Verdana" panose="020B0604030504040204" pitchFamily="34" charset="0"/>
              </a:endParaRPr>
            </a:p>
          </xdr:txBody>
        </xdr:sp>
        <xdr:sp macro="" textlink="">
          <xdr:nvSpPr>
            <xdr:cNvPr id="53" name="Obdélník 98">
              <a:extLst>
                <a:ext uri="{FF2B5EF4-FFF2-40B4-BE49-F238E27FC236}">
                  <a16:creationId xmlns:a16="http://schemas.microsoft.com/office/drawing/2014/main" id="{00000000-0008-0000-1500-000035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165433" y="4323347"/>
              <a:ext cx="723600" cy="184485"/>
            </a:xfrm>
            <a:prstGeom prst="rect">
              <a:avLst/>
            </a:prstGeom>
            <a:solidFill>
              <a:srgbClr val="C6D9F1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  <xdr:txBody>
            <a:bodyPr lIns="0" tIns="0" rIns="0" bIns="0" anchor="ctr"/>
            <a:lstStyle/>
            <a:p>
              <a:pPr algn="ctr"/>
              <a:r>
                <a:rPr lang="sk-SK" sz="1000" b="1">
                  <a:latin typeface="Verdana" panose="020B0604030504040204" pitchFamily="34" charset="0"/>
                  <a:ea typeface="Verdana" panose="020B0604030504040204" pitchFamily="34" charset="0"/>
                </a:rPr>
                <a:t>187</a:t>
              </a:r>
            </a:p>
          </xdr:txBody>
        </xdr:sp>
        <xdr:sp macro="" textlink="">
          <xdr:nvSpPr>
            <xdr:cNvPr id="16" name="Obdélník 30">
              <a:extLst>
                <a:ext uri="{FF2B5EF4-FFF2-40B4-BE49-F238E27FC236}">
                  <a16:creationId xmlns:a16="http://schemas.microsoft.com/office/drawing/2014/main" id="{00000000-0008-0000-1500-000010000000}"/>
                </a:ext>
              </a:extLst>
            </xdr:cNvPr>
            <xdr:cNvSpPr>
              <a:spLocks noChangeArrowheads="1"/>
            </xdr:cNvSpPr>
          </xdr:nvSpPr>
          <xdr:spPr bwMode="auto">
            <a:xfrm rot="5400000">
              <a:off x="8020007" y="4430439"/>
              <a:ext cx="281254" cy="28800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</xdr:grpSp>
      <xdr:grpSp>
        <xdr:nvGrpSpPr>
          <xdr:cNvPr id="20" name="Skupina 19">
            <a:extLst>
              <a:ext uri="{FF2B5EF4-FFF2-40B4-BE49-F238E27FC236}">
                <a16:creationId xmlns:a16="http://schemas.microsoft.com/office/drawing/2014/main" id="{00000000-0008-0000-1500-000014000000}"/>
              </a:ext>
            </a:extLst>
          </xdr:cNvPr>
          <xdr:cNvGrpSpPr/>
        </xdr:nvGrpSpPr>
        <xdr:grpSpPr>
          <a:xfrm>
            <a:off x="8101264" y="4892842"/>
            <a:ext cx="725421" cy="254526"/>
            <a:chOff x="8101264" y="4892842"/>
            <a:chExt cx="725421" cy="254526"/>
          </a:xfrm>
        </xdr:grpSpPr>
        <xdr:sp macro="" textlink="">
          <xdr:nvSpPr>
            <xdr:cNvPr id="11" name="Obdélník 23">
              <a:extLst>
                <a:ext uri="{FF2B5EF4-FFF2-40B4-BE49-F238E27FC236}">
                  <a16:creationId xmlns:a16="http://schemas.microsoft.com/office/drawing/2014/main" id="{00000000-0008-0000-1500-00000B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101527" y="5093368"/>
              <a:ext cx="725158" cy="54000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  <xdr:txBody>
            <a:bodyPr lIns="0" tIns="0" rIns="0" bIns="0" anchor="ctr"/>
            <a:lstStyle/>
            <a:p>
              <a:pPr algn="ctr"/>
              <a:endParaRPr lang="sk-SK" sz="1000" b="1">
                <a:solidFill>
                  <a:schemeClr val="bg1"/>
                </a:solidFill>
                <a:latin typeface="Verdana" panose="020B0604030504040204" pitchFamily="34" charset="0"/>
                <a:ea typeface="Verdana" panose="020B0604030504040204" pitchFamily="34" charset="0"/>
              </a:endParaRPr>
            </a:p>
          </xdr:txBody>
        </xdr:sp>
        <xdr:sp macro="" textlink="">
          <xdr:nvSpPr>
            <xdr:cNvPr id="54" name="Obdélník 98">
              <a:extLst>
                <a:ext uri="{FF2B5EF4-FFF2-40B4-BE49-F238E27FC236}">
                  <a16:creationId xmlns:a16="http://schemas.microsoft.com/office/drawing/2014/main" id="{00000000-0008-0000-1500-000036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101264" y="4892842"/>
              <a:ext cx="723600" cy="184485"/>
            </a:xfrm>
            <a:prstGeom prst="rect">
              <a:avLst/>
            </a:prstGeom>
            <a:solidFill>
              <a:srgbClr val="C6D9F1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  <xdr:txBody>
            <a:bodyPr lIns="0" tIns="0" rIns="0" bIns="0" anchor="ctr"/>
            <a:lstStyle/>
            <a:p>
              <a:pPr algn="ctr"/>
              <a:r>
                <a:rPr lang="sk-SK" sz="1000" b="1">
                  <a:latin typeface="Verdana" panose="020B0604030504040204" pitchFamily="34" charset="0"/>
                  <a:ea typeface="Verdana" panose="020B0604030504040204" pitchFamily="34" charset="0"/>
                </a:rPr>
                <a:t>187</a:t>
              </a:r>
            </a:p>
          </xdr:txBody>
        </xdr:sp>
      </xdr:grpSp>
      <xdr:sp macro="" textlink="">
        <xdr:nvSpPr>
          <xdr:cNvPr id="12" name="Obdélník 24">
            <a:extLst>
              <a:ext uri="{FF2B5EF4-FFF2-40B4-BE49-F238E27FC236}">
                <a16:creationId xmlns:a16="http://schemas.microsoft.com/office/drawing/2014/main" id="{00000000-0008-0000-1500-00000C000000}"/>
              </a:ext>
            </a:extLst>
          </xdr:cNvPr>
          <xdr:cNvSpPr>
            <a:spLocks noChangeArrowheads="1"/>
          </xdr:cNvSpPr>
        </xdr:nvSpPr>
        <xdr:spPr bwMode="auto">
          <a:xfrm>
            <a:off x="8029077" y="3152256"/>
            <a:ext cx="82086" cy="2036945"/>
          </a:xfrm>
          <a:prstGeom prst="rect">
            <a:avLst/>
          </a:prstGeom>
          <a:solidFill>
            <a:srgbClr val="FFFFE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 editAs="oneCell">
    <xdr:from>
      <xdr:col>29</xdr:col>
      <xdr:colOff>160422</xdr:colOff>
      <xdr:row>8</xdr:row>
      <xdr:rowOff>176731</xdr:rowOff>
    </xdr:from>
    <xdr:to>
      <xdr:col>34</xdr:col>
      <xdr:colOff>56147</xdr:colOff>
      <xdr:row>14</xdr:row>
      <xdr:rowOff>183530</xdr:rowOff>
    </xdr:to>
    <xdr:pic>
      <xdr:nvPicPr>
        <xdr:cNvPr id="22" name="Obrázek 21">
          <a:extLst>
            <a:ext uri="{FF2B5EF4-FFF2-40B4-BE49-F238E27FC236}">
              <a16:creationId xmlns:a16="http://schemas.microsoft.com/office/drawing/2014/main" id="{00000000-0008-0000-15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785811" y="1813026"/>
          <a:ext cx="978568" cy="1113704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45</xdr:col>
      <xdr:colOff>144780</xdr:colOff>
      <xdr:row>1</xdr:row>
      <xdr:rowOff>106680</xdr:rowOff>
    </xdr:from>
    <xdr:to>
      <xdr:col>63</xdr:col>
      <xdr:colOff>487680</xdr:colOff>
      <xdr:row>4</xdr:row>
      <xdr:rowOff>144780</xdr:rowOff>
    </xdr:to>
    <xdr:pic>
      <xdr:nvPicPr>
        <xdr:cNvPr id="2" name="Picture 24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266700"/>
          <a:ext cx="960120" cy="777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22860</xdr:colOff>
      <xdr:row>70</xdr:row>
      <xdr:rowOff>67777</xdr:rowOff>
    </xdr:from>
    <xdr:to>
      <xdr:col>34</xdr:col>
      <xdr:colOff>0</xdr:colOff>
      <xdr:row>79</xdr:row>
      <xdr:rowOff>44917</xdr:rowOff>
    </xdr:to>
    <xdr:pic>
      <xdr:nvPicPr>
        <xdr:cNvPr id="3" name="Picture 11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4020" y="13204657"/>
          <a:ext cx="2110740" cy="1623060"/>
        </a:xfrm>
        <a:prstGeom prst="rect">
          <a:avLst/>
        </a:prstGeom>
        <a:noFill/>
        <a:ln w="28575">
          <a:solidFill>
            <a:srgbClr val="A6A6A6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205740</xdr:colOff>
      <xdr:row>70</xdr:row>
      <xdr:rowOff>143977</xdr:rowOff>
    </xdr:from>
    <xdr:to>
      <xdr:col>23</xdr:col>
      <xdr:colOff>68580</xdr:colOff>
      <xdr:row>79</xdr:row>
      <xdr:rowOff>176061</xdr:rowOff>
    </xdr:to>
    <xdr:grpSp>
      <xdr:nvGrpSpPr>
        <xdr:cNvPr id="4" name="Skupina 102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pSpPr>
          <a:grpSpLocks noChangeAspect="1"/>
        </xdr:cNvGrpSpPr>
      </xdr:nvGrpSpPr>
      <xdr:grpSpPr bwMode="auto">
        <a:xfrm>
          <a:off x="3614687" y="13378714"/>
          <a:ext cx="2188946" cy="1692442"/>
          <a:chOff x="1800224" y="3409923"/>
          <a:chExt cx="947819" cy="707831"/>
        </a:xfrm>
      </xdr:grpSpPr>
      <xdr:sp macro="" textlink="">
        <xdr:nvSpPr>
          <xdr:cNvPr id="5" name="Obdélník 103">
            <a:extLst>
              <a:ext uri="{FF2B5EF4-FFF2-40B4-BE49-F238E27FC236}">
                <a16:creationId xmlns:a16="http://schemas.microsoft.com/office/drawing/2014/main" id="{00000000-0008-0000-1600-000005000000}"/>
              </a:ext>
            </a:extLst>
          </xdr:cNvPr>
          <xdr:cNvSpPr>
            <a:spLocks noChangeArrowheads="1"/>
          </xdr:cNvSpPr>
        </xdr:nvSpPr>
        <xdr:spPr bwMode="auto">
          <a:xfrm>
            <a:off x="1838324" y="3695700"/>
            <a:ext cx="771525" cy="304800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" name="Obdélník 104">
            <a:extLst>
              <a:ext uri="{FF2B5EF4-FFF2-40B4-BE49-F238E27FC236}">
                <a16:creationId xmlns:a16="http://schemas.microsoft.com/office/drawing/2014/main" id="{00000000-0008-0000-1600-000006000000}"/>
              </a:ext>
            </a:extLst>
          </xdr:cNvPr>
          <xdr:cNvSpPr>
            <a:spLocks noChangeArrowheads="1"/>
          </xdr:cNvSpPr>
        </xdr:nvSpPr>
        <xdr:spPr bwMode="auto">
          <a:xfrm>
            <a:off x="1800224" y="3562350"/>
            <a:ext cx="54000" cy="478800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" name="Volný tvar 105">
            <a:extLst>
              <a:ext uri="{FF2B5EF4-FFF2-40B4-BE49-F238E27FC236}">
                <a16:creationId xmlns:a16="http://schemas.microsoft.com/office/drawing/2014/main" id="{00000000-0008-0000-1600-000007000000}"/>
              </a:ext>
            </a:extLst>
          </xdr:cNvPr>
          <xdr:cNvSpPr>
            <a:spLocks/>
          </xdr:cNvSpPr>
        </xdr:nvSpPr>
        <xdr:spPr bwMode="auto">
          <a:xfrm>
            <a:off x="2457450" y="3409923"/>
            <a:ext cx="290593" cy="707831"/>
          </a:xfrm>
          <a:custGeom>
            <a:avLst/>
            <a:gdLst>
              <a:gd name="T0" fmla="*/ 177463 w 290593"/>
              <a:gd name="T1" fmla="*/ 34953 h 707831"/>
              <a:gd name="T2" fmla="*/ 95250 w 290593"/>
              <a:gd name="T3" fmla="*/ 38127 h 707831"/>
              <a:gd name="T4" fmla="*/ 38100 w 290593"/>
              <a:gd name="T5" fmla="*/ 57177 h 707831"/>
              <a:gd name="T6" fmla="*/ 85725 w 290593"/>
              <a:gd name="T7" fmla="*/ 104802 h 707831"/>
              <a:gd name="T8" fmla="*/ 57150 w 290593"/>
              <a:gd name="T9" fmla="*/ 266727 h 707831"/>
              <a:gd name="T10" fmla="*/ 28575 w 290593"/>
              <a:gd name="T11" fmla="*/ 276252 h 707831"/>
              <a:gd name="T12" fmla="*/ 28575 w 290593"/>
              <a:gd name="T13" fmla="*/ 381027 h 707831"/>
              <a:gd name="T14" fmla="*/ 47625 w 290593"/>
              <a:gd name="T15" fmla="*/ 409602 h 707831"/>
              <a:gd name="T16" fmla="*/ 38100 w 290593"/>
              <a:gd name="T17" fmla="*/ 466752 h 707831"/>
              <a:gd name="T18" fmla="*/ 9525 w 290593"/>
              <a:gd name="T19" fmla="*/ 476277 h 707831"/>
              <a:gd name="T20" fmla="*/ 0 w 290593"/>
              <a:gd name="T21" fmla="*/ 504852 h 707831"/>
              <a:gd name="T22" fmla="*/ 19050 w 290593"/>
              <a:gd name="T23" fmla="*/ 562002 h 707831"/>
              <a:gd name="T24" fmla="*/ 57150 w 290593"/>
              <a:gd name="T25" fmla="*/ 619152 h 707831"/>
              <a:gd name="T26" fmla="*/ 57150 w 290593"/>
              <a:gd name="T27" fmla="*/ 704877 h 707831"/>
              <a:gd name="T28" fmla="*/ 266700 w 290593"/>
              <a:gd name="T29" fmla="*/ 666777 h 707831"/>
              <a:gd name="T30" fmla="*/ 266700 w 290593"/>
              <a:gd name="T31" fmla="*/ 400077 h 707831"/>
              <a:gd name="T32" fmla="*/ 277649 w 290593"/>
              <a:gd name="T33" fmla="*/ 43188 h 707831"/>
              <a:gd name="T34" fmla="*/ 177463 w 290593"/>
              <a:gd name="T35" fmla="*/ 34953 h 707831"/>
              <a:gd name="T36" fmla="*/ 0 60000 65536"/>
              <a:gd name="T37" fmla="*/ 0 60000 65536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w 290593"/>
              <a:gd name="T55" fmla="*/ 0 h 707831"/>
              <a:gd name="T56" fmla="*/ 290593 w 290593"/>
              <a:gd name="T57" fmla="*/ 707831 h 707831"/>
            </a:gdLst>
            <a:ahLst/>
            <a:cxnLst>
              <a:cxn ang="T36">
                <a:pos x="T0" y="T1"/>
              </a:cxn>
              <a:cxn ang="T37">
                <a:pos x="T2" y="T3"/>
              </a:cxn>
              <a:cxn ang="T38">
                <a:pos x="T4" y="T5"/>
              </a:cxn>
              <a:cxn ang="T39">
                <a:pos x="T6" y="T7"/>
              </a:cxn>
              <a:cxn ang="T40">
                <a:pos x="T8" y="T9"/>
              </a:cxn>
              <a:cxn ang="T41">
                <a:pos x="T10" y="T11"/>
              </a:cxn>
              <a:cxn ang="T42">
                <a:pos x="T12" y="T13"/>
              </a:cxn>
              <a:cxn ang="T43">
                <a:pos x="T14" y="T15"/>
              </a:cxn>
              <a:cxn ang="T44">
                <a:pos x="T16" y="T17"/>
              </a:cxn>
              <a:cxn ang="T45">
                <a:pos x="T18" y="T19"/>
              </a:cxn>
              <a:cxn ang="T46">
                <a:pos x="T20" y="T21"/>
              </a:cxn>
              <a:cxn ang="T47">
                <a:pos x="T22" y="T23"/>
              </a:cxn>
              <a:cxn ang="T48">
                <a:pos x="T24" y="T25"/>
              </a:cxn>
              <a:cxn ang="T49">
                <a:pos x="T26" y="T27"/>
              </a:cxn>
              <a:cxn ang="T50">
                <a:pos x="T28" y="T29"/>
              </a:cxn>
              <a:cxn ang="T51">
                <a:pos x="T30" y="T31"/>
              </a:cxn>
              <a:cxn ang="T52">
                <a:pos x="T32" y="T33"/>
              </a:cxn>
              <a:cxn ang="T53">
                <a:pos x="T34" y="T35"/>
              </a:cxn>
            </a:cxnLst>
            <a:rect l="T54" t="T55" r="T56" b="T57"/>
            <a:pathLst>
              <a:path w="290593" h="707831">
                <a:moveTo>
                  <a:pt x="177463" y="34953"/>
                </a:moveTo>
                <a:lnTo>
                  <a:pt x="95250" y="38127"/>
                </a:lnTo>
                <a:cubicBezTo>
                  <a:pt x="82027" y="53239"/>
                  <a:pt x="38100" y="57177"/>
                  <a:pt x="38100" y="57177"/>
                </a:cubicBezTo>
                <a:cubicBezTo>
                  <a:pt x="52096" y="66508"/>
                  <a:pt x="84429" y="82771"/>
                  <a:pt x="85725" y="104802"/>
                </a:cubicBezTo>
                <a:cubicBezTo>
                  <a:pt x="86693" y="121255"/>
                  <a:pt x="98014" y="234036"/>
                  <a:pt x="57150" y="266727"/>
                </a:cubicBezTo>
                <a:cubicBezTo>
                  <a:pt x="49310" y="272999"/>
                  <a:pt x="38100" y="273077"/>
                  <a:pt x="28575" y="276252"/>
                </a:cubicBezTo>
                <a:cubicBezTo>
                  <a:pt x="13701" y="320873"/>
                  <a:pt x="10804" y="315866"/>
                  <a:pt x="28575" y="381027"/>
                </a:cubicBezTo>
                <a:cubicBezTo>
                  <a:pt x="31587" y="392071"/>
                  <a:pt x="41275" y="400077"/>
                  <a:pt x="47625" y="409602"/>
                </a:cubicBezTo>
                <a:cubicBezTo>
                  <a:pt x="44450" y="428652"/>
                  <a:pt x="47682" y="449984"/>
                  <a:pt x="38100" y="466752"/>
                </a:cubicBezTo>
                <a:cubicBezTo>
                  <a:pt x="33119" y="475469"/>
                  <a:pt x="16625" y="469177"/>
                  <a:pt x="9525" y="476277"/>
                </a:cubicBezTo>
                <a:cubicBezTo>
                  <a:pt x="2425" y="483377"/>
                  <a:pt x="3175" y="495327"/>
                  <a:pt x="0" y="504852"/>
                </a:cubicBezTo>
                <a:cubicBezTo>
                  <a:pt x="6350" y="523902"/>
                  <a:pt x="7911" y="545294"/>
                  <a:pt x="19050" y="562002"/>
                </a:cubicBezTo>
                <a:lnTo>
                  <a:pt x="57150" y="619152"/>
                </a:lnTo>
                <a:cubicBezTo>
                  <a:pt x="51516" y="636053"/>
                  <a:pt x="26742" y="695521"/>
                  <a:pt x="57150" y="704877"/>
                </a:cubicBezTo>
                <a:cubicBezTo>
                  <a:pt x="66751" y="707831"/>
                  <a:pt x="248114" y="670494"/>
                  <a:pt x="266700" y="666777"/>
                </a:cubicBezTo>
                <a:cubicBezTo>
                  <a:pt x="290593" y="523418"/>
                  <a:pt x="266700" y="691332"/>
                  <a:pt x="266700" y="400077"/>
                </a:cubicBezTo>
                <a:cubicBezTo>
                  <a:pt x="266700" y="173325"/>
                  <a:pt x="264532" y="226829"/>
                  <a:pt x="277649" y="43188"/>
                </a:cubicBezTo>
                <a:cubicBezTo>
                  <a:pt x="191272" y="0"/>
                  <a:pt x="212388" y="39716"/>
                  <a:pt x="177463" y="34953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cap="flat" cmpd="sng" algn="ctr">
                <a:solidFill>
                  <a:srgbClr val="000000"/>
                </a:solidFill>
                <a:prstDash val="solid"/>
                <a:round/>
                <a:headEnd type="none" w="med" len="med"/>
                <a:tailEnd type="none" w="med" len="med"/>
              </a14:hiddenLine>
            </a:ext>
          </a:extLst>
        </xdr:spPr>
      </xdr:sp>
    </xdr:grpSp>
    <xdr:clientData/>
  </xdr:twoCellAnchor>
  <xdr:twoCellAnchor editAs="oneCell">
    <xdr:from>
      <xdr:col>4</xdr:col>
      <xdr:colOff>403860</xdr:colOff>
      <xdr:row>86</xdr:row>
      <xdr:rowOff>45720</xdr:rowOff>
    </xdr:from>
    <xdr:to>
      <xdr:col>23</xdr:col>
      <xdr:colOff>129540</xdr:colOff>
      <xdr:row>94</xdr:row>
      <xdr:rowOff>160020</xdr:rowOff>
    </xdr:to>
    <xdr:pic>
      <xdr:nvPicPr>
        <xdr:cNvPr id="8" name="Obrázek 17">
          <a:extLst>
            <a:ext uri="{FF2B5EF4-FFF2-40B4-BE49-F238E27FC236}">
              <a16:creationId xmlns:a16="http://schemas.microsoft.com/office/drawing/2014/main" id="{00000000-0008-0000-16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400" y="16108680"/>
          <a:ext cx="4091940" cy="1577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72191</xdr:colOff>
      <xdr:row>4</xdr:row>
      <xdr:rowOff>96254</xdr:rowOff>
    </xdr:from>
    <xdr:to>
      <xdr:col>23</xdr:col>
      <xdr:colOff>176463</xdr:colOff>
      <xdr:row>14</xdr:row>
      <xdr:rowOff>27674</xdr:rowOff>
    </xdr:to>
    <xdr:grpSp>
      <xdr:nvGrpSpPr>
        <xdr:cNvPr id="19" name="Skupina 21">
          <a:extLst>
            <a:ext uri="{FF2B5EF4-FFF2-40B4-BE49-F238E27FC236}">
              <a16:creationId xmlns:a16="http://schemas.microsoft.com/office/drawing/2014/main" id="{00000000-0008-0000-1600-000013000000}"/>
            </a:ext>
          </a:extLst>
        </xdr:cNvPr>
        <xdr:cNvGrpSpPr>
          <a:grpSpLocks noChangeAspect="1"/>
        </xdr:cNvGrpSpPr>
      </xdr:nvGrpSpPr>
      <xdr:grpSpPr bwMode="auto">
        <a:xfrm>
          <a:off x="3713749" y="994612"/>
          <a:ext cx="2197767" cy="1776262"/>
          <a:chOff x="1805312" y="3377086"/>
          <a:chExt cx="957505" cy="740669"/>
        </a:xfrm>
      </xdr:grpSpPr>
      <xdr:sp macro="" textlink="">
        <xdr:nvSpPr>
          <xdr:cNvPr id="20" name="Obdélník 19">
            <a:extLst>
              <a:ext uri="{FF2B5EF4-FFF2-40B4-BE49-F238E27FC236}">
                <a16:creationId xmlns:a16="http://schemas.microsoft.com/office/drawing/2014/main" id="{00000000-0008-0000-1600-000014000000}"/>
              </a:ext>
            </a:extLst>
          </xdr:cNvPr>
          <xdr:cNvSpPr>
            <a:spLocks noChangeArrowheads="1"/>
          </xdr:cNvSpPr>
        </xdr:nvSpPr>
        <xdr:spPr bwMode="auto">
          <a:xfrm>
            <a:off x="1838324" y="3469064"/>
            <a:ext cx="771525" cy="531437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1" name="Obdélník 18">
            <a:extLst>
              <a:ext uri="{FF2B5EF4-FFF2-40B4-BE49-F238E27FC236}">
                <a16:creationId xmlns:a16="http://schemas.microsoft.com/office/drawing/2014/main" id="{00000000-0008-0000-1600-000015000000}"/>
              </a:ext>
            </a:extLst>
          </xdr:cNvPr>
          <xdr:cNvSpPr>
            <a:spLocks noChangeArrowheads="1"/>
          </xdr:cNvSpPr>
        </xdr:nvSpPr>
        <xdr:spPr bwMode="auto">
          <a:xfrm>
            <a:off x="1805312" y="3378382"/>
            <a:ext cx="52063" cy="695027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2" name="Volný tvar 20">
            <a:extLst>
              <a:ext uri="{FF2B5EF4-FFF2-40B4-BE49-F238E27FC236}">
                <a16:creationId xmlns:a16="http://schemas.microsoft.com/office/drawing/2014/main" id="{00000000-0008-0000-1600-000016000000}"/>
              </a:ext>
            </a:extLst>
          </xdr:cNvPr>
          <xdr:cNvSpPr>
            <a:spLocks/>
          </xdr:cNvSpPr>
        </xdr:nvSpPr>
        <xdr:spPr bwMode="auto">
          <a:xfrm>
            <a:off x="2457450" y="3377086"/>
            <a:ext cx="305367" cy="740669"/>
          </a:xfrm>
          <a:custGeom>
            <a:avLst/>
            <a:gdLst>
              <a:gd name="T0" fmla="*/ 76200 w 290593"/>
              <a:gd name="T1" fmla="*/ 16 h 817667"/>
              <a:gd name="T2" fmla="*/ 76200 w 290593"/>
              <a:gd name="T3" fmla="*/ 16 h 817667"/>
              <a:gd name="T4" fmla="*/ 95250 w 290593"/>
              <a:gd name="T5" fmla="*/ 161 h 817667"/>
              <a:gd name="T6" fmla="*/ 38100 w 290593"/>
              <a:gd name="T7" fmla="*/ 181 h 817667"/>
              <a:gd name="T8" fmla="*/ 85725 w 290593"/>
              <a:gd name="T9" fmla="*/ 233 h 817667"/>
              <a:gd name="T10" fmla="*/ 65211 w 290593"/>
              <a:gd name="T11" fmla="*/ 318 h 817667"/>
              <a:gd name="T12" fmla="*/ 28575 w 290593"/>
              <a:gd name="T13" fmla="*/ 421 h 817667"/>
              <a:gd name="T14" fmla="*/ 28575 w 290593"/>
              <a:gd name="T15" fmla="*/ 534 h 817667"/>
              <a:gd name="T16" fmla="*/ 47625 w 290593"/>
              <a:gd name="T17" fmla="*/ 566 h 817667"/>
              <a:gd name="T18" fmla="*/ 38100 w 290593"/>
              <a:gd name="T19" fmla="*/ 627 h 817667"/>
              <a:gd name="T20" fmla="*/ 9525 w 290593"/>
              <a:gd name="T21" fmla="*/ 637 h 817667"/>
              <a:gd name="T22" fmla="*/ 0 w 290593"/>
              <a:gd name="T23" fmla="*/ 668 h 817667"/>
              <a:gd name="T24" fmla="*/ 19050 w 290593"/>
              <a:gd name="T25" fmla="*/ 730 h 817667"/>
              <a:gd name="T26" fmla="*/ 57150 w 290593"/>
              <a:gd name="T27" fmla="*/ 793 h 817667"/>
              <a:gd name="T28" fmla="*/ 57150 w 290593"/>
              <a:gd name="T29" fmla="*/ 885 h 817667"/>
              <a:gd name="T30" fmla="*/ 266700 w 290593"/>
              <a:gd name="T31" fmla="*/ 844 h 817667"/>
              <a:gd name="T32" fmla="*/ 266700 w 290593"/>
              <a:gd name="T33" fmla="*/ 554 h 817667"/>
              <a:gd name="T34" fmla="*/ 285750 w 290593"/>
              <a:gd name="T35" fmla="*/ 47 h 817667"/>
              <a:gd name="T36" fmla="*/ 76200 w 290593"/>
              <a:gd name="T37" fmla="*/ 16 h 817667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w 290593"/>
              <a:gd name="T58" fmla="*/ 0 h 817667"/>
              <a:gd name="T59" fmla="*/ 290593 w 290593"/>
              <a:gd name="T60" fmla="*/ 817667 h 817667"/>
            </a:gdLst>
            <a:ahLst/>
            <a:cxnLst>
              <a:cxn ang="T38">
                <a:pos x="T0" y="T1"/>
              </a:cxn>
              <a:cxn ang="T39">
                <a:pos x="T2" y="T3"/>
              </a:cxn>
              <a:cxn ang="T40">
                <a:pos x="T4" y="T5"/>
              </a:cxn>
              <a:cxn ang="T41">
                <a:pos x="T6" y="T7"/>
              </a:cxn>
              <a:cxn ang="T42">
                <a:pos x="T8" y="T9"/>
              </a:cxn>
              <a:cxn ang="T43">
                <a:pos x="T10" y="T11"/>
              </a:cxn>
              <a:cxn ang="T44">
                <a:pos x="T12" y="T13"/>
              </a:cxn>
              <a:cxn ang="T45">
                <a:pos x="T14" y="T15"/>
              </a:cxn>
              <a:cxn ang="T46">
                <a:pos x="T16" y="T17"/>
              </a:cxn>
              <a:cxn ang="T47">
                <a:pos x="T18" y="T19"/>
              </a:cxn>
              <a:cxn ang="T48">
                <a:pos x="T20" y="T21"/>
              </a:cxn>
              <a:cxn ang="T49">
                <a:pos x="T22" y="T23"/>
              </a:cxn>
              <a:cxn ang="T50">
                <a:pos x="T24" y="T25"/>
              </a:cxn>
              <a:cxn ang="T51">
                <a:pos x="T26" y="T27"/>
              </a:cxn>
              <a:cxn ang="T52">
                <a:pos x="T28" y="T29"/>
              </a:cxn>
              <a:cxn ang="T53">
                <a:pos x="T30" y="T31"/>
              </a:cxn>
              <a:cxn ang="T54">
                <a:pos x="T32" y="T33"/>
              </a:cxn>
              <a:cxn ang="T55">
                <a:pos x="T34" y="T35"/>
              </a:cxn>
              <a:cxn ang="T56">
                <a:pos x="T36" y="T37"/>
              </a:cxn>
            </a:cxnLst>
            <a:rect l="T57" t="T58" r="T59" b="T60"/>
            <a:pathLst>
              <a:path w="290593" h="817667">
                <a:moveTo>
                  <a:pt x="76200" y="14613"/>
                </a:moveTo>
                <a:lnTo>
                  <a:pt x="76200" y="14613"/>
                </a:lnTo>
                <a:cubicBezTo>
                  <a:pt x="86511" y="42109"/>
                  <a:pt x="127065" y="111603"/>
                  <a:pt x="95250" y="147963"/>
                </a:cubicBezTo>
                <a:cubicBezTo>
                  <a:pt x="82027" y="163075"/>
                  <a:pt x="38100" y="167013"/>
                  <a:pt x="38100" y="167013"/>
                </a:cubicBezTo>
                <a:cubicBezTo>
                  <a:pt x="52096" y="176344"/>
                  <a:pt x="84429" y="192607"/>
                  <a:pt x="85725" y="214638"/>
                </a:cubicBezTo>
                <a:cubicBezTo>
                  <a:pt x="86693" y="231091"/>
                  <a:pt x="106075" y="259086"/>
                  <a:pt x="65211" y="291777"/>
                </a:cubicBezTo>
                <a:cubicBezTo>
                  <a:pt x="57371" y="298049"/>
                  <a:pt x="38100" y="382913"/>
                  <a:pt x="28575" y="386088"/>
                </a:cubicBezTo>
                <a:cubicBezTo>
                  <a:pt x="13701" y="430709"/>
                  <a:pt x="10804" y="425702"/>
                  <a:pt x="28575" y="490863"/>
                </a:cubicBezTo>
                <a:cubicBezTo>
                  <a:pt x="31587" y="501907"/>
                  <a:pt x="41275" y="509913"/>
                  <a:pt x="47625" y="519438"/>
                </a:cubicBezTo>
                <a:cubicBezTo>
                  <a:pt x="44450" y="538488"/>
                  <a:pt x="47682" y="559820"/>
                  <a:pt x="38100" y="576588"/>
                </a:cubicBezTo>
                <a:cubicBezTo>
                  <a:pt x="33119" y="585305"/>
                  <a:pt x="16625" y="579013"/>
                  <a:pt x="9525" y="586113"/>
                </a:cubicBezTo>
                <a:cubicBezTo>
                  <a:pt x="2425" y="593213"/>
                  <a:pt x="3175" y="605163"/>
                  <a:pt x="0" y="614688"/>
                </a:cubicBezTo>
                <a:cubicBezTo>
                  <a:pt x="6350" y="633738"/>
                  <a:pt x="7911" y="655130"/>
                  <a:pt x="19050" y="671838"/>
                </a:cubicBezTo>
                <a:lnTo>
                  <a:pt x="57150" y="728988"/>
                </a:lnTo>
                <a:cubicBezTo>
                  <a:pt x="51516" y="745889"/>
                  <a:pt x="26742" y="805357"/>
                  <a:pt x="57150" y="814713"/>
                </a:cubicBezTo>
                <a:cubicBezTo>
                  <a:pt x="66751" y="817667"/>
                  <a:pt x="248114" y="780330"/>
                  <a:pt x="266700" y="776613"/>
                </a:cubicBezTo>
                <a:cubicBezTo>
                  <a:pt x="290593" y="633254"/>
                  <a:pt x="266700" y="801168"/>
                  <a:pt x="266700" y="509913"/>
                </a:cubicBezTo>
                <a:cubicBezTo>
                  <a:pt x="266700" y="283161"/>
                  <a:pt x="272633" y="226829"/>
                  <a:pt x="285750" y="43188"/>
                </a:cubicBezTo>
                <a:cubicBezTo>
                  <a:pt x="199373" y="0"/>
                  <a:pt x="111125" y="19376"/>
                  <a:pt x="76200" y="14613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cap="flat" cmpd="sng" algn="ctr">
                <a:solidFill>
                  <a:srgbClr val="000000"/>
                </a:solidFill>
                <a:prstDash val="solid"/>
                <a:round/>
                <a:headEnd type="none" w="med" len="med"/>
                <a:tailEnd type="none" w="med" len="med"/>
              </a14:hiddenLine>
            </a:ext>
          </a:extLst>
        </xdr:spPr>
      </xdr:sp>
    </xdr:grpSp>
    <xdr:clientData/>
  </xdr:twoCellAnchor>
  <xdr:twoCellAnchor>
    <xdr:from>
      <xdr:col>17</xdr:col>
      <xdr:colOff>16042</xdr:colOff>
      <xdr:row>5</xdr:row>
      <xdr:rowOff>48129</xdr:rowOff>
    </xdr:from>
    <xdr:to>
      <xdr:col>23</xdr:col>
      <xdr:colOff>88232</xdr:colOff>
      <xdr:row>14</xdr:row>
      <xdr:rowOff>164033</xdr:rowOff>
    </xdr:to>
    <xdr:grpSp>
      <xdr:nvGrpSpPr>
        <xdr:cNvPr id="23" name="Skupina 21">
          <a:extLst>
            <a:ext uri="{FF2B5EF4-FFF2-40B4-BE49-F238E27FC236}">
              <a16:creationId xmlns:a16="http://schemas.microsoft.com/office/drawing/2014/main" id="{00000000-0008-0000-1600-000017000000}"/>
            </a:ext>
          </a:extLst>
        </xdr:cNvPr>
        <xdr:cNvGrpSpPr>
          <a:grpSpLocks noChangeAspect="1"/>
        </xdr:cNvGrpSpPr>
      </xdr:nvGrpSpPr>
      <xdr:grpSpPr bwMode="auto">
        <a:xfrm>
          <a:off x="4355431" y="1130971"/>
          <a:ext cx="1467854" cy="1776262"/>
          <a:chOff x="1805259" y="3377086"/>
          <a:chExt cx="638606" cy="740669"/>
        </a:xfrm>
      </xdr:grpSpPr>
      <xdr:sp macro="" textlink="">
        <xdr:nvSpPr>
          <xdr:cNvPr id="24" name="Obdélník 19">
            <a:extLst>
              <a:ext uri="{FF2B5EF4-FFF2-40B4-BE49-F238E27FC236}">
                <a16:creationId xmlns:a16="http://schemas.microsoft.com/office/drawing/2014/main" id="{00000000-0008-0000-1600-000018000000}"/>
              </a:ext>
            </a:extLst>
          </xdr:cNvPr>
          <xdr:cNvSpPr>
            <a:spLocks noChangeArrowheads="1"/>
          </xdr:cNvSpPr>
        </xdr:nvSpPr>
        <xdr:spPr bwMode="auto">
          <a:xfrm>
            <a:off x="1838325" y="3695700"/>
            <a:ext cx="553256" cy="304800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5" name="Obdélník 18">
            <a:extLst>
              <a:ext uri="{FF2B5EF4-FFF2-40B4-BE49-F238E27FC236}">
                <a16:creationId xmlns:a16="http://schemas.microsoft.com/office/drawing/2014/main" id="{00000000-0008-0000-1600-000019000000}"/>
              </a:ext>
            </a:extLst>
          </xdr:cNvPr>
          <xdr:cNvSpPr>
            <a:spLocks noChangeArrowheads="1"/>
          </xdr:cNvSpPr>
        </xdr:nvSpPr>
        <xdr:spPr bwMode="auto">
          <a:xfrm>
            <a:off x="1805259" y="3562350"/>
            <a:ext cx="52116" cy="514350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6" name="Volný tvar 20">
            <a:extLst>
              <a:ext uri="{FF2B5EF4-FFF2-40B4-BE49-F238E27FC236}">
                <a16:creationId xmlns:a16="http://schemas.microsoft.com/office/drawing/2014/main" id="{00000000-0008-0000-1600-00001A000000}"/>
              </a:ext>
            </a:extLst>
          </xdr:cNvPr>
          <xdr:cNvSpPr>
            <a:spLocks/>
          </xdr:cNvSpPr>
        </xdr:nvSpPr>
        <xdr:spPr bwMode="auto">
          <a:xfrm>
            <a:off x="2192299" y="3377086"/>
            <a:ext cx="251566" cy="740669"/>
          </a:xfrm>
          <a:custGeom>
            <a:avLst/>
            <a:gdLst>
              <a:gd name="T0" fmla="*/ 76200 w 290593"/>
              <a:gd name="T1" fmla="*/ 16 h 817667"/>
              <a:gd name="T2" fmla="*/ 76200 w 290593"/>
              <a:gd name="T3" fmla="*/ 16 h 817667"/>
              <a:gd name="T4" fmla="*/ 95250 w 290593"/>
              <a:gd name="T5" fmla="*/ 161 h 817667"/>
              <a:gd name="T6" fmla="*/ 38100 w 290593"/>
              <a:gd name="T7" fmla="*/ 181 h 817667"/>
              <a:gd name="T8" fmla="*/ 85725 w 290593"/>
              <a:gd name="T9" fmla="*/ 233 h 817667"/>
              <a:gd name="T10" fmla="*/ 65211 w 290593"/>
              <a:gd name="T11" fmla="*/ 318 h 817667"/>
              <a:gd name="T12" fmla="*/ 28575 w 290593"/>
              <a:gd name="T13" fmla="*/ 421 h 817667"/>
              <a:gd name="T14" fmla="*/ 28575 w 290593"/>
              <a:gd name="T15" fmla="*/ 534 h 817667"/>
              <a:gd name="T16" fmla="*/ 47625 w 290593"/>
              <a:gd name="T17" fmla="*/ 566 h 817667"/>
              <a:gd name="T18" fmla="*/ 38100 w 290593"/>
              <a:gd name="T19" fmla="*/ 627 h 817667"/>
              <a:gd name="T20" fmla="*/ 9525 w 290593"/>
              <a:gd name="T21" fmla="*/ 637 h 817667"/>
              <a:gd name="T22" fmla="*/ 0 w 290593"/>
              <a:gd name="T23" fmla="*/ 668 h 817667"/>
              <a:gd name="T24" fmla="*/ 19050 w 290593"/>
              <a:gd name="T25" fmla="*/ 730 h 817667"/>
              <a:gd name="T26" fmla="*/ 57150 w 290593"/>
              <a:gd name="T27" fmla="*/ 793 h 817667"/>
              <a:gd name="T28" fmla="*/ 57150 w 290593"/>
              <a:gd name="T29" fmla="*/ 885 h 817667"/>
              <a:gd name="T30" fmla="*/ 266700 w 290593"/>
              <a:gd name="T31" fmla="*/ 844 h 817667"/>
              <a:gd name="T32" fmla="*/ 266700 w 290593"/>
              <a:gd name="T33" fmla="*/ 554 h 817667"/>
              <a:gd name="T34" fmla="*/ 285750 w 290593"/>
              <a:gd name="T35" fmla="*/ 47 h 817667"/>
              <a:gd name="T36" fmla="*/ 76200 w 290593"/>
              <a:gd name="T37" fmla="*/ 16 h 817667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w 290593"/>
              <a:gd name="T58" fmla="*/ 0 h 817667"/>
              <a:gd name="T59" fmla="*/ 290593 w 290593"/>
              <a:gd name="T60" fmla="*/ 817667 h 817667"/>
            </a:gdLst>
            <a:ahLst/>
            <a:cxnLst>
              <a:cxn ang="T38">
                <a:pos x="T0" y="T1"/>
              </a:cxn>
              <a:cxn ang="T39">
                <a:pos x="T2" y="T3"/>
              </a:cxn>
              <a:cxn ang="T40">
                <a:pos x="T4" y="T5"/>
              </a:cxn>
              <a:cxn ang="T41">
                <a:pos x="T6" y="T7"/>
              </a:cxn>
              <a:cxn ang="T42">
                <a:pos x="T8" y="T9"/>
              </a:cxn>
              <a:cxn ang="T43">
                <a:pos x="T10" y="T11"/>
              </a:cxn>
              <a:cxn ang="T44">
                <a:pos x="T12" y="T13"/>
              </a:cxn>
              <a:cxn ang="T45">
                <a:pos x="T14" y="T15"/>
              </a:cxn>
              <a:cxn ang="T46">
                <a:pos x="T16" y="T17"/>
              </a:cxn>
              <a:cxn ang="T47">
                <a:pos x="T18" y="T19"/>
              </a:cxn>
              <a:cxn ang="T48">
                <a:pos x="T20" y="T21"/>
              </a:cxn>
              <a:cxn ang="T49">
                <a:pos x="T22" y="T23"/>
              </a:cxn>
              <a:cxn ang="T50">
                <a:pos x="T24" y="T25"/>
              </a:cxn>
              <a:cxn ang="T51">
                <a:pos x="T26" y="T27"/>
              </a:cxn>
              <a:cxn ang="T52">
                <a:pos x="T28" y="T29"/>
              </a:cxn>
              <a:cxn ang="T53">
                <a:pos x="T30" y="T31"/>
              </a:cxn>
              <a:cxn ang="T54">
                <a:pos x="T32" y="T33"/>
              </a:cxn>
              <a:cxn ang="T55">
                <a:pos x="T34" y="T35"/>
              </a:cxn>
              <a:cxn ang="T56">
                <a:pos x="T36" y="T37"/>
              </a:cxn>
            </a:cxnLst>
            <a:rect l="T57" t="T58" r="T59" b="T60"/>
            <a:pathLst>
              <a:path w="290593" h="817667">
                <a:moveTo>
                  <a:pt x="76200" y="14613"/>
                </a:moveTo>
                <a:lnTo>
                  <a:pt x="76200" y="14613"/>
                </a:lnTo>
                <a:cubicBezTo>
                  <a:pt x="86511" y="42109"/>
                  <a:pt x="127065" y="111603"/>
                  <a:pt x="95250" y="147963"/>
                </a:cubicBezTo>
                <a:cubicBezTo>
                  <a:pt x="82027" y="163075"/>
                  <a:pt x="38100" y="167013"/>
                  <a:pt x="38100" y="167013"/>
                </a:cubicBezTo>
                <a:cubicBezTo>
                  <a:pt x="52096" y="176344"/>
                  <a:pt x="84429" y="192607"/>
                  <a:pt x="85725" y="214638"/>
                </a:cubicBezTo>
                <a:cubicBezTo>
                  <a:pt x="86693" y="231091"/>
                  <a:pt x="106075" y="259086"/>
                  <a:pt x="65211" y="291777"/>
                </a:cubicBezTo>
                <a:cubicBezTo>
                  <a:pt x="57371" y="298049"/>
                  <a:pt x="38100" y="382913"/>
                  <a:pt x="28575" y="386088"/>
                </a:cubicBezTo>
                <a:cubicBezTo>
                  <a:pt x="13701" y="430709"/>
                  <a:pt x="10804" y="425702"/>
                  <a:pt x="28575" y="490863"/>
                </a:cubicBezTo>
                <a:cubicBezTo>
                  <a:pt x="31587" y="501907"/>
                  <a:pt x="41275" y="509913"/>
                  <a:pt x="47625" y="519438"/>
                </a:cubicBezTo>
                <a:cubicBezTo>
                  <a:pt x="44450" y="538488"/>
                  <a:pt x="47682" y="559820"/>
                  <a:pt x="38100" y="576588"/>
                </a:cubicBezTo>
                <a:cubicBezTo>
                  <a:pt x="33119" y="585305"/>
                  <a:pt x="16625" y="579013"/>
                  <a:pt x="9525" y="586113"/>
                </a:cubicBezTo>
                <a:cubicBezTo>
                  <a:pt x="2425" y="593213"/>
                  <a:pt x="3175" y="605163"/>
                  <a:pt x="0" y="614688"/>
                </a:cubicBezTo>
                <a:cubicBezTo>
                  <a:pt x="6350" y="633738"/>
                  <a:pt x="7911" y="655130"/>
                  <a:pt x="19050" y="671838"/>
                </a:cubicBezTo>
                <a:lnTo>
                  <a:pt x="57150" y="728988"/>
                </a:lnTo>
                <a:cubicBezTo>
                  <a:pt x="51516" y="745889"/>
                  <a:pt x="26742" y="805357"/>
                  <a:pt x="57150" y="814713"/>
                </a:cubicBezTo>
                <a:cubicBezTo>
                  <a:pt x="66751" y="817667"/>
                  <a:pt x="248114" y="780330"/>
                  <a:pt x="266700" y="776613"/>
                </a:cubicBezTo>
                <a:cubicBezTo>
                  <a:pt x="290593" y="633254"/>
                  <a:pt x="266700" y="801168"/>
                  <a:pt x="266700" y="509913"/>
                </a:cubicBezTo>
                <a:cubicBezTo>
                  <a:pt x="266700" y="283161"/>
                  <a:pt x="272633" y="226829"/>
                  <a:pt x="285750" y="43188"/>
                </a:cubicBezTo>
                <a:cubicBezTo>
                  <a:pt x="199373" y="0"/>
                  <a:pt x="111125" y="19376"/>
                  <a:pt x="76200" y="14613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cap="flat" cmpd="sng" algn="ctr">
                <a:solidFill>
                  <a:srgbClr val="000000"/>
                </a:solidFill>
                <a:prstDash val="solid"/>
                <a:round/>
                <a:headEnd type="none" w="med" len="med"/>
                <a:tailEnd type="none" w="med" len="med"/>
              </a14:hiddenLine>
            </a:ext>
          </a:extLst>
        </xdr:spPr>
      </xdr:sp>
    </xdr:grpSp>
    <xdr:clientData/>
  </xdr:twoCellAnchor>
  <xdr:twoCellAnchor>
    <xdr:from>
      <xdr:col>35</xdr:col>
      <xdr:colOff>104277</xdr:colOff>
      <xdr:row>16</xdr:row>
      <xdr:rowOff>40088</xdr:rowOff>
    </xdr:from>
    <xdr:to>
      <xdr:col>39</xdr:col>
      <xdr:colOff>100699</xdr:colOff>
      <xdr:row>27</xdr:row>
      <xdr:rowOff>47706</xdr:rowOff>
    </xdr:to>
    <xdr:grpSp>
      <xdr:nvGrpSpPr>
        <xdr:cNvPr id="56" name="Skupina 55">
          <a:extLst>
            <a:ext uri="{FF2B5EF4-FFF2-40B4-BE49-F238E27FC236}">
              <a16:creationId xmlns:a16="http://schemas.microsoft.com/office/drawing/2014/main" id="{00000000-0008-0000-1600-000038000000}"/>
            </a:ext>
          </a:extLst>
        </xdr:cNvPr>
        <xdr:cNvGrpSpPr/>
      </xdr:nvGrpSpPr>
      <xdr:grpSpPr>
        <a:xfrm>
          <a:off x="8630656" y="3152256"/>
          <a:ext cx="926864" cy="2036945"/>
          <a:chOff x="8029077" y="3152256"/>
          <a:chExt cx="862696" cy="2036945"/>
        </a:xfrm>
      </xdr:grpSpPr>
      <xdr:sp macro="" textlink="">
        <xdr:nvSpPr>
          <xdr:cNvPr id="12" name="Obdélník 24">
            <a:extLst>
              <a:ext uri="{FF2B5EF4-FFF2-40B4-BE49-F238E27FC236}">
                <a16:creationId xmlns:a16="http://schemas.microsoft.com/office/drawing/2014/main" id="{00000000-0008-0000-1600-00000C000000}"/>
              </a:ext>
            </a:extLst>
          </xdr:cNvPr>
          <xdr:cNvSpPr>
            <a:spLocks noChangeArrowheads="1"/>
          </xdr:cNvSpPr>
        </xdr:nvSpPr>
        <xdr:spPr bwMode="auto">
          <a:xfrm>
            <a:off x="8029077" y="3152256"/>
            <a:ext cx="82086" cy="2036945"/>
          </a:xfrm>
          <a:prstGeom prst="rect">
            <a:avLst/>
          </a:prstGeom>
          <a:solidFill>
            <a:srgbClr val="FFFFE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grpSp>
        <xdr:nvGrpSpPr>
          <xdr:cNvPr id="13" name="Skupina 238">
            <a:extLst>
              <a:ext uri="{FF2B5EF4-FFF2-40B4-BE49-F238E27FC236}">
                <a16:creationId xmlns:a16="http://schemas.microsoft.com/office/drawing/2014/main" id="{00000000-0008-0000-1600-00000D000000}"/>
              </a:ext>
            </a:extLst>
          </xdr:cNvPr>
          <xdr:cNvGrpSpPr>
            <a:grpSpLocks/>
          </xdr:cNvGrpSpPr>
        </xdr:nvGrpSpPr>
        <xdr:grpSpPr bwMode="auto">
          <a:xfrm>
            <a:off x="8155129" y="3270092"/>
            <a:ext cx="731342" cy="183302"/>
            <a:chOff x="5702735" y="21697458"/>
            <a:chExt cx="539648" cy="119658"/>
          </a:xfrm>
        </xdr:grpSpPr>
        <xdr:sp macro="" textlink="">
          <xdr:nvSpPr>
            <xdr:cNvPr id="17" name="Obdélník 16">
              <a:extLst>
                <a:ext uri="{FF2B5EF4-FFF2-40B4-BE49-F238E27FC236}">
                  <a16:creationId xmlns:a16="http://schemas.microsoft.com/office/drawing/2014/main" id="{00000000-0008-0000-1600-000011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707298" y="21712036"/>
              <a:ext cx="535085" cy="103402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  <xdr:txBody>
            <a:bodyPr lIns="0" tIns="0" rIns="0" bIns="0"/>
            <a:lstStyle/>
            <a:p>
              <a:pPr algn="ctr"/>
              <a:r>
                <a:rPr lang="sk-SK" sz="1000" b="1">
                  <a:solidFill>
                    <a:schemeClr val="bg1"/>
                  </a:solidFill>
                  <a:latin typeface="Verdana" panose="020B0604030504040204" pitchFamily="34" charset="0"/>
                  <a:ea typeface="Verdana" panose="020B0604030504040204" pitchFamily="34" charset="0"/>
                </a:rPr>
                <a:t>101</a:t>
              </a:r>
              <a:endParaRPr lang="sk-SK" b="1">
                <a:solidFill>
                  <a:schemeClr val="bg1"/>
                </a:solidFill>
                <a:latin typeface="Verdana" panose="020B0604030504040204" pitchFamily="34" charset="0"/>
                <a:ea typeface="Verdana" panose="020B0604030504040204" pitchFamily="34" charset="0"/>
              </a:endParaRPr>
            </a:p>
          </xdr:txBody>
        </xdr:sp>
        <xdr:sp macro="" textlink="">
          <xdr:nvSpPr>
            <xdr:cNvPr id="18" name="Obdélník 30">
              <a:extLst>
                <a:ext uri="{FF2B5EF4-FFF2-40B4-BE49-F238E27FC236}">
                  <a16:creationId xmlns:a16="http://schemas.microsoft.com/office/drawing/2014/main" id="{00000000-0008-0000-1600-000012000000}"/>
                </a:ext>
              </a:extLst>
            </xdr:cNvPr>
            <xdr:cNvSpPr>
              <a:spLocks noChangeArrowheads="1"/>
            </xdr:cNvSpPr>
          </xdr:nvSpPr>
          <xdr:spPr bwMode="auto">
            <a:xfrm rot="5400000">
              <a:off x="5652204" y="21747989"/>
              <a:ext cx="119658" cy="18595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</xdr:grpSp>
      <xdr:grpSp>
        <xdr:nvGrpSpPr>
          <xdr:cNvPr id="14" name="Skupina 239">
            <a:extLst>
              <a:ext uri="{FF2B5EF4-FFF2-40B4-BE49-F238E27FC236}">
                <a16:creationId xmlns:a16="http://schemas.microsoft.com/office/drawing/2014/main" id="{00000000-0008-0000-1600-00000E000000}"/>
              </a:ext>
            </a:extLst>
          </xdr:cNvPr>
          <xdr:cNvGrpSpPr>
            <a:grpSpLocks/>
          </xdr:cNvGrpSpPr>
        </xdr:nvGrpSpPr>
        <xdr:grpSpPr bwMode="auto">
          <a:xfrm>
            <a:off x="8154254" y="4304213"/>
            <a:ext cx="737519" cy="281254"/>
            <a:chOff x="5696171" y="22372523"/>
            <a:chExt cx="544206" cy="183600"/>
          </a:xfrm>
        </xdr:grpSpPr>
        <xdr:sp macro="" textlink="">
          <xdr:nvSpPr>
            <xdr:cNvPr id="15" name="Obdélník 23">
              <a:extLst>
                <a:ext uri="{FF2B5EF4-FFF2-40B4-BE49-F238E27FC236}">
                  <a16:creationId xmlns:a16="http://schemas.microsoft.com/office/drawing/2014/main" id="{00000000-0008-0000-1600-00000F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705292" y="22385002"/>
              <a:ext cx="535085" cy="166089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  <xdr:txBody>
            <a:bodyPr lIns="0" tIns="0" rIns="0" bIns="0" anchor="ctr"/>
            <a:lstStyle/>
            <a:p>
              <a:pPr algn="ctr"/>
              <a:r>
                <a:rPr lang="sk-SK" sz="1000" b="1">
                  <a:solidFill>
                    <a:schemeClr val="bg1"/>
                  </a:solidFill>
                  <a:latin typeface="Verdana" panose="020B0604030504040204" pitchFamily="34" charset="0"/>
                  <a:ea typeface="Verdana" panose="020B0604030504040204" pitchFamily="34" charset="0"/>
                </a:rPr>
                <a:t>187</a:t>
              </a:r>
              <a:endParaRPr lang="sk-SK" b="1">
                <a:solidFill>
                  <a:schemeClr val="bg1"/>
                </a:solidFill>
                <a:latin typeface="Verdana" panose="020B0604030504040204" pitchFamily="34" charset="0"/>
                <a:ea typeface="Verdana" panose="020B0604030504040204" pitchFamily="34" charset="0"/>
              </a:endParaRPr>
            </a:p>
          </xdr:txBody>
        </xdr:sp>
        <xdr:sp macro="" textlink="">
          <xdr:nvSpPr>
            <xdr:cNvPr id="16" name="Obdélník 30">
              <a:extLst>
                <a:ext uri="{FF2B5EF4-FFF2-40B4-BE49-F238E27FC236}">
                  <a16:creationId xmlns:a16="http://schemas.microsoft.com/office/drawing/2014/main" id="{00000000-0008-0000-1600-000010000000}"/>
                </a:ext>
              </a:extLst>
            </xdr:cNvPr>
            <xdr:cNvSpPr>
              <a:spLocks noChangeArrowheads="1"/>
            </xdr:cNvSpPr>
          </xdr:nvSpPr>
          <xdr:spPr bwMode="auto">
            <a:xfrm rot="5400000">
              <a:off x="5614997" y="22453697"/>
              <a:ext cx="183600" cy="21251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</xdr:grpSp>
      <xdr:grpSp>
        <xdr:nvGrpSpPr>
          <xdr:cNvPr id="47" name="Skupina 238">
            <a:extLst>
              <a:ext uri="{FF2B5EF4-FFF2-40B4-BE49-F238E27FC236}">
                <a16:creationId xmlns:a16="http://schemas.microsoft.com/office/drawing/2014/main" id="{00000000-0008-0000-1600-00002F000000}"/>
              </a:ext>
            </a:extLst>
          </xdr:cNvPr>
          <xdr:cNvGrpSpPr>
            <a:grpSpLocks/>
          </xdr:cNvGrpSpPr>
        </xdr:nvGrpSpPr>
        <xdr:grpSpPr bwMode="auto">
          <a:xfrm>
            <a:off x="8155129" y="3823542"/>
            <a:ext cx="731342" cy="183302"/>
            <a:chOff x="5702735" y="21697458"/>
            <a:chExt cx="539648" cy="119658"/>
          </a:xfrm>
        </xdr:grpSpPr>
        <xdr:sp macro="" textlink="">
          <xdr:nvSpPr>
            <xdr:cNvPr id="48" name="Obdélník 47">
              <a:extLst>
                <a:ext uri="{FF2B5EF4-FFF2-40B4-BE49-F238E27FC236}">
                  <a16:creationId xmlns:a16="http://schemas.microsoft.com/office/drawing/2014/main" id="{00000000-0008-0000-1600-000030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707298" y="21712036"/>
              <a:ext cx="535085" cy="103402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  <xdr:txBody>
            <a:bodyPr lIns="0" tIns="0" rIns="0" bIns="0"/>
            <a:lstStyle/>
            <a:p>
              <a:pPr algn="ctr"/>
              <a:r>
                <a:rPr lang="sk-SK" sz="1000" b="1">
                  <a:solidFill>
                    <a:schemeClr val="bg1"/>
                  </a:solidFill>
                  <a:latin typeface="Verdana" panose="020B0604030504040204" pitchFamily="34" charset="0"/>
                  <a:ea typeface="Verdana" panose="020B0604030504040204" pitchFamily="34" charset="0"/>
                </a:rPr>
                <a:t>101</a:t>
              </a:r>
              <a:endParaRPr lang="sk-SK" b="1">
                <a:solidFill>
                  <a:schemeClr val="bg1"/>
                </a:solidFill>
                <a:latin typeface="Verdana" panose="020B0604030504040204" pitchFamily="34" charset="0"/>
                <a:ea typeface="Verdana" panose="020B0604030504040204" pitchFamily="34" charset="0"/>
              </a:endParaRPr>
            </a:p>
          </xdr:txBody>
        </xdr:sp>
        <xdr:sp macro="" textlink="">
          <xdr:nvSpPr>
            <xdr:cNvPr id="49" name="Obdélník 30">
              <a:extLst>
                <a:ext uri="{FF2B5EF4-FFF2-40B4-BE49-F238E27FC236}">
                  <a16:creationId xmlns:a16="http://schemas.microsoft.com/office/drawing/2014/main" id="{00000000-0008-0000-1600-000031000000}"/>
                </a:ext>
              </a:extLst>
            </xdr:cNvPr>
            <xdr:cNvSpPr>
              <a:spLocks noChangeArrowheads="1"/>
            </xdr:cNvSpPr>
          </xdr:nvSpPr>
          <xdr:spPr bwMode="auto">
            <a:xfrm rot="5400000">
              <a:off x="5652204" y="21747989"/>
              <a:ext cx="119658" cy="18595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</xdr:grpSp>
      <xdr:grpSp>
        <xdr:nvGrpSpPr>
          <xdr:cNvPr id="50" name="Skupina 239">
            <a:extLst>
              <a:ext uri="{FF2B5EF4-FFF2-40B4-BE49-F238E27FC236}">
                <a16:creationId xmlns:a16="http://schemas.microsoft.com/office/drawing/2014/main" id="{00000000-0008-0000-1600-000032000000}"/>
              </a:ext>
            </a:extLst>
          </xdr:cNvPr>
          <xdr:cNvGrpSpPr>
            <a:grpSpLocks/>
          </xdr:cNvGrpSpPr>
        </xdr:nvGrpSpPr>
        <xdr:grpSpPr bwMode="auto">
          <a:xfrm>
            <a:off x="8154254" y="4881726"/>
            <a:ext cx="737519" cy="281254"/>
            <a:chOff x="5696171" y="22372523"/>
            <a:chExt cx="544206" cy="183600"/>
          </a:xfrm>
        </xdr:grpSpPr>
        <xdr:sp macro="" textlink="">
          <xdr:nvSpPr>
            <xdr:cNvPr id="51" name="Obdélník 23">
              <a:extLst>
                <a:ext uri="{FF2B5EF4-FFF2-40B4-BE49-F238E27FC236}">
                  <a16:creationId xmlns:a16="http://schemas.microsoft.com/office/drawing/2014/main" id="{00000000-0008-0000-1600-000033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705292" y="22385002"/>
              <a:ext cx="535085" cy="166089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  <xdr:txBody>
            <a:bodyPr lIns="0" tIns="0" rIns="0" bIns="0" anchor="ctr"/>
            <a:lstStyle/>
            <a:p>
              <a:pPr algn="ctr"/>
              <a:r>
                <a:rPr lang="sk-SK" sz="1000" b="1">
                  <a:solidFill>
                    <a:schemeClr val="bg1"/>
                  </a:solidFill>
                  <a:latin typeface="Verdana" panose="020B0604030504040204" pitchFamily="34" charset="0"/>
                  <a:ea typeface="Verdana" panose="020B0604030504040204" pitchFamily="34" charset="0"/>
                </a:rPr>
                <a:t>187</a:t>
              </a:r>
              <a:endParaRPr lang="sk-SK" b="1">
                <a:solidFill>
                  <a:schemeClr val="bg1"/>
                </a:solidFill>
                <a:latin typeface="Verdana" panose="020B0604030504040204" pitchFamily="34" charset="0"/>
                <a:ea typeface="Verdana" panose="020B0604030504040204" pitchFamily="34" charset="0"/>
              </a:endParaRPr>
            </a:p>
          </xdr:txBody>
        </xdr:sp>
        <xdr:sp macro="" textlink="">
          <xdr:nvSpPr>
            <xdr:cNvPr id="52" name="Obdélník 30">
              <a:extLst>
                <a:ext uri="{FF2B5EF4-FFF2-40B4-BE49-F238E27FC236}">
                  <a16:creationId xmlns:a16="http://schemas.microsoft.com/office/drawing/2014/main" id="{00000000-0008-0000-1600-000034000000}"/>
                </a:ext>
              </a:extLst>
            </xdr:cNvPr>
            <xdr:cNvSpPr>
              <a:spLocks noChangeArrowheads="1"/>
            </xdr:cNvSpPr>
          </xdr:nvSpPr>
          <xdr:spPr bwMode="auto">
            <a:xfrm rot="5400000">
              <a:off x="5614997" y="22453697"/>
              <a:ext cx="183600" cy="21251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</xdr:grpSp>
    </xdr:grpSp>
    <xdr:clientData/>
  </xdr:twoCellAnchor>
  <xdr:twoCellAnchor editAs="oneCell">
    <xdr:from>
      <xdr:col>23</xdr:col>
      <xdr:colOff>80209</xdr:colOff>
      <xdr:row>4</xdr:row>
      <xdr:rowOff>88235</xdr:rowOff>
    </xdr:from>
    <xdr:to>
      <xdr:col>29</xdr:col>
      <xdr:colOff>40799</xdr:colOff>
      <xdr:row>15</xdr:row>
      <xdr:rowOff>89309</xdr:rowOff>
    </xdr:to>
    <xdr:pic>
      <xdr:nvPicPr>
        <xdr:cNvPr id="54" name="Obrázek 53">
          <a:extLst>
            <a:ext uri="{FF2B5EF4-FFF2-40B4-BE49-F238E27FC236}">
              <a16:creationId xmlns:a16="http://schemas.microsoft.com/office/drawing/2014/main" id="{00000000-0008-0000-16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406188" y="986593"/>
          <a:ext cx="1260000" cy="2030400"/>
        </a:xfrm>
        <a:prstGeom prst="rect">
          <a:avLst/>
        </a:prstGeom>
        <a:noFill/>
        <a:ln w="28575">
          <a:solidFill>
            <a:srgbClr val="A6A6A6"/>
          </a:solidFill>
          <a:miter lim="800000"/>
          <a:headEnd/>
          <a:tailEnd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72194</xdr:colOff>
      <xdr:row>3</xdr:row>
      <xdr:rowOff>280737</xdr:rowOff>
    </xdr:from>
    <xdr:to>
      <xdr:col>23</xdr:col>
      <xdr:colOff>169476</xdr:colOff>
      <xdr:row>14</xdr:row>
      <xdr:rowOff>128337</xdr:rowOff>
    </xdr:to>
    <xdr:grpSp>
      <xdr:nvGrpSpPr>
        <xdr:cNvPr id="2" name="Skupina 96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GrpSpPr>
          <a:grpSpLocks noChangeAspect="1"/>
        </xdr:cNvGrpSpPr>
      </xdr:nvGrpSpPr>
      <xdr:grpSpPr bwMode="auto">
        <a:xfrm>
          <a:off x="3713752" y="890337"/>
          <a:ext cx="2190777" cy="1981200"/>
          <a:chOff x="9136789" y="4391025"/>
          <a:chExt cx="943124" cy="805761"/>
        </a:xfrm>
      </xdr:grpSpPr>
      <xdr:sp macro="" textlink="">
        <xdr:nvSpPr>
          <xdr:cNvPr id="3" name="Obdélník 98">
            <a:extLst>
              <a:ext uri="{FF2B5EF4-FFF2-40B4-BE49-F238E27FC236}">
                <a16:creationId xmlns:a16="http://schemas.microsoft.com/office/drawing/2014/main" id="{00000000-0008-0000-1700-000003000000}"/>
              </a:ext>
            </a:extLst>
          </xdr:cNvPr>
          <xdr:cNvSpPr>
            <a:spLocks noChangeArrowheads="1"/>
          </xdr:cNvSpPr>
        </xdr:nvSpPr>
        <xdr:spPr bwMode="auto">
          <a:xfrm>
            <a:off x="9179719" y="4484886"/>
            <a:ext cx="771525" cy="418303"/>
          </a:xfrm>
          <a:prstGeom prst="rect">
            <a:avLst/>
          </a:prstGeom>
          <a:solidFill>
            <a:srgbClr val="C6D9F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" name="Obdélník 99">
            <a:extLst>
              <a:ext uri="{FF2B5EF4-FFF2-40B4-BE49-F238E27FC236}">
                <a16:creationId xmlns:a16="http://schemas.microsoft.com/office/drawing/2014/main" id="{00000000-0008-0000-1700-000004000000}"/>
              </a:ext>
            </a:extLst>
          </xdr:cNvPr>
          <xdr:cNvSpPr>
            <a:spLocks noChangeArrowheads="1"/>
          </xdr:cNvSpPr>
        </xdr:nvSpPr>
        <xdr:spPr bwMode="auto">
          <a:xfrm>
            <a:off x="9170194" y="4915644"/>
            <a:ext cx="771525" cy="126452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5" name="Obdélník 100">
            <a:extLst>
              <a:ext uri="{FF2B5EF4-FFF2-40B4-BE49-F238E27FC236}">
                <a16:creationId xmlns:a16="http://schemas.microsoft.com/office/drawing/2014/main" id="{00000000-0008-0000-1700-000005000000}"/>
              </a:ext>
            </a:extLst>
          </xdr:cNvPr>
          <xdr:cNvSpPr>
            <a:spLocks noChangeArrowheads="1"/>
          </xdr:cNvSpPr>
        </xdr:nvSpPr>
        <xdr:spPr bwMode="auto">
          <a:xfrm>
            <a:off x="9136789" y="4433584"/>
            <a:ext cx="52456" cy="677893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" name="Volný tvar 101">
            <a:extLst>
              <a:ext uri="{FF2B5EF4-FFF2-40B4-BE49-F238E27FC236}">
                <a16:creationId xmlns:a16="http://schemas.microsoft.com/office/drawing/2014/main" id="{00000000-0008-0000-1700-000006000000}"/>
              </a:ext>
            </a:extLst>
          </xdr:cNvPr>
          <xdr:cNvSpPr>
            <a:spLocks/>
          </xdr:cNvSpPr>
        </xdr:nvSpPr>
        <xdr:spPr bwMode="auto">
          <a:xfrm>
            <a:off x="9789320" y="4391025"/>
            <a:ext cx="290593" cy="805761"/>
          </a:xfrm>
          <a:custGeom>
            <a:avLst/>
            <a:gdLst>
              <a:gd name="T0" fmla="*/ 76200 w 290593"/>
              <a:gd name="T1" fmla="*/ 5010 h 817667"/>
              <a:gd name="T2" fmla="*/ 76200 w 290593"/>
              <a:gd name="T3" fmla="*/ 5010 h 817667"/>
              <a:gd name="T4" fmla="*/ 77390 w 290593"/>
              <a:gd name="T5" fmla="*/ 34148 h 817667"/>
              <a:gd name="T6" fmla="*/ 38100 w 290593"/>
              <a:gd name="T7" fmla="*/ 57244 h 817667"/>
              <a:gd name="T8" fmla="*/ 85725 w 290593"/>
              <a:gd name="T9" fmla="*/ 73568 h 817667"/>
              <a:gd name="T10" fmla="*/ 57150 w 290593"/>
              <a:gd name="T11" fmla="*/ 129068 h 817667"/>
              <a:gd name="T12" fmla="*/ 28575 w 290593"/>
              <a:gd name="T13" fmla="*/ 132332 h 817667"/>
              <a:gd name="T14" fmla="*/ 28575 w 290593"/>
              <a:gd name="T15" fmla="*/ 168242 h 817667"/>
              <a:gd name="T16" fmla="*/ 47625 w 290593"/>
              <a:gd name="T17" fmla="*/ 178034 h 817667"/>
              <a:gd name="T18" fmla="*/ 38100 w 290593"/>
              <a:gd name="T19" fmla="*/ 197624 h 817667"/>
              <a:gd name="T20" fmla="*/ 9525 w 290593"/>
              <a:gd name="T21" fmla="*/ 200890 h 817667"/>
              <a:gd name="T22" fmla="*/ 0 w 290593"/>
              <a:gd name="T23" fmla="*/ 210682 h 817667"/>
              <a:gd name="T24" fmla="*/ 19050 w 290593"/>
              <a:gd name="T25" fmla="*/ 230271 h 817667"/>
              <a:gd name="T26" fmla="*/ 57150 w 290593"/>
              <a:gd name="T27" fmla="*/ 249858 h 817667"/>
              <a:gd name="T28" fmla="*/ 57150 w 290593"/>
              <a:gd name="T29" fmla="*/ 279239 h 817667"/>
              <a:gd name="T30" fmla="*/ 266700 w 290593"/>
              <a:gd name="T31" fmla="*/ 266183 h 817667"/>
              <a:gd name="T32" fmla="*/ 266700 w 290593"/>
              <a:gd name="T33" fmla="*/ 174772 h 817667"/>
              <a:gd name="T34" fmla="*/ 285750 w 290593"/>
              <a:gd name="T35" fmla="*/ 14801 h 817667"/>
              <a:gd name="T36" fmla="*/ 76200 w 290593"/>
              <a:gd name="T37" fmla="*/ 5010 h 817667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w 290593"/>
              <a:gd name="T58" fmla="*/ 0 h 817667"/>
              <a:gd name="T59" fmla="*/ 290593 w 290593"/>
              <a:gd name="T60" fmla="*/ 817667 h 817667"/>
            </a:gdLst>
            <a:ahLst/>
            <a:cxnLst>
              <a:cxn ang="T38">
                <a:pos x="T0" y="T1"/>
              </a:cxn>
              <a:cxn ang="T39">
                <a:pos x="T2" y="T3"/>
              </a:cxn>
              <a:cxn ang="T40">
                <a:pos x="T4" y="T5"/>
              </a:cxn>
              <a:cxn ang="T41">
                <a:pos x="T6" y="T7"/>
              </a:cxn>
              <a:cxn ang="T42">
                <a:pos x="T8" y="T9"/>
              </a:cxn>
              <a:cxn ang="T43">
                <a:pos x="T10" y="T11"/>
              </a:cxn>
              <a:cxn ang="T44">
                <a:pos x="T12" y="T13"/>
              </a:cxn>
              <a:cxn ang="T45">
                <a:pos x="T14" y="T15"/>
              </a:cxn>
              <a:cxn ang="T46">
                <a:pos x="T16" y="T17"/>
              </a:cxn>
              <a:cxn ang="T47">
                <a:pos x="T18" y="T19"/>
              </a:cxn>
              <a:cxn ang="T48">
                <a:pos x="T20" y="T21"/>
              </a:cxn>
              <a:cxn ang="T49">
                <a:pos x="T22" y="T23"/>
              </a:cxn>
              <a:cxn ang="T50">
                <a:pos x="T24" y="T25"/>
              </a:cxn>
              <a:cxn ang="T51">
                <a:pos x="T26" y="T27"/>
              </a:cxn>
              <a:cxn ang="T52">
                <a:pos x="T28" y="T29"/>
              </a:cxn>
              <a:cxn ang="T53">
                <a:pos x="T30" y="T31"/>
              </a:cxn>
              <a:cxn ang="T54">
                <a:pos x="T32" y="T33"/>
              </a:cxn>
              <a:cxn ang="T55">
                <a:pos x="T34" y="T35"/>
              </a:cxn>
              <a:cxn ang="T56">
                <a:pos x="T36" y="T37"/>
              </a:cxn>
            </a:cxnLst>
            <a:rect l="T57" t="T58" r="T59" b="T60"/>
            <a:pathLst>
              <a:path w="290593" h="817667">
                <a:moveTo>
                  <a:pt x="76200" y="14613"/>
                </a:moveTo>
                <a:lnTo>
                  <a:pt x="76200" y="14613"/>
                </a:lnTo>
                <a:cubicBezTo>
                  <a:pt x="86511" y="42109"/>
                  <a:pt x="109205" y="63275"/>
                  <a:pt x="77390" y="99635"/>
                </a:cubicBezTo>
                <a:cubicBezTo>
                  <a:pt x="64167" y="114747"/>
                  <a:pt x="38100" y="167013"/>
                  <a:pt x="38100" y="167013"/>
                </a:cubicBezTo>
                <a:cubicBezTo>
                  <a:pt x="52096" y="176344"/>
                  <a:pt x="84429" y="192607"/>
                  <a:pt x="85725" y="214638"/>
                </a:cubicBezTo>
                <a:cubicBezTo>
                  <a:pt x="86693" y="231091"/>
                  <a:pt x="98014" y="343872"/>
                  <a:pt x="57150" y="376563"/>
                </a:cubicBezTo>
                <a:cubicBezTo>
                  <a:pt x="49310" y="382835"/>
                  <a:pt x="38100" y="382913"/>
                  <a:pt x="28575" y="386088"/>
                </a:cubicBezTo>
                <a:cubicBezTo>
                  <a:pt x="13701" y="430709"/>
                  <a:pt x="10804" y="425702"/>
                  <a:pt x="28575" y="490863"/>
                </a:cubicBezTo>
                <a:cubicBezTo>
                  <a:pt x="31587" y="501907"/>
                  <a:pt x="41275" y="509913"/>
                  <a:pt x="47625" y="519438"/>
                </a:cubicBezTo>
                <a:cubicBezTo>
                  <a:pt x="44450" y="538488"/>
                  <a:pt x="47682" y="559820"/>
                  <a:pt x="38100" y="576588"/>
                </a:cubicBezTo>
                <a:cubicBezTo>
                  <a:pt x="33119" y="585305"/>
                  <a:pt x="16625" y="579013"/>
                  <a:pt x="9525" y="586113"/>
                </a:cubicBezTo>
                <a:cubicBezTo>
                  <a:pt x="2425" y="593213"/>
                  <a:pt x="3175" y="605163"/>
                  <a:pt x="0" y="614688"/>
                </a:cubicBezTo>
                <a:cubicBezTo>
                  <a:pt x="6350" y="633738"/>
                  <a:pt x="7911" y="655130"/>
                  <a:pt x="19050" y="671838"/>
                </a:cubicBezTo>
                <a:lnTo>
                  <a:pt x="57150" y="728988"/>
                </a:lnTo>
                <a:cubicBezTo>
                  <a:pt x="51516" y="745889"/>
                  <a:pt x="26742" y="805357"/>
                  <a:pt x="57150" y="814713"/>
                </a:cubicBezTo>
                <a:cubicBezTo>
                  <a:pt x="66751" y="817667"/>
                  <a:pt x="248114" y="780330"/>
                  <a:pt x="266700" y="776613"/>
                </a:cubicBezTo>
                <a:cubicBezTo>
                  <a:pt x="290593" y="633254"/>
                  <a:pt x="266700" y="801168"/>
                  <a:pt x="266700" y="509913"/>
                </a:cubicBezTo>
                <a:cubicBezTo>
                  <a:pt x="266700" y="283161"/>
                  <a:pt x="272633" y="226829"/>
                  <a:pt x="285750" y="43188"/>
                </a:cubicBezTo>
                <a:cubicBezTo>
                  <a:pt x="199373" y="0"/>
                  <a:pt x="111125" y="19376"/>
                  <a:pt x="76200" y="14613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cap="flat" cmpd="sng" algn="ctr">
                <a:solidFill>
                  <a:srgbClr val="000000"/>
                </a:solidFill>
                <a:prstDash val="solid"/>
                <a:round/>
                <a:headEnd type="none" w="med" len="med"/>
                <a:tailEnd type="none" w="med" len="med"/>
              </a14:hiddenLine>
            </a:ext>
          </a:extLst>
        </xdr:spPr>
      </xdr:sp>
    </xdr:grpSp>
    <xdr:clientData/>
  </xdr:twoCellAnchor>
  <xdr:twoCellAnchor editAs="oneCell">
    <xdr:from>
      <xdr:col>45</xdr:col>
      <xdr:colOff>144780</xdr:colOff>
      <xdr:row>1</xdr:row>
      <xdr:rowOff>106680</xdr:rowOff>
    </xdr:from>
    <xdr:to>
      <xdr:col>63</xdr:col>
      <xdr:colOff>487680</xdr:colOff>
      <xdr:row>4</xdr:row>
      <xdr:rowOff>144780</xdr:rowOff>
    </xdr:to>
    <xdr:pic>
      <xdr:nvPicPr>
        <xdr:cNvPr id="7" name="Picture 24">
          <a:extLst>
            <a:ext uri="{FF2B5EF4-FFF2-40B4-BE49-F238E27FC236}">
              <a16:creationId xmlns:a16="http://schemas.microsoft.com/office/drawing/2014/main" id="{00000000-0008-0000-17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266700"/>
          <a:ext cx="960120" cy="777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22860</xdr:colOff>
      <xdr:row>70</xdr:row>
      <xdr:rowOff>67777</xdr:rowOff>
    </xdr:from>
    <xdr:to>
      <xdr:col>34</xdr:col>
      <xdr:colOff>0</xdr:colOff>
      <xdr:row>79</xdr:row>
      <xdr:rowOff>44917</xdr:rowOff>
    </xdr:to>
    <xdr:pic>
      <xdr:nvPicPr>
        <xdr:cNvPr id="8" name="Picture 11">
          <a:extLst>
            <a:ext uri="{FF2B5EF4-FFF2-40B4-BE49-F238E27FC236}">
              <a16:creationId xmlns:a16="http://schemas.microsoft.com/office/drawing/2014/main" id="{00000000-0008-0000-1700-000008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4020" y="13204657"/>
          <a:ext cx="2110740" cy="1623060"/>
        </a:xfrm>
        <a:prstGeom prst="rect">
          <a:avLst/>
        </a:prstGeom>
        <a:noFill/>
        <a:ln w="28575">
          <a:solidFill>
            <a:srgbClr val="A6A6A6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205740</xdr:colOff>
      <xdr:row>70</xdr:row>
      <xdr:rowOff>143977</xdr:rowOff>
    </xdr:from>
    <xdr:to>
      <xdr:col>23</xdr:col>
      <xdr:colOff>68580</xdr:colOff>
      <xdr:row>79</xdr:row>
      <xdr:rowOff>176061</xdr:rowOff>
    </xdr:to>
    <xdr:grpSp>
      <xdr:nvGrpSpPr>
        <xdr:cNvPr id="9" name="Skupina 102">
          <a:extLst>
            <a:ext uri="{FF2B5EF4-FFF2-40B4-BE49-F238E27FC236}">
              <a16:creationId xmlns:a16="http://schemas.microsoft.com/office/drawing/2014/main" id="{00000000-0008-0000-1700-000009000000}"/>
            </a:ext>
          </a:extLst>
        </xdr:cNvPr>
        <xdr:cNvGrpSpPr>
          <a:grpSpLocks noChangeAspect="1"/>
        </xdr:cNvGrpSpPr>
      </xdr:nvGrpSpPr>
      <xdr:grpSpPr bwMode="auto">
        <a:xfrm>
          <a:off x="3614687" y="13378714"/>
          <a:ext cx="2188946" cy="1692442"/>
          <a:chOff x="1800224" y="3409923"/>
          <a:chExt cx="947819" cy="707831"/>
        </a:xfrm>
      </xdr:grpSpPr>
      <xdr:sp macro="" textlink="">
        <xdr:nvSpPr>
          <xdr:cNvPr id="10" name="Obdélník 103">
            <a:extLst>
              <a:ext uri="{FF2B5EF4-FFF2-40B4-BE49-F238E27FC236}">
                <a16:creationId xmlns:a16="http://schemas.microsoft.com/office/drawing/2014/main" id="{00000000-0008-0000-1700-00000A000000}"/>
              </a:ext>
            </a:extLst>
          </xdr:cNvPr>
          <xdr:cNvSpPr>
            <a:spLocks noChangeArrowheads="1"/>
          </xdr:cNvSpPr>
        </xdr:nvSpPr>
        <xdr:spPr bwMode="auto">
          <a:xfrm>
            <a:off x="1838324" y="3695700"/>
            <a:ext cx="771525" cy="304800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1" name="Obdélník 104">
            <a:extLst>
              <a:ext uri="{FF2B5EF4-FFF2-40B4-BE49-F238E27FC236}">
                <a16:creationId xmlns:a16="http://schemas.microsoft.com/office/drawing/2014/main" id="{00000000-0008-0000-1700-00000B000000}"/>
              </a:ext>
            </a:extLst>
          </xdr:cNvPr>
          <xdr:cNvSpPr>
            <a:spLocks noChangeArrowheads="1"/>
          </xdr:cNvSpPr>
        </xdr:nvSpPr>
        <xdr:spPr bwMode="auto">
          <a:xfrm>
            <a:off x="1800224" y="3562350"/>
            <a:ext cx="54000" cy="478800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2" name="Volný tvar 105">
            <a:extLst>
              <a:ext uri="{FF2B5EF4-FFF2-40B4-BE49-F238E27FC236}">
                <a16:creationId xmlns:a16="http://schemas.microsoft.com/office/drawing/2014/main" id="{00000000-0008-0000-1700-00000C000000}"/>
              </a:ext>
            </a:extLst>
          </xdr:cNvPr>
          <xdr:cNvSpPr>
            <a:spLocks/>
          </xdr:cNvSpPr>
        </xdr:nvSpPr>
        <xdr:spPr bwMode="auto">
          <a:xfrm>
            <a:off x="2457450" y="3409923"/>
            <a:ext cx="290593" cy="707831"/>
          </a:xfrm>
          <a:custGeom>
            <a:avLst/>
            <a:gdLst>
              <a:gd name="T0" fmla="*/ 177463 w 290593"/>
              <a:gd name="T1" fmla="*/ 34953 h 707831"/>
              <a:gd name="T2" fmla="*/ 95250 w 290593"/>
              <a:gd name="T3" fmla="*/ 38127 h 707831"/>
              <a:gd name="T4" fmla="*/ 38100 w 290593"/>
              <a:gd name="T5" fmla="*/ 57177 h 707831"/>
              <a:gd name="T6" fmla="*/ 85725 w 290593"/>
              <a:gd name="T7" fmla="*/ 104802 h 707831"/>
              <a:gd name="T8" fmla="*/ 57150 w 290593"/>
              <a:gd name="T9" fmla="*/ 266727 h 707831"/>
              <a:gd name="T10" fmla="*/ 28575 w 290593"/>
              <a:gd name="T11" fmla="*/ 276252 h 707831"/>
              <a:gd name="T12" fmla="*/ 28575 w 290593"/>
              <a:gd name="T13" fmla="*/ 381027 h 707831"/>
              <a:gd name="T14" fmla="*/ 47625 w 290593"/>
              <a:gd name="T15" fmla="*/ 409602 h 707831"/>
              <a:gd name="T16" fmla="*/ 38100 w 290593"/>
              <a:gd name="T17" fmla="*/ 466752 h 707831"/>
              <a:gd name="T18" fmla="*/ 9525 w 290593"/>
              <a:gd name="T19" fmla="*/ 476277 h 707831"/>
              <a:gd name="T20" fmla="*/ 0 w 290593"/>
              <a:gd name="T21" fmla="*/ 504852 h 707831"/>
              <a:gd name="T22" fmla="*/ 19050 w 290593"/>
              <a:gd name="T23" fmla="*/ 562002 h 707831"/>
              <a:gd name="T24" fmla="*/ 57150 w 290593"/>
              <a:gd name="T25" fmla="*/ 619152 h 707831"/>
              <a:gd name="T26" fmla="*/ 57150 w 290593"/>
              <a:gd name="T27" fmla="*/ 704877 h 707831"/>
              <a:gd name="T28" fmla="*/ 266700 w 290593"/>
              <a:gd name="T29" fmla="*/ 666777 h 707831"/>
              <a:gd name="T30" fmla="*/ 266700 w 290593"/>
              <a:gd name="T31" fmla="*/ 400077 h 707831"/>
              <a:gd name="T32" fmla="*/ 277649 w 290593"/>
              <a:gd name="T33" fmla="*/ 43188 h 707831"/>
              <a:gd name="T34" fmla="*/ 177463 w 290593"/>
              <a:gd name="T35" fmla="*/ 34953 h 707831"/>
              <a:gd name="T36" fmla="*/ 0 60000 65536"/>
              <a:gd name="T37" fmla="*/ 0 60000 65536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w 290593"/>
              <a:gd name="T55" fmla="*/ 0 h 707831"/>
              <a:gd name="T56" fmla="*/ 290593 w 290593"/>
              <a:gd name="T57" fmla="*/ 707831 h 707831"/>
            </a:gdLst>
            <a:ahLst/>
            <a:cxnLst>
              <a:cxn ang="T36">
                <a:pos x="T0" y="T1"/>
              </a:cxn>
              <a:cxn ang="T37">
                <a:pos x="T2" y="T3"/>
              </a:cxn>
              <a:cxn ang="T38">
                <a:pos x="T4" y="T5"/>
              </a:cxn>
              <a:cxn ang="T39">
                <a:pos x="T6" y="T7"/>
              </a:cxn>
              <a:cxn ang="T40">
                <a:pos x="T8" y="T9"/>
              </a:cxn>
              <a:cxn ang="T41">
                <a:pos x="T10" y="T11"/>
              </a:cxn>
              <a:cxn ang="T42">
                <a:pos x="T12" y="T13"/>
              </a:cxn>
              <a:cxn ang="T43">
                <a:pos x="T14" y="T15"/>
              </a:cxn>
              <a:cxn ang="T44">
                <a:pos x="T16" y="T17"/>
              </a:cxn>
              <a:cxn ang="T45">
                <a:pos x="T18" y="T19"/>
              </a:cxn>
              <a:cxn ang="T46">
                <a:pos x="T20" y="T21"/>
              </a:cxn>
              <a:cxn ang="T47">
                <a:pos x="T22" y="T23"/>
              </a:cxn>
              <a:cxn ang="T48">
                <a:pos x="T24" y="T25"/>
              </a:cxn>
              <a:cxn ang="T49">
                <a:pos x="T26" y="T27"/>
              </a:cxn>
              <a:cxn ang="T50">
                <a:pos x="T28" y="T29"/>
              </a:cxn>
              <a:cxn ang="T51">
                <a:pos x="T30" y="T31"/>
              </a:cxn>
              <a:cxn ang="T52">
                <a:pos x="T32" y="T33"/>
              </a:cxn>
              <a:cxn ang="T53">
                <a:pos x="T34" y="T35"/>
              </a:cxn>
            </a:cxnLst>
            <a:rect l="T54" t="T55" r="T56" b="T57"/>
            <a:pathLst>
              <a:path w="290593" h="707831">
                <a:moveTo>
                  <a:pt x="177463" y="34953"/>
                </a:moveTo>
                <a:lnTo>
                  <a:pt x="95250" y="38127"/>
                </a:lnTo>
                <a:cubicBezTo>
                  <a:pt x="82027" y="53239"/>
                  <a:pt x="38100" y="57177"/>
                  <a:pt x="38100" y="57177"/>
                </a:cubicBezTo>
                <a:cubicBezTo>
                  <a:pt x="52096" y="66508"/>
                  <a:pt x="84429" y="82771"/>
                  <a:pt x="85725" y="104802"/>
                </a:cubicBezTo>
                <a:cubicBezTo>
                  <a:pt x="86693" y="121255"/>
                  <a:pt x="98014" y="234036"/>
                  <a:pt x="57150" y="266727"/>
                </a:cubicBezTo>
                <a:cubicBezTo>
                  <a:pt x="49310" y="272999"/>
                  <a:pt x="38100" y="273077"/>
                  <a:pt x="28575" y="276252"/>
                </a:cubicBezTo>
                <a:cubicBezTo>
                  <a:pt x="13701" y="320873"/>
                  <a:pt x="10804" y="315866"/>
                  <a:pt x="28575" y="381027"/>
                </a:cubicBezTo>
                <a:cubicBezTo>
                  <a:pt x="31587" y="392071"/>
                  <a:pt x="41275" y="400077"/>
                  <a:pt x="47625" y="409602"/>
                </a:cubicBezTo>
                <a:cubicBezTo>
                  <a:pt x="44450" y="428652"/>
                  <a:pt x="47682" y="449984"/>
                  <a:pt x="38100" y="466752"/>
                </a:cubicBezTo>
                <a:cubicBezTo>
                  <a:pt x="33119" y="475469"/>
                  <a:pt x="16625" y="469177"/>
                  <a:pt x="9525" y="476277"/>
                </a:cubicBezTo>
                <a:cubicBezTo>
                  <a:pt x="2425" y="483377"/>
                  <a:pt x="3175" y="495327"/>
                  <a:pt x="0" y="504852"/>
                </a:cubicBezTo>
                <a:cubicBezTo>
                  <a:pt x="6350" y="523902"/>
                  <a:pt x="7911" y="545294"/>
                  <a:pt x="19050" y="562002"/>
                </a:cubicBezTo>
                <a:lnTo>
                  <a:pt x="57150" y="619152"/>
                </a:lnTo>
                <a:cubicBezTo>
                  <a:pt x="51516" y="636053"/>
                  <a:pt x="26742" y="695521"/>
                  <a:pt x="57150" y="704877"/>
                </a:cubicBezTo>
                <a:cubicBezTo>
                  <a:pt x="66751" y="707831"/>
                  <a:pt x="248114" y="670494"/>
                  <a:pt x="266700" y="666777"/>
                </a:cubicBezTo>
                <a:cubicBezTo>
                  <a:pt x="290593" y="523418"/>
                  <a:pt x="266700" y="691332"/>
                  <a:pt x="266700" y="400077"/>
                </a:cubicBezTo>
                <a:cubicBezTo>
                  <a:pt x="266700" y="173325"/>
                  <a:pt x="264532" y="226829"/>
                  <a:pt x="277649" y="43188"/>
                </a:cubicBezTo>
                <a:cubicBezTo>
                  <a:pt x="191272" y="0"/>
                  <a:pt x="212388" y="39716"/>
                  <a:pt x="177463" y="34953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cap="flat" cmpd="sng" algn="ctr">
                <a:solidFill>
                  <a:srgbClr val="000000"/>
                </a:solidFill>
                <a:prstDash val="solid"/>
                <a:round/>
                <a:headEnd type="none" w="med" len="med"/>
                <a:tailEnd type="none" w="med" len="med"/>
              </a14:hiddenLine>
            </a:ext>
          </a:extLst>
        </xdr:spPr>
      </xdr:sp>
    </xdr:grpSp>
    <xdr:clientData/>
  </xdr:twoCellAnchor>
  <xdr:twoCellAnchor editAs="oneCell">
    <xdr:from>
      <xdr:col>4</xdr:col>
      <xdr:colOff>403860</xdr:colOff>
      <xdr:row>86</xdr:row>
      <xdr:rowOff>45720</xdr:rowOff>
    </xdr:from>
    <xdr:to>
      <xdr:col>23</xdr:col>
      <xdr:colOff>129540</xdr:colOff>
      <xdr:row>94</xdr:row>
      <xdr:rowOff>160020</xdr:rowOff>
    </xdr:to>
    <xdr:pic>
      <xdr:nvPicPr>
        <xdr:cNvPr id="13" name="Obrázek 17">
          <a:extLst>
            <a:ext uri="{FF2B5EF4-FFF2-40B4-BE49-F238E27FC236}">
              <a16:creationId xmlns:a16="http://schemas.microsoft.com/office/drawing/2014/main" id="{00000000-0008-0000-17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400" y="16108680"/>
          <a:ext cx="4091940" cy="1577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17</xdr:col>
      <xdr:colOff>16042</xdr:colOff>
      <xdr:row>5</xdr:row>
      <xdr:rowOff>48129</xdr:rowOff>
    </xdr:from>
    <xdr:to>
      <xdr:col>23</xdr:col>
      <xdr:colOff>88232</xdr:colOff>
      <xdr:row>14</xdr:row>
      <xdr:rowOff>164033</xdr:rowOff>
    </xdr:to>
    <xdr:grpSp>
      <xdr:nvGrpSpPr>
        <xdr:cNvPr id="14" name="Skupina 21">
          <a:extLst>
            <a:ext uri="{FF2B5EF4-FFF2-40B4-BE49-F238E27FC236}">
              <a16:creationId xmlns:a16="http://schemas.microsoft.com/office/drawing/2014/main" id="{00000000-0008-0000-1700-00000E000000}"/>
            </a:ext>
          </a:extLst>
        </xdr:cNvPr>
        <xdr:cNvGrpSpPr>
          <a:grpSpLocks noChangeAspect="1"/>
        </xdr:cNvGrpSpPr>
      </xdr:nvGrpSpPr>
      <xdr:grpSpPr bwMode="auto">
        <a:xfrm>
          <a:off x="4355431" y="1130971"/>
          <a:ext cx="1467854" cy="1776262"/>
          <a:chOff x="1805259" y="3377086"/>
          <a:chExt cx="638606" cy="740669"/>
        </a:xfrm>
      </xdr:grpSpPr>
      <xdr:sp macro="" textlink="">
        <xdr:nvSpPr>
          <xdr:cNvPr id="15" name="Obdélník 19">
            <a:extLst>
              <a:ext uri="{FF2B5EF4-FFF2-40B4-BE49-F238E27FC236}">
                <a16:creationId xmlns:a16="http://schemas.microsoft.com/office/drawing/2014/main" id="{00000000-0008-0000-1700-00000F000000}"/>
              </a:ext>
            </a:extLst>
          </xdr:cNvPr>
          <xdr:cNvSpPr>
            <a:spLocks noChangeArrowheads="1"/>
          </xdr:cNvSpPr>
        </xdr:nvSpPr>
        <xdr:spPr bwMode="auto">
          <a:xfrm>
            <a:off x="1838325" y="3695700"/>
            <a:ext cx="553256" cy="304800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6" name="Obdélník 18">
            <a:extLst>
              <a:ext uri="{FF2B5EF4-FFF2-40B4-BE49-F238E27FC236}">
                <a16:creationId xmlns:a16="http://schemas.microsoft.com/office/drawing/2014/main" id="{00000000-0008-0000-1700-000010000000}"/>
              </a:ext>
            </a:extLst>
          </xdr:cNvPr>
          <xdr:cNvSpPr>
            <a:spLocks noChangeArrowheads="1"/>
          </xdr:cNvSpPr>
        </xdr:nvSpPr>
        <xdr:spPr bwMode="auto">
          <a:xfrm>
            <a:off x="1805259" y="3562350"/>
            <a:ext cx="52116" cy="514350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7" name="Volný tvar 20">
            <a:extLst>
              <a:ext uri="{FF2B5EF4-FFF2-40B4-BE49-F238E27FC236}">
                <a16:creationId xmlns:a16="http://schemas.microsoft.com/office/drawing/2014/main" id="{00000000-0008-0000-1700-000011000000}"/>
              </a:ext>
            </a:extLst>
          </xdr:cNvPr>
          <xdr:cNvSpPr>
            <a:spLocks/>
          </xdr:cNvSpPr>
        </xdr:nvSpPr>
        <xdr:spPr bwMode="auto">
          <a:xfrm>
            <a:off x="2192299" y="3377086"/>
            <a:ext cx="251566" cy="740669"/>
          </a:xfrm>
          <a:custGeom>
            <a:avLst/>
            <a:gdLst>
              <a:gd name="T0" fmla="*/ 76200 w 290593"/>
              <a:gd name="T1" fmla="*/ 16 h 817667"/>
              <a:gd name="T2" fmla="*/ 76200 w 290593"/>
              <a:gd name="T3" fmla="*/ 16 h 817667"/>
              <a:gd name="T4" fmla="*/ 95250 w 290593"/>
              <a:gd name="T5" fmla="*/ 161 h 817667"/>
              <a:gd name="T6" fmla="*/ 38100 w 290593"/>
              <a:gd name="T7" fmla="*/ 181 h 817667"/>
              <a:gd name="T8" fmla="*/ 85725 w 290593"/>
              <a:gd name="T9" fmla="*/ 233 h 817667"/>
              <a:gd name="T10" fmla="*/ 65211 w 290593"/>
              <a:gd name="T11" fmla="*/ 318 h 817667"/>
              <a:gd name="T12" fmla="*/ 28575 w 290593"/>
              <a:gd name="T13" fmla="*/ 421 h 817667"/>
              <a:gd name="T14" fmla="*/ 28575 w 290593"/>
              <a:gd name="T15" fmla="*/ 534 h 817667"/>
              <a:gd name="T16" fmla="*/ 47625 w 290593"/>
              <a:gd name="T17" fmla="*/ 566 h 817667"/>
              <a:gd name="T18" fmla="*/ 38100 w 290593"/>
              <a:gd name="T19" fmla="*/ 627 h 817667"/>
              <a:gd name="T20" fmla="*/ 9525 w 290593"/>
              <a:gd name="T21" fmla="*/ 637 h 817667"/>
              <a:gd name="T22" fmla="*/ 0 w 290593"/>
              <a:gd name="T23" fmla="*/ 668 h 817667"/>
              <a:gd name="T24" fmla="*/ 19050 w 290593"/>
              <a:gd name="T25" fmla="*/ 730 h 817667"/>
              <a:gd name="T26" fmla="*/ 57150 w 290593"/>
              <a:gd name="T27" fmla="*/ 793 h 817667"/>
              <a:gd name="T28" fmla="*/ 57150 w 290593"/>
              <a:gd name="T29" fmla="*/ 885 h 817667"/>
              <a:gd name="T30" fmla="*/ 266700 w 290593"/>
              <a:gd name="T31" fmla="*/ 844 h 817667"/>
              <a:gd name="T32" fmla="*/ 266700 w 290593"/>
              <a:gd name="T33" fmla="*/ 554 h 817667"/>
              <a:gd name="T34" fmla="*/ 285750 w 290593"/>
              <a:gd name="T35" fmla="*/ 47 h 817667"/>
              <a:gd name="T36" fmla="*/ 76200 w 290593"/>
              <a:gd name="T37" fmla="*/ 16 h 817667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w 290593"/>
              <a:gd name="T58" fmla="*/ 0 h 817667"/>
              <a:gd name="T59" fmla="*/ 290593 w 290593"/>
              <a:gd name="T60" fmla="*/ 817667 h 817667"/>
            </a:gdLst>
            <a:ahLst/>
            <a:cxnLst>
              <a:cxn ang="T38">
                <a:pos x="T0" y="T1"/>
              </a:cxn>
              <a:cxn ang="T39">
                <a:pos x="T2" y="T3"/>
              </a:cxn>
              <a:cxn ang="T40">
                <a:pos x="T4" y="T5"/>
              </a:cxn>
              <a:cxn ang="T41">
                <a:pos x="T6" y="T7"/>
              </a:cxn>
              <a:cxn ang="T42">
                <a:pos x="T8" y="T9"/>
              </a:cxn>
              <a:cxn ang="T43">
                <a:pos x="T10" y="T11"/>
              </a:cxn>
              <a:cxn ang="T44">
                <a:pos x="T12" y="T13"/>
              </a:cxn>
              <a:cxn ang="T45">
                <a:pos x="T14" y="T15"/>
              </a:cxn>
              <a:cxn ang="T46">
                <a:pos x="T16" y="T17"/>
              </a:cxn>
              <a:cxn ang="T47">
                <a:pos x="T18" y="T19"/>
              </a:cxn>
              <a:cxn ang="T48">
                <a:pos x="T20" y="T21"/>
              </a:cxn>
              <a:cxn ang="T49">
                <a:pos x="T22" y="T23"/>
              </a:cxn>
              <a:cxn ang="T50">
                <a:pos x="T24" y="T25"/>
              </a:cxn>
              <a:cxn ang="T51">
                <a:pos x="T26" y="T27"/>
              </a:cxn>
              <a:cxn ang="T52">
                <a:pos x="T28" y="T29"/>
              </a:cxn>
              <a:cxn ang="T53">
                <a:pos x="T30" y="T31"/>
              </a:cxn>
              <a:cxn ang="T54">
                <a:pos x="T32" y="T33"/>
              </a:cxn>
              <a:cxn ang="T55">
                <a:pos x="T34" y="T35"/>
              </a:cxn>
              <a:cxn ang="T56">
                <a:pos x="T36" y="T37"/>
              </a:cxn>
            </a:cxnLst>
            <a:rect l="T57" t="T58" r="T59" b="T60"/>
            <a:pathLst>
              <a:path w="290593" h="817667">
                <a:moveTo>
                  <a:pt x="76200" y="14613"/>
                </a:moveTo>
                <a:lnTo>
                  <a:pt x="76200" y="14613"/>
                </a:lnTo>
                <a:cubicBezTo>
                  <a:pt x="86511" y="42109"/>
                  <a:pt x="127065" y="111603"/>
                  <a:pt x="95250" y="147963"/>
                </a:cubicBezTo>
                <a:cubicBezTo>
                  <a:pt x="82027" y="163075"/>
                  <a:pt x="38100" y="167013"/>
                  <a:pt x="38100" y="167013"/>
                </a:cubicBezTo>
                <a:cubicBezTo>
                  <a:pt x="52096" y="176344"/>
                  <a:pt x="84429" y="192607"/>
                  <a:pt x="85725" y="214638"/>
                </a:cubicBezTo>
                <a:cubicBezTo>
                  <a:pt x="86693" y="231091"/>
                  <a:pt x="106075" y="259086"/>
                  <a:pt x="65211" y="291777"/>
                </a:cubicBezTo>
                <a:cubicBezTo>
                  <a:pt x="57371" y="298049"/>
                  <a:pt x="38100" y="382913"/>
                  <a:pt x="28575" y="386088"/>
                </a:cubicBezTo>
                <a:cubicBezTo>
                  <a:pt x="13701" y="430709"/>
                  <a:pt x="10804" y="425702"/>
                  <a:pt x="28575" y="490863"/>
                </a:cubicBezTo>
                <a:cubicBezTo>
                  <a:pt x="31587" y="501907"/>
                  <a:pt x="41275" y="509913"/>
                  <a:pt x="47625" y="519438"/>
                </a:cubicBezTo>
                <a:cubicBezTo>
                  <a:pt x="44450" y="538488"/>
                  <a:pt x="47682" y="559820"/>
                  <a:pt x="38100" y="576588"/>
                </a:cubicBezTo>
                <a:cubicBezTo>
                  <a:pt x="33119" y="585305"/>
                  <a:pt x="16625" y="579013"/>
                  <a:pt x="9525" y="586113"/>
                </a:cubicBezTo>
                <a:cubicBezTo>
                  <a:pt x="2425" y="593213"/>
                  <a:pt x="3175" y="605163"/>
                  <a:pt x="0" y="614688"/>
                </a:cubicBezTo>
                <a:cubicBezTo>
                  <a:pt x="6350" y="633738"/>
                  <a:pt x="7911" y="655130"/>
                  <a:pt x="19050" y="671838"/>
                </a:cubicBezTo>
                <a:lnTo>
                  <a:pt x="57150" y="728988"/>
                </a:lnTo>
                <a:cubicBezTo>
                  <a:pt x="51516" y="745889"/>
                  <a:pt x="26742" y="805357"/>
                  <a:pt x="57150" y="814713"/>
                </a:cubicBezTo>
                <a:cubicBezTo>
                  <a:pt x="66751" y="817667"/>
                  <a:pt x="248114" y="780330"/>
                  <a:pt x="266700" y="776613"/>
                </a:cubicBezTo>
                <a:cubicBezTo>
                  <a:pt x="290593" y="633254"/>
                  <a:pt x="266700" y="801168"/>
                  <a:pt x="266700" y="509913"/>
                </a:cubicBezTo>
                <a:cubicBezTo>
                  <a:pt x="266700" y="283161"/>
                  <a:pt x="272633" y="226829"/>
                  <a:pt x="285750" y="43188"/>
                </a:cubicBezTo>
                <a:cubicBezTo>
                  <a:pt x="199373" y="0"/>
                  <a:pt x="111125" y="19376"/>
                  <a:pt x="76200" y="14613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cap="flat" cmpd="sng" algn="ctr">
                <a:solidFill>
                  <a:srgbClr val="000000"/>
                </a:solidFill>
                <a:prstDash val="solid"/>
                <a:round/>
                <a:headEnd type="none" w="med" len="med"/>
                <a:tailEnd type="none" w="med" len="med"/>
              </a14:hiddenLine>
            </a:ext>
          </a:extLst>
        </xdr:spPr>
      </xdr:sp>
    </xdr:grpSp>
    <xdr:clientData/>
  </xdr:twoCellAnchor>
  <xdr:twoCellAnchor editAs="oneCell">
    <xdr:from>
      <xdr:col>23</xdr:col>
      <xdr:colOff>80210</xdr:colOff>
      <xdr:row>4</xdr:row>
      <xdr:rowOff>88233</xdr:rowOff>
    </xdr:from>
    <xdr:to>
      <xdr:col>29</xdr:col>
      <xdr:colOff>40800</xdr:colOff>
      <xdr:row>15</xdr:row>
      <xdr:rowOff>89307</xdr:rowOff>
    </xdr:to>
    <xdr:pic>
      <xdr:nvPicPr>
        <xdr:cNvPr id="32" name="Obrázek 31">
          <a:extLst>
            <a:ext uri="{FF2B5EF4-FFF2-40B4-BE49-F238E27FC236}">
              <a16:creationId xmlns:a16="http://schemas.microsoft.com/office/drawing/2014/main" id="{00000000-0008-0000-17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406189" y="986591"/>
          <a:ext cx="1260000" cy="2030400"/>
        </a:xfrm>
        <a:prstGeom prst="rect">
          <a:avLst/>
        </a:prstGeom>
        <a:noFill/>
        <a:ln w="28575">
          <a:solidFill>
            <a:srgbClr val="A6A6A6"/>
          </a:solidFill>
          <a:miter lim="800000"/>
          <a:headEnd/>
          <a:tailEnd/>
        </a:ln>
      </xdr:spPr>
    </xdr:pic>
    <xdr:clientData/>
  </xdr:twoCellAnchor>
  <xdr:twoCellAnchor>
    <xdr:from>
      <xdr:col>35</xdr:col>
      <xdr:colOff>104277</xdr:colOff>
      <xdr:row>16</xdr:row>
      <xdr:rowOff>40088</xdr:rowOff>
    </xdr:from>
    <xdr:to>
      <xdr:col>39</xdr:col>
      <xdr:colOff>105980</xdr:colOff>
      <xdr:row>27</xdr:row>
      <xdr:rowOff>47706</xdr:rowOff>
    </xdr:to>
    <xdr:grpSp>
      <xdr:nvGrpSpPr>
        <xdr:cNvPr id="47" name="Skupina 46">
          <a:extLst>
            <a:ext uri="{FF2B5EF4-FFF2-40B4-BE49-F238E27FC236}">
              <a16:creationId xmlns:a16="http://schemas.microsoft.com/office/drawing/2014/main" id="{00000000-0008-0000-1700-00002F000000}"/>
            </a:ext>
          </a:extLst>
        </xdr:cNvPr>
        <xdr:cNvGrpSpPr/>
      </xdr:nvGrpSpPr>
      <xdr:grpSpPr>
        <a:xfrm>
          <a:off x="8630656" y="3152256"/>
          <a:ext cx="932145" cy="2036945"/>
          <a:chOff x="8029077" y="3152256"/>
          <a:chExt cx="867977" cy="2036945"/>
        </a:xfrm>
      </xdr:grpSpPr>
      <xdr:grpSp>
        <xdr:nvGrpSpPr>
          <xdr:cNvPr id="21" name="Skupina 238">
            <a:extLst>
              <a:ext uri="{FF2B5EF4-FFF2-40B4-BE49-F238E27FC236}">
                <a16:creationId xmlns:a16="http://schemas.microsoft.com/office/drawing/2014/main" id="{00000000-0008-0000-1700-000015000000}"/>
              </a:ext>
            </a:extLst>
          </xdr:cNvPr>
          <xdr:cNvGrpSpPr>
            <a:grpSpLocks/>
          </xdr:cNvGrpSpPr>
        </xdr:nvGrpSpPr>
        <xdr:grpSpPr bwMode="auto">
          <a:xfrm>
            <a:off x="8155129" y="3270092"/>
            <a:ext cx="731342" cy="183302"/>
            <a:chOff x="5702735" y="21697458"/>
            <a:chExt cx="539648" cy="119658"/>
          </a:xfrm>
        </xdr:grpSpPr>
        <xdr:sp macro="" textlink="">
          <xdr:nvSpPr>
            <xdr:cNvPr id="30" name="Obdélník 29">
              <a:extLst>
                <a:ext uri="{FF2B5EF4-FFF2-40B4-BE49-F238E27FC236}">
                  <a16:creationId xmlns:a16="http://schemas.microsoft.com/office/drawing/2014/main" id="{00000000-0008-0000-1700-00001E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707298" y="21712036"/>
              <a:ext cx="535085" cy="103402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  <xdr:txBody>
            <a:bodyPr lIns="0" tIns="0" rIns="0" bIns="0"/>
            <a:lstStyle/>
            <a:p>
              <a:pPr algn="ctr"/>
              <a:r>
                <a:rPr lang="sk-SK" sz="1000" b="1">
                  <a:solidFill>
                    <a:schemeClr val="bg1"/>
                  </a:solidFill>
                  <a:latin typeface="Verdana" panose="020B0604030504040204" pitchFamily="34" charset="0"/>
                  <a:ea typeface="Verdana" panose="020B0604030504040204" pitchFamily="34" charset="0"/>
                </a:rPr>
                <a:t>101</a:t>
              </a:r>
              <a:endParaRPr lang="sk-SK" b="1">
                <a:solidFill>
                  <a:schemeClr val="bg1"/>
                </a:solidFill>
                <a:latin typeface="Verdana" panose="020B0604030504040204" pitchFamily="34" charset="0"/>
                <a:ea typeface="Verdana" panose="020B0604030504040204" pitchFamily="34" charset="0"/>
              </a:endParaRPr>
            </a:p>
          </xdr:txBody>
        </xdr:sp>
        <xdr:sp macro="" textlink="">
          <xdr:nvSpPr>
            <xdr:cNvPr id="31" name="Obdélník 30">
              <a:extLst>
                <a:ext uri="{FF2B5EF4-FFF2-40B4-BE49-F238E27FC236}">
                  <a16:creationId xmlns:a16="http://schemas.microsoft.com/office/drawing/2014/main" id="{00000000-0008-0000-1700-00001F000000}"/>
                </a:ext>
              </a:extLst>
            </xdr:cNvPr>
            <xdr:cNvSpPr>
              <a:spLocks noChangeArrowheads="1"/>
            </xdr:cNvSpPr>
          </xdr:nvSpPr>
          <xdr:spPr bwMode="auto">
            <a:xfrm rot="5400000">
              <a:off x="5652204" y="21747989"/>
              <a:ext cx="119658" cy="18595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</xdr:grpSp>
      <xdr:grpSp>
        <xdr:nvGrpSpPr>
          <xdr:cNvPr id="22" name="Skupina 21">
            <a:extLst>
              <a:ext uri="{FF2B5EF4-FFF2-40B4-BE49-F238E27FC236}">
                <a16:creationId xmlns:a16="http://schemas.microsoft.com/office/drawing/2014/main" id="{00000000-0008-0000-1700-000016000000}"/>
              </a:ext>
            </a:extLst>
          </xdr:cNvPr>
          <xdr:cNvGrpSpPr/>
        </xdr:nvGrpSpPr>
        <xdr:grpSpPr>
          <a:xfrm>
            <a:off x="8154255" y="4304212"/>
            <a:ext cx="742799" cy="281254"/>
            <a:chOff x="8146234" y="4304212"/>
            <a:chExt cx="742799" cy="281254"/>
          </a:xfrm>
        </xdr:grpSpPr>
        <xdr:sp macro="" textlink="">
          <xdr:nvSpPr>
            <xdr:cNvPr id="27" name="Obdélník 23">
              <a:extLst>
                <a:ext uri="{FF2B5EF4-FFF2-40B4-BE49-F238E27FC236}">
                  <a16:creationId xmlns:a16="http://schemas.microsoft.com/office/drawing/2014/main" id="{00000000-0008-0000-1700-00001B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158594" y="4523874"/>
              <a:ext cx="725158" cy="53884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  <xdr:txBody>
            <a:bodyPr lIns="0" tIns="0" rIns="0" bIns="0" anchor="ctr"/>
            <a:lstStyle/>
            <a:p>
              <a:pPr algn="ctr"/>
              <a:endParaRPr lang="sk-SK" b="1">
                <a:solidFill>
                  <a:schemeClr val="bg1"/>
                </a:solidFill>
                <a:latin typeface="Verdana" panose="020B0604030504040204" pitchFamily="34" charset="0"/>
                <a:ea typeface="Verdana" panose="020B0604030504040204" pitchFamily="34" charset="0"/>
              </a:endParaRPr>
            </a:p>
          </xdr:txBody>
        </xdr:sp>
        <xdr:sp macro="" textlink="">
          <xdr:nvSpPr>
            <xdr:cNvPr id="28" name="Obdélník 98">
              <a:extLst>
                <a:ext uri="{FF2B5EF4-FFF2-40B4-BE49-F238E27FC236}">
                  <a16:creationId xmlns:a16="http://schemas.microsoft.com/office/drawing/2014/main" id="{00000000-0008-0000-1700-00001C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165433" y="4323347"/>
              <a:ext cx="723600" cy="184485"/>
            </a:xfrm>
            <a:prstGeom prst="rect">
              <a:avLst/>
            </a:prstGeom>
            <a:solidFill>
              <a:srgbClr val="C6D9F1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  <xdr:txBody>
            <a:bodyPr lIns="0" tIns="0" rIns="0" bIns="0" anchor="ctr"/>
            <a:lstStyle/>
            <a:p>
              <a:pPr algn="ctr"/>
              <a:r>
                <a:rPr lang="sk-SK" sz="1000" b="1">
                  <a:latin typeface="Verdana" panose="020B0604030504040204" pitchFamily="34" charset="0"/>
                  <a:ea typeface="Verdana" panose="020B0604030504040204" pitchFamily="34" charset="0"/>
                </a:rPr>
                <a:t>187</a:t>
              </a:r>
            </a:p>
          </xdr:txBody>
        </xdr:sp>
        <xdr:sp macro="" textlink="">
          <xdr:nvSpPr>
            <xdr:cNvPr id="29" name="Obdélník 30">
              <a:extLst>
                <a:ext uri="{FF2B5EF4-FFF2-40B4-BE49-F238E27FC236}">
                  <a16:creationId xmlns:a16="http://schemas.microsoft.com/office/drawing/2014/main" id="{00000000-0008-0000-1700-00001D000000}"/>
                </a:ext>
              </a:extLst>
            </xdr:cNvPr>
            <xdr:cNvSpPr>
              <a:spLocks noChangeArrowheads="1"/>
            </xdr:cNvSpPr>
          </xdr:nvSpPr>
          <xdr:spPr bwMode="auto">
            <a:xfrm rot="5400000">
              <a:off x="8020007" y="4430439"/>
              <a:ext cx="281254" cy="28800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</xdr:grpSp>
      <xdr:sp macro="" textlink="">
        <xdr:nvSpPr>
          <xdr:cNvPr id="24" name="Obdélník 24">
            <a:extLst>
              <a:ext uri="{FF2B5EF4-FFF2-40B4-BE49-F238E27FC236}">
                <a16:creationId xmlns:a16="http://schemas.microsoft.com/office/drawing/2014/main" id="{00000000-0008-0000-1700-000018000000}"/>
              </a:ext>
            </a:extLst>
          </xdr:cNvPr>
          <xdr:cNvSpPr>
            <a:spLocks noChangeArrowheads="1"/>
          </xdr:cNvSpPr>
        </xdr:nvSpPr>
        <xdr:spPr bwMode="auto">
          <a:xfrm>
            <a:off x="8029077" y="3152256"/>
            <a:ext cx="82086" cy="2036945"/>
          </a:xfrm>
          <a:prstGeom prst="rect">
            <a:avLst/>
          </a:prstGeom>
          <a:solidFill>
            <a:srgbClr val="FFFFE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grpSp>
        <xdr:nvGrpSpPr>
          <xdr:cNvPr id="36" name="Skupina 238">
            <a:extLst>
              <a:ext uri="{FF2B5EF4-FFF2-40B4-BE49-F238E27FC236}">
                <a16:creationId xmlns:a16="http://schemas.microsoft.com/office/drawing/2014/main" id="{00000000-0008-0000-1700-000024000000}"/>
              </a:ext>
            </a:extLst>
          </xdr:cNvPr>
          <xdr:cNvGrpSpPr>
            <a:grpSpLocks/>
          </xdr:cNvGrpSpPr>
        </xdr:nvGrpSpPr>
        <xdr:grpSpPr bwMode="auto">
          <a:xfrm>
            <a:off x="8157411" y="3818019"/>
            <a:ext cx="731342" cy="183302"/>
            <a:chOff x="5702735" y="21697458"/>
            <a:chExt cx="539648" cy="119658"/>
          </a:xfrm>
        </xdr:grpSpPr>
        <xdr:sp macro="" textlink="">
          <xdr:nvSpPr>
            <xdr:cNvPr id="37" name="Obdélník 36">
              <a:extLst>
                <a:ext uri="{FF2B5EF4-FFF2-40B4-BE49-F238E27FC236}">
                  <a16:creationId xmlns:a16="http://schemas.microsoft.com/office/drawing/2014/main" id="{00000000-0008-0000-1700-000025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707298" y="21712036"/>
              <a:ext cx="535085" cy="103402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  <xdr:txBody>
            <a:bodyPr lIns="0" tIns="0" rIns="0" bIns="0"/>
            <a:lstStyle/>
            <a:p>
              <a:pPr algn="ctr"/>
              <a:r>
                <a:rPr lang="sk-SK" sz="1000" b="1">
                  <a:solidFill>
                    <a:schemeClr val="bg1"/>
                  </a:solidFill>
                  <a:latin typeface="Verdana" panose="020B0604030504040204" pitchFamily="34" charset="0"/>
                  <a:ea typeface="Verdana" panose="020B0604030504040204" pitchFamily="34" charset="0"/>
                </a:rPr>
                <a:t>101</a:t>
              </a:r>
              <a:endParaRPr lang="sk-SK" b="1">
                <a:solidFill>
                  <a:schemeClr val="bg1"/>
                </a:solidFill>
                <a:latin typeface="Verdana" panose="020B0604030504040204" pitchFamily="34" charset="0"/>
                <a:ea typeface="Verdana" panose="020B0604030504040204" pitchFamily="34" charset="0"/>
              </a:endParaRPr>
            </a:p>
          </xdr:txBody>
        </xdr:sp>
        <xdr:sp macro="" textlink="">
          <xdr:nvSpPr>
            <xdr:cNvPr id="38" name="Obdélník 37">
              <a:extLst>
                <a:ext uri="{FF2B5EF4-FFF2-40B4-BE49-F238E27FC236}">
                  <a16:creationId xmlns:a16="http://schemas.microsoft.com/office/drawing/2014/main" id="{00000000-0008-0000-1700-000026000000}"/>
                </a:ext>
              </a:extLst>
            </xdr:cNvPr>
            <xdr:cNvSpPr>
              <a:spLocks noChangeArrowheads="1"/>
            </xdr:cNvSpPr>
          </xdr:nvSpPr>
          <xdr:spPr bwMode="auto">
            <a:xfrm rot="5400000">
              <a:off x="5652204" y="21747989"/>
              <a:ext cx="119658" cy="18595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</xdr:grpSp>
      <xdr:grpSp>
        <xdr:nvGrpSpPr>
          <xdr:cNvPr id="43" name="Skupina 42">
            <a:extLst>
              <a:ext uri="{FF2B5EF4-FFF2-40B4-BE49-F238E27FC236}">
                <a16:creationId xmlns:a16="http://schemas.microsoft.com/office/drawing/2014/main" id="{00000000-0008-0000-1700-00002B000000}"/>
              </a:ext>
            </a:extLst>
          </xdr:cNvPr>
          <xdr:cNvGrpSpPr/>
        </xdr:nvGrpSpPr>
        <xdr:grpSpPr>
          <a:xfrm>
            <a:off x="8156589" y="4876797"/>
            <a:ext cx="730318" cy="281254"/>
            <a:chOff x="8153434" y="4304212"/>
            <a:chExt cx="730318" cy="281254"/>
          </a:xfrm>
        </xdr:grpSpPr>
        <xdr:sp macro="" textlink="">
          <xdr:nvSpPr>
            <xdr:cNvPr id="44" name="Obdélník 23">
              <a:extLst>
                <a:ext uri="{FF2B5EF4-FFF2-40B4-BE49-F238E27FC236}">
                  <a16:creationId xmlns:a16="http://schemas.microsoft.com/office/drawing/2014/main" id="{00000000-0008-0000-1700-00002C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158594" y="4523874"/>
              <a:ext cx="725158" cy="53884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  <xdr:txBody>
            <a:bodyPr lIns="0" tIns="0" rIns="0" bIns="0" anchor="ctr"/>
            <a:lstStyle/>
            <a:p>
              <a:pPr algn="ctr"/>
              <a:endParaRPr lang="sk-SK" b="1">
                <a:solidFill>
                  <a:schemeClr val="bg1"/>
                </a:solidFill>
                <a:latin typeface="Verdana" panose="020B0604030504040204" pitchFamily="34" charset="0"/>
                <a:ea typeface="Verdana" panose="020B0604030504040204" pitchFamily="34" charset="0"/>
              </a:endParaRPr>
            </a:p>
          </xdr:txBody>
        </xdr:sp>
        <xdr:sp macro="" textlink="">
          <xdr:nvSpPr>
            <xdr:cNvPr id="45" name="Obdélník 98">
              <a:extLst>
                <a:ext uri="{FF2B5EF4-FFF2-40B4-BE49-F238E27FC236}">
                  <a16:creationId xmlns:a16="http://schemas.microsoft.com/office/drawing/2014/main" id="{00000000-0008-0000-1700-00002D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157412" y="4323347"/>
              <a:ext cx="723600" cy="184485"/>
            </a:xfrm>
            <a:prstGeom prst="rect">
              <a:avLst/>
            </a:prstGeom>
            <a:solidFill>
              <a:srgbClr val="C6D9F1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  <xdr:txBody>
            <a:bodyPr lIns="0" tIns="0" rIns="0" bIns="0" anchor="ctr"/>
            <a:lstStyle/>
            <a:p>
              <a:pPr algn="ctr"/>
              <a:r>
                <a:rPr lang="sk-SK" sz="1000" b="1">
                  <a:latin typeface="Verdana" panose="020B0604030504040204" pitchFamily="34" charset="0"/>
                  <a:ea typeface="Verdana" panose="020B0604030504040204" pitchFamily="34" charset="0"/>
                </a:rPr>
                <a:t>187</a:t>
              </a:r>
            </a:p>
          </xdr:txBody>
        </xdr:sp>
        <xdr:sp macro="" textlink="">
          <xdr:nvSpPr>
            <xdr:cNvPr id="46" name="Obdélník 30">
              <a:extLst>
                <a:ext uri="{FF2B5EF4-FFF2-40B4-BE49-F238E27FC236}">
                  <a16:creationId xmlns:a16="http://schemas.microsoft.com/office/drawing/2014/main" id="{00000000-0008-0000-1700-00002E000000}"/>
                </a:ext>
              </a:extLst>
            </xdr:cNvPr>
            <xdr:cNvSpPr>
              <a:spLocks noChangeArrowheads="1"/>
            </xdr:cNvSpPr>
          </xdr:nvSpPr>
          <xdr:spPr bwMode="auto">
            <a:xfrm rot="5400000">
              <a:off x="8023607" y="4434039"/>
              <a:ext cx="281254" cy="21600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</xdr:grpSp>
    </xdr:grp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72194</xdr:colOff>
      <xdr:row>3</xdr:row>
      <xdr:rowOff>280737</xdr:rowOff>
    </xdr:from>
    <xdr:to>
      <xdr:col>23</xdr:col>
      <xdr:colOff>169476</xdr:colOff>
      <xdr:row>14</xdr:row>
      <xdr:rowOff>128337</xdr:rowOff>
    </xdr:to>
    <xdr:grpSp>
      <xdr:nvGrpSpPr>
        <xdr:cNvPr id="2" name="Skupina 96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GrpSpPr>
          <a:grpSpLocks noChangeAspect="1"/>
        </xdr:cNvGrpSpPr>
      </xdr:nvGrpSpPr>
      <xdr:grpSpPr bwMode="auto">
        <a:xfrm>
          <a:off x="3713752" y="890337"/>
          <a:ext cx="2190777" cy="1981200"/>
          <a:chOff x="9136789" y="4391025"/>
          <a:chExt cx="943124" cy="805761"/>
        </a:xfrm>
      </xdr:grpSpPr>
      <xdr:sp macro="" textlink="">
        <xdr:nvSpPr>
          <xdr:cNvPr id="3" name="Obdélník 98">
            <a:extLst>
              <a:ext uri="{FF2B5EF4-FFF2-40B4-BE49-F238E27FC236}">
                <a16:creationId xmlns:a16="http://schemas.microsoft.com/office/drawing/2014/main" id="{00000000-0008-0000-1800-000003000000}"/>
              </a:ext>
            </a:extLst>
          </xdr:cNvPr>
          <xdr:cNvSpPr>
            <a:spLocks noChangeArrowheads="1"/>
          </xdr:cNvSpPr>
        </xdr:nvSpPr>
        <xdr:spPr bwMode="auto">
          <a:xfrm>
            <a:off x="9179719" y="4484886"/>
            <a:ext cx="771525" cy="418303"/>
          </a:xfrm>
          <a:prstGeom prst="rect">
            <a:avLst/>
          </a:prstGeom>
          <a:solidFill>
            <a:srgbClr val="C6D9F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" name="Obdélník 99">
            <a:extLst>
              <a:ext uri="{FF2B5EF4-FFF2-40B4-BE49-F238E27FC236}">
                <a16:creationId xmlns:a16="http://schemas.microsoft.com/office/drawing/2014/main" id="{00000000-0008-0000-1800-000004000000}"/>
              </a:ext>
            </a:extLst>
          </xdr:cNvPr>
          <xdr:cNvSpPr>
            <a:spLocks noChangeArrowheads="1"/>
          </xdr:cNvSpPr>
        </xdr:nvSpPr>
        <xdr:spPr bwMode="auto">
          <a:xfrm>
            <a:off x="9170194" y="4915644"/>
            <a:ext cx="771525" cy="126452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5" name="Obdélník 100">
            <a:extLst>
              <a:ext uri="{FF2B5EF4-FFF2-40B4-BE49-F238E27FC236}">
                <a16:creationId xmlns:a16="http://schemas.microsoft.com/office/drawing/2014/main" id="{00000000-0008-0000-1800-000005000000}"/>
              </a:ext>
            </a:extLst>
          </xdr:cNvPr>
          <xdr:cNvSpPr>
            <a:spLocks noChangeArrowheads="1"/>
          </xdr:cNvSpPr>
        </xdr:nvSpPr>
        <xdr:spPr bwMode="auto">
          <a:xfrm>
            <a:off x="9136789" y="4433584"/>
            <a:ext cx="52456" cy="677893"/>
          </a:xfrm>
          <a:prstGeom prst="rect">
            <a:avLst/>
          </a:prstGeom>
          <a:solidFill>
            <a:srgbClr val="C6D9F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" name="Volný tvar 101">
            <a:extLst>
              <a:ext uri="{FF2B5EF4-FFF2-40B4-BE49-F238E27FC236}">
                <a16:creationId xmlns:a16="http://schemas.microsoft.com/office/drawing/2014/main" id="{00000000-0008-0000-1800-000006000000}"/>
              </a:ext>
            </a:extLst>
          </xdr:cNvPr>
          <xdr:cNvSpPr>
            <a:spLocks/>
          </xdr:cNvSpPr>
        </xdr:nvSpPr>
        <xdr:spPr bwMode="auto">
          <a:xfrm>
            <a:off x="9789320" y="4391025"/>
            <a:ext cx="290593" cy="805761"/>
          </a:xfrm>
          <a:custGeom>
            <a:avLst/>
            <a:gdLst>
              <a:gd name="T0" fmla="*/ 76200 w 290593"/>
              <a:gd name="T1" fmla="*/ 5010 h 817667"/>
              <a:gd name="T2" fmla="*/ 76200 w 290593"/>
              <a:gd name="T3" fmla="*/ 5010 h 817667"/>
              <a:gd name="T4" fmla="*/ 77390 w 290593"/>
              <a:gd name="T5" fmla="*/ 34148 h 817667"/>
              <a:gd name="T6" fmla="*/ 38100 w 290593"/>
              <a:gd name="T7" fmla="*/ 57244 h 817667"/>
              <a:gd name="T8" fmla="*/ 85725 w 290593"/>
              <a:gd name="T9" fmla="*/ 73568 h 817667"/>
              <a:gd name="T10" fmla="*/ 57150 w 290593"/>
              <a:gd name="T11" fmla="*/ 129068 h 817667"/>
              <a:gd name="T12" fmla="*/ 28575 w 290593"/>
              <a:gd name="T13" fmla="*/ 132332 h 817667"/>
              <a:gd name="T14" fmla="*/ 28575 w 290593"/>
              <a:gd name="T15" fmla="*/ 168242 h 817667"/>
              <a:gd name="T16" fmla="*/ 47625 w 290593"/>
              <a:gd name="T17" fmla="*/ 178034 h 817667"/>
              <a:gd name="T18" fmla="*/ 38100 w 290593"/>
              <a:gd name="T19" fmla="*/ 197624 h 817667"/>
              <a:gd name="T20" fmla="*/ 9525 w 290593"/>
              <a:gd name="T21" fmla="*/ 200890 h 817667"/>
              <a:gd name="T22" fmla="*/ 0 w 290593"/>
              <a:gd name="T23" fmla="*/ 210682 h 817667"/>
              <a:gd name="T24" fmla="*/ 19050 w 290593"/>
              <a:gd name="T25" fmla="*/ 230271 h 817667"/>
              <a:gd name="T26" fmla="*/ 57150 w 290593"/>
              <a:gd name="T27" fmla="*/ 249858 h 817667"/>
              <a:gd name="T28" fmla="*/ 57150 w 290593"/>
              <a:gd name="T29" fmla="*/ 279239 h 817667"/>
              <a:gd name="T30" fmla="*/ 266700 w 290593"/>
              <a:gd name="T31" fmla="*/ 266183 h 817667"/>
              <a:gd name="T32" fmla="*/ 266700 w 290593"/>
              <a:gd name="T33" fmla="*/ 174772 h 817667"/>
              <a:gd name="T34" fmla="*/ 285750 w 290593"/>
              <a:gd name="T35" fmla="*/ 14801 h 817667"/>
              <a:gd name="T36" fmla="*/ 76200 w 290593"/>
              <a:gd name="T37" fmla="*/ 5010 h 817667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w 290593"/>
              <a:gd name="T58" fmla="*/ 0 h 817667"/>
              <a:gd name="T59" fmla="*/ 290593 w 290593"/>
              <a:gd name="T60" fmla="*/ 817667 h 817667"/>
            </a:gdLst>
            <a:ahLst/>
            <a:cxnLst>
              <a:cxn ang="T38">
                <a:pos x="T0" y="T1"/>
              </a:cxn>
              <a:cxn ang="T39">
                <a:pos x="T2" y="T3"/>
              </a:cxn>
              <a:cxn ang="T40">
                <a:pos x="T4" y="T5"/>
              </a:cxn>
              <a:cxn ang="T41">
                <a:pos x="T6" y="T7"/>
              </a:cxn>
              <a:cxn ang="T42">
                <a:pos x="T8" y="T9"/>
              </a:cxn>
              <a:cxn ang="T43">
                <a:pos x="T10" y="T11"/>
              </a:cxn>
              <a:cxn ang="T44">
                <a:pos x="T12" y="T13"/>
              </a:cxn>
              <a:cxn ang="T45">
                <a:pos x="T14" y="T15"/>
              </a:cxn>
              <a:cxn ang="T46">
                <a:pos x="T16" y="T17"/>
              </a:cxn>
              <a:cxn ang="T47">
                <a:pos x="T18" y="T19"/>
              </a:cxn>
              <a:cxn ang="T48">
                <a:pos x="T20" y="T21"/>
              </a:cxn>
              <a:cxn ang="T49">
                <a:pos x="T22" y="T23"/>
              </a:cxn>
              <a:cxn ang="T50">
                <a:pos x="T24" y="T25"/>
              </a:cxn>
              <a:cxn ang="T51">
                <a:pos x="T26" y="T27"/>
              </a:cxn>
              <a:cxn ang="T52">
                <a:pos x="T28" y="T29"/>
              </a:cxn>
              <a:cxn ang="T53">
                <a:pos x="T30" y="T31"/>
              </a:cxn>
              <a:cxn ang="T54">
                <a:pos x="T32" y="T33"/>
              </a:cxn>
              <a:cxn ang="T55">
                <a:pos x="T34" y="T35"/>
              </a:cxn>
              <a:cxn ang="T56">
                <a:pos x="T36" y="T37"/>
              </a:cxn>
            </a:cxnLst>
            <a:rect l="T57" t="T58" r="T59" b="T60"/>
            <a:pathLst>
              <a:path w="290593" h="817667">
                <a:moveTo>
                  <a:pt x="76200" y="14613"/>
                </a:moveTo>
                <a:lnTo>
                  <a:pt x="76200" y="14613"/>
                </a:lnTo>
                <a:cubicBezTo>
                  <a:pt x="86511" y="42109"/>
                  <a:pt x="109205" y="63275"/>
                  <a:pt x="77390" y="99635"/>
                </a:cubicBezTo>
                <a:cubicBezTo>
                  <a:pt x="64167" y="114747"/>
                  <a:pt x="38100" y="167013"/>
                  <a:pt x="38100" y="167013"/>
                </a:cubicBezTo>
                <a:cubicBezTo>
                  <a:pt x="52096" y="176344"/>
                  <a:pt x="84429" y="192607"/>
                  <a:pt x="85725" y="214638"/>
                </a:cubicBezTo>
                <a:cubicBezTo>
                  <a:pt x="86693" y="231091"/>
                  <a:pt x="98014" y="343872"/>
                  <a:pt x="57150" y="376563"/>
                </a:cubicBezTo>
                <a:cubicBezTo>
                  <a:pt x="49310" y="382835"/>
                  <a:pt x="38100" y="382913"/>
                  <a:pt x="28575" y="386088"/>
                </a:cubicBezTo>
                <a:cubicBezTo>
                  <a:pt x="13701" y="430709"/>
                  <a:pt x="10804" y="425702"/>
                  <a:pt x="28575" y="490863"/>
                </a:cubicBezTo>
                <a:cubicBezTo>
                  <a:pt x="31587" y="501907"/>
                  <a:pt x="41275" y="509913"/>
                  <a:pt x="47625" y="519438"/>
                </a:cubicBezTo>
                <a:cubicBezTo>
                  <a:pt x="44450" y="538488"/>
                  <a:pt x="47682" y="559820"/>
                  <a:pt x="38100" y="576588"/>
                </a:cubicBezTo>
                <a:cubicBezTo>
                  <a:pt x="33119" y="585305"/>
                  <a:pt x="16625" y="579013"/>
                  <a:pt x="9525" y="586113"/>
                </a:cubicBezTo>
                <a:cubicBezTo>
                  <a:pt x="2425" y="593213"/>
                  <a:pt x="3175" y="605163"/>
                  <a:pt x="0" y="614688"/>
                </a:cubicBezTo>
                <a:cubicBezTo>
                  <a:pt x="6350" y="633738"/>
                  <a:pt x="7911" y="655130"/>
                  <a:pt x="19050" y="671838"/>
                </a:cubicBezTo>
                <a:lnTo>
                  <a:pt x="57150" y="728988"/>
                </a:lnTo>
                <a:cubicBezTo>
                  <a:pt x="51516" y="745889"/>
                  <a:pt x="26742" y="805357"/>
                  <a:pt x="57150" y="814713"/>
                </a:cubicBezTo>
                <a:cubicBezTo>
                  <a:pt x="66751" y="817667"/>
                  <a:pt x="248114" y="780330"/>
                  <a:pt x="266700" y="776613"/>
                </a:cubicBezTo>
                <a:cubicBezTo>
                  <a:pt x="290593" y="633254"/>
                  <a:pt x="266700" y="801168"/>
                  <a:pt x="266700" y="509913"/>
                </a:cubicBezTo>
                <a:cubicBezTo>
                  <a:pt x="266700" y="283161"/>
                  <a:pt x="272633" y="226829"/>
                  <a:pt x="285750" y="43188"/>
                </a:cubicBezTo>
                <a:cubicBezTo>
                  <a:pt x="199373" y="0"/>
                  <a:pt x="111125" y="19376"/>
                  <a:pt x="76200" y="14613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cap="flat" cmpd="sng" algn="ctr">
                <a:solidFill>
                  <a:srgbClr val="000000"/>
                </a:solidFill>
                <a:prstDash val="solid"/>
                <a:round/>
                <a:headEnd type="none" w="med" len="med"/>
                <a:tailEnd type="none" w="med" len="med"/>
              </a14:hiddenLine>
            </a:ext>
          </a:extLst>
        </xdr:spPr>
      </xdr:sp>
    </xdr:grpSp>
    <xdr:clientData/>
  </xdr:twoCellAnchor>
  <xdr:twoCellAnchor editAs="oneCell">
    <xdr:from>
      <xdr:col>45</xdr:col>
      <xdr:colOff>144780</xdr:colOff>
      <xdr:row>1</xdr:row>
      <xdr:rowOff>106680</xdr:rowOff>
    </xdr:from>
    <xdr:to>
      <xdr:col>63</xdr:col>
      <xdr:colOff>487680</xdr:colOff>
      <xdr:row>4</xdr:row>
      <xdr:rowOff>144780</xdr:rowOff>
    </xdr:to>
    <xdr:pic>
      <xdr:nvPicPr>
        <xdr:cNvPr id="7" name="Picture 24">
          <a:extLst>
            <a:ext uri="{FF2B5EF4-FFF2-40B4-BE49-F238E27FC236}">
              <a16:creationId xmlns:a16="http://schemas.microsoft.com/office/drawing/2014/main" id="{00000000-0008-0000-18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266700"/>
          <a:ext cx="960120" cy="777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80210</xdr:colOff>
      <xdr:row>4</xdr:row>
      <xdr:rowOff>88233</xdr:rowOff>
    </xdr:from>
    <xdr:to>
      <xdr:col>29</xdr:col>
      <xdr:colOff>40800</xdr:colOff>
      <xdr:row>15</xdr:row>
      <xdr:rowOff>89307</xdr:rowOff>
    </xdr:to>
    <xdr:pic>
      <xdr:nvPicPr>
        <xdr:cNvPr id="18" name="Obrázek 17">
          <a:extLst>
            <a:ext uri="{FF2B5EF4-FFF2-40B4-BE49-F238E27FC236}">
              <a16:creationId xmlns:a16="http://schemas.microsoft.com/office/drawing/2014/main" id="{00000000-0008-0000-18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338010" y="987393"/>
          <a:ext cx="1240750" cy="2012754"/>
        </a:xfrm>
        <a:prstGeom prst="rect">
          <a:avLst/>
        </a:prstGeom>
        <a:noFill/>
        <a:ln w="28575">
          <a:solidFill>
            <a:srgbClr val="A6A6A6"/>
          </a:solidFill>
          <a:miter lim="800000"/>
          <a:headEnd/>
          <a:tailEnd/>
        </a:ln>
      </xdr:spPr>
    </xdr:pic>
    <xdr:clientData/>
  </xdr:twoCellAnchor>
  <xdr:twoCellAnchor>
    <xdr:from>
      <xdr:col>35</xdr:col>
      <xdr:colOff>104277</xdr:colOff>
      <xdr:row>16</xdr:row>
      <xdr:rowOff>40088</xdr:rowOff>
    </xdr:from>
    <xdr:to>
      <xdr:col>39</xdr:col>
      <xdr:colOff>105980</xdr:colOff>
      <xdr:row>27</xdr:row>
      <xdr:rowOff>47706</xdr:rowOff>
    </xdr:to>
    <xdr:grpSp>
      <xdr:nvGrpSpPr>
        <xdr:cNvPr id="46" name="Skupina 45">
          <a:extLst>
            <a:ext uri="{FF2B5EF4-FFF2-40B4-BE49-F238E27FC236}">
              <a16:creationId xmlns:a16="http://schemas.microsoft.com/office/drawing/2014/main" id="{00000000-0008-0000-1800-00002E000000}"/>
            </a:ext>
          </a:extLst>
        </xdr:cNvPr>
        <xdr:cNvGrpSpPr/>
      </xdr:nvGrpSpPr>
      <xdr:grpSpPr>
        <a:xfrm>
          <a:off x="8630656" y="3152256"/>
          <a:ext cx="932145" cy="2036945"/>
          <a:chOff x="8029077" y="3152256"/>
          <a:chExt cx="867977" cy="2036945"/>
        </a:xfrm>
      </xdr:grpSpPr>
      <xdr:grpSp>
        <xdr:nvGrpSpPr>
          <xdr:cNvPr id="21" name="Skupina 20">
            <a:extLst>
              <a:ext uri="{FF2B5EF4-FFF2-40B4-BE49-F238E27FC236}">
                <a16:creationId xmlns:a16="http://schemas.microsoft.com/office/drawing/2014/main" id="{00000000-0008-0000-1800-000015000000}"/>
              </a:ext>
            </a:extLst>
          </xdr:cNvPr>
          <xdr:cNvGrpSpPr/>
        </xdr:nvGrpSpPr>
        <xdr:grpSpPr>
          <a:xfrm>
            <a:off x="8150655" y="4320254"/>
            <a:ext cx="746399" cy="281254"/>
            <a:chOff x="8142634" y="4304212"/>
            <a:chExt cx="746399" cy="281254"/>
          </a:xfrm>
        </xdr:grpSpPr>
        <xdr:sp macro="" textlink="">
          <xdr:nvSpPr>
            <xdr:cNvPr id="30" name="Obdélník 23">
              <a:extLst>
                <a:ext uri="{FF2B5EF4-FFF2-40B4-BE49-F238E27FC236}">
                  <a16:creationId xmlns:a16="http://schemas.microsoft.com/office/drawing/2014/main" id="{00000000-0008-0000-1800-00001E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158594" y="4523874"/>
              <a:ext cx="725158" cy="53884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  <xdr:txBody>
            <a:bodyPr lIns="0" tIns="0" rIns="0" bIns="0" anchor="ctr"/>
            <a:lstStyle/>
            <a:p>
              <a:pPr algn="ctr"/>
              <a:endParaRPr lang="sk-SK" b="1">
                <a:solidFill>
                  <a:schemeClr val="bg1"/>
                </a:solidFill>
                <a:latin typeface="Verdana" panose="020B0604030504040204" pitchFamily="34" charset="0"/>
                <a:ea typeface="Verdana" panose="020B0604030504040204" pitchFamily="34" charset="0"/>
              </a:endParaRPr>
            </a:p>
          </xdr:txBody>
        </xdr:sp>
        <xdr:sp macro="" textlink="">
          <xdr:nvSpPr>
            <xdr:cNvPr id="31" name="Obdélník 98">
              <a:extLst>
                <a:ext uri="{FF2B5EF4-FFF2-40B4-BE49-F238E27FC236}">
                  <a16:creationId xmlns:a16="http://schemas.microsoft.com/office/drawing/2014/main" id="{00000000-0008-0000-1800-00001F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165433" y="4323347"/>
              <a:ext cx="723600" cy="184485"/>
            </a:xfrm>
            <a:prstGeom prst="rect">
              <a:avLst/>
            </a:prstGeom>
            <a:solidFill>
              <a:srgbClr val="C6D9F1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  <xdr:txBody>
            <a:bodyPr lIns="0" tIns="0" rIns="0" bIns="0" anchor="ctr"/>
            <a:lstStyle/>
            <a:p>
              <a:pPr algn="ctr"/>
              <a:r>
                <a:rPr lang="sk-SK" sz="1000" b="1">
                  <a:latin typeface="Verdana" panose="020B0604030504040204" pitchFamily="34" charset="0"/>
                  <a:ea typeface="Verdana" panose="020B0604030504040204" pitchFamily="34" charset="0"/>
                </a:rPr>
                <a:t>187</a:t>
              </a:r>
            </a:p>
          </xdr:txBody>
        </xdr:sp>
        <xdr:sp macro="" textlink="">
          <xdr:nvSpPr>
            <xdr:cNvPr id="32" name="Obdélník 30">
              <a:extLst>
                <a:ext uri="{FF2B5EF4-FFF2-40B4-BE49-F238E27FC236}">
                  <a16:creationId xmlns:a16="http://schemas.microsoft.com/office/drawing/2014/main" id="{00000000-0008-0000-1800-000020000000}"/>
                </a:ext>
              </a:extLst>
            </xdr:cNvPr>
            <xdr:cNvSpPr>
              <a:spLocks noChangeArrowheads="1"/>
            </xdr:cNvSpPr>
          </xdr:nvSpPr>
          <xdr:spPr bwMode="auto">
            <a:xfrm rot="5400000">
              <a:off x="8018207" y="4428639"/>
              <a:ext cx="281254" cy="32400"/>
            </a:xfrm>
            <a:prstGeom prst="rect">
              <a:avLst/>
            </a:prstGeom>
            <a:solidFill>
              <a:srgbClr val="C6D9F1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</xdr:grpSp>
      <xdr:sp macro="" textlink="">
        <xdr:nvSpPr>
          <xdr:cNvPr id="22" name="Obdélník 24">
            <a:extLst>
              <a:ext uri="{FF2B5EF4-FFF2-40B4-BE49-F238E27FC236}">
                <a16:creationId xmlns:a16="http://schemas.microsoft.com/office/drawing/2014/main" id="{00000000-0008-0000-1800-000016000000}"/>
              </a:ext>
            </a:extLst>
          </xdr:cNvPr>
          <xdr:cNvSpPr>
            <a:spLocks noChangeArrowheads="1"/>
          </xdr:cNvSpPr>
        </xdr:nvSpPr>
        <xdr:spPr bwMode="auto">
          <a:xfrm>
            <a:off x="8029077" y="3152256"/>
            <a:ext cx="82086" cy="2036945"/>
          </a:xfrm>
          <a:prstGeom prst="rect">
            <a:avLst/>
          </a:prstGeom>
          <a:solidFill>
            <a:srgbClr val="FFFFE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grpSp>
        <xdr:nvGrpSpPr>
          <xdr:cNvPr id="24" name="Skupina 23">
            <a:extLst>
              <a:ext uri="{FF2B5EF4-FFF2-40B4-BE49-F238E27FC236}">
                <a16:creationId xmlns:a16="http://schemas.microsoft.com/office/drawing/2014/main" id="{00000000-0008-0000-1800-000018000000}"/>
              </a:ext>
            </a:extLst>
          </xdr:cNvPr>
          <xdr:cNvGrpSpPr/>
        </xdr:nvGrpSpPr>
        <xdr:grpSpPr>
          <a:xfrm>
            <a:off x="8145789" y="4868776"/>
            <a:ext cx="741118" cy="281254"/>
            <a:chOff x="8142634" y="4304212"/>
            <a:chExt cx="741118" cy="281254"/>
          </a:xfrm>
        </xdr:grpSpPr>
        <xdr:sp macro="" textlink="">
          <xdr:nvSpPr>
            <xdr:cNvPr id="25" name="Obdélník 23">
              <a:extLst>
                <a:ext uri="{FF2B5EF4-FFF2-40B4-BE49-F238E27FC236}">
                  <a16:creationId xmlns:a16="http://schemas.microsoft.com/office/drawing/2014/main" id="{00000000-0008-0000-1800-000019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158594" y="4523874"/>
              <a:ext cx="725158" cy="53884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  <xdr:txBody>
            <a:bodyPr lIns="0" tIns="0" rIns="0" bIns="0" anchor="ctr"/>
            <a:lstStyle/>
            <a:p>
              <a:pPr algn="ctr"/>
              <a:endParaRPr lang="sk-SK" b="1">
                <a:solidFill>
                  <a:schemeClr val="bg1"/>
                </a:solidFill>
                <a:latin typeface="Verdana" panose="020B0604030504040204" pitchFamily="34" charset="0"/>
                <a:ea typeface="Verdana" panose="020B0604030504040204" pitchFamily="34" charset="0"/>
              </a:endParaRPr>
            </a:p>
          </xdr:txBody>
        </xdr:sp>
        <xdr:sp macro="" textlink="">
          <xdr:nvSpPr>
            <xdr:cNvPr id="26" name="Obdélník 98">
              <a:extLst>
                <a:ext uri="{FF2B5EF4-FFF2-40B4-BE49-F238E27FC236}">
                  <a16:creationId xmlns:a16="http://schemas.microsoft.com/office/drawing/2014/main" id="{00000000-0008-0000-1800-00001A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157412" y="4323347"/>
              <a:ext cx="723600" cy="184485"/>
            </a:xfrm>
            <a:prstGeom prst="rect">
              <a:avLst/>
            </a:prstGeom>
            <a:solidFill>
              <a:srgbClr val="C6D9F1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  <xdr:txBody>
            <a:bodyPr lIns="0" tIns="0" rIns="0" bIns="0" anchor="ctr"/>
            <a:lstStyle/>
            <a:p>
              <a:pPr algn="ctr"/>
              <a:r>
                <a:rPr lang="sk-SK" sz="1000" b="1">
                  <a:latin typeface="Verdana" panose="020B0604030504040204" pitchFamily="34" charset="0"/>
                  <a:ea typeface="Verdana" panose="020B0604030504040204" pitchFamily="34" charset="0"/>
                </a:rPr>
                <a:t>187</a:t>
              </a:r>
            </a:p>
          </xdr:txBody>
        </xdr:sp>
        <xdr:sp macro="" textlink="">
          <xdr:nvSpPr>
            <xdr:cNvPr id="27" name="Obdélník 30">
              <a:extLst>
                <a:ext uri="{FF2B5EF4-FFF2-40B4-BE49-F238E27FC236}">
                  <a16:creationId xmlns:a16="http://schemas.microsoft.com/office/drawing/2014/main" id="{00000000-0008-0000-1800-00001B000000}"/>
                </a:ext>
              </a:extLst>
            </xdr:cNvPr>
            <xdr:cNvSpPr>
              <a:spLocks noChangeArrowheads="1"/>
            </xdr:cNvSpPr>
          </xdr:nvSpPr>
          <xdr:spPr bwMode="auto">
            <a:xfrm rot="5400000">
              <a:off x="8018207" y="4428639"/>
              <a:ext cx="281254" cy="32400"/>
            </a:xfrm>
            <a:prstGeom prst="rect">
              <a:avLst/>
            </a:prstGeom>
            <a:solidFill>
              <a:srgbClr val="C6D9F1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</xdr:grpSp>
      <xdr:grpSp>
        <xdr:nvGrpSpPr>
          <xdr:cNvPr id="35" name="Skupina 34">
            <a:extLst>
              <a:ext uri="{FF2B5EF4-FFF2-40B4-BE49-F238E27FC236}">
                <a16:creationId xmlns:a16="http://schemas.microsoft.com/office/drawing/2014/main" id="{00000000-0008-0000-1800-000023000000}"/>
              </a:ext>
            </a:extLst>
          </xdr:cNvPr>
          <xdr:cNvGrpSpPr/>
        </xdr:nvGrpSpPr>
        <xdr:grpSpPr>
          <a:xfrm>
            <a:off x="8150655" y="3774822"/>
            <a:ext cx="746399" cy="281254"/>
            <a:chOff x="8142634" y="4304212"/>
            <a:chExt cx="746399" cy="281254"/>
          </a:xfrm>
        </xdr:grpSpPr>
        <xdr:sp macro="" textlink="">
          <xdr:nvSpPr>
            <xdr:cNvPr id="36" name="Obdélník 23">
              <a:extLst>
                <a:ext uri="{FF2B5EF4-FFF2-40B4-BE49-F238E27FC236}">
                  <a16:creationId xmlns:a16="http://schemas.microsoft.com/office/drawing/2014/main" id="{00000000-0008-0000-1800-000024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158594" y="4523874"/>
              <a:ext cx="725158" cy="53884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  <xdr:txBody>
            <a:bodyPr lIns="0" tIns="0" rIns="0" bIns="0" anchor="ctr"/>
            <a:lstStyle/>
            <a:p>
              <a:pPr algn="ctr"/>
              <a:endParaRPr lang="sk-SK" b="1">
                <a:solidFill>
                  <a:schemeClr val="bg1"/>
                </a:solidFill>
                <a:latin typeface="Verdana" panose="020B0604030504040204" pitchFamily="34" charset="0"/>
                <a:ea typeface="Verdana" panose="020B0604030504040204" pitchFamily="34" charset="0"/>
              </a:endParaRPr>
            </a:p>
          </xdr:txBody>
        </xdr:sp>
        <xdr:sp macro="" textlink="">
          <xdr:nvSpPr>
            <xdr:cNvPr id="37" name="Obdélník 98">
              <a:extLst>
                <a:ext uri="{FF2B5EF4-FFF2-40B4-BE49-F238E27FC236}">
                  <a16:creationId xmlns:a16="http://schemas.microsoft.com/office/drawing/2014/main" id="{00000000-0008-0000-1800-000025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165433" y="4323347"/>
              <a:ext cx="723600" cy="184485"/>
            </a:xfrm>
            <a:prstGeom prst="rect">
              <a:avLst/>
            </a:prstGeom>
            <a:solidFill>
              <a:srgbClr val="C6D9F1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  <xdr:txBody>
            <a:bodyPr lIns="0" tIns="0" rIns="0" bIns="0" anchor="ctr"/>
            <a:lstStyle/>
            <a:p>
              <a:pPr algn="ctr"/>
              <a:r>
                <a:rPr lang="sk-SK" sz="1000" b="1">
                  <a:latin typeface="Verdana" panose="020B0604030504040204" pitchFamily="34" charset="0"/>
                  <a:ea typeface="Verdana" panose="020B0604030504040204" pitchFamily="34" charset="0"/>
                </a:rPr>
                <a:t>187</a:t>
              </a:r>
            </a:p>
          </xdr:txBody>
        </xdr:sp>
        <xdr:sp macro="" textlink="">
          <xdr:nvSpPr>
            <xdr:cNvPr id="38" name="Obdélník 30">
              <a:extLst>
                <a:ext uri="{FF2B5EF4-FFF2-40B4-BE49-F238E27FC236}">
                  <a16:creationId xmlns:a16="http://schemas.microsoft.com/office/drawing/2014/main" id="{00000000-0008-0000-1800-000026000000}"/>
                </a:ext>
              </a:extLst>
            </xdr:cNvPr>
            <xdr:cNvSpPr>
              <a:spLocks noChangeArrowheads="1"/>
            </xdr:cNvSpPr>
          </xdr:nvSpPr>
          <xdr:spPr bwMode="auto">
            <a:xfrm rot="5400000">
              <a:off x="8018207" y="4428639"/>
              <a:ext cx="281254" cy="32400"/>
            </a:xfrm>
            <a:prstGeom prst="rect">
              <a:avLst/>
            </a:prstGeom>
            <a:solidFill>
              <a:srgbClr val="C6D9F1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</xdr:grpSp>
      <xdr:grpSp>
        <xdr:nvGrpSpPr>
          <xdr:cNvPr id="39" name="Skupina 38">
            <a:extLst>
              <a:ext uri="{FF2B5EF4-FFF2-40B4-BE49-F238E27FC236}">
                <a16:creationId xmlns:a16="http://schemas.microsoft.com/office/drawing/2014/main" id="{00000000-0008-0000-1800-000027000000}"/>
              </a:ext>
            </a:extLst>
          </xdr:cNvPr>
          <xdr:cNvGrpSpPr/>
        </xdr:nvGrpSpPr>
        <xdr:grpSpPr>
          <a:xfrm>
            <a:off x="8150655" y="3229392"/>
            <a:ext cx="746399" cy="281254"/>
            <a:chOff x="8142634" y="4304212"/>
            <a:chExt cx="746399" cy="281254"/>
          </a:xfrm>
        </xdr:grpSpPr>
        <xdr:sp macro="" textlink="">
          <xdr:nvSpPr>
            <xdr:cNvPr id="40" name="Obdélník 23">
              <a:extLst>
                <a:ext uri="{FF2B5EF4-FFF2-40B4-BE49-F238E27FC236}">
                  <a16:creationId xmlns:a16="http://schemas.microsoft.com/office/drawing/2014/main" id="{00000000-0008-0000-1800-000028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158594" y="4523874"/>
              <a:ext cx="725158" cy="53884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  <xdr:txBody>
            <a:bodyPr lIns="0" tIns="0" rIns="0" bIns="0" anchor="ctr"/>
            <a:lstStyle/>
            <a:p>
              <a:pPr algn="ctr"/>
              <a:endParaRPr lang="sk-SK" b="1">
                <a:solidFill>
                  <a:schemeClr val="bg1"/>
                </a:solidFill>
                <a:latin typeface="Verdana" panose="020B0604030504040204" pitchFamily="34" charset="0"/>
                <a:ea typeface="Verdana" panose="020B0604030504040204" pitchFamily="34" charset="0"/>
              </a:endParaRPr>
            </a:p>
          </xdr:txBody>
        </xdr:sp>
        <xdr:sp macro="" textlink="">
          <xdr:nvSpPr>
            <xdr:cNvPr id="41" name="Obdélník 98">
              <a:extLst>
                <a:ext uri="{FF2B5EF4-FFF2-40B4-BE49-F238E27FC236}">
                  <a16:creationId xmlns:a16="http://schemas.microsoft.com/office/drawing/2014/main" id="{00000000-0008-0000-1800-000029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165433" y="4323347"/>
              <a:ext cx="723600" cy="184485"/>
            </a:xfrm>
            <a:prstGeom prst="rect">
              <a:avLst/>
            </a:prstGeom>
            <a:solidFill>
              <a:srgbClr val="C6D9F1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  <xdr:txBody>
            <a:bodyPr lIns="0" tIns="0" rIns="0" bIns="0" anchor="ctr"/>
            <a:lstStyle/>
            <a:p>
              <a:pPr algn="ctr"/>
              <a:r>
                <a:rPr lang="sk-SK" sz="1000" b="1">
                  <a:latin typeface="Verdana" panose="020B0604030504040204" pitchFamily="34" charset="0"/>
                  <a:ea typeface="Verdana" panose="020B0604030504040204" pitchFamily="34" charset="0"/>
                </a:rPr>
                <a:t>187</a:t>
              </a:r>
            </a:p>
          </xdr:txBody>
        </xdr:sp>
        <xdr:sp macro="" textlink="">
          <xdr:nvSpPr>
            <xdr:cNvPr id="42" name="Obdélník 30">
              <a:extLst>
                <a:ext uri="{FF2B5EF4-FFF2-40B4-BE49-F238E27FC236}">
                  <a16:creationId xmlns:a16="http://schemas.microsoft.com/office/drawing/2014/main" id="{00000000-0008-0000-1800-00002A000000}"/>
                </a:ext>
              </a:extLst>
            </xdr:cNvPr>
            <xdr:cNvSpPr>
              <a:spLocks noChangeArrowheads="1"/>
            </xdr:cNvSpPr>
          </xdr:nvSpPr>
          <xdr:spPr bwMode="auto">
            <a:xfrm rot="5400000">
              <a:off x="8018207" y="4428639"/>
              <a:ext cx="281254" cy="32400"/>
            </a:xfrm>
            <a:prstGeom prst="rect">
              <a:avLst/>
            </a:prstGeom>
            <a:solidFill>
              <a:srgbClr val="C6D9F1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</xdr:grpSp>
    </xdr:grpSp>
    <xdr:clientData/>
  </xdr:twoCellAnchor>
  <xdr:twoCellAnchor editAs="oneCell">
    <xdr:from>
      <xdr:col>22</xdr:col>
      <xdr:colOff>155206</xdr:colOff>
      <xdr:row>70</xdr:row>
      <xdr:rowOff>32084</xdr:rowOff>
    </xdr:from>
    <xdr:to>
      <xdr:col>34</xdr:col>
      <xdr:colOff>54582</xdr:colOff>
      <xdr:row>79</xdr:row>
      <xdr:rowOff>32082</xdr:rowOff>
    </xdr:to>
    <xdr:pic>
      <xdr:nvPicPr>
        <xdr:cNvPr id="51" name="Obrázek 50">
          <a:extLst>
            <a:ext uri="{FF2B5EF4-FFF2-40B4-BE49-F238E27FC236}">
              <a16:creationId xmlns:a16="http://schemas.microsoft.com/office/drawing/2014/main" id="{00000000-0008-0000-18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264617" y="13266821"/>
          <a:ext cx="2498197" cy="1660356"/>
        </a:xfrm>
        <a:prstGeom prst="rect">
          <a:avLst/>
        </a:prstGeom>
        <a:noFill/>
        <a:ln w="28575">
          <a:solidFill>
            <a:srgbClr val="A6A6A6"/>
          </a:solidFill>
          <a:miter lim="800000"/>
          <a:headEnd/>
          <a:tailEnd/>
        </a:ln>
      </xdr:spPr>
    </xdr:pic>
    <xdr:clientData/>
  </xdr:twoCellAnchor>
  <xdr:twoCellAnchor>
    <xdr:from>
      <xdr:col>12</xdr:col>
      <xdr:colOff>120316</xdr:colOff>
      <xdr:row>70</xdr:row>
      <xdr:rowOff>42911</xdr:rowOff>
    </xdr:from>
    <xdr:to>
      <xdr:col>21</xdr:col>
      <xdr:colOff>192104</xdr:colOff>
      <xdr:row>79</xdr:row>
      <xdr:rowOff>158815</xdr:rowOff>
    </xdr:to>
    <xdr:grpSp>
      <xdr:nvGrpSpPr>
        <xdr:cNvPr id="52" name="Skupina 33">
          <a:extLst>
            <a:ext uri="{FF2B5EF4-FFF2-40B4-BE49-F238E27FC236}">
              <a16:creationId xmlns:a16="http://schemas.microsoft.com/office/drawing/2014/main" id="{00000000-0008-0000-1800-000034000000}"/>
            </a:ext>
          </a:extLst>
        </xdr:cNvPr>
        <xdr:cNvGrpSpPr>
          <a:grpSpLocks/>
        </xdr:cNvGrpSpPr>
      </xdr:nvGrpSpPr>
      <xdr:grpSpPr bwMode="auto">
        <a:xfrm>
          <a:off x="3296653" y="13277648"/>
          <a:ext cx="2165283" cy="1776262"/>
          <a:chOff x="3449052" y="986589"/>
          <a:chExt cx="2016894" cy="1776257"/>
        </a:xfrm>
      </xdr:grpSpPr>
      <xdr:sp macro="" textlink="">
        <xdr:nvSpPr>
          <xdr:cNvPr id="53" name="Obdélník 19">
            <a:extLst>
              <a:ext uri="{FF2B5EF4-FFF2-40B4-BE49-F238E27FC236}">
                <a16:creationId xmlns:a16="http://schemas.microsoft.com/office/drawing/2014/main" id="{00000000-0008-0000-1800-000035000000}"/>
              </a:ext>
            </a:extLst>
          </xdr:cNvPr>
          <xdr:cNvSpPr>
            <a:spLocks noChangeArrowheads="1"/>
          </xdr:cNvSpPr>
        </xdr:nvSpPr>
        <xdr:spPr bwMode="auto">
          <a:xfrm>
            <a:off x="3512047" y="2205790"/>
            <a:ext cx="1657085" cy="275860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54" name="Obdélník 19">
            <a:extLst>
              <a:ext uri="{FF2B5EF4-FFF2-40B4-BE49-F238E27FC236}">
                <a16:creationId xmlns:a16="http://schemas.microsoft.com/office/drawing/2014/main" id="{00000000-0008-0000-1800-000036000000}"/>
              </a:ext>
            </a:extLst>
          </xdr:cNvPr>
          <xdr:cNvSpPr>
            <a:spLocks noChangeArrowheads="1"/>
          </xdr:cNvSpPr>
        </xdr:nvSpPr>
        <xdr:spPr bwMode="auto">
          <a:xfrm>
            <a:off x="3553326" y="1211179"/>
            <a:ext cx="1657085" cy="970547"/>
          </a:xfrm>
          <a:prstGeom prst="rect">
            <a:avLst/>
          </a:prstGeom>
          <a:solidFill>
            <a:srgbClr val="C6D9F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55" name="Obdélník 18">
            <a:extLst>
              <a:ext uri="{FF2B5EF4-FFF2-40B4-BE49-F238E27FC236}">
                <a16:creationId xmlns:a16="http://schemas.microsoft.com/office/drawing/2014/main" id="{00000000-0008-0000-1800-000037000000}"/>
              </a:ext>
            </a:extLst>
          </xdr:cNvPr>
          <xdr:cNvSpPr>
            <a:spLocks noChangeArrowheads="1"/>
          </xdr:cNvSpPr>
        </xdr:nvSpPr>
        <xdr:spPr bwMode="auto">
          <a:xfrm>
            <a:off x="3449052" y="989697"/>
            <a:ext cx="111600" cy="1666799"/>
          </a:xfrm>
          <a:prstGeom prst="rect">
            <a:avLst/>
          </a:prstGeom>
          <a:solidFill>
            <a:srgbClr val="C6D9F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56" name="Volný tvar 20">
            <a:extLst>
              <a:ext uri="{FF2B5EF4-FFF2-40B4-BE49-F238E27FC236}">
                <a16:creationId xmlns:a16="http://schemas.microsoft.com/office/drawing/2014/main" id="{00000000-0008-0000-1800-000038000000}"/>
              </a:ext>
            </a:extLst>
          </xdr:cNvPr>
          <xdr:cNvSpPr>
            <a:spLocks/>
          </xdr:cNvSpPr>
        </xdr:nvSpPr>
        <xdr:spPr bwMode="auto">
          <a:xfrm>
            <a:off x="4841809" y="986589"/>
            <a:ext cx="624137" cy="1776257"/>
          </a:xfrm>
          <a:custGeom>
            <a:avLst/>
            <a:gdLst>
              <a:gd name="T0" fmla="*/ 2147483646 w 290593"/>
              <a:gd name="T1" fmla="*/ 107994243 h 817667"/>
              <a:gd name="T2" fmla="*/ 2147483646 w 290593"/>
              <a:gd name="T3" fmla="*/ 107994243 h 817667"/>
              <a:gd name="T4" fmla="*/ 2147483646 w 290593"/>
              <a:gd name="T5" fmla="*/ 1107104460 h 817667"/>
              <a:gd name="T6" fmla="*/ 2147483646 w 290593"/>
              <a:gd name="T7" fmla="*/ 1248751123 h 817667"/>
              <a:gd name="T8" fmla="*/ 2147483646 w 290593"/>
              <a:gd name="T9" fmla="*/ 1606677617 h 817667"/>
              <a:gd name="T10" fmla="*/ 2147483646 w 290593"/>
              <a:gd name="T11" fmla="*/ 2147483646 h 817667"/>
              <a:gd name="T12" fmla="*/ 2147483646 w 290593"/>
              <a:gd name="T13" fmla="*/ 2147483646 h 817667"/>
              <a:gd name="T14" fmla="*/ 2147483646 w 290593"/>
              <a:gd name="T15" fmla="*/ 2147483646 h 817667"/>
              <a:gd name="T16" fmla="*/ 2147483646 w 290593"/>
              <a:gd name="T17" fmla="*/ 2147483646 h 817667"/>
              <a:gd name="T18" fmla="*/ 2147483646 w 290593"/>
              <a:gd name="T19" fmla="*/ 2147483646 h 817667"/>
              <a:gd name="T20" fmla="*/ 2147483646 w 290593"/>
              <a:gd name="T21" fmla="*/ 2147483646 h 817667"/>
              <a:gd name="T22" fmla="*/ 0 w 290593"/>
              <a:gd name="T23" fmla="*/ 2147483646 h 817667"/>
              <a:gd name="T24" fmla="*/ 2147483646 w 290593"/>
              <a:gd name="T25" fmla="*/ 2147483646 h 817667"/>
              <a:gd name="T26" fmla="*/ 2147483646 w 290593"/>
              <a:gd name="T27" fmla="*/ 2147483646 h 817667"/>
              <a:gd name="T28" fmla="*/ 2147483646 w 290593"/>
              <a:gd name="T29" fmla="*/ 2147483646 h 817667"/>
              <a:gd name="T30" fmla="*/ 2147483646 w 290593"/>
              <a:gd name="T31" fmla="*/ 2147483646 h 817667"/>
              <a:gd name="T32" fmla="*/ 2147483646 w 290593"/>
              <a:gd name="T33" fmla="*/ 2147483646 h 817667"/>
              <a:gd name="T34" fmla="*/ 2147483646 w 290593"/>
              <a:gd name="T35" fmla="*/ 322678155 h 817667"/>
              <a:gd name="T36" fmla="*/ 2147483646 w 290593"/>
              <a:gd name="T37" fmla="*/ 107994243 h 817667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w 290593"/>
              <a:gd name="T58" fmla="*/ 0 h 817667"/>
              <a:gd name="T59" fmla="*/ 290593 w 290593"/>
              <a:gd name="T60" fmla="*/ 817667 h 817667"/>
            </a:gdLst>
            <a:ahLst/>
            <a:cxnLst>
              <a:cxn ang="T38">
                <a:pos x="T0" y="T1"/>
              </a:cxn>
              <a:cxn ang="T39">
                <a:pos x="T2" y="T3"/>
              </a:cxn>
              <a:cxn ang="T40">
                <a:pos x="T4" y="T5"/>
              </a:cxn>
              <a:cxn ang="T41">
                <a:pos x="T6" y="T7"/>
              </a:cxn>
              <a:cxn ang="T42">
                <a:pos x="T8" y="T9"/>
              </a:cxn>
              <a:cxn ang="T43">
                <a:pos x="T10" y="T11"/>
              </a:cxn>
              <a:cxn ang="T44">
                <a:pos x="T12" y="T13"/>
              </a:cxn>
              <a:cxn ang="T45">
                <a:pos x="T14" y="T15"/>
              </a:cxn>
              <a:cxn ang="T46">
                <a:pos x="T16" y="T17"/>
              </a:cxn>
              <a:cxn ang="T47">
                <a:pos x="T18" y="T19"/>
              </a:cxn>
              <a:cxn ang="T48">
                <a:pos x="T20" y="T21"/>
              </a:cxn>
              <a:cxn ang="T49">
                <a:pos x="T22" y="T23"/>
              </a:cxn>
              <a:cxn ang="T50">
                <a:pos x="T24" y="T25"/>
              </a:cxn>
              <a:cxn ang="T51">
                <a:pos x="T26" y="T27"/>
              </a:cxn>
              <a:cxn ang="T52">
                <a:pos x="T28" y="T29"/>
              </a:cxn>
              <a:cxn ang="T53">
                <a:pos x="T30" y="T31"/>
              </a:cxn>
              <a:cxn ang="T54">
                <a:pos x="T32" y="T33"/>
              </a:cxn>
              <a:cxn ang="T55">
                <a:pos x="T34" y="T35"/>
              </a:cxn>
              <a:cxn ang="T56">
                <a:pos x="T36" y="T37"/>
              </a:cxn>
            </a:cxnLst>
            <a:rect l="T57" t="T58" r="T59" b="T60"/>
            <a:pathLst>
              <a:path w="290593" h="817667">
                <a:moveTo>
                  <a:pt x="76200" y="14613"/>
                </a:moveTo>
                <a:lnTo>
                  <a:pt x="76200" y="14613"/>
                </a:lnTo>
                <a:cubicBezTo>
                  <a:pt x="86511" y="42109"/>
                  <a:pt x="127065" y="111603"/>
                  <a:pt x="95250" y="147963"/>
                </a:cubicBezTo>
                <a:cubicBezTo>
                  <a:pt x="82027" y="163075"/>
                  <a:pt x="38100" y="167013"/>
                  <a:pt x="38100" y="167013"/>
                </a:cubicBezTo>
                <a:cubicBezTo>
                  <a:pt x="52096" y="176344"/>
                  <a:pt x="84429" y="192607"/>
                  <a:pt x="85725" y="214638"/>
                </a:cubicBezTo>
                <a:cubicBezTo>
                  <a:pt x="86693" y="231091"/>
                  <a:pt x="106075" y="259086"/>
                  <a:pt x="65211" y="291777"/>
                </a:cubicBezTo>
                <a:cubicBezTo>
                  <a:pt x="57371" y="298049"/>
                  <a:pt x="38100" y="382913"/>
                  <a:pt x="28575" y="386088"/>
                </a:cubicBezTo>
                <a:cubicBezTo>
                  <a:pt x="13701" y="430709"/>
                  <a:pt x="10804" y="425702"/>
                  <a:pt x="28575" y="490863"/>
                </a:cubicBezTo>
                <a:cubicBezTo>
                  <a:pt x="31587" y="501907"/>
                  <a:pt x="41275" y="509913"/>
                  <a:pt x="47625" y="519438"/>
                </a:cubicBezTo>
                <a:cubicBezTo>
                  <a:pt x="44450" y="538488"/>
                  <a:pt x="47682" y="559820"/>
                  <a:pt x="38100" y="576588"/>
                </a:cubicBezTo>
                <a:cubicBezTo>
                  <a:pt x="33119" y="585305"/>
                  <a:pt x="16625" y="579013"/>
                  <a:pt x="9525" y="586113"/>
                </a:cubicBezTo>
                <a:cubicBezTo>
                  <a:pt x="2425" y="593213"/>
                  <a:pt x="3175" y="605163"/>
                  <a:pt x="0" y="614688"/>
                </a:cubicBezTo>
                <a:cubicBezTo>
                  <a:pt x="6350" y="633738"/>
                  <a:pt x="7911" y="655130"/>
                  <a:pt x="19050" y="671838"/>
                </a:cubicBezTo>
                <a:lnTo>
                  <a:pt x="57150" y="728988"/>
                </a:lnTo>
                <a:cubicBezTo>
                  <a:pt x="51516" y="745889"/>
                  <a:pt x="26742" y="805357"/>
                  <a:pt x="57150" y="814713"/>
                </a:cubicBezTo>
                <a:cubicBezTo>
                  <a:pt x="66751" y="817667"/>
                  <a:pt x="248114" y="780330"/>
                  <a:pt x="266700" y="776613"/>
                </a:cubicBezTo>
                <a:cubicBezTo>
                  <a:pt x="290593" y="633254"/>
                  <a:pt x="266700" y="801168"/>
                  <a:pt x="266700" y="509913"/>
                </a:cubicBezTo>
                <a:cubicBezTo>
                  <a:pt x="266700" y="283161"/>
                  <a:pt x="272633" y="226829"/>
                  <a:pt x="285750" y="43188"/>
                </a:cubicBezTo>
                <a:cubicBezTo>
                  <a:pt x="199373" y="0"/>
                  <a:pt x="111125" y="19376"/>
                  <a:pt x="76200" y="14613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cap="flat" cmpd="sng" algn="ctr">
                <a:solidFill>
                  <a:srgbClr val="000000"/>
                </a:solidFill>
                <a:prstDash val="solid"/>
                <a:round/>
                <a:headEnd type="none" w="med" len="med"/>
                <a:tailEnd type="none" w="med" len="med"/>
              </a14:hiddenLine>
            </a:ext>
          </a:extLst>
        </xdr:spPr>
      </xdr:sp>
    </xdr:grpSp>
    <xdr:clientData/>
  </xdr:twoCellAnchor>
  <xdr:twoCellAnchor editAs="oneCell">
    <xdr:from>
      <xdr:col>30</xdr:col>
      <xdr:colOff>71387</xdr:colOff>
      <xdr:row>86</xdr:row>
      <xdr:rowOff>169243</xdr:rowOff>
    </xdr:from>
    <xdr:to>
      <xdr:col>43</xdr:col>
      <xdr:colOff>56148</xdr:colOff>
      <xdr:row>97</xdr:row>
      <xdr:rowOff>146382</xdr:rowOff>
    </xdr:to>
    <xdr:pic>
      <xdr:nvPicPr>
        <xdr:cNvPr id="57" name="Obrázek 31">
          <a:extLst>
            <a:ext uri="{FF2B5EF4-FFF2-40B4-BE49-F238E27FC236}">
              <a16:creationId xmlns:a16="http://schemas.microsoft.com/office/drawing/2014/main" id="{00000000-0008-0000-18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3345" y="16355727"/>
          <a:ext cx="2800150" cy="20064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120316</xdr:colOff>
      <xdr:row>86</xdr:row>
      <xdr:rowOff>32083</xdr:rowOff>
    </xdr:from>
    <xdr:to>
      <xdr:col>20</xdr:col>
      <xdr:colOff>71387</xdr:colOff>
      <xdr:row>96</xdr:row>
      <xdr:rowOff>146383</xdr:rowOff>
    </xdr:to>
    <xdr:pic>
      <xdr:nvPicPr>
        <xdr:cNvPr id="58" name="Obrázek 32">
          <a:extLst>
            <a:ext uri="{FF2B5EF4-FFF2-40B4-BE49-F238E27FC236}">
              <a16:creationId xmlns:a16="http://schemas.microsoft.com/office/drawing/2014/main" id="{00000000-0008-0000-18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16218567"/>
          <a:ext cx="2766461" cy="19591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596265</xdr:colOff>
      <xdr:row>393</xdr:row>
      <xdr:rowOff>28575</xdr:rowOff>
    </xdr:from>
    <xdr:to>
      <xdr:col>1</xdr:col>
      <xdr:colOff>753261</xdr:colOff>
      <xdr:row>394</xdr:row>
      <xdr:rowOff>18075</xdr:rowOff>
    </xdr:to>
    <xdr:sp macro="" textlink="">
      <xdr:nvSpPr>
        <xdr:cNvPr id="10" name="TextovéPole 9">
          <a:extLst>
            <a:ext uri="{FF2B5EF4-FFF2-40B4-BE49-F238E27FC236}">
              <a16:creationId xmlns:a16="http://schemas.microsoft.com/office/drawing/2014/main" id="{00000000-0008-0000-1A00-00000A000000}"/>
            </a:ext>
          </a:extLst>
        </xdr:cNvPr>
        <xdr:cNvSpPr txBox="1">
          <a:spLocks noChangeAspect="1"/>
        </xdr:cNvSpPr>
      </xdr:nvSpPr>
      <xdr:spPr>
        <a:xfrm>
          <a:off x="781050" y="83153250"/>
          <a:ext cx="180000" cy="180000"/>
        </a:xfrm>
        <a:prstGeom prst="rect">
          <a:avLst/>
        </a:prstGeom>
        <a:solidFill>
          <a:srgbClr val="92D05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cs-CZ" sz="1200" b="1">
              <a:solidFill>
                <a:schemeClr val="bg1"/>
              </a:solidFill>
              <a:latin typeface="Arial" pitchFamily="34" charset="0"/>
              <a:cs typeface="Arial" pitchFamily="34" charset="0"/>
            </a:rPr>
            <a:t>i</a:t>
          </a:r>
        </a:p>
      </xdr:txBody>
    </xdr:sp>
    <xdr:clientData/>
  </xdr:twoCellAnchor>
  <xdr:twoCellAnchor>
    <xdr:from>
      <xdr:col>2</xdr:col>
      <xdr:colOff>392430</xdr:colOff>
      <xdr:row>0</xdr:row>
      <xdr:rowOff>144780</xdr:rowOff>
    </xdr:from>
    <xdr:to>
      <xdr:col>2</xdr:col>
      <xdr:colOff>1451610</xdr:colOff>
      <xdr:row>2</xdr:row>
      <xdr:rowOff>76200</xdr:rowOff>
    </xdr:to>
    <xdr:sp macro="" textlink="">
      <xdr:nvSpPr>
        <xdr:cNvPr id="27" name="TextovéPole 2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A00-00001B000000}"/>
            </a:ext>
          </a:extLst>
        </xdr:cNvPr>
        <xdr:cNvSpPr txBox="1"/>
      </xdr:nvSpPr>
      <xdr:spPr bwMode="auto">
        <a:xfrm>
          <a:off x="1457325" y="152400"/>
          <a:ext cx="1181100" cy="285750"/>
        </a:xfrm>
        <a:prstGeom prst="rect">
          <a:avLst/>
        </a:prstGeom>
        <a:solidFill>
          <a:srgbClr val="C0C0C0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12700" dist="25400" dir="13500000" algn="br" rotWithShape="0">
            <a:schemeClr val="tx1">
              <a:alpha val="40000"/>
            </a:scheme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cs-CZ" sz="1100">
              <a:latin typeface="Arial" pitchFamily="34" charset="0"/>
              <a:cs typeface="Arial" pitchFamily="34" charset="0"/>
            </a:rPr>
            <a:t>Úvod</a:t>
          </a:r>
        </a:p>
      </xdr:txBody>
    </xdr:sp>
    <xdr:clientData/>
  </xdr:twoCellAnchor>
  <xdr:twoCellAnchor>
    <xdr:from>
      <xdr:col>2</xdr:col>
      <xdr:colOff>2106930</xdr:colOff>
      <xdr:row>0</xdr:row>
      <xdr:rowOff>144780</xdr:rowOff>
    </xdr:from>
    <xdr:to>
      <xdr:col>6</xdr:col>
      <xdr:colOff>11430</xdr:colOff>
      <xdr:row>2</xdr:row>
      <xdr:rowOff>76200</xdr:rowOff>
    </xdr:to>
    <xdr:sp macro="" textlink="">
      <xdr:nvSpPr>
        <xdr:cNvPr id="28" name="TextovéPole 27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A00-00001C000000}"/>
            </a:ext>
          </a:extLst>
        </xdr:cNvPr>
        <xdr:cNvSpPr txBox="1"/>
      </xdr:nvSpPr>
      <xdr:spPr bwMode="auto">
        <a:xfrm>
          <a:off x="3362325" y="152400"/>
          <a:ext cx="1181100" cy="285750"/>
        </a:xfrm>
        <a:prstGeom prst="rect">
          <a:avLst/>
        </a:prstGeom>
        <a:solidFill>
          <a:srgbClr val="C0C0C0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12700" dist="25400" dir="13500000" algn="br" rotWithShape="0">
            <a:schemeClr val="tx1">
              <a:alpha val="40000"/>
            </a:scheme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indent="0" algn="ctr"/>
          <a:r>
            <a:rPr lang="cs-CZ" sz="110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Výběr zásuvek</a:t>
          </a:r>
        </a:p>
      </xdr:txBody>
    </xdr:sp>
    <xdr:clientData/>
  </xdr:twoCellAnchor>
  <xdr:twoCellAnchor>
    <xdr:from>
      <xdr:col>6</xdr:col>
      <xdr:colOff>236220</xdr:colOff>
      <xdr:row>0</xdr:row>
      <xdr:rowOff>144780</xdr:rowOff>
    </xdr:from>
    <xdr:to>
      <xdr:col>8</xdr:col>
      <xdr:colOff>401982</xdr:colOff>
      <xdr:row>2</xdr:row>
      <xdr:rowOff>76200</xdr:rowOff>
    </xdr:to>
    <xdr:sp macro="" textlink="">
      <xdr:nvSpPr>
        <xdr:cNvPr id="29" name="TextovéPole 2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A00-00001D000000}"/>
            </a:ext>
          </a:extLst>
        </xdr:cNvPr>
        <xdr:cNvSpPr txBox="1"/>
      </xdr:nvSpPr>
      <xdr:spPr bwMode="auto">
        <a:xfrm>
          <a:off x="4791075" y="152400"/>
          <a:ext cx="1181100" cy="285750"/>
        </a:xfrm>
        <a:prstGeom prst="rect">
          <a:avLst/>
        </a:prstGeom>
        <a:solidFill>
          <a:srgbClr val="C0C0C0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12700" dist="25400" dir="13500000" algn="br" rotWithShape="0">
            <a:schemeClr val="tx1">
              <a:alpha val="40000"/>
            </a:scheme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indent="0" algn="ctr"/>
          <a:r>
            <a:rPr lang="cs-CZ" sz="1100">
              <a:solidFill>
                <a:schemeClr val="bg1">
                  <a:lumMod val="75000"/>
                </a:schemeClr>
              </a:solidFill>
              <a:latin typeface="Arial" pitchFamily="34" charset="0"/>
              <a:ea typeface="+mn-ea"/>
              <a:cs typeface="Arial" pitchFamily="34" charset="0"/>
            </a:rPr>
            <a:t>Výběr doplňků</a:t>
          </a:r>
        </a:p>
      </xdr:txBody>
    </xdr:sp>
    <xdr:clientData/>
  </xdr:twoCellAnchor>
  <xdr:twoCellAnchor>
    <xdr:from>
      <xdr:col>9</xdr:col>
      <xdr:colOff>9525</xdr:colOff>
      <xdr:row>0</xdr:row>
      <xdr:rowOff>144780</xdr:rowOff>
    </xdr:from>
    <xdr:to>
      <xdr:col>11</xdr:col>
      <xdr:colOff>148711</xdr:colOff>
      <xdr:row>2</xdr:row>
      <xdr:rowOff>76200</xdr:rowOff>
    </xdr:to>
    <xdr:sp macro="" textlink="">
      <xdr:nvSpPr>
        <xdr:cNvPr id="30" name="TextovéPole 29">
          <a:extLst>
            <a:ext uri="{FF2B5EF4-FFF2-40B4-BE49-F238E27FC236}">
              <a16:creationId xmlns:a16="http://schemas.microsoft.com/office/drawing/2014/main" id="{00000000-0008-0000-1A00-00001E000000}"/>
            </a:ext>
          </a:extLst>
        </xdr:cNvPr>
        <xdr:cNvSpPr txBox="1"/>
      </xdr:nvSpPr>
      <xdr:spPr bwMode="auto">
        <a:xfrm>
          <a:off x="6219825" y="152400"/>
          <a:ext cx="1181100" cy="285750"/>
        </a:xfrm>
        <a:prstGeom prst="rect">
          <a:avLst/>
        </a:prstGeom>
        <a:solidFill>
          <a:srgbClr val="C0C0C0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12700" dist="25400" dir="13500000" algn="br" rotWithShape="0">
            <a:schemeClr val="tx1">
              <a:alpha val="40000"/>
            </a:scheme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indent="0" algn="ctr"/>
          <a:r>
            <a:rPr lang="cs-CZ" sz="1100">
              <a:solidFill>
                <a:schemeClr val="bg1">
                  <a:lumMod val="75000"/>
                </a:schemeClr>
              </a:solidFill>
              <a:latin typeface="Arial" pitchFamily="34" charset="0"/>
              <a:ea typeface="+mn-ea"/>
              <a:cs typeface="Arial" pitchFamily="34" charset="0"/>
            </a:rPr>
            <a:t>Výběr EASYS</a:t>
          </a:r>
        </a:p>
      </xdr:txBody>
    </xdr:sp>
    <xdr:clientData/>
  </xdr:twoCellAnchor>
  <xdr:twoCellAnchor>
    <xdr:from>
      <xdr:col>77</xdr:col>
      <xdr:colOff>80010</xdr:colOff>
      <xdr:row>0</xdr:row>
      <xdr:rowOff>144780</xdr:rowOff>
    </xdr:from>
    <xdr:to>
      <xdr:col>78</xdr:col>
      <xdr:colOff>420846</xdr:colOff>
      <xdr:row>2</xdr:row>
      <xdr:rowOff>76200</xdr:rowOff>
    </xdr:to>
    <xdr:sp macro="" textlink="">
      <xdr:nvSpPr>
        <xdr:cNvPr id="31" name="TextovéPole 30">
          <a:extLst>
            <a:ext uri="{FF2B5EF4-FFF2-40B4-BE49-F238E27FC236}">
              <a16:creationId xmlns:a16="http://schemas.microsoft.com/office/drawing/2014/main" id="{00000000-0008-0000-1A00-00001F000000}"/>
            </a:ext>
          </a:extLst>
        </xdr:cNvPr>
        <xdr:cNvSpPr txBox="1"/>
      </xdr:nvSpPr>
      <xdr:spPr bwMode="auto">
        <a:xfrm>
          <a:off x="8124825" y="152400"/>
          <a:ext cx="1181100" cy="285750"/>
        </a:xfrm>
        <a:prstGeom prst="rect">
          <a:avLst/>
        </a:prstGeom>
        <a:solidFill>
          <a:srgbClr val="C0C0C0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12700" dist="25400" dir="13500000" algn="br" rotWithShape="0">
            <a:schemeClr val="tx1">
              <a:alpha val="40000"/>
            </a:scheme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indent="0" algn="ctr"/>
          <a:r>
            <a:rPr lang="cs-CZ" sz="1100">
              <a:solidFill>
                <a:schemeClr val="bg1">
                  <a:lumMod val="50000"/>
                </a:schemeClr>
              </a:solidFill>
              <a:latin typeface="Arial" pitchFamily="34" charset="0"/>
              <a:ea typeface="+mn-ea"/>
              <a:cs typeface="Arial" pitchFamily="34" charset="0"/>
            </a:rPr>
            <a:t>Objednávka</a:t>
          </a:r>
        </a:p>
      </xdr:txBody>
    </xdr:sp>
    <xdr:clientData/>
  </xdr:twoCellAnchor>
  <xdr:twoCellAnchor>
    <xdr:from>
      <xdr:col>1</xdr:col>
      <xdr:colOff>127635</xdr:colOff>
      <xdr:row>0</xdr:row>
      <xdr:rowOff>144780</xdr:rowOff>
    </xdr:from>
    <xdr:to>
      <xdr:col>2</xdr:col>
      <xdr:colOff>184785</xdr:colOff>
      <xdr:row>2</xdr:row>
      <xdr:rowOff>76200</xdr:rowOff>
    </xdr:to>
    <xdr:sp macro="" textlink="">
      <xdr:nvSpPr>
        <xdr:cNvPr id="32" name="TextovéPole 3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A00-000020000000}"/>
            </a:ext>
          </a:extLst>
        </xdr:cNvPr>
        <xdr:cNvSpPr txBox="1"/>
      </xdr:nvSpPr>
      <xdr:spPr bwMode="auto">
        <a:xfrm>
          <a:off x="266700" y="152400"/>
          <a:ext cx="952500" cy="285750"/>
        </a:xfrm>
        <a:prstGeom prst="rect">
          <a:avLst/>
        </a:prstGeom>
        <a:solidFill>
          <a:schemeClr val="tx1">
            <a:lumMod val="65000"/>
            <a:lumOff val="35000"/>
          </a:schemeClr>
        </a:solidFill>
        <a:ln w="9525" cmpd="sng">
          <a:solidFill>
            <a:schemeClr val="lt1">
              <a:shade val="50000"/>
            </a:schemeClr>
          </a:solidFill>
        </a:ln>
        <a:effectLst>
          <a:outerShdw blurRad="12700" dist="12700" dir="2700000" algn="tl" rotWithShape="0">
            <a:schemeClr val="tx1">
              <a:alpha val="40000"/>
            </a:scheme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cs-CZ" sz="1100" b="1">
              <a:solidFill>
                <a:schemeClr val="bg1"/>
              </a:solidFill>
              <a:latin typeface="Arial" pitchFamily="34" charset="0"/>
              <a:cs typeface="Arial" pitchFamily="34" charset="0"/>
            </a:rPr>
            <a:t>&lt;&lt;</a:t>
          </a:r>
          <a:r>
            <a:rPr lang="cs-CZ" sz="1100" b="1" baseline="0">
              <a:solidFill>
                <a:schemeClr val="bg1"/>
              </a:solidFill>
              <a:latin typeface="Arial" pitchFamily="34" charset="0"/>
              <a:cs typeface="Arial" pitchFamily="34" charset="0"/>
            </a:rPr>
            <a:t> zpět</a:t>
          </a:r>
          <a:endParaRPr lang="cs-CZ" sz="1100" b="1">
            <a:solidFill>
              <a:schemeClr val="bg1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79</xdr:col>
      <xdr:colOff>11430</xdr:colOff>
      <xdr:row>0</xdr:row>
      <xdr:rowOff>144780</xdr:rowOff>
    </xdr:from>
    <xdr:to>
      <xdr:col>80</xdr:col>
      <xdr:colOff>255270</xdr:colOff>
      <xdr:row>2</xdr:row>
      <xdr:rowOff>76200</xdr:rowOff>
    </xdr:to>
    <xdr:sp macro="" textlink="">
      <xdr:nvSpPr>
        <xdr:cNvPr id="33" name="TextovéPole 32">
          <a:extLst>
            <a:ext uri="{FF2B5EF4-FFF2-40B4-BE49-F238E27FC236}">
              <a16:creationId xmlns:a16="http://schemas.microsoft.com/office/drawing/2014/main" id="{00000000-0008-0000-1A00-000021000000}"/>
            </a:ext>
          </a:extLst>
        </xdr:cNvPr>
        <xdr:cNvSpPr txBox="1"/>
      </xdr:nvSpPr>
      <xdr:spPr bwMode="auto">
        <a:xfrm>
          <a:off x="9544050" y="152400"/>
          <a:ext cx="952500" cy="285750"/>
        </a:xfrm>
        <a:prstGeom prst="rect">
          <a:avLst/>
        </a:prstGeom>
        <a:solidFill>
          <a:schemeClr val="tx1">
            <a:lumMod val="65000"/>
            <a:lumOff val="35000"/>
          </a:schemeClr>
        </a:solidFill>
        <a:ln w="9525" cmpd="sng">
          <a:solidFill>
            <a:schemeClr val="lt1">
              <a:shade val="50000"/>
            </a:schemeClr>
          </a:solidFill>
        </a:ln>
        <a:effectLst>
          <a:outerShdw blurRad="12700" dist="12700" dir="2700000" algn="tl" rotWithShape="0">
            <a:schemeClr val="tx1">
              <a:alpha val="40000"/>
            </a:scheme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indent="0" algn="ctr"/>
          <a:r>
            <a:rPr lang="cs-CZ" sz="1100" b="1">
              <a:solidFill>
                <a:schemeClr val="bg1">
                  <a:lumMod val="65000"/>
                </a:schemeClr>
              </a:solidFill>
              <a:latin typeface="Arial" pitchFamily="34" charset="0"/>
              <a:ea typeface="+mn-ea"/>
              <a:cs typeface="Arial" pitchFamily="34" charset="0"/>
            </a:rPr>
            <a:t>vpřed  &gt;&gt;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601980</xdr:colOff>
          <xdr:row>397</xdr:row>
          <xdr:rowOff>0</xdr:rowOff>
        </xdr:from>
        <xdr:to>
          <xdr:col>12</xdr:col>
          <xdr:colOff>7620</xdr:colOff>
          <xdr:row>398</xdr:row>
          <xdr:rowOff>68580</xdr:rowOff>
        </xdr:to>
        <xdr:sp macro="" textlink="">
          <xdr:nvSpPr>
            <xdr:cNvPr id="83424" name="Button 1504" hidden="1">
              <a:extLst>
                <a:ext uri="{63B3BB69-23CF-44E3-9099-C40C66FF867C}">
                  <a14:compatExt spid="_x0000_s83424"/>
                </a:ext>
                <a:ext uri="{FF2B5EF4-FFF2-40B4-BE49-F238E27FC236}">
                  <a16:creationId xmlns:a16="http://schemas.microsoft.com/office/drawing/2014/main" id="{00000000-0008-0000-1A00-0000E045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ffectLst/>
            <a:extLst>
              <a:ext uri="{53640926-AAD7-44D8-BBD7-CCE9431645EC}">
                <a14:shadowObscured val="1"/>
              </a:ext>
            </a:extLst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9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VYTVOŘIT  OBJEDNÁVKU</a:t>
              </a:r>
            </a:p>
          </xdr:txBody>
        </xdr:sp>
        <xdr:clientData fPrintsWithSheet="0"/>
      </xdr:twoCellAnchor>
    </mc:Choice>
    <mc:Fallback/>
  </mc:AlternateContent>
  <xdr:twoCellAnchor>
    <xdr:from>
      <xdr:col>9</xdr:col>
      <xdr:colOff>266700</xdr:colOff>
      <xdr:row>6</xdr:row>
      <xdr:rowOff>76200</xdr:rowOff>
    </xdr:from>
    <xdr:to>
      <xdr:col>79</xdr:col>
      <xdr:colOff>358140</xdr:colOff>
      <xdr:row>13</xdr:row>
      <xdr:rowOff>90638</xdr:rowOff>
    </xdr:to>
    <xdr:sp macro="" textlink="">
      <xdr:nvSpPr>
        <xdr:cNvPr id="11" name="Bublinový popisek ve tvaru obláčku 10">
          <a:extLst>
            <a:ext uri="{FF2B5EF4-FFF2-40B4-BE49-F238E27FC236}">
              <a16:creationId xmlns:a16="http://schemas.microsoft.com/office/drawing/2014/main" id="{00000000-0008-0000-1A00-00000B000000}"/>
            </a:ext>
          </a:extLst>
        </xdr:cNvPr>
        <xdr:cNvSpPr/>
      </xdr:nvSpPr>
      <xdr:spPr bwMode="auto">
        <a:xfrm>
          <a:off x="5966460" y="1082040"/>
          <a:ext cx="23934420" cy="1256498"/>
        </a:xfrm>
        <a:prstGeom prst="cloudCallout">
          <a:avLst>
            <a:gd name="adj1" fmla="val -16180"/>
            <a:gd name="adj2" fmla="val 104029"/>
          </a:avLst>
        </a:prstGeom>
        <a:solidFill>
          <a:srgbClr val="FFFF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sk-SK" sz="1000" b="1">
              <a:solidFill>
                <a:srgbClr val="FF0000"/>
              </a:solidFill>
              <a:latin typeface="Verdana" panose="020B0604030504040204" pitchFamily="34" charset="0"/>
              <a:ea typeface="Verdana" panose="020B0604030504040204" pitchFamily="34" charset="0"/>
            </a:rPr>
            <a:t>Odfiltrujte prázdné řádky :</a:t>
          </a:r>
        </a:p>
        <a:p>
          <a:pPr algn="ctr"/>
          <a:r>
            <a:rPr lang="sk-SK" sz="1000" b="1">
              <a:solidFill>
                <a:srgbClr val="FF0000"/>
              </a:solidFill>
              <a:latin typeface="Verdana" panose="020B0604030504040204" pitchFamily="34" charset="0"/>
              <a:ea typeface="Verdana" panose="020B0604030504040204" pitchFamily="34" charset="0"/>
            </a:rPr>
            <a:t> </a:t>
          </a:r>
        </a:p>
        <a:p>
          <a:pPr algn="ctr"/>
          <a:r>
            <a:rPr lang="sk-SK" sz="1000" b="1">
              <a:solidFill>
                <a:srgbClr val="FF0000"/>
              </a:solidFill>
              <a:latin typeface="Verdana" panose="020B0604030504040204" pitchFamily="34" charset="0"/>
              <a:ea typeface="Verdana" panose="020B0604030504040204" pitchFamily="34" charset="0"/>
            </a:rPr>
            <a:t>zrušte zatržítko u poslední volby '(Prázdné)'</a:t>
          </a:r>
        </a:p>
      </xdr:txBody>
    </xdr:sp>
    <xdr:clientData fPrintsWithSheet="0"/>
  </xdr:twoCellAnchor>
  <xdr:twoCellAnchor>
    <xdr:from>
      <xdr:col>2</xdr:col>
      <xdr:colOff>990600</xdr:colOff>
      <xdr:row>9</xdr:row>
      <xdr:rowOff>22860</xdr:rowOff>
    </xdr:from>
    <xdr:to>
      <xdr:col>11</xdr:col>
      <xdr:colOff>449580</xdr:colOff>
      <xdr:row>21</xdr:row>
      <xdr:rowOff>137160</xdr:rowOff>
    </xdr:to>
    <xdr:sp macro="" textlink="">
      <xdr:nvSpPr>
        <xdr:cNvPr id="3" name="Oblouk 2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SpPr/>
      </xdr:nvSpPr>
      <xdr:spPr bwMode="auto">
        <a:xfrm flipV="1">
          <a:off x="1912620" y="1600200"/>
          <a:ext cx="5151120" cy="2339340"/>
        </a:xfrm>
        <a:prstGeom prst="arc">
          <a:avLst>
            <a:gd name="adj1" fmla="val 15557760"/>
            <a:gd name="adj2" fmla="val 21089902"/>
          </a:avLst>
        </a:prstGeom>
        <a:noFill/>
        <a:ln w="15875" cap="flat" cmpd="sng" algn="ctr">
          <a:solidFill>
            <a:srgbClr val="FF0000"/>
          </a:solidFill>
          <a:prstDash val="solid"/>
          <a:round/>
          <a:headEnd type="triangle" w="med" len="med"/>
          <a:tailEnd type="none" w="med" len="med"/>
        </a:ln>
        <a:effectLst/>
      </xdr:spPr>
      <xdr:txBody>
        <a:bodyPr vertOverflow="clip" horzOverflow="clip" rtlCol="0" anchor="t"/>
        <a:lstStyle/>
        <a:p>
          <a:endParaRPr lang="sk-SK"/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rtlCol="0" anchor="ctr" upright="1"/>
      <a:lstStyle>
        <a:defPPr algn="ctr">
          <a:defRPr sz="1100"/>
        </a:defPPr>
      </a:lstStyle>
    </a:spDef>
    <a:lnDef>
      <a:spPr bwMode="auto">
        <a:solidFill>
          <a:srgbClr val="FFFFE1"/>
        </a:solidFill>
        <a:ln w="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trlProp" Target="../ctrlProps/ctrlProp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2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3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4" Type="http://schemas.openxmlformats.org/officeDocument/2006/relationships/comments" Target="../comments4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5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Relationship Id="rId4" Type="http://schemas.openxmlformats.org/officeDocument/2006/relationships/comments" Target="../comments6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Relationship Id="rId4" Type="http://schemas.openxmlformats.org/officeDocument/2006/relationships/comments" Target="../comments7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Relationship Id="rId4" Type="http://schemas.openxmlformats.org/officeDocument/2006/relationships/comments" Target="../comments8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Relationship Id="rId4" Type="http://schemas.openxmlformats.org/officeDocument/2006/relationships/comments" Target="../comments9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Relationship Id="rId4" Type="http://schemas.openxmlformats.org/officeDocument/2006/relationships/comments" Target="../comments10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Relationship Id="rId4" Type="http://schemas.openxmlformats.org/officeDocument/2006/relationships/comments" Target="../comments11.x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Relationship Id="rId4" Type="http://schemas.openxmlformats.org/officeDocument/2006/relationships/comments" Target="../comments12.x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4.vml"/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Relationship Id="rId4" Type="http://schemas.openxmlformats.org/officeDocument/2006/relationships/comments" Target="../comments13.xm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5.vml"/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Relationship Id="rId4" Type="http://schemas.openxmlformats.org/officeDocument/2006/relationships/comments" Target="../comments14.xm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6.vml"/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Relationship Id="rId4" Type="http://schemas.openxmlformats.org/officeDocument/2006/relationships/comments" Target="../comments15.xml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7.vml"/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Relationship Id="rId4" Type="http://schemas.openxmlformats.org/officeDocument/2006/relationships/comments" Target="../comments16.xml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8.vml"/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Relationship Id="rId4" Type="http://schemas.openxmlformats.org/officeDocument/2006/relationships/comments" Target="../comments17.xml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9.vml"/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Relationship Id="rId4" Type="http://schemas.openxmlformats.org/officeDocument/2006/relationships/comments" Target="../comments18.xml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0.vml"/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Relationship Id="rId4" Type="http://schemas.openxmlformats.org/officeDocument/2006/relationships/comments" Target="../comments19.xml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1.vml"/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Relationship Id="rId4" Type="http://schemas.openxmlformats.org/officeDocument/2006/relationships/comments" Target="../comments20.xml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2.vml"/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Relationship Id="rId4" Type="http://schemas.openxmlformats.org/officeDocument/2006/relationships/comments" Target="../comments21.xml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3.vml"/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Relationship Id="rId5" Type="http://schemas.openxmlformats.org/officeDocument/2006/relationships/comments" Target="../comments22.xml"/><Relationship Id="rId4" Type="http://schemas.openxmlformats.org/officeDocument/2006/relationships/ctrlProp" Target="../ctrlProps/ctrlProp2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AT31"/>
  <sheetViews>
    <sheetView showGridLines="0" showRowColHeaders="0" zoomScale="95" zoomScaleNormal="95" workbookViewId="0">
      <selection activeCell="G2" sqref="G2:K2"/>
    </sheetView>
  </sheetViews>
  <sheetFormatPr defaultColWidth="9" defaultRowHeight="13.8"/>
  <cols>
    <col min="1" max="1" width="3.59765625" style="86" customWidth="1"/>
    <col min="2" max="44" width="3.09765625" style="86" customWidth="1"/>
    <col min="45" max="45" width="3.59765625" style="86" customWidth="1"/>
    <col min="46" max="16384" width="9" style="86"/>
  </cols>
  <sheetData>
    <row r="1" spans="1:46" ht="12.9" customHeight="1" thickBot="1">
      <c r="AT1" s="4"/>
    </row>
    <row r="2" spans="1:46" ht="23.1" customHeight="1" thickBot="1">
      <c r="B2" s="484" t="str">
        <f>verze!E13</f>
        <v>&lt;&lt;  zpět</v>
      </c>
      <c r="C2" s="485"/>
      <c r="D2" s="485"/>
      <c r="E2" s="486"/>
      <c r="G2" s="500" t="str">
        <f>verze!E6</f>
        <v xml:space="preserve"> Úvod</v>
      </c>
      <c r="H2" s="501"/>
      <c r="I2" s="501"/>
      <c r="J2" s="501"/>
      <c r="K2" s="502"/>
      <c r="O2" s="478" t="str">
        <f>verze!E7</f>
        <v xml:space="preserve"> Výběr zásuvek</v>
      </c>
      <c r="P2" s="479"/>
      <c r="Q2" s="479"/>
      <c r="R2" s="479"/>
      <c r="S2" s="480"/>
      <c r="U2" s="478" t="str">
        <f>verze!E8</f>
        <v xml:space="preserve"> </v>
      </c>
      <c r="V2" s="479"/>
      <c r="W2" s="479"/>
      <c r="X2" s="479"/>
      <c r="Y2" s="480"/>
      <c r="AA2" s="478" t="str">
        <f>verze!E9</f>
        <v xml:space="preserve"> </v>
      </c>
      <c r="AB2" s="479"/>
      <c r="AC2" s="479"/>
      <c r="AD2" s="479"/>
      <c r="AE2" s="480"/>
      <c r="AI2" s="478" t="str">
        <f>verze!E10</f>
        <v xml:space="preserve"> Objednávka</v>
      </c>
      <c r="AJ2" s="479"/>
      <c r="AK2" s="479"/>
      <c r="AL2" s="479"/>
      <c r="AM2" s="480"/>
      <c r="AO2" s="475" t="str">
        <f>verze!E14</f>
        <v>vpřed  &gt;&gt;</v>
      </c>
      <c r="AP2" s="476"/>
      <c r="AQ2" s="476"/>
      <c r="AR2" s="477"/>
      <c r="AT2" s="4"/>
    </row>
    <row r="3" spans="1:46" ht="12.9" customHeight="1">
      <c r="AT3" s="4"/>
    </row>
    <row r="4" spans="1:46" ht="23.1" customHeight="1">
      <c r="A4" s="89"/>
      <c r="B4" s="91" t="str">
        <f>verze!E15</f>
        <v xml:space="preserve"> Základní údaje // Nápověda</v>
      </c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T4" s="4"/>
    </row>
    <row r="5" spans="1:46" ht="14.4" customHeight="1">
      <c r="AT5" s="4"/>
    </row>
    <row r="6" spans="1:46" ht="14.4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</row>
    <row r="7" spans="1:46" ht="14.4" customHeight="1">
      <c r="A7" s="4"/>
      <c r="B7" s="499" t="str">
        <f>verze!E94</f>
        <v>Formulář pro identifikační údaje</v>
      </c>
      <c r="C7" s="499"/>
      <c r="D7" s="499"/>
      <c r="E7" s="499"/>
      <c r="F7" s="499"/>
      <c r="G7" s="499"/>
      <c r="H7" s="499"/>
      <c r="I7" s="499"/>
      <c r="J7" s="499"/>
      <c r="K7" s="499"/>
      <c r="L7" s="499"/>
      <c r="M7" s="499"/>
      <c r="N7" s="4"/>
      <c r="O7" s="4"/>
      <c r="P7" s="499" t="str">
        <f>verze!E37</f>
        <v xml:space="preserve">Sleva od prodejce [%]: </v>
      </c>
      <c r="Q7" s="499"/>
      <c r="R7" s="499"/>
      <c r="S7" s="499"/>
      <c r="T7" s="499"/>
      <c r="U7" s="499"/>
      <c r="V7" s="499"/>
      <c r="W7" s="499"/>
      <c r="X7" s="87"/>
      <c r="Y7" s="87"/>
      <c r="Z7" s="87"/>
      <c r="AA7" s="499" t="str">
        <f>"      "&amp;verze!E16</f>
        <v xml:space="preserve">       Nápověda</v>
      </c>
      <c r="AB7" s="499"/>
      <c r="AC7" s="499"/>
      <c r="AD7" s="499"/>
      <c r="AE7" s="499"/>
      <c r="AF7" s="499"/>
      <c r="AG7" s="499"/>
      <c r="AH7" s="499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</row>
    <row r="8" spans="1:46" ht="14.4" customHeight="1">
      <c r="A8" s="4"/>
      <c r="B8" s="497" t="str">
        <f>verze!E30</f>
        <v>Odběratel</v>
      </c>
      <c r="C8" s="497"/>
      <c r="D8" s="497"/>
      <c r="E8" s="497"/>
      <c r="F8" s="497"/>
      <c r="G8" s="497"/>
      <c r="H8" s="497"/>
      <c r="I8" s="497"/>
      <c r="J8" s="497"/>
      <c r="K8" s="497"/>
      <c r="L8" s="497"/>
      <c r="M8" s="497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</row>
    <row r="9" spans="1:46" ht="14.4" customHeight="1">
      <c r="A9" s="4"/>
      <c r="B9" s="495"/>
      <c r="C9" s="495"/>
      <c r="D9" s="495"/>
      <c r="E9" s="495"/>
      <c r="F9" s="495"/>
      <c r="G9" s="495"/>
      <c r="H9" s="495"/>
      <c r="I9" s="495"/>
      <c r="J9" s="495"/>
      <c r="K9" s="495"/>
      <c r="L9" s="495"/>
      <c r="M9" s="495"/>
      <c r="N9" s="4"/>
      <c r="O9" s="4"/>
      <c r="P9" s="4"/>
      <c r="Q9" s="4"/>
      <c r="R9" s="4"/>
      <c r="S9" s="4"/>
      <c r="T9" s="496">
        <v>5</v>
      </c>
      <c r="U9" s="496"/>
      <c r="V9" s="496"/>
      <c r="W9" s="4"/>
      <c r="X9" s="4"/>
      <c r="Y9" s="4"/>
      <c r="Z9" s="4"/>
      <c r="AA9" s="213" t="str">
        <f>verze!E99</f>
        <v>Před prvním spuštěním:</v>
      </c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</row>
    <row r="10" spans="1:46" ht="14.4" customHeight="1">
      <c r="A10" s="4"/>
      <c r="B10" s="497" t="str">
        <f>verze!E31</f>
        <v>Adresa</v>
      </c>
      <c r="C10" s="497"/>
      <c r="D10" s="497"/>
      <c r="E10" s="497"/>
      <c r="F10" s="497"/>
      <c r="G10" s="497"/>
      <c r="H10" s="497"/>
      <c r="I10" s="497"/>
      <c r="J10" s="497"/>
      <c r="K10" s="497"/>
      <c r="L10" s="497"/>
      <c r="M10" s="497"/>
      <c r="N10" s="4"/>
      <c r="O10" s="4"/>
      <c r="P10" s="4"/>
      <c r="Q10" s="4"/>
      <c r="R10" s="4"/>
      <c r="S10" s="4"/>
      <c r="T10" s="498"/>
      <c r="U10" s="498"/>
      <c r="V10" s="498"/>
      <c r="W10" s="4"/>
      <c r="X10" s="4"/>
      <c r="Y10" s="4"/>
      <c r="Z10" s="4"/>
      <c r="AA10" s="4" t="str">
        <f>"1. "&amp;verze!$E$100</f>
        <v>1. V levé části obrazovky vyplň identifikační údaje.</v>
      </c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</row>
    <row r="11" spans="1:46" ht="14.4" customHeight="1">
      <c r="A11" s="4"/>
      <c r="B11" s="495"/>
      <c r="C11" s="495"/>
      <c r="D11" s="495"/>
      <c r="E11" s="495"/>
      <c r="F11" s="495"/>
      <c r="G11" s="495"/>
      <c r="H11" s="495"/>
      <c r="I11" s="495"/>
      <c r="J11" s="495"/>
      <c r="K11" s="495"/>
      <c r="L11" s="495"/>
      <c r="M11" s="495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 t="str">
        <f>"2. "&amp;verze!$E$101</f>
        <v>2. Ve střední části vyplň výšku slevy od prodejce.</v>
      </c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</row>
    <row r="12" spans="1:46" ht="14.4" customHeight="1">
      <c r="A12" s="4"/>
      <c r="B12" s="495"/>
      <c r="C12" s="495"/>
      <c r="D12" s="495"/>
      <c r="E12" s="495"/>
      <c r="F12" s="495"/>
      <c r="G12" s="495"/>
      <c r="H12" s="495"/>
      <c r="I12" s="495"/>
      <c r="J12" s="495"/>
      <c r="K12" s="495"/>
      <c r="L12" s="495"/>
      <c r="M12" s="495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 t="str">
        <f>"3. "&amp;verze!$E$102</f>
        <v>3. Vrať se na úvod a soubor ulož nebo zavři s potvzením změn.</v>
      </c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</row>
    <row r="13" spans="1:46" ht="14.4" customHeight="1">
      <c r="A13" s="4"/>
      <c r="B13" s="495"/>
      <c r="C13" s="495"/>
      <c r="D13" s="495"/>
      <c r="E13" s="495"/>
      <c r="F13" s="495"/>
      <c r="G13" s="495"/>
      <c r="H13" s="495"/>
      <c r="I13" s="495"/>
      <c r="J13" s="495"/>
      <c r="K13" s="495"/>
      <c r="L13" s="495"/>
      <c r="M13" s="495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 t="str">
        <f>"    "&amp;verze!$E$103</f>
        <v xml:space="preserve">    Identifikační údaje se budou zobrazovat v hlavičce objednávky.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</row>
    <row r="14" spans="1:46" ht="14.4" customHeight="1">
      <c r="A14" s="4"/>
      <c r="B14" s="497" t="str">
        <f>verze!E33</f>
        <v>Dodací adresa</v>
      </c>
      <c r="C14" s="497"/>
      <c r="D14" s="497"/>
      <c r="E14" s="497"/>
      <c r="F14" s="497"/>
      <c r="G14" s="497"/>
      <c r="H14" s="497"/>
      <c r="I14" s="497"/>
      <c r="J14" s="497"/>
      <c r="K14" s="497"/>
      <c r="L14" s="497"/>
      <c r="M14" s="497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</row>
    <row r="15" spans="1:46" ht="14.4" customHeight="1">
      <c r="A15" s="4"/>
      <c r="B15" s="495"/>
      <c r="C15" s="495"/>
      <c r="D15" s="495"/>
      <c r="E15" s="495"/>
      <c r="F15" s="495"/>
      <c r="G15" s="495"/>
      <c r="H15" s="495"/>
      <c r="I15" s="495"/>
      <c r="J15" s="495"/>
      <c r="K15" s="495"/>
      <c r="L15" s="495"/>
      <c r="M15" s="495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84"/>
      <c r="AS15" s="84"/>
      <c r="AT15" s="65"/>
    </row>
    <row r="16" spans="1:46" ht="14.4" customHeight="1">
      <c r="A16" s="4"/>
      <c r="B16" s="495"/>
      <c r="C16" s="495"/>
      <c r="D16" s="495"/>
      <c r="E16" s="495"/>
      <c r="F16" s="495"/>
      <c r="G16" s="495"/>
      <c r="H16" s="495"/>
      <c r="I16" s="495"/>
      <c r="J16" s="495"/>
      <c r="K16" s="495"/>
      <c r="L16" s="495"/>
      <c r="M16" s="495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</row>
    <row r="17" spans="1:46" ht="14.4" customHeight="1">
      <c r="A17" s="4"/>
      <c r="B17" s="495"/>
      <c r="C17" s="495"/>
      <c r="D17" s="495"/>
      <c r="E17" s="495"/>
      <c r="F17" s="495"/>
      <c r="G17" s="495"/>
      <c r="H17" s="495"/>
      <c r="I17" s="495"/>
      <c r="J17" s="495"/>
      <c r="K17" s="495"/>
      <c r="L17" s="495"/>
      <c r="M17" s="495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213" t="str">
        <f>verze!$E$104</f>
        <v>Na úvodní obrazovce :</v>
      </c>
      <c r="AB17" s="78"/>
      <c r="AC17" s="78"/>
      <c r="AD17" s="78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</row>
    <row r="18" spans="1:46" ht="14.4" customHeight="1">
      <c r="A18" s="4"/>
      <c r="B18" s="497" t="str">
        <f>verze!E34</f>
        <v>IČO</v>
      </c>
      <c r="C18" s="497"/>
      <c r="D18" s="497"/>
      <c r="E18" s="497"/>
      <c r="F18" s="497"/>
      <c r="G18" s="497"/>
      <c r="H18" s="497"/>
      <c r="I18" s="497"/>
      <c r="J18" s="497"/>
      <c r="K18" s="497"/>
      <c r="L18" s="497"/>
      <c r="M18" s="497"/>
      <c r="N18" s="4"/>
      <c r="O18" s="4"/>
      <c r="P18" s="4"/>
      <c r="Q18" s="4"/>
      <c r="R18" s="4"/>
      <c r="S18" s="4"/>
      <c r="T18" s="71"/>
      <c r="U18" s="71"/>
      <c r="V18" s="4"/>
      <c r="W18" s="4"/>
      <c r="X18" s="4"/>
      <c r="Y18" s="4"/>
      <c r="Z18" s="4"/>
      <c r="AA18" s="4" t="str">
        <f>"1. "&amp;verze!$E$111</f>
        <v>1. vyber barvu povrchové úpravy</v>
      </c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</row>
    <row r="19" spans="1:46" ht="14.4" customHeight="1">
      <c r="A19" s="4"/>
      <c r="B19" s="503"/>
      <c r="C19" s="503"/>
      <c r="D19" s="503"/>
      <c r="E19" s="503"/>
      <c r="F19" s="503"/>
      <c r="G19" s="503"/>
      <c r="H19" s="503"/>
      <c r="I19" s="503"/>
      <c r="J19" s="503"/>
      <c r="K19" s="503"/>
      <c r="L19" s="503"/>
      <c r="M19" s="503"/>
      <c r="N19" s="4"/>
      <c r="O19" s="4"/>
      <c r="P19" s="4"/>
      <c r="Q19" s="4"/>
      <c r="R19" s="4"/>
      <c r="S19" s="4"/>
      <c r="T19" s="4"/>
      <c r="U19" s="71"/>
      <c r="V19" s="4"/>
      <c r="W19" s="4"/>
      <c r="X19" s="4"/>
      <c r="Y19" s="4"/>
      <c r="Z19" s="4"/>
      <c r="AA19" s="4" t="str">
        <f>"2. "&amp;verze!$E$112</f>
        <v>2. vyber způsob montáže čelního kování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</row>
    <row r="20" spans="1:46" ht="14.4" customHeight="1">
      <c r="A20" s="4"/>
      <c r="B20" s="497" t="str">
        <f>verze!E35</f>
        <v>DIČ</v>
      </c>
      <c r="C20" s="497"/>
      <c r="D20" s="497"/>
      <c r="E20" s="497"/>
      <c r="F20" s="497"/>
      <c r="G20" s="497"/>
      <c r="H20" s="497"/>
      <c r="I20" s="497"/>
      <c r="J20" s="497"/>
      <c r="K20" s="497"/>
      <c r="L20" s="497"/>
      <c r="M20" s="497"/>
      <c r="N20" s="4"/>
      <c r="O20" s="4"/>
      <c r="P20" s="4"/>
      <c r="Q20" s="4"/>
      <c r="R20" s="4"/>
      <c r="S20" s="4"/>
      <c r="T20" s="4"/>
      <c r="U20" s="63"/>
      <c r="V20" s="4"/>
      <c r="W20" s="4"/>
      <c r="X20" s="4"/>
      <c r="Y20" s="4"/>
      <c r="Z20" s="4"/>
      <c r="AA20" s="4" t="str">
        <f>"3. "&amp;verze!$E$105</f>
        <v>3. vyber, jaké ceny se budou zobrazovat: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</row>
    <row r="21" spans="1:46" ht="14.4" customHeight="1">
      <c r="B21" s="503"/>
      <c r="C21" s="503"/>
      <c r="D21" s="503"/>
      <c r="E21" s="503"/>
      <c r="F21" s="503"/>
      <c r="G21" s="503"/>
      <c r="H21" s="503"/>
      <c r="I21" s="503"/>
      <c r="J21" s="503"/>
      <c r="K21" s="503"/>
      <c r="L21" s="503"/>
      <c r="M21" s="503"/>
      <c r="S21" s="67"/>
      <c r="T21" s="63"/>
      <c r="U21" s="63"/>
      <c r="V21" s="4"/>
      <c r="W21" s="4"/>
      <c r="X21" s="4"/>
      <c r="Y21" s="4"/>
      <c r="Z21" s="4"/>
      <c r="AA21" s="4" t="str">
        <f>"   - "&amp;verze!$E$106</f>
        <v xml:space="preserve">   - základní ceny, tj. ceníkové bez slevy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</row>
    <row r="22" spans="1:46" ht="14.4" customHeight="1">
      <c r="A22" s="4"/>
      <c r="B22" s="497" t="str">
        <f>verze!E36</f>
        <v>Telefon, fax, e-mail</v>
      </c>
      <c r="C22" s="497"/>
      <c r="D22" s="497"/>
      <c r="E22" s="497"/>
      <c r="F22" s="497"/>
      <c r="G22" s="497"/>
      <c r="H22" s="497"/>
      <c r="I22" s="497"/>
      <c r="J22" s="497"/>
      <c r="K22" s="497"/>
      <c r="L22" s="497"/>
      <c r="M22" s="497"/>
      <c r="N22" s="4"/>
      <c r="O22" s="4"/>
      <c r="P22" s="4"/>
      <c r="Q22" s="4"/>
      <c r="R22" s="4"/>
      <c r="S22" s="67"/>
      <c r="T22" s="67"/>
      <c r="U22" s="67"/>
      <c r="V22" s="4"/>
      <c r="W22" s="4"/>
      <c r="X22" s="4"/>
      <c r="Y22" s="4"/>
      <c r="Z22" s="4"/>
      <c r="AA22" s="4" t="str">
        <f>"   - "&amp;verze!$E$107</f>
        <v xml:space="preserve">   - nákupní ceny, tj. ceny se slevou od prodejce</v>
      </c>
      <c r="AB22" s="4"/>
      <c r="AC22" s="4"/>
      <c r="AD22" s="67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85"/>
      <c r="AT22" s="4"/>
    </row>
    <row r="23" spans="1:46" ht="14.4" customHeight="1">
      <c r="A23" s="4"/>
      <c r="B23" s="503"/>
      <c r="C23" s="503"/>
      <c r="D23" s="503"/>
      <c r="E23" s="503"/>
      <c r="F23" s="503"/>
      <c r="G23" s="503"/>
      <c r="H23" s="503"/>
      <c r="I23" s="503"/>
      <c r="J23" s="503"/>
      <c r="K23" s="503"/>
      <c r="L23" s="503"/>
      <c r="M23" s="503"/>
      <c r="N23" s="4"/>
      <c r="O23" s="4"/>
      <c r="P23" s="4"/>
      <c r="Q23" s="4"/>
      <c r="R23" s="4"/>
      <c r="S23" s="67"/>
      <c r="T23" s="67"/>
      <c r="U23" s="67"/>
      <c r="V23" s="4"/>
      <c r="W23" s="4"/>
      <c r="X23" s="4"/>
      <c r="Y23" s="4"/>
      <c r="Z23" s="4"/>
      <c r="AA23" s="4"/>
      <c r="AB23" s="4"/>
      <c r="AC23" s="4"/>
      <c r="AD23" s="67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</row>
    <row r="24" spans="1:46" ht="14.4" customHeight="1">
      <c r="A24" s="4"/>
      <c r="B24" s="503"/>
      <c r="C24" s="503"/>
      <c r="D24" s="503"/>
      <c r="E24" s="503"/>
      <c r="F24" s="503"/>
      <c r="G24" s="503"/>
      <c r="H24" s="503"/>
      <c r="I24" s="503"/>
      <c r="J24" s="503"/>
      <c r="K24" s="503"/>
      <c r="L24" s="503"/>
      <c r="M24" s="503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 t="str">
        <f>verze!$E$110</f>
        <v>Zadáte-li slevu s mínusovým znamínkem, zobrazí se ceny o tuto hodnotu vyšší.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</row>
    <row r="25" spans="1:46" ht="14.4" customHeight="1">
      <c r="A25" s="4"/>
      <c r="B25" s="503"/>
      <c r="C25" s="503"/>
      <c r="D25" s="503"/>
      <c r="E25" s="503"/>
      <c r="F25" s="503"/>
      <c r="G25" s="503"/>
      <c r="H25" s="503"/>
      <c r="I25" s="503"/>
      <c r="J25" s="503"/>
      <c r="K25" s="503"/>
      <c r="L25" s="503"/>
      <c r="M25" s="503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</row>
    <row r="26" spans="1:46" ht="14.4" customHeight="1">
      <c r="A26" s="4"/>
      <c r="B26" s="26"/>
      <c r="C26" s="26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</row>
    <row r="27" spans="1:46" ht="14.4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</row>
    <row r="28" spans="1:46" ht="14.4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</row>
    <row r="29" spans="1:46" ht="14.4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</row>
    <row r="30" spans="1:46" ht="14.4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</row>
    <row r="31" spans="1:46"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</row>
  </sheetData>
  <sheetProtection password="DD97" sheet="1"/>
  <mergeCells count="30">
    <mergeCell ref="B24:M24"/>
    <mergeCell ref="B25:M25"/>
    <mergeCell ref="B14:M14"/>
    <mergeCell ref="B18:M18"/>
    <mergeCell ref="B22:M22"/>
    <mergeCell ref="B20:M20"/>
    <mergeCell ref="B21:M21"/>
    <mergeCell ref="B23:M23"/>
    <mergeCell ref="B19:M19"/>
    <mergeCell ref="B16:M16"/>
    <mergeCell ref="B17:M17"/>
    <mergeCell ref="AA7:AH7"/>
    <mergeCell ref="B7:M7"/>
    <mergeCell ref="B8:M8"/>
    <mergeCell ref="AO2:AR2"/>
    <mergeCell ref="P7:W7"/>
    <mergeCell ref="B2:E2"/>
    <mergeCell ref="G2:K2"/>
    <mergeCell ref="O2:S2"/>
    <mergeCell ref="AA2:AE2"/>
    <mergeCell ref="AI2:AM2"/>
    <mergeCell ref="B12:M12"/>
    <mergeCell ref="B13:M13"/>
    <mergeCell ref="B15:M15"/>
    <mergeCell ref="T9:V9"/>
    <mergeCell ref="U2:Y2"/>
    <mergeCell ref="B9:M9"/>
    <mergeCell ref="B10:M10"/>
    <mergeCell ref="B11:M11"/>
    <mergeCell ref="T10:V10"/>
  </mergeCells>
  <conditionalFormatting sqref="T18:U18 U19">
    <cfRule type="expression" dxfId="1000" priority="4" stopIfTrue="1">
      <formula>#REF!=1</formula>
    </cfRule>
  </conditionalFormatting>
  <hyperlinks>
    <hyperlink ref="B2:E2" location="FORM!A1" display="späť" xr:uid="{00000000-0004-0000-0000-000000000000}"/>
    <hyperlink ref="G2:K2" location="FORM!A1" display="Úvod" xr:uid="{00000000-0004-0000-0000-000001000000}"/>
  </hyperlinks>
  <pageMargins left="0.19685039370078741" right="0.19685039370078741" top="0.19685039370078741" bottom="0.19685039370078741" header="0.31496062992125984" footer="0.31496062992125984"/>
  <pageSetup paperSize="9" orientation="landscape" r:id="rId1"/>
  <headerFooter>
    <oddHeader>&amp;R&amp;"Aptos"&amp;10&amp;K000000 Restricted&amp;1#_x000D_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/>
  <dimension ref="A1:BP56"/>
  <sheetViews>
    <sheetView showGridLines="0" showRowColHeaders="0" tabSelected="1" zoomScale="95" zoomScaleNormal="95" workbookViewId="0">
      <selection activeCell="AO2" sqref="AO2:AR2"/>
    </sheetView>
  </sheetViews>
  <sheetFormatPr defaultColWidth="9" defaultRowHeight="13.8"/>
  <cols>
    <col min="1" max="1" width="3.59765625" style="86" customWidth="1"/>
    <col min="2" max="44" width="3.09765625" style="86" customWidth="1"/>
    <col min="45" max="45" width="3.59765625" style="86" customWidth="1"/>
    <col min="46" max="48" width="9" style="86" hidden="1" customWidth="1"/>
    <col min="49" max="49" width="17.5" style="86" hidden="1" customWidth="1"/>
    <col min="50" max="51" width="9" style="86" hidden="1" customWidth="1"/>
    <col min="52" max="54" width="9" style="86" customWidth="1"/>
    <col min="55" max="16384" width="9" style="86"/>
  </cols>
  <sheetData>
    <row r="1" spans="1:68" ht="12.9" customHeight="1" thickBot="1">
      <c r="AT1" s="282"/>
      <c r="AU1" s="282"/>
      <c r="AV1" s="282"/>
      <c r="AW1" s="282"/>
      <c r="AX1" s="282"/>
      <c r="AY1" s="282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</row>
    <row r="2" spans="1:68" ht="23.1" customHeight="1" thickBot="1">
      <c r="B2" s="475" t="str">
        <f>verze!E13</f>
        <v>&lt;&lt;  zpět</v>
      </c>
      <c r="C2" s="476"/>
      <c r="D2" s="476"/>
      <c r="E2" s="477"/>
      <c r="G2" s="478" t="str">
        <f>verze!E6</f>
        <v xml:space="preserve"> Úvod</v>
      </c>
      <c r="H2" s="479"/>
      <c r="I2" s="479"/>
      <c r="J2" s="479"/>
      <c r="K2" s="480"/>
      <c r="O2" s="481" t="str">
        <f>verze!E7</f>
        <v xml:space="preserve"> Výběr zásuvek</v>
      </c>
      <c r="P2" s="482"/>
      <c r="Q2" s="482"/>
      <c r="R2" s="482"/>
      <c r="S2" s="483"/>
      <c r="U2" s="481" t="str">
        <f>verze!E8</f>
        <v xml:space="preserve"> </v>
      </c>
      <c r="V2" s="482"/>
      <c r="W2" s="482"/>
      <c r="X2" s="482"/>
      <c r="Y2" s="483"/>
      <c r="AA2" s="478" t="str">
        <f>verze!E9</f>
        <v xml:space="preserve"> </v>
      </c>
      <c r="AB2" s="479"/>
      <c r="AC2" s="479"/>
      <c r="AD2" s="479"/>
      <c r="AE2" s="480"/>
      <c r="AI2" s="481" t="str">
        <f>verze!E10</f>
        <v xml:space="preserve"> Objednávka</v>
      </c>
      <c r="AJ2" s="482"/>
      <c r="AK2" s="482"/>
      <c r="AL2" s="482"/>
      <c r="AM2" s="483"/>
      <c r="AO2" s="484" t="str">
        <f>verze!E14</f>
        <v>vpřed  &gt;&gt;</v>
      </c>
      <c r="AP2" s="485"/>
      <c r="AQ2" s="485"/>
      <c r="AR2" s="486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</row>
    <row r="3" spans="1:68" ht="12.9" customHeight="1" thickBot="1">
      <c r="AT3" s="4"/>
      <c r="AU3" s="4"/>
      <c r="AV3" s="4"/>
      <c r="AW3" s="4"/>
      <c r="AX3" s="4"/>
      <c r="AY3" s="4"/>
      <c r="AZ3" s="4"/>
      <c r="BA3" s="6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</row>
    <row r="4" spans="1:68" ht="23.1" customHeight="1" thickBot="1">
      <c r="A4" s="89"/>
      <c r="B4" s="90" t="s">
        <v>405</v>
      </c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472" t="str">
        <f>verze!E15</f>
        <v xml:space="preserve"> Základní údaje // Nápověda</v>
      </c>
      <c r="AJ4" s="473"/>
      <c r="AK4" s="473"/>
      <c r="AL4" s="473"/>
      <c r="AM4" s="473"/>
      <c r="AN4" s="473"/>
      <c r="AO4" s="473"/>
      <c r="AP4" s="473"/>
      <c r="AQ4" s="473"/>
      <c r="AR4" s="474"/>
      <c r="AS4" s="89"/>
      <c r="AT4" s="4"/>
      <c r="AU4" s="4" t="str">
        <f>verze!E55</f>
        <v>Vybrané</v>
      </c>
      <c r="AV4" s="4"/>
      <c r="AW4" s="4"/>
      <c r="AX4" s="4"/>
      <c r="AY4" s="4"/>
      <c r="AZ4" s="4"/>
      <c r="BA4" s="6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</row>
    <row r="5" spans="1:68" ht="14.4" customHeight="1"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</row>
    <row r="6" spans="1:68" ht="14.4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 t="str">
        <f>verze!E61</f>
        <v>stříbrná</v>
      </c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</row>
    <row r="7" spans="1:68" ht="14.4" customHeight="1" thickBot="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 t="str">
        <f>verze!E56</f>
        <v>barva:</v>
      </c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 t="str">
        <f>verze!E57</f>
        <v>čelní kování:</v>
      </c>
      <c r="AN7" s="4"/>
      <c r="AO7" s="4"/>
      <c r="AP7" s="4"/>
      <c r="AQ7" s="4"/>
      <c r="AR7" s="4"/>
      <c r="AS7" s="4"/>
      <c r="AT7" s="4"/>
      <c r="AU7" s="4" t="str">
        <f>verze!E62</f>
        <v>bílá</v>
      </c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</row>
    <row r="8" spans="1:68" ht="14.4" customHeight="1" thickBo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69" t="s">
        <v>69</v>
      </c>
      <c r="V8" s="470"/>
      <c r="W8" s="470"/>
      <c r="X8" s="470"/>
      <c r="Y8" s="470"/>
      <c r="Z8" s="471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69" t="s">
        <v>59</v>
      </c>
      <c r="AN8" s="470"/>
      <c r="AO8" s="470"/>
      <c r="AP8" s="470"/>
      <c r="AQ8" s="470"/>
      <c r="AR8" s="471"/>
      <c r="AS8" s="4"/>
      <c r="AT8" s="4"/>
      <c r="AU8" s="4" t="str">
        <f>verze!E63</f>
        <v>antracit</v>
      </c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</row>
    <row r="9" spans="1:68" ht="14.4" customHeight="1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</row>
    <row r="10" spans="1:68" ht="14.4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 t="str">
        <f>verze!E67</f>
        <v>na vruty</v>
      </c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</row>
    <row r="11" spans="1:68" ht="14.4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 t="str">
        <f>verze!E68</f>
        <v>s rozpěrnými pouzdry</v>
      </c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</row>
    <row r="12" spans="1:68" ht="14.4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7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</row>
    <row r="13" spans="1:68" ht="14.4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 t="str">
        <f>verze!E26</f>
        <v>flexibilní sety</v>
      </c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</row>
    <row r="14" spans="1:68" ht="14.4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88" t="str">
        <f>IF(U8=AU6,AU4,"")</f>
        <v>Vybrané</v>
      </c>
      <c r="V14" s="4"/>
      <c r="W14" s="4"/>
      <c r="X14" s="4"/>
      <c r="Y14" s="88" t="str">
        <f>IF(U8=AU7,AU4,"")</f>
        <v/>
      </c>
      <c r="Z14" s="4"/>
      <c r="AA14" s="4"/>
      <c r="AB14" s="4"/>
      <c r="AC14" s="88" t="str">
        <f>IF(U8=AU8,AU4,"")</f>
        <v/>
      </c>
      <c r="AD14" s="4"/>
      <c r="AE14" s="4"/>
      <c r="AF14" s="4"/>
      <c r="AG14" s="4"/>
      <c r="AH14" s="4"/>
      <c r="AI14" s="4"/>
      <c r="AJ14" s="4"/>
      <c r="AK14" s="4"/>
      <c r="AL14" s="88" t="str">
        <f>IF(AM8=AU10,AU4,"")</f>
        <v>Vybrané</v>
      </c>
      <c r="AM14" s="88"/>
      <c r="AN14" s="4"/>
      <c r="AO14" s="4"/>
      <c r="AP14" s="88" t="str">
        <f>IF(AM8=AU11,AU4,"")</f>
        <v/>
      </c>
      <c r="AQ14" s="4"/>
      <c r="AR14" s="4"/>
      <c r="AS14" s="4"/>
      <c r="AT14" s="4"/>
      <c r="AU14" s="4" t="str">
        <f>verze!E27</f>
        <v>velkobalení</v>
      </c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</row>
    <row r="15" spans="1:68" ht="14.4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84"/>
      <c r="AQ15" s="84"/>
      <c r="AR15" s="84"/>
      <c r="AS15" s="8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</row>
    <row r="16" spans="1:68" ht="14.4" customHeigh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88"/>
      <c r="AM16" s="88"/>
      <c r="AN16" s="4"/>
      <c r="AO16" s="4"/>
      <c r="AP16" s="88"/>
      <c r="AQ16" s="88"/>
      <c r="AR16" s="4"/>
      <c r="AS16" s="4"/>
      <c r="AT16" s="4"/>
      <c r="AU16" s="4" t="str">
        <f>verze!E71</f>
        <v>v barvě bočnice</v>
      </c>
      <c r="AV16" s="4"/>
      <c r="AW16" s="4" t="str">
        <f>verze!E77</f>
        <v>žádná</v>
      </c>
      <c r="AX16" s="6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</row>
    <row r="17" spans="1:68" ht="14.4" customHeight="1" thickBo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 t="str">
        <f>verze!E25</f>
        <v>způsob balení:</v>
      </c>
      <c r="V17" s="4"/>
      <c r="W17" s="4"/>
      <c r="X17" s="4"/>
      <c r="Y17" s="4"/>
      <c r="Z17" s="4"/>
      <c r="AA17" s="78"/>
      <c r="AB17" s="78"/>
      <c r="AC17" s="78"/>
      <c r="AD17" s="78"/>
      <c r="AE17" s="4"/>
      <c r="AF17" s="4"/>
      <c r="AG17" s="4"/>
      <c r="AH17" s="4"/>
      <c r="AI17" s="4"/>
      <c r="AJ17" s="4"/>
      <c r="AK17" s="4"/>
      <c r="AL17" s="4"/>
      <c r="AM17" s="4" t="str">
        <f>verze!E70</f>
        <v>dekorativní profil:</v>
      </c>
      <c r="AN17" s="4"/>
      <c r="AO17" s="4"/>
      <c r="AP17" s="4"/>
      <c r="AQ17" s="4"/>
      <c r="AR17" s="4"/>
      <c r="AS17" s="4"/>
      <c r="AT17" s="4"/>
      <c r="AU17" s="4" t="str">
        <f>verze!E73</f>
        <v>nerez</v>
      </c>
      <c r="AV17" s="4"/>
      <c r="AW17" s="4" t="str">
        <f>verze!E78</f>
        <v>stříbrná s logem</v>
      </c>
      <c r="AX17" s="24">
        <v>9257703</v>
      </c>
      <c r="AY17" s="2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</row>
    <row r="18" spans="1:68" ht="14.4" customHeight="1" thickBo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71"/>
      <c r="U18" s="469" t="s">
        <v>130</v>
      </c>
      <c r="V18" s="470"/>
      <c r="W18" s="470"/>
      <c r="X18" s="470"/>
      <c r="Y18" s="470"/>
      <c r="Z18" s="471"/>
      <c r="AA18" s="78"/>
      <c r="AB18" s="78"/>
      <c r="AC18" s="78"/>
      <c r="AD18" s="78"/>
      <c r="AE18" s="4"/>
      <c r="AF18" s="4"/>
      <c r="AG18" s="4"/>
      <c r="AH18" s="4"/>
      <c r="AI18" s="4"/>
      <c r="AJ18" s="4"/>
      <c r="AK18" s="4"/>
      <c r="AL18" s="4"/>
      <c r="AM18" s="469" t="s">
        <v>319</v>
      </c>
      <c r="AN18" s="470"/>
      <c r="AO18" s="470"/>
      <c r="AP18" s="470"/>
      <c r="AQ18" s="470"/>
      <c r="AR18" s="471"/>
      <c r="AS18" s="4"/>
      <c r="AT18" s="4"/>
      <c r="AU18" s="4" t="str">
        <f>verze!E72</f>
        <v>hliník</v>
      </c>
      <c r="AV18" s="4"/>
      <c r="AW18" s="4" t="str">
        <f>verze!E79</f>
        <v>stříbrná bez loga</v>
      </c>
      <c r="AX18" s="24">
        <v>9270185</v>
      </c>
      <c r="AY18" s="2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</row>
    <row r="19" spans="1:68" ht="14.4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78"/>
      <c r="AB19" s="78"/>
      <c r="AC19" s="78"/>
      <c r="AD19" s="78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 t="str">
        <f>verze!E65</f>
        <v>chrom</v>
      </c>
      <c r="AV19" s="4"/>
      <c r="AW19" s="4" t="str">
        <f>verze!E80</f>
        <v>bílá s logem</v>
      </c>
      <c r="AX19" s="24">
        <v>9257704</v>
      </c>
      <c r="AY19" s="2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</row>
    <row r="20" spans="1:68" ht="14.4" customHeight="1" thickBo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78"/>
      <c r="AB20" s="78"/>
      <c r="AC20" s="78"/>
      <c r="AD20" s="78"/>
      <c r="AE20" s="4"/>
      <c r="AF20" s="4"/>
      <c r="AG20" s="4"/>
      <c r="AH20" s="4"/>
      <c r="AI20" s="4"/>
      <c r="AJ20" s="4"/>
      <c r="AK20" s="4"/>
      <c r="AL20" s="4"/>
      <c r="AM20" s="4" t="str">
        <f>verze!E76</f>
        <v>krytka:</v>
      </c>
      <c r="AN20" s="4"/>
      <c r="AO20" s="4"/>
      <c r="AP20" s="4"/>
      <c r="AQ20" s="4"/>
      <c r="AR20" s="4"/>
      <c r="AS20" s="4"/>
      <c r="AT20" s="4"/>
      <c r="AU20" s="4" t="str">
        <f>verze!E74</f>
        <v>dub</v>
      </c>
      <c r="AV20" s="4"/>
      <c r="AW20" s="4" t="str">
        <f>verze!E81</f>
        <v>bílá bez loga</v>
      </c>
      <c r="AX20" s="24">
        <v>9270186</v>
      </c>
      <c r="AY20" s="2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</row>
    <row r="21" spans="1:68" ht="14.4" customHeight="1" thickBot="1">
      <c r="S21" s="67"/>
      <c r="T21" s="63"/>
      <c r="U21" s="4"/>
      <c r="V21" s="4"/>
      <c r="W21" s="4"/>
      <c r="X21" s="4"/>
      <c r="Y21" s="4"/>
      <c r="Z21" s="4"/>
      <c r="AA21" s="78"/>
      <c r="AB21" s="78"/>
      <c r="AC21" s="78"/>
      <c r="AD21" s="78"/>
      <c r="AE21" s="4"/>
      <c r="AF21" s="4"/>
      <c r="AG21" s="4"/>
      <c r="AH21" s="4"/>
      <c r="AI21" s="4"/>
      <c r="AJ21" s="4"/>
      <c r="AK21" s="4"/>
      <c r="AL21" s="4"/>
      <c r="AM21" s="469" t="s">
        <v>409</v>
      </c>
      <c r="AN21" s="470"/>
      <c r="AO21" s="470"/>
      <c r="AP21" s="470"/>
      <c r="AQ21" s="470"/>
      <c r="AR21" s="471"/>
      <c r="AS21" s="4"/>
      <c r="AT21" s="4"/>
      <c r="AU21" s="4" t="str">
        <f>verze!E75</f>
        <v>ořech</v>
      </c>
      <c r="AV21" s="4"/>
      <c r="AW21" s="4" t="str">
        <f>verze!E82</f>
        <v>antracitová s logem</v>
      </c>
      <c r="AX21" s="24">
        <v>9257705</v>
      </c>
      <c r="AY21" s="2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</row>
    <row r="22" spans="1:68" ht="14.4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67"/>
      <c r="T22" s="67"/>
      <c r="U22" s="4"/>
      <c r="V22" s="4"/>
      <c r="W22" s="4"/>
      <c r="X22" s="4"/>
      <c r="Y22" s="4"/>
      <c r="Z22" s="4"/>
      <c r="AA22" s="78"/>
      <c r="AB22" s="78"/>
      <c r="AC22" s="78"/>
      <c r="AD22" s="78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 t="str">
        <f>verze!E83</f>
        <v>antracitová bez loga</v>
      </c>
      <c r="AX22" s="24">
        <v>9270187</v>
      </c>
      <c r="AY22" s="2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</row>
    <row r="23" spans="1:68" ht="14.4" customHeight="1" thickBo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67"/>
      <c r="T23" s="67"/>
      <c r="U23" s="4"/>
      <c r="V23" s="88"/>
      <c r="W23" s="88" t="str">
        <f>IF(U18=AU13,AU4,"")</f>
        <v>Vybrané</v>
      </c>
      <c r="X23" s="4"/>
      <c r="Y23" s="4"/>
      <c r="Z23" s="4"/>
      <c r="AA23" s="78"/>
      <c r="AB23" s="78"/>
      <c r="AC23" s="78"/>
      <c r="AD23" s="88"/>
      <c r="AE23" s="88" t="str">
        <f>IF(U18=AU14,AU4,"")</f>
        <v/>
      </c>
      <c r="AF23" s="4"/>
      <c r="AG23" s="4"/>
      <c r="AH23" s="4"/>
      <c r="AI23" s="4"/>
      <c r="AJ23" s="4"/>
      <c r="AK23" s="4"/>
      <c r="AL23" s="4"/>
      <c r="AM23" s="4" t="str">
        <f>verze!E84</f>
        <v>tloušťka boku skřínky:</v>
      </c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</row>
    <row r="24" spans="1:68" ht="14.4" customHeight="1" thickBo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78"/>
      <c r="AB24" s="78"/>
      <c r="AC24" s="78"/>
      <c r="AD24" s="78"/>
      <c r="AE24" s="4"/>
      <c r="AF24" s="4"/>
      <c r="AG24" s="4"/>
      <c r="AH24" s="4"/>
      <c r="AI24" s="4"/>
      <c r="AJ24" s="4"/>
      <c r="AK24" s="4"/>
      <c r="AL24" s="4"/>
      <c r="AM24" s="492">
        <v>18</v>
      </c>
      <c r="AN24" s="493"/>
      <c r="AO24" s="493"/>
      <c r="AP24" s="493"/>
      <c r="AQ24" s="493"/>
      <c r="AR24" s="494"/>
      <c r="AS24" s="4"/>
      <c r="AT24" s="4"/>
      <c r="AU24" s="4">
        <v>16</v>
      </c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</row>
    <row r="25" spans="1:68" ht="14.4" customHeight="1">
      <c r="A25" s="4"/>
      <c r="B25" s="4" t="str">
        <f>" "&amp;verze!E29</f>
        <v xml:space="preserve"> Prodejce:</v>
      </c>
      <c r="C25" s="61"/>
      <c r="D25" s="61"/>
      <c r="E25" s="61"/>
      <c r="F25" s="61"/>
      <c r="G25" s="61"/>
      <c r="H25" s="61"/>
      <c r="I25" s="61"/>
      <c r="J25" s="61"/>
      <c r="K25" s="61"/>
      <c r="L25" s="4"/>
      <c r="M25" s="4"/>
      <c r="N25" s="4"/>
      <c r="O25" s="4"/>
      <c r="P25" s="4"/>
      <c r="Q25" s="4"/>
      <c r="R25" s="4"/>
      <c r="S25" s="4"/>
      <c r="T25" s="4"/>
      <c r="U25" s="71"/>
      <c r="V25" s="71"/>
      <c r="W25" s="71"/>
      <c r="X25" s="71"/>
      <c r="Y25" s="71"/>
      <c r="Z25" s="71"/>
      <c r="AA25" s="71"/>
      <c r="AB25" s="71"/>
      <c r="AC25" s="71"/>
      <c r="AD25" s="71"/>
      <c r="AE25" s="4"/>
      <c r="AF25" s="70"/>
      <c r="AG25" s="70"/>
      <c r="AH25" s="70"/>
      <c r="AI25" s="70"/>
      <c r="AJ25" s="70"/>
      <c r="AK25" s="70"/>
      <c r="AL25" s="70"/>
      <c r="AM25" s="70"/>
      <c r="AN25" s="4"/>
      <c r="AO25" s="4"/>
      <c r="AP25" s="4"/>
      <c r="AQ25" s="4"/>
      <c r="AR25" s="4"/>
      <c r="AS25" s="4"/>
      <c r="AT25" s="4"/>
      <c r="AU25" s="4">
        <v>18</v>
      </c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</row>
    <row r="26" spans="1:68" ht="14.4" customHeight="1">
      <c r="A26" s="4"/>
      <c r="B26" s="491" t="str">
        <f>" "&amp;CENY!C3</f>
        <v xml:space="preserve"> Hettich ČR k.s.</v>
      </c>
      <c r="C26" s="491"/>
      <c r="D26" s="491"/>
      <c r="E26" s="491"/>
      <c r="F26" s="491"/>
      <c r="G26" s="491"/>
      <c r="H26" s="491"/>
      <c r="I26" s="491"/>
      <c r="J26" s="491"/>
      <c r="K26" s="491"/>
      <c r="L26" s="4"/>
      <c r="M26" s="4"/>
      <c r="N26" s="4"/>
      <c r="O26" s="4"/>
      <c r="P26" s="4"/>
      <c r="Q26" s="4"/>
      <c r="R26" s="4"/>
      <c r="S26" s="4"/>
      <c r="T26" s="4"/>
      <c r="U26" s="71"/>
      <c r="V26" s="71"/>
      <c r="W26" s="71"/>
      <c r="X26" s="71"/>
      <c r="Y26" s="71"/>
      <c r="Z26" s="71"/>
      <c r="AA26" s="71"/>
      <c r="AB26" s="71"/>
      <c r="AC26" s="71"/>
      <c r="AD26" s="71"/>
      <c r="AE26" s="4"/>
      <c r="AF26" s="70"/>
      <c r="AG26" s="70"/>
      <c r="AH26" s="70"/>
      <c r="AI26" s="70"/>
      <c r="AJ26" s="70"/>
      <c r="AK26" s="70"/>
      <c r="AL26" s="70"/>
      <c r="AM26" s="70"/>
      <c r="AN26" s="4"/>
      <c r="AO26" s="4"/>
      <c r="AP26" s="4"/>
      <c r="AQ26" s="4"/>
      <c r="AR26" s="4"/>
      <c r="AS26" s="85"/>
      <c r="AT26" s="4"/>
      <c r="AU26" s="4">
        <v>19</v>
      </c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</row>
    <row r="27" spans="1:68" ht="14.4" customHeight="1" thickBot="1">
      <c r="A27" s="4"/>
      <c r="B27" s="487" t="str">
        <f>" "&amp;CENY!C4</f>
        <v xml:space="preserve"> Jihlavská 3</v>
      </c>
      <c r="C27" s="487"/>
      <c r="D27" s="487"/>
      <c r="E27" s="487"/>
      <c r="F27" s="487"/>
      <c r="G27" s="487"/>
      <c r="H27" s="487"/>
      <c r="I27" s="487"/>
      <c r="J27" s="487"/>
      <c r="K27" s="487"/>
      <c r="L27" s="4"/>
      <c r="M27" s="4"/>
      <c r="N27" s="4"/>
      <c r="O27" s="4"/>
      <c r="P27" s="4"/>
      <c r="Q27" s="4"/>
      <c r="R27" s="4"/>
      <c r="S27" s="4"/>
      <c r="T27" s="4"/>
      <c r="U27" s="63" t="str">
        <f>verze!E58</f>
        <v>Cenová hladina:</v>
      </c>
      <c r="V27" s="4"/>
      <c r="W27" s="4"/>
      <c r="X27" s="4"/>
      <c r="Y27" s="4"/>
      <c r="Z27" s="4"/>
      <c r="AA27" s="78"/>
      <c r="AB27" s="78"/>
      <c r="AC27" s="78"/>
      <c r="AD27" s="78"/>
      <c r="AE27" s="4"/>
      <c r="AF27" s="70"/>
      <c r="AG27" s="70"/>
      <c r="AH27" s="70"/>
      <c r="AI27" s="70"/>
      <c r="AJ27" s="70"/>
      <c r="AK27" s="70"/>
      <c r="AL27" s="70"/>
      <c r="AM27" s="70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</row>
    <row r="28" spans="1:68" ht="14.4" customHeight="1" thickBot="1">
      <c r="A28" s="4"/>
      <c r="B28" s="487" t="str">
        <f>" "&amp;CENY!C5</f>
        <v xml:space="preserve"> 591 01  Žďár nad Sázavou</v>
      </c>
      <c r="C28" s="487"/>
      <c r="D28" s="487"/>
      <c r="E28" s="487"/>
      <c r="F28" s="487"/>
      <c r="G28" s="487"/>
      <c r="H28" s="487"/>
      <c r="I28" s="487"/>
      <c r="J28" s="487"/>
      <c r="K28" s="487"/>
      <c r="L28" s="4"/>
      <c r="M28" s="4"/>
      <c r="N28" s="4"/>
      <c r="O28" s="4"/>
      <c r="P28" s="4"/>
      <c r="Q28" s="4"/>
      <c r="R28" s="4"/>
      <c r="S28" s="4"/>
      <c r="T28" s="4"/>
      <c r="U28" s="469" t="s">
        <v>87</v>
      </c>
      <c r="V28" s="470"/>
      <c r="W28" s="470"/>
      <c r="X28" s="470"/>
      <c r="Y28" s="470"/>
      <c r="Z28" s="471"/>
      <c r="AA28" s="4"/>
      <c r="AB28" s="4"/>
      <c r="AC28" s="4"/>
      <c r="AD28" s="5" t="str">
        <f>verze!E59&amp;" "</f>
        <v xml:space="preserve">Sleva % </v>
      </c>
      <c r="AE28" s="488">
        <f>IF(U28=AU30,0,IF(U28=AU31,Napoveda!T9,IF(U28=AU36,Napoveda!T10,1/0)))</f>
        <v>0</v>
      </c>
      <c r="AF28" s="490"/>
      <c r="AG28" s="4"/>
      <c r="AH28" s="4"/>
      <c r="AI28" s="4"/>
      <c r="AJ28" s="4"/>
      <c r="AK28" s="4"/>
      <c r="AL28" s="4"/>
      <c r="AM28" s="4"/>
      <c r="AN28" s="4"/>
      <c r="AO28" s="5" t="str">
        <f>verze!E51&amp;" "</f>
        <v xml:space="preserve">Verze  </v>
      </c>
      <c r="AP28" s="488" t="str">
        <f>verze!E52</f>
        <v>2.0.0</v>
      </c>
      <c r="AQ28" s="489"/>
      <c r="AR28" s="490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</row>
    <row r="29" spans="1:68" ht="14.4" customHeight="1">
      <c r="A29" s="4"/>
      <c r="B29" s="487" t="str">
        <f>" "&amp;CENY!C6</f>
        <v xml:space="preserve"> tel. (+421) 032 65 83 885</v>
      </c>
      <c r="C29" s="487"/>
      <c r="D29" s="487"/>
      <c r="E29" s="487"/>
      <c r="F29" s="487"/>
      <c r="G29" s="487"/>
      <c r="H29" s="487"/>
      <c r="I29" s="487"/>
      <c r="J29" s="487"/>
      <c r="K29" s="487"/>
      <c r="L29" s="4"/>
      <c r="M29" s="4"/>
      <c r="N29" s="4"/>
      <c r="O29" s="4"/>
      <c r="P29" s="4"/>
      <c r="Q29" s="4"/>
      <c r="R29" s="4"/>
      <c r="S29" s="4"/>
      <c r="T29" s="4"/>
      <c r="U29" s="63"/>
      <c r="V29" s="63"/>
      <c r="W29" s="63"/>
      <c r="X29" s="63"/>
      <c r="Y29" s="63"/>
      <c r="Z29" s="63"/>
      <c r="AA29" s="63"/>
      <c r="AB29" s="63"/>
      <c r="AC29" s="63"/>
      <c r="AD29" s="63"/>
      <c r="AE29" s="63"/>
      <c r="AF29" s="63"/>
      <c r="AG29" s="63"/>
      <c r="AH29" s="63"/>
      <c r="AI29" s="63"/>
      <c r="AJ29" s="63"/>
      <c r="AK29" s="63"/>
      <c r="AL29" s="63"/>
      <c r="AM29" s="63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</row>
    <row r="30" spans="1:68" ht="14.4" customHeight="1">
      <c r="A30" s="4"/>
      <c r="B30" s="487" t="str">
        <f>" "&amp;CENY!C7</f>
        <v xml:space="preserve"> fax (+420) 032 65 83 884</v>
      </c>
      <c r="C30" s="487"/>
      <c r="D30" s="487"/>
      <c r="E30" s="487"/>
      <c r="F30" s="487"/>
      <c r="G30" s="487"/>
      <c r="H30" s="487"/>
      <c r="I30" s="487"/>
      <c r="J30" s="487"/>
      <c r="K30" s="487"/>
      <c r="L30" s="4"/>
      <c r="M30" s="4"/>
      <c r="N30" s="4"/>
      <c r="O30" s="4"/>
      <c r="P30" s="4"/>
      <c r="Q30" s="4"/>
      <c r="R30" s="4"/>
      <c r="S30" s="4"/>
      <c r="T30" s="4"/>
      <c r="U30" s="67"/>
      <c r="V30" s="67"/>
      <c r="W30" s="67"/>
      <c r="X30" s="67"/>
      <c r="Y30" s="67"/>
      <c r="Z30" s="67"/>
      <c r="AA30" s="78"/>
      <c r="AB30" s="78"/>
      <c r="AC30" s="78"/>
      <c r="AD30" s="78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85"/>
      <c r="AR30" s="85"/>
      <c r="AS30" s="4"/>
      <c r="AT30" s="4"/>
      <c r="AU30" s="4" t="str">
        <f>verze!E86</f>
        <v>Základní ceny</v>
      </c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</row>
    <row r="31" spans="1:68" ht="14.4" customHeight="1">
      <c r="A31" s="4"/>
      <c r="B31" s="487" t="str">
        <f>" "&amp;CENY!C8</f>
        <v xml:space="preserve"> hcr-objednavkysr@hettich.com</v>
      </c>
      <c r="C31" s="487"/>
      <c r="D31" s="487"/>
      <c r="E31" s="487"/>
      <c r="F31" s="487"/>
      <c r="G31" s="487"/>
      <c r="H31" s="487"/>
      <c r="I31" s="487"/>
      <c r="J31" s="487"/>
      <c r="K31" s="487"/>
      <c r="L31" s="4"/>
      <c r="M31" s="4"/>
      <c r="N31" s="4"/>
      <c r="O31" s="4"/>
      <c r="P31" s="4"/>
      <c r="Q31" s="4"/>
      <c r="R31" s="4"/>
      <c r="S31" s="4"/>
      <c r="T31" s="4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 t="str">
        <f>verze!E87</f>
        <v>Nákupní ceny</v>
      </c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</row>
    <row r="32" spans="1:68" ht="14.4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</row>
    <row r="33" spans="1:68" ht="14.4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</row>
    <row r="34" spans="1:68" ht="17.399999999999999"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65"/>
      <c r="AU34" s="4"/>
      <c r="AV34" s="4"/>
      <c r="AW34" s="4"/>
      <c r="AX34" s="4"/>
      <c r="AY34" s="4"/>
    </row>
    <row r="35" spans="1:68"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</row>
    <row r="36" spans="1:68"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 t="str">
        <f>verze!E88</f>
        <v>S volitelnou slevou</v>
      </c>
      <c r="AW36" s="4"/>
      <c r="AX36" s="4"/>
      <c r="AY36" s="4"/>
    </row>
    <row r="37" spans="1:68"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</row>
    <row r="38" spans="1:68"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T38" s="4"/>
      <c r="AU38" s="4"/>
      <c r="AV38" s="4"/>
      <c r="AW38" s="4"/>
      <c r="AX38" s="4"/>
      <c r="AY38" s="4"/>
    </row>
    <row r="39" spans="1:68"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T39" s="4"/>
      <c r="AU39" s="4"/>
      <c r="AV39" s="4"/>
      <c r="AW39" s="4"/>
      <c r="AX39" s="4"/>
      <c r="AY39" s="4"/>
    </row>
    <row r="40" spans="1:68"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T40" s="4"/>
      <c r="AU40" s="4"/>
      <c r="AV40" s="4"/>
      <c r="AW40" s="4"/>
      <c r="AX40" s="4"/>
      <c r="AY40" s="4"/>
    </row>
    <row r="41" spans="1:68"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T41" s="4"/>
      <c r="AU41" s="4"/>
      <c r="AV41" s="4"/>
      <c r="AW41" s="4"/>
      <c r="AX41" s="4"/>
      <c r="AY41" s="4"/>
    </row>
    <row r="42" spans="1:68">
      <c r="AT42" s="4"/>
      <c r="AU42" s="4"/>
      <c r="AV42" s="4"/>
      <c r="AW42" s="4"/>
      <c r="AX42" s="4"/>
    </row>
    <row r="43" spans="1:68">
      <c r="AT43" s="4"/>
      <c r="AU43" s="66"/>
      <c r="AV43" s="4"/>
      <c r="AW43" s="4"/>
      <c r="AX43" s="4"/>
    </row>
    <row r="44" spans="1:68">
      <c r="AT44" s="4"/>
      <c r="AU44" s="4"/>
      <c r="AV44" s="4"/>
      <c r="AW44" s="4"/>
      <c r="AX44" s="4"/>
    </row>
    <row r="45" spans="1:68">
      <c r="AT45" s="4"/>
      <c r="AU45" s="4"/>
      <c r="AV45" s="4"/>
      <c r="AW45" s="4"/>
      <c r="AX45" s="4"/>
    </row>
    <row r="46" spans="1:68">
      <c r="AT46" s="4"/>
      <c r="AU46" s="4"/>
      <c r="AV46" s="4"/>
      <c r="AW46" s="4"/>
      <c r="AX46" s="4"/>
    </row>
    <row r="47" spans="1:68">
      <c r="AT47" s="4"/>
      <c r="AU47" s="4"/>
      <c r="AV47" s="4"/>
      <c r="AW47" s="4"/>
      <c r="AX47" s="4"/>
    </row>
    <row r="48" spans="1:68">
      <c r="AT48" s="4"/>
      <c r="AU48" s="4"/>
      <c r="AV48" s="4"/>
      <c r="AW48" s="4"/>
      <c r="AX48" s="4"/>
    </row>
    <row r="49" spans="46:50">
      <c r="AT49" s="4"/>
      <c r="AU49" s="4"/>
      <c r="AV49" s="4"/>
      <c r="AW49" s="4"/>
      <c r="AX49" s="4"/>
    </row>
    <row r="50" spans="46:50">
      <c r="AT50" s="4"/>
      <c r="AU50" s="4"/>
      <c r="AV50" s="4"/>
      <c r="AW50" s="4"/>
      <c r="AX50" s="4"/>
    </row>
    <row r="51" spans="46:50">
      <c r="AT51" s="4"/>
      <c r="AU51" s="62"/>
      <c r="AV51" s="4"/>
      <c r="AW51" s="4"/>
      <c r="AX51" s="4"/>
    </row>
    <row r="52" spans="46:50">
      <c r="AT52" s="4"/>
      <c r="AU52" s="62"/>
      <c r="AV52" s="4"/>
      <c r="AW52" s="4"/>
      <c r="AX52" s="4"/>
    </row>
    <row r="53" spans="46:50">
      <c r="AU53" s="4"/>
      <c r="AV53" s="4"/>
      <c r="AW53" s="4"/>
      <c r="AX53" s="4"/>
    </row>
    <row r="54" spans="46:50">
      <c r="AU54" s="4"/>
      <c r="AV54" s="4"/>
      <c r="AW54" s="4"/>
      <c r="AX54" s="4"/>
    </row>
    <row r="55" spans="46:50">
      <c r="AX55" s="4"/>
    </row>
    <row r="56" spans="46:50">
      <c r="AX56" s="4"/>
    </row>
  </sheetData>
  <sheetProtection algorithmName="SHA-512" hashValue="gfVo5lnjJjeKfc53g1y0mBKysXEoyNLpaAZaO3vP3cLOLyxU6iNcml/M3e3VsLReUkMJZU8BBLBeJlaLByIOrw==" saltValue="2MRkrOKStDwAL5k5XLwq4w==" spinCount="100000" sheet="1" autoFilter="0"/>
  <mergeCells count="23">
    <mergeCell ref="B26:K26"/>
    <mergeCell ref="B27:K27"/>
    <mergeCell ref="AM18:AR18"/>
    <mergeCell ref="AM21:AR21"/>
    <mergeCell ref="AM24:AR24"/>
    <mergeCell ref="U18:Z18"/>
    <mergeCell ref="B30:K30"/>
    <mergeCell ref="B31:K31"/>
    <mergeCell ref="AP28:AR28"/>
    <mergeCell ref="AE28:AF28"/>
    <mergeCell ref="U28:Z28"/>
    <mergeCell ref="B28:K28"/>
    <mergeCell ref="B29:K29"/>
    <mergeCell ref="U8:Z8"/>
    <mergeCell ref="AM8:AR8"/>
    <mergeCell ref="AI4:AR4"/>
    <mergeCell ref="B2:E2"/>
    <mergeCell ref="G2:K2"/>
    <mergeCell ref="O2:S2"/>
    <mergeCell ref="U2:Y2"/>
    <mergeCell ref="AA2:AE2"/>
    <mergeCell ref="AI2:AM2"/>
    <mergeCell ref="AO2:AR2"/>
  </mergeCells>
  <conditionalFormatting sqref="T18 U25:AD26">
    <cfRule type="expression" dxfId="1002" priority="4" stopIfTrue="1">
      <formula>$AV$2=1</formula>
    </cfRule>
  </conditionalFormatting>
  <conditionalFormatting sqref="AU36">
    <cfRule type="expression" dxfId="1001" priority="2" stopIfTrue="1">
      <formula>$AU$37=1</formula>
    </cfRule>
  </conditionalFormatting>
  <dataValidations count="7">
    <dataValidation type="list" allowBlank="1" showInputMessage="1" showErrorMessage="1" sqref="U8" xr:uid="{00000000-0002-0000-0100-000000000000}">
      <formula1>$AU$6:$AU$8</formula1>
    </dataValidation>
    <dataValidation type="list" allowBlank="1" showInputMessage="1" showErrorMessage="1" sqref="AM8:AR8" xr:uid="{00000000-0002-0000-0100-000001000000}">
      <formula1>$AU$10:$AU$11</formula1>
    </dataValidation>
    <dataValidation type="list" errorStyle="warning" allowBlank="1" showInputMessage="1" showErrorMessage="1" errorTitle="NESPRÁVNY  ÚDAJ" sqref="U28" xr:uid="{00000000-0002-0000-0100-000002000000}">
      <formula1>$AU$30:$AU$36</formula1>
    </dataValidation>
    <dataValidation type="list" allowBlank="1" showInputMessage="1" showErrorMessage="1" sqref="AM18:AR18" xr:uid="{00000000-0002-0000-0100-000003000000}">
      <formula1>$AU$16:$AU$17</formula1>
    </dataValidation>
    <dataValidation type="list" allowBlank="1" showInputMessage="1" showErrorMessage="1" sqref="AM21:AR21" xr:uid="{00000000-0002-0000-0100-000004000000}">
      <formula1>$AW$16:$AW$22</formula1>
    </dataValidation>
    <dataValidation type="list" allowBlank="1" showInputMessage="1" showErrorMessage="1" sqref="AM24:AR24" xr:uid="{00000000-0002-0000-0100-000005000000}">
      <formula1>$AU$25</formula1>
    </dataValidation>
    <dataValidation type="list" allowBlank="1" showInputMessage="1" showErrorMessage="1" sqref="U18:Z18" xr:uid="{00000000-0002-0000-0100-000006000000}">
      <formula1>$AU$13:$AU$14</formula1>
    </dataValidation>
  </dataValidations>
  <hyperlinks>
    <hyperlink ref="AI4:AR4" location="Napoveda!A1" display="Napoveda!A1" xr:uid="{00000000-0004-0000-0100-000000000000}"/>
    <hyperlink ref="O2:S2" location="MENU!A5" display="MENU!A5" xr:uid="{00000000-0004-0000-0100-000001000000}"/>
    <hyperlink ref="AO2:AR2" location="MENU!A5" display="&gt;&gt;&gt;" xr:uid="{00000000-0004-0000-0100-000002000000}"/>
    <hyperlink ref="AI2:AM2" location="OBJ!A1" display="OBJ!A1" xr:uid="{00000000-0004-0000-0100-000003000000}"/>
    <hyperlink ref="U2:Y2" location="'MENU-2'!A5" display="'MENU-2'!A5" xr:uid="{00000000-0004-0000-0100-000004000000}"/>
  </hyperlinks>
  <pageMargins left="0.19685039370078741" right="0.19685039370078741" top="0.19685039370078741" bottom="0.19685039370078741" header="0.31496062992125984" footer="0.31496062992125984"/>
  <pageSetup paperSize="9" orientation="landscape" r:id="rId1"/>
  <headerFooter>
    <oddHeader>&amp;R&amp;"Aptos"&amp;10&amp;K000000 Restricted&amp;1#_x000D_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3"/>
  <dimension ref="A1:BL111"/>
  <sheetViews>
    <sheetView showGridLines="0" showRowColHeaders="0" zoomScale="95" zoomScaleNormal="95" workbookViewId="0">
      <pane ySplit="4" topLeftCell="A5" activePane="bottomLeft" state="frozen"/>
      <selection pane="bottomLeft" activeCell="A5" sqref="A5"/>
    </sheetView>
  </sheetViews>
  <sheetFormatPr defaultColWidth="9" defaultRowHeight="13.8"/>
  <cols>
    <col min="1" max="1" width="3.59765625" style="61" customWidth="1"/>
    <col min="2" max="58" width="3.09765625" style="61" customWidth="1"/>
    <col min="59" max="59" width="3.59765625" style="61" customWidth="1"/>
    <col min="60" max="72" width="9" style="61" customWidth="1"/>
    <col min="73" max="16384" width="9" style="61"/>
  </cols>
  <sheetData>
    <row r="1" spans="1:64" ht="12.9" customHeight="1" thickBot="1">
      <c r="BG1" s="147"/>
    </row>
    <row r="2" spans="1:64" ht="23.1" customHeight="1" thickBot="1">
      <c r="B2" s="484" t="str">
        <f>verze!E13</f>
        <v>&lt;&lt;  zpět</v>
      </c>
      <c r="C2" s="485"/>
      <c r="D2" s="485"/>
      <c r="E2" s="486"/>
      <c r="G2" s="500" t="str">
        <f>verze!E6</f>
        <v xml:space="preserve"> Úvod</v>
      </c>
      <c r="H2" s="501"/>
      <c r="I2" s="501"/>
      <c r="J2" s="501"/>
      <c r="K2" s="502"/>
      <c r="O2" s="513" t="str">
        <f>verze!E7</f>
        <v xml:space="preserve"> Výběr zásuvek</v>
      </c>
      <c r="P2" s="514"/>
      <c r="Q2" s="514"/>
      <c r="R2" s="514"/>
      <c r="S2" s="515"/>
      <c r="U2" s="500" t="str">
        <f>verze!E8</f>
        <v xml:space="preserve"> </v>
      </c>
      <c r="V2" s="501"/>
      <c r="W2" s="501"/>
      <c r="X2" s="501"/>
      <c r="Y2" s="502"/>
      <c r="AA2" s="513" t="str">
        <f>verze!E9</f>
        <v xml:space="preserve"> </v>
      </c>
      <c r="AB2" s="514"/>
      <c r="AC2" s="514"/>
      <c r="AD2" s="514"/>
      <c r="AE2" s="515"/>
      <c r="AI2" s="500" t="str">
        <f>verze!E10</f>
        <v xml:space="preserve"> Objednávka</v>
      </c>
      <c r="AJ2" s="501"/>
      <c r="AK2" s="501"/>
      <c r="AL2" s="501"/>
      <c r="AM2" s="502"/>
      <c r="AO2" s="484" t="str">
        <f>verze!E14</f>
        <v>vpřed  &gt;&gt;</v>
      </c>
      <c r="AP2" s="485"/>
      <c r="AQ2" s="485"/>
      <c r="AR2" s="486"/>
    </row>
    <row r="3" spans="1:64" ht="12.9" customHeight="1">
      <c r="BG3" s="147"/>
    </row>
    <row r="4" spans="1:64" ht="23.1" customHeight="1">
      <c r="A4" s="148"/>
      <c r="B4" s="91" t="str">
        <f>verze!E7</f>
        <v xml:space="preserve"> Výběr zásuvek</v>
      </c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  <c r="U4" s="148"/>
      <c r="V4" s="148"/>
      <c r="W4" s="148"/>
      <c r="X4" s="148"/>
      <c r="Y4" s="148"/>
      <c r="Z4" s="148"/>
      <c r="AA4" s="148"/>
      <c r="AB4" s="148"/>
      <c r="AC4" s="148"/>
      <c r="AD4" s="148"/>
      <c r="AE4" s="148"/>
      <c r="AF4" s="148"/>
      <c r="AG4" s="148"/>
      <c r="AH4" s="148"/>
      <c r="AI4" s="148"/>
      <c r="AJ4" s="148"/>
      <c r="AK4" s="148"/>
      <c r="AL4" s="148"/>
      <c r="AM4" s="148"/>
      <c r="AN4" s="148"/>
      <c r="AO4" s="148"/>
      <c r="AP4" s="148"/>
      <c r="AQ4" s="148"/>
      <c r="AR4" s="149"/>
      <c r="AS4" s="148"/>
      <c r="AT4" s="148"/>
      <c r="AU4" s="148"/>
      <c r="AV4" s="148"/>
      <c r="AW4" s="148"/>
      <c r="AX4" s="148"/>
      <c r="AY4" s="148"/>
      <c r="AZ4" s="148"/>
      <c r="BA4" s="148"/>
      <c r="BB4" s="148"/>
      <c r="BC4" s="148"/>
      <c r="BD4" s="148"/>
      <c r="BE4" s="148"/>
      <c r="BF4" s="149" t="s">
        <v>406</v>
      </c>
      <c r="BG4" s="150"/>
    </row>
    <row r="5" spans="1:64" ht="14.4" customHeight="1"/>
    <row r="6" spans="1:64" s="76" customFormat="1" ht="14.4" customHeight="1">
      <c r="A6" s="4"/>
      <c r="B6" s="73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80"/>
      <c r="O6" s="81" t="str">
        <f>verze!E206&amp;" - 101 mm"</f>
        <v>Zásuvka - 101 mm</v>
      </c>
      <c r="P6" s="82"/>
      <c r="Q6" s="79"/>
      <c r="R6" s="79"/>
      <c r="S6" s="79"/>
      <c r="T6" s="79"/>
      <c r="U6" s="79"/>
      <c r="V6" s="79"/>
      <c r="W6" s="79"/>
      <c r="X6" s="79"/>
      <c r="Y6" s="79"/>
      <c r="Z6" s="79"/>
      <c r="AA6" s="82"/>
      <c r="AB6" s="82"/>
      <c r="AC6" s="83"/>
      <c r="AD6" s="81" t="str">
        <f>verze!E206&amp;" - 139 mm"</f>
        <v>Zásuvka - 139 mm</v>
      </c>
      <c r="AE6" s="82"/>
      <c r="AF6" s="79"/>
      <c r="AG6" s="79"/>
      <c r="AH6" s="79"/>
      <c r="AI6" s="79"/>
      <c r="AJ6" s="79"/>
      <c r="AK6" s="79"/>
      <c r="AL6" s="79"/>
      <c r="AM6" s="79"/>
      <c r="AN6" s="79"/>
      <c r="AO6" s="82"/>
      <c r="AP6" s="82"/>
      <c r="AQ6" s="79"/>
      <c r="AR6" s="81" t="str">
        <f>verze!E206&amp;" - 187 mm"</f>
        <v>Zásuvka - 187 mm</v>
      </c>
      <c r="AS6" s="82"/>
      <c r="AT6" s="79"/>
      <c r="AU6" s="79"/>
      <c r="AV6" s="79"/>
      <c r="AW6" s="79"/>
      <c r="AX6" s="79"/>
      <c r="AY6" s="79"/>
      <c r="AZ6" s="79"/>
      <c r="BA6" s="79"/>
      <c r="BB6" s="79"/>
      <c r="BC6" s="82"/>
      <c r="BD6" s="82"/>
      <c r="BE6" s="79"/>
      <c r="BF6" s="81" t="str">
        <f>verze!E206&amp;" - 251 mm"</f>
        <v>Zásuvka - 251 mm</v>
      </c>
      <c r="BG6" s="4"/>
      <c r="BL6" s="81"/>
    </row>
    <row r="7" spans="1:64" s="76" customFormat="1" ht="14.4" customHeight="1" thickBot="1">
      <c r="A7" s="4"/>
      <c r="B7" s="74"/>
      <c r="C7" s="75"/>
      <c r="D7" s="75"/>
      <c r="E7" s="75"/>
      <c r="F7" s="75"/>
      <c r="G7" s="75"/>
      <c r="H7" s="75"/>
      <c r="I7" s="75"/>
      <c r="P7" s="4"/>
      <c r="Q7" s="74"/>
      <c r="R7" s="75"/>
      <c r="S7" s="75"/>
      <c r="T7" s="75"/>
      <c r="U7" s="75"/>
      <c r="V7" s="75"/>
      <c r="AE7" s="4"/>
      <c r="AF7" s="74"/>
      <c r="AG7" s="75"/>
      <c r="AH7" s="75"/>
      <c r="AI7" s="75"/>
      <c r="AJ7" s="75"/>
      <c r="AK7" s="75"/>
      <c r="AS7" s="4"/>
      <c r="AT7" s="74"/>
      <c r="AU7" s="75"/>
      <c r="AV7" s="75"/>
      <c r="AW7" s="75"/>
      <c r="AX7" s="75"/>
      <c r="AY7" s="75"/>
      <c r="BG7" s="4"/>
    </row>
    <row r="8" spans="1:64" s="76" customFormat="1" ht="14.4" customHeight="1" thickTop="1">
      <c r="B8" s="173"/>
      <c r="C8" s="174" t="str">
        <f>verze!E119</f>
        <v>zásuvka základní</v>
      </c>
      <c r="D8" s="175"/>
      <c r="E8" s="175"/>
      <c r="F8" s="175"/>
      <c r="G8" s="175"/>
      <c r="H8" s="175"/>
      <c r="I8" s="175"/>
      <c r="J8" s="176"/>
      <c r="K8" s="176"/>
      <c r="L8" s="176"/>
      <c r="M8" s="176"/>
      <c r="N8" s="176"/>
      <c r="O8" s="177"/>
      <c r="P8" s="173"/>
      <c r="Q8" s="174" t="str">
        <f>verze!E119</f>
        <v>zásuvka základní</v>
      </c>
      <c r="R8" s="175"/>
      <c r="S8" s="175"/>
      <c r="T8" s="175"/>
      <c r="U8" s="175"/>
      <c r="V8" s="175"/>
      <c r="W8" s="176"/>
      <c r="X8" s="176"/>
      <c r="Y8" s="176"/>
      <c r="Z8" s="176"/>
      <c r="AA8" s="176"/>
      <c r="AB8" s="176"/>
      <c r="AC8" s="176"/>
      <c r="AD8" s="177"/>
      <c r="AE8" s="173"/>
      <c r="AF8" s="174" t="str">
        <f>verze!E119</f>
        <v>zásuvka základní</v>
      </c>
      <c r="AG8" s="175"/>
      <c r="AH8" s="175"/>
      <c r="AI8" s="175"/>
      <c r="AJ8" s="175"/>
      <c r="AK8" s="175"/>
      <c r="AL8" s="176"/>
      <c r="AM8" s="176"/>
      <c r="AN8" s="176"/>
      <c r="AO8" s="176"/>
      <c r="AP8" s="176"/>
      <c r="AQ8" s="176"/>
      <c r="AR8" s="177"/>
      <c r="AS8" s="173"/>
      <c r="AT8" s="174" t="str">
        <f>verze!E119</f>
        <v>zásuvka základní</v>
      </c>
      <c r="AU8" s="175"/>
      <c r="AV8" s="175"/>
      <c r="AW8" s="175"/>
      <c r="AX8" s="175"/>
      <c r="AY8" s="175"/>
      <c r="AZ8" s="176"/>
      <c r="BA8" s="176"/>
      <c r="BB8" s="176"/>
      <c r="BC8" s="176"/>
      <c r="BD8" s="176"/>
      <c r="BE8" s="176"/>
      <c r="BF8" s="177"/>
      <c r="BG8" s="4"/>
    </row>
    <row r="9" spans="1:64" s="76" customFormat="1" ht="14.4" customHeight="1">
      <c r="B9" s="178"/>
      <c r="C9" s="4" t="str">
        <f>verze!E145</f>
        <v>výška bočnice :</v>
      </c>
      <c r="D9" s="4"/>
      <c r="E9" s="4"/>
      <c r="F9" s="4"/>
      <c r="G9" s="504" t="s">
        <v>334</v>
      </c>
      <c r="H9" s="504"/>
      <c r="I9" s="504"/>
      <c r="J9" s="4"/>
      <c r="K9" s="4"/>
      <c r="L9" s="4"/>
      <c r="M9" s="4"/>
      <c r="N9" s="4"/>
      <c r="O9" s="179"/>
      <c r="P9" s="178"/>
      <c r="Q9" s="4" t="str">
        <f>verze!E145</f>
        <v>výška bočnice :</v>
      </c>
      <c r="R9" s="4"/>
      <c r="S9" s="4"/>
      <c r="T9" s="4"/>
      <c r="U9" s="504" t="s">
        <v>335</v>
      </c>
      <c r="V9" s="504"/>
      <c r="W9" s="504"/>
      <c r="X9" s="4"/>
      <c r="Y9" s="4"/>
      <c r="Z9" s="4"/>
      <c r="AA9" s="4"/>
      <c r="AB9" s="4"/>
      <c r="AC9" s="4"/>
      <c r="AD9" s="179"/>
      <c r="AE9" s="178"/>
      <c r="AF9" s="4" t="str">
        <f>verze!E145</f>
        <v>výška bočnice :</v>
      </c>
      <c r="AG9" s="4"/>
      <c r="AH9" s="4"/>
      <c r="AI9" s="4"/>
      <c r="AJ9" s="504" t="s">
        <v>336</v>
      </c>
      <c r="AK9" s="504"/>
      <c r="AL9" s="504"/>
      <c r="AM9" s="4"/>
      <c r="AN9" s="4"/>
      <c r="AO9" s="4"/>
      <c r="AP9" s="4"/>
      <c r="AQ9" s="4"/>
      <c r="AR9" s="179"/>
      <c r="AS9" s="178"/>
      <c r="AT9" s="4" t="str">
        <f>verze!E145</f>
        <v>výška bočnice :</v>
      </c>
      <c r="AU9" s="4"/>
      <c r="AV9" s="4"/>
      <c r="AW9" s="4"/>
      <c r="AX9" s="504" t="s">
        <v>337</v>
      </c>
      <c r="AY9" s="504"/>
      <c r="AZ9" s="504"/>
      <c r="BA9" s="4"/>
      <c r="BB9" s="4"/>
      <c r="BC9" s="4"/>
      <c r="BD9" s="4"/>
      <c r="BE9" s="4"/>
      <c r="BF9" s="179"/>
      <c r="BG9" s="4"/>
    </row>
    <row r="10" spans="1:64" s="76" customFormat="1" ht="14.4" customHeight="1">
      <c r="B10" s="178"/>
      <c r="C10" s="4"/>
      <c r="D10" s="4"/>
      <c r="E10" s="4"/>
      <c r="F10" s="4"/>
      <c r="G10" s="504"/>
      <c r="H10" s="504"/>
      <c r="I10" s="504"/>
      <c r="J10" s="4"/>
      <c r="K10" s="4"/>
      <c r="L10" s="4"/>
      <c r="M10" s="4"/>
      <c r="N10" s="4"/>
      <c r="O10" s="179"/>
      <c r="P10" s="178"/>
      <c r="Q10" s="4"/>
      <c r="R10" s="4"/>
      <c r="S10" s="4"/>
      <c r="T10" s="4"/>
      <c r="U10" s="504"/>
      <c r="V10" s="504"/>
      <c r="W10" s="504"/>
      <c r="X10" s="4"/>
      <c r="Y10" s="4"/>
      <c r="Z10" s="4"/>
      <c r="AA10" s="4"/>
      <c r="AB10" s="4"/>
      <c r="AC10" s="4"/>
      <c r="AD10" s="179"/>
      <c r="AE10" s="178"/>
      <c r="AF10" s="4"/>
      <c r="AG10" s="4"/>
      <c r="AH10" s="4"/>
      <c r="AI10" s="4"/>
      <c r="AJ10" s="504"/>
      <c r="AK10" s="504"/>
      <c r="AL10" s="504"/>
      <c r="AM10" s="4"/>
      <c r="AN10" s="4"/>
      <c r="AO10" s="4"/>
      <c r="AP10" s="4"/>
      <c r="AQ10" s="4"/>
      <c r="AR10" s="179"/>
      <c r="AS10" s="178"/>
      <c r="AT10" s="4"/>
      <c r="AU10" s="4"/>
      <c r="AV10" s="4"/>
      <c r="AW10" s="4"/>
      <c r="AX10" s="504"/>
      <c r="AY10" s="504"/>
      <c r="AZ10" s="504"/>
      <c r="BA10" s="4"/>
      <c r="BB10" s="4"/>
      <c r="BC10" s="4"/>
      <c r="BD10" s="4"/>
      <c r="BE10" s="4"/>
      <c r="BF10" s="179"/>
      <c r="BG10" s="4"/>
    </row>
    <row r="11" spans="1:64" s="76" customFormat="1" ht="14.4" customHeight="1">
      <c r="B11" s="178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179"/>
      <c r="P11" s="178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179"/>
      <c r="AE11" s="178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179"/>
      <c r="AS11" s="178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179"/>
      <c r="BG11" s="4"/>
    </row>
    <row r="12" spans="1:64" s="76" customFormat="1" ht="14.4" customHeight="1">
      <c r="B12" s="178"/>
      <c r="C12" s="4" t="str">
        <f>verze!E147</f>
        <v>min.vestavná výška [mm] :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179"/>
      <c r="P12" s="178"/>
      <c r="Q12" s="4" t="str">
        <f>verze!E147</f>
        <v>min.vestavná výška [mm] :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179"/>
      <c r="AE12" s="178"/>
      <c r="AF12" s="4" t="str">
        <f>verze!E147</f>
        <v>min.vestavná výška [mm] :</v>
      </c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179"/>
      <c r="AS12" s="178"/>
      <c r="AT12" s="4" t="str">
        <f>verze!E147</f>
        <v>min.vestavná výška [mm] :</v>
      </c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179"/>
      <c r="BG12" s="4"/>
    </row>
    <row r="13" spans="1:64" s="97" customFormat="1" ht="14.4" customHeight="1">
      <c r="B13" s="180"/>
      <c r="C13" s="508" t="str">
        <f>verze!E148</f>
        <v>jenom SiSy</v>
      </c>
      <c r="D13" s="508"/>
      <c r="E13" s="509"/>
      <c r="F13" s="510" t="s">
        <v>339</v>
      </c>
      <c r="G13" s="508"/>
      <c r="H13" s="508"/>
      <c r="I13" s="4"/>
      <c r="J13" s="24"/>
      <c r="K13" s="24"/>
      <c r="L13" s="24"/>
      <c r="M13" s="505">
        <f>SUM('AVT101'!O19:AF22)+SUM('AVT101'!O27:AD30)</f>
        <v>0</v>
      </c>
      <c r="N13" s="505"/>
      <c r="O13" s="506"/>
      <c r="P13" s="180"/>
      <c r="Q13" s="508" t="str">
        <f>verze!E148</f>
        <v>jenom SiSy</v>
      </c>
      <c r="R13" s="508"/>
      <c r="S13" s="509"/>
      <c r="T13" s="510" t="s">
        <v>339</v>
      </c>
      <c r="U13" s="508"/>
      <c r="V13" s="508"/>
      <c r="W13" s="4"/>
      <c r="X13" s="24"/>
      <c r="Y13" s="24"/>
      <c r="Z13" s="24"/>
      <c r="AA13" s="24"/>
      <c r="AB13" s="505">
        <f>SUM('AVT139'!O19:AF22)+SUM('AVT139'!O27:AD30)</f>
        <v>0</v>
      </c>
      <c r="AC13" s="505"/>
      <c r="AD13" s="506"/>
      <c r="AE13" s="180"/>
      <c r="AF13" s="508" t="str">
        <f>verze!E148</f>
        <v>jenom SiSy</v>
      </c>
      <c r="AG13" s="508"/>
      <c r="AH13" s="509"/>
      <c r="AI13" s="510" t="s">
        <v>339</v>
      </c>
      <c r="AJ13" s="508"/>
      <c r="AK13" s="508"/>
      <c r="AL13" s="4"/>
      <c r="AM13" s="24"/>
      <c r="AN13" s="24"/>
      <c r="AO13" s="24"/>
      <c r="AP13" s="505">
        <f>SUM('AVT187'!O19:AF22)+SUM('AVT187'!O27:AD30)</f>
        <v>0</v>
      </c>
      <c r="AQ13" s="505"/>
      <c r="AR13" s="506"/>
      <c r="AS13" s="180"/>
      <c r="AT13" s="508" t="str">
        <f>verze!E148</f>
        <v>jenom SiSy</v>
      </c>
      <c r="AU13" s="508"/>
      <c r="AV13" s="509"/>
      <c r="AW13" s="510" t="s">
        <v>339</v>
      </c>
      <c r="AX13" s="508"/>
      <c r="AY13" s="508"/>
      <c r="AZ13" s="4"/>
      <c r="BA13" s="24"/>
      <c r="BB13" s="24"/>
      <c r="BC13" s="24"/>
      <c r="BD13" s="505">
        <f>SUM('AVT251'!O19:AF22)+SUM('AVT251'!O27:AD30)</f>
        <v>0</v>
      </c>
      <c r="BE13" s="505"/>
      <c r="BF13" s="506"/>
      <c r="BG13" s="24"/>
    </row>
    <row r="14" spans="1:64" s="97" customFormat="1" ht="14.4" customHeight="1">
      <c r="B14" s="180"/>
      <c r="C14" s="507">
        <v>102</v>
      </c>
      <c r="D14" s="507"/>
      <c r="E14" s="511"/>
      <c r="F14" s="507">
        <v>104</v>
      </c>
      <c r="G14" s="507"/>
      <c r="H14" s="507"/>
      <c r="I14" s="24"/>
      <c r="J14" s="24"/>
      <c r="K14" s="24"/>
      <c r="L14" s="24"/>
      <c r="M14" s="505"/>
      <c r="N14" s="505"/>
      <c r="O14" s="506"/>
      <c r="P14" s="180"/>
      <c r="Q14" s="507">
        <v>140</v>
      </c>
      <c r="R14" s="507"/>
      <c r="S14" s="511"/>
      <c r="T14" s="507">
        <v>142</v>
      </c>
      <c r="U14" s="507"/>
      <c r="V14" s="507"/>
      <c r="W14" s="24"/>
      <c r="X14" s="24"/>
      <c r="Y14" s="24"/>
      <c r="Z14" s="24"/>
      <c r="AA14" s="24"/>
      <c r="AB14" s="505"/>
      <c r="AC14" s="505"/>
      <c r="AD14" s="506"/>
      <c r="AE14" s="180"/>
      <c r="AF14" s="507">
        <v>188</v>
      </c>
      <c r="AG14" s="507"/>
      <c r="AH14" s="511"/>
      <c r="AI14" s="507">
        <v>190</v>
      </c>
      <c r="AJ14" s="507"/>
      <c r="AK14" s="507"/>
      <c r="AL14" s="24"/>
      <c r="AM14" s="24"/>
      <c r="AN14" s="24"/>
      <c r="AO14" s="24"/>
      <c r="AP14" s="505"/>
      <c r="AQ14" s="505"/>
      <c r="AR14" s="506"/>
      <c r="AS14" s="180"/>
      <c r="AT14" s="507">
        <v>252</v>
      </c>
      <c r="AU14" s="507"/>
      <c r="AV14" s="511"/>
      <c r="AW14" s="507">
        <v>254</v>
      </c>
      <c r="AX14" s="507"/>
      <c r="AY14" s="507"/>
      <c r="AZ14" s="24"/>
      <c r="BA14" s="24"/>
      <c r="BB14" s="24"/>
      <c r="BC14" s="24"/>
      <c r="BD14" s="505"/>
      <c r="BE14" s="505"/>
      <c r="BF14" s="506"/>
      <c r="BG14" s="24"/>
    </row>
    <row r="15" spans="1:64" s="76" customFormat="1" ht="14.4" customHeight="1" thickBot="1">
      <c r="B15" s="178"/>
      <c r="C15" s="73"/>
      <c r="D15" s="4"/>
      <c r="E15" s="4"/>
      <c r="F15" s="4"/>
      <c r="G15" s="4"/>
      <c r="H15" s="4"/>
      <c r="I15" s="4"/>
      <c r="J15" s="4"/>
      <c r="K15" s="4"/>
      <c r="L15" s="4"/>
      <c r="M15" s="4"/>
      <c r="N15" s="234"/>
      <c r="O15" s="179"/>
      <c r="P15" s="178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179"/>
      <c r="AE15" s="178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179"/>
      <c r="AS15" s="178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179"/>
      <c r="BG15" s="4"/>
    </row>
    <row r="16" spans="1:64" s="76" customFormat="1" ht="14.4" customHeight="1" thickTop="1">
      <c r="B16" s="173"/>
      <c r="C16" s="176"/>
      <c r="D16" s="176"/>
      <c r="E16" s="176"/>
      <c r="F16" s="176"/>
      <c r="G16" s="176"/>
      <c r="H16" s="176"/>
      <c r="I16" s="176"/>
      <c r="J16" s="176"/>
      <c r="K16" s="176"/>
      <c r="L16" s="176"/>
      <c r="M16" s="176"/>
      <c r="N16" s="176"/>
      <c r="O16" s="177"/>
      <c r="P16" s="173"/>
      <c r="Q16" s="327"/>
      <c r="R16" s="327"/>
      <c r="S16" s="327"/>
      <c r="T16" s="327"/>
      <c r="U16" s="327"/>
      <c r="V16" s="327"/>
      <c r="W16" s="327"/>
      <c r="X16" s="327"/>
      <c r="Y16" s="327"/>
      <c r="Z16" s="327"/>
      <c r="AA16" s="327"/>
      <c r="AB16" s="327"/>
      <c r="AC16" s="327"/>
      <c r="AD16" s="328"/>
      <c r="AE16" s="173"/>
      <c r="AF16" s="174" t="str">
        <f>verze!E120</f>
        <v>zásuvka ze skleněnou bočnicí</v>
      </c>
      <c r="AG16" s="175"/>
      <c r="AH16" s="175"/>
      <c r="AI16" s="175"/>
      <c r="AJ16" s="175"/>
      <c r="AK16" s="175"/>
      <c r="AL16" s="176"/>
      <c r="AM16" s="176"/>
      <c r="AN16" s="176"/>
      <c r="AO16" s="176"/>
      <c r="AP16" s="176"/>
      <c r="AQ16" s="176"/>
      <c r="AR16" s="177"/>
      <c r="AS16" s="173"/>
      <c r="AT16" s="176"/>
      <c r="AU16" s="176"/>
      <c r="AV16" s="176"/>
      <c r="AW16" s="176"/>
      <c r="AX16" s="176"/>
      <c r="AY16" s="176"/>
      <c r="AZ16" s="176"/>
      <c r="BA16" s="176"/>
      <c r="BB16" s="176"/>
      <c r="BC16" s="176"/>
      <c r="BD16" s="176"/>
      <c r="BE16" s="176"/>
      <c r="BF16" s="177"/>
      <c r="BG16" s="4"/>
    </row>
    <row r="17" spans="2:59" s="76" customFormat="1" ht="14.4" customHeight="1">
      <c r="B17" s="178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179"/>
      <c r="P17" s="178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179"/>
      <c r="AE17" s="178"/>
      <c r="AF17" s="4" t="str">
        <f>verze!E145</f>
        <v>výška bočnice :</v>
      </c>
      <c r="AG17" s="4"/>
      <c r="AH17" s="4"/>
      <c r="AI17" s="4"/>
      <c r="AJ17" s="504" t="s">
        <v>336</v>
      </c>
      <c r="AK17" s="504"/>
      <c r="AL17" s="504"/>
      <c r="AM17" s="4"/>
      <c r="AN17" s="4"/>
      <c r="AO17" s="4"/>
      <c r="AP17" s="4"/>
      <c r="AQ17" s="4"/>
      <c r="AR17" s="179"/>
      <c r="AS17" s="178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179"/>
      <c r="BG17" s="4"/>
    </row>
    <row r="18" spans="2:59" s="76" customFormat="1" ht="14.4" customHeight="1">
      <c r="B18" s="178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179"/>
      <c r="P18" s="178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179"/>
      <c r="AE18" s="178"/>
      <c r="AF18" s="4"/>
      <c r="AG18" s="4"/>
      <c r="AH18" s="4"/>
      <c r="AI18" s="4"/>
      <c r="AJ18" s="504"/>
      <c r="AK18" s="504"/>
      <c r="AL18" s="504"/>
      <c r="AM18" s="4"/>
      <c r="AN18" s="4"/>
      <c r="AO18" s="4"/>
      <c r="AP18" s="4"/>
      <c r="AQ18" s="4"/>
      <c r="AR18" s="179"/>
      <c r="AS18" s="178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179"/>
      <c r="BG18" s="4"/>
    </row>
    <row r="19" spans="2:59" s="76" customFormat="1" ht="14.4" customHeight="1">
      <c r="B19" s="178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179"/>
      <c r="P19" s="178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179"/>
      <c r="AE19" s="178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179"/>
      <c r="AS19" s="178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179"/>
      <c r="BG19" s="4"/>
    </row>
    <row r="20" spans="2:59" s="76" customFormat="1" ht="14.4" customHeight="1">
      <c r="B20" s="178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179"/>
      <c r="P20" s="178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179"/>
      <c r="AE20" s="178"/>
      <c r="AF20" s="4" t="str">
        <f>verze!E147</f>
        <v>min.vestavná výška [mm] :</v>
      </c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179"/>
      <c r="AS20" s="178"/>
      <c r="AT20" s="512" t="str">
        <f>verze!E196</f>
        <v>Tlačítko "RESET" funguje jenom při zapnuté funkci MAKRO. Pokud není zapnutá, musíte pole vymazat ručne.</v>
      </c>
      <c r="AU20" s="512"/>
      <c r="AV20" s="512"/>
      <c r="AW20" s="512"/>
      <c r="AX20" s="512"/>
      <c r="AY20" s="512"/>
      <c r="AZ20" s="512"/>
      <c r="BA20" s="512"/>
      <c r="BB20" s="512"/>
      <c r="BC20" s="512"/>
      <c r="BD20" s="512"/>
      <c r="BE20" s="512"/>
      <c r="BF20" s="179"/>
      <c r="BG20" s="4"/>
    </row>
    <row r="21" spans="2:59" s="97" customFormat="1" ht="14.4" customHeight="1">
      <c r="B21" s="180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4"/>
      <c r="N21" s="4"/>
      <c r="O21" s="179"/>
      <c r="P21" s="178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179"/>
      <c r="AE21" s="180"/>
      <c r="AF21" s="508" t="str">
        <f>verze!E148</f>
        <v>jenom SiSy</v>
      </c>
      <c r="AG21" s="508"/>
      <c r="AH21" s="509"/>
      <c r="AI21" s="510" t="s">
        <v>339</v>
      </c>
      <c r="AJ21" s="508"/>
      <c r="AK21" s="508"/>
      <c r="AL21" s="24"/>
      <c r="AM21" s="24"/>
      <c r="AN21" s="24"/>
      <c r="AO21" s="24"/>
      <c r="AP21" s="505">
        <f>SUM(AVT187In!O19:AF22)+SUM(AVT187In!O27:AD30)</f>
        <v>0</v>
      </c>
      <c r="AQ21" s="505"/>
      <c r="AR21" s="506"/>
      <c r="AS21" s="180"/>
      <c r="AT21" s="512"/>
      <c r="AU21" s="512"/>
      <c r="AV21" s="512"/>
      <c r="AW21" s="512"/>
      <c r="AX21" s="512"/>
      <c r="AY21" s="512"/>
      <c r="AZ21" s="512"/>
      <c r="BA21" s="512"/>
      <c r="BB21" s="512"/>
      <c r="BC21" s="512"/>
      <c r="BD21" s="512"/>
      <c r="BE21" s="512"/>
      <c r="BF21" s="179"/>
      <c r="BG21" s="24"/>
    </row>
    <row r="22" spans="2:59" s="97" customFormat="1" ht="14.4" customHeight="1">
      <c r="B22" s="180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4"/>
      <c r="N22" s="4"/>
      <c r="O22" s="179"/>
      <c r="P22" s="178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179"/>
      <c r="AE22" s="180"/>
      <c r="AF22" s="507">
        <v>188</v>
      </c>
      <c r="AG22" s="507"/>
      <c r="AH22" s="511"/>
      <c r="AI22" s="507">
        <v>190</v>
      </c>
      <c r="AJ22" s="507"/>
      <c r="AK22" s="507"/>
      <c r="AL22" s="24"/>
      <c r="AM22" s="24"/>
      <c r="AN22" s="24"/>
      <c r="AO22" s="24"/>
      <c r="AP22" s="505"/>
      <c r="AQ22" s="505"/>
      <c r="AR22" s="506"/>
      <c r="AS22" s="180"/>
      <c r="AT22" s="512"/>
      <c r="AU22" s="512"/>
      <c r="AV22" s="512"/>
      <c r="AW22" s="512"/>
      <c r="AX22" s="512"/>
      <c r="AY22" s="512"/>
      <c r="AZ22" s="512"/>
      <c r="BA22" s="512"/>
      <c r="BB22" s="512"/>
      <c r="BC22" s="512"/>
      <c r="BD22" s="512"/>
      <c r="BE22" s="512"/>
      <c r="BF22" s="179"/>
      <c r="BG22" s="24"/>
    </row>
    <row r="23" spans="2:59" s="76" customFormat="1" ht="14.4" customHeight="1" thickBot="1">
      <c r="B23" s="181"/>
      <c r="C23" s="182"/>
      <c r="D23" s="183"/>
      <c r="E23" s="183"/>
      <c r="F23" s="183"/>
      <c r="G23" s="183"/>
      <c r="H23" s="183"/>
      <c r="I23" s="183"/>
      <c r="J23" s="183"/>
      <c r="K23" s="183"/>
      <c r="L23" s="183"/>
      <c r="M23" s="183"/>
      <c r="N23" s="183"/>
      <c r="O23" s="184"/>
      <c r="P23" s="181"/>
      <c r="Q23" s="183"/>
      <c r="R23" s="183"/>
      <c r="S23" s="183"/>
      <c r="T23" s="183"/>
      <c r="U23" s="183"/>
      <c r="V23" s="183"/>
      <c r="W23" s="183"/>
      <c r="X23" s="183"/>
      <c r="Y23" s="183"/>
      <c r="Z23" s="183"/>
      <c r="AA23" s="183"/>
      <c r="AB23" s="183"/>
      <c r="AC23" s="183"/>
      <c r="AD23" s="184"/>
      <c r="AE23" s="181"/>
      <c r="AF23" s="183"/>
      <c r="AG23" s="183"/>
      <c r="AH23" s="183"/>
      <c r="AI23" s="183"/>
      <c r="AJ23" s="183"/>
      <c r="AK23" s="183"/>
      <c r="AL23" s="183"/>
      <c r="AM23" s="183"/>
      <c r="AN23" s="183"/>
      <c r="AO23" s="183"/>
      <c r="AP23" s="183"/>
      <c r="AQ23" s="183"/>
      <c r="AR23" s="184"/>
      <c r="AS23" s="181"/>
      <c r="AT23" s="182"/>
      <c r="AU23" s="183"/>
      <c r="AV23" s="183"/>
      <c r="AW23" s="183"/>
      <c r="AX23" s="183"/>
      <c r="AY23" s="183"/>
      <c r="AZ23" s="183"/>
      <c r="BA23" s="183"/>
      <c r="BB23" s="183"/>
      <c r="BC23" s="183"/>
      <c r="BD23" s="183"/>
      <c r="BE23" s="183"/>
      <c r="BF23" s="184"/>
      <c r="BG23" s="4"/>
    </row>
    <row r="24" spans="2:59" s="76" customFormat="1" ht="14.4" customHeight="1" thickTop="1">
      <c r="B24" s="4"/>
      <c r="C24" s="73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</row>
    <row r="25" spans="2:59" s="76" customFormat="1" ht="14.4" customHeight="1" thickBot="1">
      <c r="B25" s="4"/>
      <c r="C25" s="73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196" t="str">
        <f>verze!E125</f>
        <v>Vnitřní zásuvka - 101 mm s ALU čelem</v>
      </c>
      <c r="P25" s="192"/>
      <c r="Q25" s="192"/>
      <c r="R25" s="192"/>
      <c r="S25" s="192"/>
      <c r="T25" s="192"/>
      <c r="U25" s="192"/>
      <c r="V25" s="192"/>
      <c r="W25" s="192"/>
      <c r="X25" s="192"/>
      <c r="Y25" s="192"/>
      <c r="Z25" s="192"/>
      <c r="AA25" s="192"/>
      <c r="AB25" s="192"/>
      <c r="AC25" s="192"/>
      <c r="AD25" s="196" t="str">
        <f>verze!E126</f>
        <v>Vnitřní zásuvka - 139 mm s ALU čelem</v>
      </c>
      <c r="AE25" s="192"/>
      <c r="AF25" s="192"/>
      <c r="AG25" s="192"/>
      <c r="AH25" s="192"/>
      <c r="AI25" s="192"/>
      <c r="AJ25" s="192"/>
      <c r="AK25" s="192"/>
      <c r="AL25" s="192"/>
      <c r="AM25" s="192"/>
      <c r="AN25" s="192"/>
      <c r="AO25" s="192"/>
      <c r="AP25" s="192"/>
      <c r="AQ25" s="192"/>
      <c r="AR25" s="196" t="str">
        <f>verze!E127</f>
        <v>Vnitřní zásuvka - 187 mm s ALU čelem</v>
      </c>
      <c r="AS25" s="192"/>
      <c r="AT25" s="192"/>
      <c r="AU25" s="192"/>
      <c r="AV25" s="192"/>
      <c r="AW25" s="192"/>
      <c r="AX25" s="192"/>
      <c r="AY25" s="192"/>
      <c r="AZ25" s="192"/>
      <c r="BA25" s="192"/>
      <c r="BB25" s="192"/>
      <c r="BC25" s="192"/>
      <c r="BD25" s="192"/>
      <c r="BE25" s="192"/>
      <c r="BF25" s="196"/>
      <c r="BG25" s="4"/>
    </row>
    <row r="26" spans="2:59" s="76" customFormat="1" ht="14.4" customHeight="1" thickTop="1">
      <c r="B26" s="173"/>
      <c r="C26" s="174" t="str">
        <f>verze!E119</f>
        <v>zásuvka základní</v>
      </c>
      <c r="D26" s="175"/>
      <c r="E26" s="175"/>
      <c r="F26" s="175"/>
      <c r="G26" s="175"/>
      <c r="H26" s="175"/>
      <c r="I26" s="175"/>
      <c r="J26" s="176"/>
      <c r="K26" s="176"/>
      <c r="L26" s="176"/>
      <c r="M26" s="176"/>
      <c r="N26" s="176"/>
      <c r="O26" s="177"/>
      <c r="P26" s="173"/>
      <c r="Q26" s="174" t="str">
        <f>verze!E119</f>
        <v>zásuvka základní</v>
      </c>
      <c r="R26" s="175"/>
      <c r="S26" s="175"/>
      <c r="T26" s="175"/>
      <c r="U26" s="175"/>
      <c r="V26" s="175"/>
      <c r="W26" s="176"/>
      <c r="X26" s="176"/>
      <c r="Y26" s="176"/>
      <c r="Z26" s="176"/>
      <c r="AA26" s="176"/>
      <c r="AB26" s="176"/>
      <c r="AC26" s="176"/>
      <c r="AD26" s="177"/>
      <c r="AE26" s="173"/>
      <c r="AF26" s="174" t="str">
        <f>verze!E119</f>
        <v>zásuvka základní</v>
      </c>
      <c r="AG26" s="175"/>
      <c r="AH26" s="175"/>
      <c r="AI26" s="175"/>
      <c r="AJ26" s="175"/>
      <c r="AK26" s="175"/>
      <c r="AL26" s="176"/>
      <c r="AM26" s="176"/>
      <c r="AN26" s="176"/>
      <c r="AO26" s="176"/>
      <c r="AP26" s="176"/>
      <c r="AQ26" s="176"/>
      <c r="AR26" s="177"/>
      <c r="AS26" s="173"/>
      <c r="AT26" s="176"/>
      <c r="AU26" s="175"/>
      <c r="AV26" s="175"/>
      <c r="AW26" s="175"/>
      <c r="AX26" s="175"/>
      <c r="AY26" s="175"/>
      <c r="AZ26" s="176"/>
      <c r="BA26" s="176"/>
      <c r="BB26" s="176"/>
      <c r="BC26" s="176"/>
      <c r="BD26" s="176"/>
      <c r="BE26" s="176"/>
      <c r="BF26" s="177"/>
      <c r="BG26" s="4"/>
    </row>
    <row r="27" spans="2:59" s="76" customFormat="1" ht="14.4" customHeight="1">
      <c r="B27" s="178"/>
      <c r="C27" s="4" t="str">
        <f>verze!E145</f>
        <v>výška bočnice :</v>
      </c>
      <c r="D27" s="4"/>
      <c r="E27" s="4"/>
      <c r="F27" s="4"/>
      <c r="G27" s="504" t="s">
        <v>334</v>
      </c>
      <c r="H27" s="504"/>
      <c r="I27" s="504"/>
      <c r="J27" s="4"/>
      <c r="K27" s="4"/>
      <c r="L27" s="4"/>
      <c r="M27" s="4"/>
      <c r="N27" s="4"/>
      <c r="O27" s="179"/>
      <c r="P27" s="178"/>
      <c r="Q27" s="4" t="str">
        <f>verze!E145</f>
        <v>výška bočnice :</v>
      </c>
      <c r="R27" s="4"/>
      <c r="S27" s="4"/>
      <c r="T27" s="4"/>
      <c r="U27" s="504" t="s">
        <v>335</v>
      </c>
      <c r="V27" s="504"/>
      <c r="W27" s="504"/>
      <c r="X27" s="4"/>
      <c r="Y27" s="4"/>
      <c r="Z27" s="4"/>
      <c r="AA27" s="4"/>
      <c r="AB27" s="4"/>
      <c r="AC27" s="4"/>
      <c r="AD27" s="179"/>
      <c r="AE27" s="178"/>
      <c r="AF27" s="4" t="str">
        <f>verze!E145</f>
        <v>výška bočnice :</v>
      </c>
      <c r="AG27" s="4"/>
      <c r="AH27" s="4"/>
      <c r="AI27" s="4"/>
      <c r="AJ27" s="504" t="s">
        <v>336</v>
      </c>
      <c r="AK27" s="504"/>
      <c r="AL27" s="504"/>
      <c r="AM27" s="4"/>
      <c r="AN27" s="4"/>
      <c r="AO27" s="4"/>
      <c r="AP27" s="4"/>
      <c r="AQ27" s="4"/>
      <c r="AR27" s="179"/>
      <c r="AS27" s="178"/>
      <c r="AU27" s="4"/>
      <c r="AV27" s="4"/>
      <c r="AZ27" s="4"/>
      <c r="BA27" s="4"/>
      <c r="BB27" s="4"/>
      <c r="BC27" s="4"/>
      <c r="BD27" s="4"/>
      <c r="BE27" s="4"/>
      <c r="BF27" s="179"/>
      <c r="BG27" s="4"/>
    </row>
    <row r="28" spans="2:59" s="76" customFormat="1" ht="14.4" customHeight="1">
      <c r="B28" s="178"/>
      <c r="C28" s="4"/>
      <c r="D28" s="4"/>
      <c r="E28" s="4"/>
      <c r="F28" s="4"/>
      <c r="G28" s="504"/>
      <c r="H28" s="504"/>
      <c r="I28" s="504"/>
      <c r="J28" s="4"/>
      <c r="K28" s="4"/>
      <c r="L28" s="4"/>
      <c r="M28" s="4"/>
      <c r="N28" s="4"/>
      <c r="O28" s="179"/>
      <c r="P28" s="178"/>
      <c r="Q28" s="4"/>
      <c r="R28" s="4"/>
      <c r="S28" s="4"/>
      <c r="T28" s="4"/>
      <c r="U28" s="504"/>
      <c r="V28" s="504"/>
      <c r="W28" s="504"/>
      <c r="X28" s="4"/>
      <c r="Y28" s="4"/>
      <c r="Z28" s="4"/>
      <c r="AA28" s="4"/>
      <c r="AB28" s="4"/>
      <c r="AC28" s="4"/>
      <c r="AD28" s="179"/>
      <c r="AE28" s="178"/>
      <c r="AF28" s="4"/>
      <c r="AG28" s="4"/>
      <c r="AH28" s="4"/>
      <c r="AI28" s="4"/>
      <c r="AJ28" s="504"/>
      <c r="AK28" s="504"/>
      <c r="AL28" s="504"/>
      <c r="AM28" s="4"/>
      <c r="AN28" s="4"/>
      <c r="AO28" s="4"/>
      <c r="AP28" s="4"/>
      <c r="AQ28" s="4"/>
      <c r="AR28" s="179"/>
      <c r="AS28" s="178"/>
      <c r="AU28" s="4"/>
      <c r="AV28" s="4"/>
      <c r="AZ28" s="4"/>
      <c r="BA28" s="4"/>
      <c r="BB28" s="4"/>
      <c r="BC28" s="4"/>
      <c r="BD28" s="4"/>
      <c r="BE28" s="4"/>
      <c r="BF28" s="179"/>
      <c r="BG28" s="4"/>
    </row>
    <row r="29" spans="2:59" s="76" customFormat="1" ht="14.4" customHeight="1">
      <c r="B29" s="178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179"/>
      <c r="P29" s="178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179"/>
      <c r="AE29" s="178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179"/>
      <c r="AS29" s="178"/>
      <c r="AU29" s="4"/>
      <c r="AV29" s="4"/>
      <c r="AZ29" s="4"/>
      <c r="BA29" s="4"/>
      <c r="BB29" s="4"/>
      <c r="BC29" s="4"/>
      <c r="BD29" s="4"/>
      <c r="BE29" s="4"/>
      <c r="BF29" s="179"/>
      <c r="BG29" s="4"/>
    </row>
    <row r="30" spans="2:59" s="76" customFormat="1" ht="14.4" customHeight="1">
      <c r="B30" s="178"/>
      <c r="C30" s="4" t="str">
        <f>verze!E147</f>
        <v>min.vestavná výška [mm] :</v>
      </c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179"/>
      <c r="P30" s="178"/>
      <c r="Q30" s="4" t="str">
        <f>verze!E147</f>
        <v>min.vestavná výška [mm] :</v>
      </c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179"/>
      <c r="AE30" s="178"/>
      <c r="AF30" s="4" t="str">
        <f>verze!E147</f>
        <v>min.vestavná výška [mm] :</v>
      </c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179"/>
      <c r="AS30" s="178"/>
      <c r="AU30" s="4"/>
      <c r="AV30" s="4"/>
      <c r="AZ30" s="4"/>
      <c r="BA30" s="4"/>
      <c r="BB30" s="4"/>
      <c r="BC30" s="4"/>
      <c r="BD30" s="4"/>
      <c r="BE30" s="4"/>
      <c r="BF30" s="179"/>
      <c r="BG30" s="4"/>
    </row>
    <row r="31" spans="2:59" s="76" customFormat="1" ht="14.4" customHeight="1">
      <c r="B31" s="178"/>
      <c r="C31" s="508" t="str">
        <f>verze!E148</f>
        <v>jenom SiSy</v>
      </c>
      <c r="D31" s="508"/>
      <c r="E31" s="509"/>
      <c r="F31" s="510" t="s">
        <v>339</v>
      </c>
      <c r="G31" s="508"/>
      <c r="H31" s="508"/>
      <c r="I31" s="4"/>
      <c r="J31" s="24"/>
      <c r="K31" s="24"/>
      <c r="L31" s="24"/>
      <c r="M31" s="505">
        <f>SUM('AVT101(vn-A)'!O19:AF22)+SUM('AVT101(vn-A)'!O27:AD30)</f>
        <v>0</v>
      </c>
      <c r="N31" s="505"/>
      <c r="O31" s="506"/>
      <c r="P31" s="178"/>
      <c r="Q31" s="508" t="str">
        <f>verze!E148</f>
        <v>jenom SiSy</v>
      </c>
      <c r="R31" s="508"/>
      <c r="S31" s="509"/>
      <c r="T31" s="510" t="s">
        <v>339</v>
      </c>
      <c r="U31" s="508"/>
      <c r="V31" s="508"/>
      <c r="W31" s="4"/>
      <c r="X31" s="24"/>
      <c r="Y31" s="24"/>
      <c r="Z31" s="24"/>
      <c r="AA31" s="24"/>
      <c r="AB31" s="505">
        <f>SUM('AVT139(vn-A)'!O19:AF22)+SUM('AVT139(vn-A)'!O27:AD30)</f>
        <v>0</v>
      </c>
      <c r="AC31" s="505"/>
      <c r="AD31" s="506"/>
      <c r="AE31" s="178"/>
      <c r="AF31" s="508" t="str">
        <f>verze!E148</f>
        <v>jenom SiSy</v>
      </c>
      <c r="AG31" s="508"/>
      <c r="AH31" s="509"/>
      <c r="AI31" s="510" t="s">
        <v>339</v>
      </c>
      <c r="AJ31" s="508"/>
      <c r="AK31" s="508"/>
      <c r="AL31" s="4"/>
      <c r="AM31" s="24"/>
      <c r="AN31" s="24"/>
      <c r="AO31" s="24"/>
      <c r="AP31" s="505">
        <f>SUM('AVT187(vn-A)'!O19:AF22)+SUM('AVT187(vn-A)'!O27:AD30)</f>
        <v>0</v>
      </c>
      <c r="AQ31" s="505"/>
      <c r="AR31" s="506"/>
      <c r="AS31" s="180"/>
      <c r="AZ31" s="24"/>
      <c r="BA31" s="24"/>
      <c r="BB31" s="24"/>
      <c r="BC31" s="24"/>
      <c r="BF31" s="193"/>
      <c r="BG31" s="4"/>
    </row>
    <row r="32" spans="2:59" s="76" customFormat="1" ht="14.4" customHeight="1">
      <c r="B32" s="178"/>
      <c r="C32" s="507">
        <v>105</v>
      </c>
      <c r="D32" s="507"/>
      <c r="E32" s="511"/>
      <c r="F32" s="507">
        <v>107</v>
      </c>
      <c r="G32" s="507"/>
      <c r="H32" s="507"/>
      <c r="I32" s="24"/>
      <c r="J32" s="24"/>
      <c r="K32" s="24"/>
      <c r="L32" s="24"/>
      <c r="M32" s="505"/>
      <c r="N32" s="505"/>
      <c r="O32" s="506"/>
      <c r="P32" s="178"/>
      <c r="Q32" s="507">
        <v>143</v>
      </c>
      <c r="R32" s="507"/>
      <c r="S32" s="511"/>
      <c r="T32" s="507">
        <v>145</v>
      </c>
      <c r="U32" s="507"/>
      <c r="V32" s="507"/>
      <c r="W32" s="24"/>
      <c r="X32" s="24"/>
      <c r="Y32" s="24"/>
      <c r="Z32" s="24"/>
      <c r="AA32" s="24"/>
      <c r="AB32" s="505"/>
      <c r="AC32" s="505"/>
      <c r="AD32" s="506"/>
      <c r="AE32" s="178"/>
      <c r="AF32" s="507">
        <v>192</v>
      </c>
      <c r="AG32" s="507"/>
      <c r="AH32" s="511"/>
      <c r="AI32" s="507">
        <v>194</v>
      </c>
      <c r="AJ32" s="507"/>
      <c r="AK32" s="507"/>
      <c r="AL32" s="24"/>
      <c r="AM32" s="24"/>
      <c r="AN32" s="24"/>
      <c r="AO32" s="24"/>
      <c r="AP32" s="505"/>
      <c r="AQ32" s="505"/>
      <c r="AR32" s="506"/>
      <c r="AS32" s="180"/>
      <c r="AZ32" s="24"/>
      <c r="BA32" s="24"/>
      <c r="BB32" s="24"/>
      <c r="BC32" s="24"/>
      <c r="BF32" s="193"/>
      <c r="BG32" s="4"/>
    </row>
    <row r="33" spans="2:59" s="76" customFormat="1" ht="14.4" customHeight="1" thickBot="1">
      <c r="B33" s="181"/>
      <c r="C33" s="182"/>
      <c r="D33" s="183"/>
      <c r="E33" s="183"/>
      <c r="F33" s="183"/>
      <c r="G33" s="183"/>
      <c r="H33" s="183"/>
      <c r="I33" s="183"/>
      <c r="J33" s="183"/>
      <c r="K33" s="183"/>
      <c r="L33" s="183"/>
      <c r="M33" s="183"/>
      <c r="N33" s="183"/>
      <c r="O33" s="235" t="str">
        <f>IF(AND(M31=0,SUM('AVT101(vn-A)'!O84:AJ84)&lt;&gt;0),verze!E118&amp;"  ","")</f>
        <v/>
      </c>
      <c r="P33" s="181"/>
      <c r="Q33" s="183"/>
      <c r="R33" s="183"/>
      <c r="S33" s="183"/>
      <c r="T33" s="183"/>
      <c r="U33" s="183"/>
      <c r="V33" s="183"/>
      <c r="W33" s="183"/>
      <c r="X33" s="183"/>
      <c r="Y33" s="183"/>
      <c r="Z33" s="183"/>
      <c r="AA33" s="183"/>
      <c r="AB33" s="183"/>
      <c r="AC33" s="183"/>
      <c r="AD33" s="235" t="str">
        <f>IF(AND(AB31=0,SUM('AVT139(vn-A)'!O84:AJ84)&lt;&gt;0),verze!E118&amp;"  ","")</f>
        <v/>
      </c>
      <c r="AE33" s="181"/>
      <c r="AF33" s="183"/>
      <c r="AG33" s="183"/>
      <c r="AH33" s="183"/>
      <c r="AI33" s="183"/>
      <c r="AJ33" s="183"/>
      <c r="AK33" s="183"/>
      <c r="AL33" s="183"/>
      <c r="AM33" s="183"/>
      <c r="AN33" s="183"/>
      <c r="AO33" s="183"/>
      <c r="AP33" s="183"/>
      <c r="AQ33" s="183"/>
      <c r="AR33" s="235" t="str">
        <f>IF(AND(AP31=0,SUM('AVT187(vn-A)'!O84:AJ84)&lt;&gt;0),verze!E118&amp;"  ","")</f>
        <v/>
      </c>
      <c r="AS33" s="181"/>
      <c r="AT33" s="183"/>
      <c r="AU33" s="183"/>
      <c r="AV33" s="183"/>
      <c r="AW33" s="183"/>
      <c r="AX33" s="183"/>
      <c r="AY33" s="183"/>
      <c r="AZ33" s="183"/>
      <c r="BA33" s="183"/>
      <c r="BB33" s="183"/>
      <c r="BC33" s="183"/>
      <c r="BD33" s="183"/>
      <c r="BE33" s="183"/>
      <c r="BF33" s="184"/>
      <c r="BG33" s="4"/>
    </row>
    <row r="34" spans="2:59" s="76" customFormat="1" ht="14.4" customHeight="1" thickTop="1">
      <c r="B34" s="173"/>
      <c r="C34" s="176"/>
      <c r="D34" s="176"/>
      <c r="E34" s="176"/>
      <c r="F34" s="176"/>
      <c r="G34" s="176"/>
      <c r="H34" s="176"/>
      <c r="I34" s="176"/>
      <c r="J34" s="176"/>
      <c r="K34" s="176"/>
      <c r="L34" s="176"/>
      <c r="M34" s="176"/>
      <c r="N34" s="176"/>
      <c r="O34" s="177"/>
      <c r="P34" s="173"/>
      <c r="Q34" s="174"/>
      <c r="R34" s="175"/>
      <c r="S34" s="175"/>
      <c r="T34" s="175"/>
      <c r="U34" s="175"/>
      <c r="V34" s="175"/>
      <c r="W34" s="176"/>
      <c r="X34" s="176"/>
      <c r="Y34" s="176"/>
      <c r="Z34" s="176"/>
      <c r="AA34" s="176"/>
      <c r="AB34" s="176"/>
      <c r="AC34" s="176"/>
      <c r="AD34" s="177"/>
      <c r="AE34" s="173"/>
      <c r="AF34" s="174" t="str">
        <f>verze!E120</f>
        <v>zásuvka ze skleněnou bočnicí</v>
      </c>
      <c r="AG34" s="175"/>
      <c r="AH34" s="175"/>
      <c r="AI34" s="175"/>
      <c r="AJ34" s="175"/>
      <c r="AK34" s="175"/>
      <c r="AL34" s="176"/>
      <c r="AM34" s="176"/>
      <c r="AN34" s="176"/>
      <c r="AO34" s="176"/>
      <c r="AP34" s="176"/>
      <c r="AQ34" s="176"/>
      <c r="AR34" s="177"/>
      <c r="AS34" s="173"/>
      <c r="AT34" s="176"/>
      <c r="AU34" s="175"/>
      <c r="AV34" s="175"/>
      <c r="AW34" s="175"/>
      <c r="AX34" s="175"/>
      <c r="AY34" s="175"/>
      <c r="AZ34" s="176"/>
      <c r="BA34" s="176"/>
      <c r="BB34" s="176"/>
      <c r="BC34" s="176"/>
      <c r="BD34" s="176"/>
      <c r="BE34" s="176"/>
      <c r="BF34" s="177"/>
      <c r="BG34" s="4"/>
    </row>
    <row r="35" spans="2:59" s="76" customFormat="1" ht="14.4" customHeight="1">
      <c r="B35" s="17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179"/>
      <c r="P35" s="178"/>
      <c r="Q35" s="4"/>
      <c r="R35" s="4"/>
      <c r="S35" s="4"/>
      <c r="T35" s="4"/>
      <c r="U35" s="6"/>
      <c r="V35" s="6"/>
      <c r="W35" s="6"/>
      <c r="X35" s="4"/>
      <c r="Y35" s="4"/>
      <c r="Z35" s="4"/>
      <c r="AA35" s="4"/>
      <c r="AB35" s="4"/>
      <c r="AC35" s="4"/>
      <c r="AD35" s="179"/>
      <c r="AE35" s="178"/>
      <c r="AF35" s="4" t="str">
        <f>verze!E145</f>
        <v>výška bočnice :</v>
      </c>
      <c r="AG35" s="4"/>
      <c r="AH35" s="4"/>
      <c r="AI35" s="4"/>
      <c r="AJ35" s="504" t="s">
        <v>336</v>
      </c>
      <c r="AK35" s="504"/>
      <c r="AL35" s="504"/>
      <c r="AM35" s="4"/>
      <c r="AN35" s="4"/>
      <c r="AO35" s="4"/>
      <c r="AP35" s="4"/>
      <c r="AQ35" s="4"/>
      <c r="AR35" s="179"/>
      <c r="AS35" s="178"/>
      <c r="AU35" s="4"/>
      <c r="AV35" s="4"/>
      <c r="AZ35" s="4"/>
      <c r="BA35" s="4"/>
      <c r="BB35" s="4"/>
      <c r="BC35" s="4"/>
      <c r="BD35" s="4"/>
      <c r="BE35" s="4"/>
      <c r="BF35" s="179"/>
      <c r="BG35" s="4"/>
    </row>
    <row r="36" spans="2:59" s="76" customFormat="1" ht="14.4" customHeight="1">
      <c r="B36" s="178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179"/>
      <c r="P36" s="178"/>
      <c r="Q36" s="4"/>
      <c r="R36" s="4"/>
      <c r="S36" s="4"/>
      <c r="T36" s="4"/>
      <c r="U36" s="6"/>
      <c r="V36" s="6"/>
      <c r="W36" s="6"/>
      <c r="X36" s="4"/>
      <c r="Y36" s="4"/>
      <c r="Z36" s="4"/>
      <c r="AA36" s="4"/>
      <c r="AB36" s="4"/>
      <c r="AC36" s="4"/>
      <c r="AD36" s="179"/>
      <c r="AE36" s="178"/>
      <c r="AF36" s="4"/>
      <c r="AG36" s="4"/>
      <c r="AH36" s="4"/>
      <c r="AI36" s="4"/>
      <c r="AJ36" s="504"/>
      <c r="AK36" s="504"/>
      <c r="AL36" s="504"/>
      <c r="AM36" s="4"/>
      <c r="AN36" s="4"/>
      <c r="AO36" s="4"/>
      <c r="AP36" s="4"/>
      <c r="AQ36" s="4"/>
      <c r="AR36" s="179"/>
      <c r="AS36" s="178"/>
      <c r="AU36" s="4"/>
      <c r="AV36" s="4"/>
      <c r="AZ36" s="4"/>
      <c r="BA36" s="4"/>
      <c r="BB36" s="4"/>
      <c r="BC36" s="4"/>
      <c r="BD36" s="4"/>
      <c r="BE36" s="4"/>
      <c r="BF36" s="179"/>
      <c r="BG36" s="4"/>
    </row>
    <row r="37" spans="2:59" s="76" customFormat="1" ht="14.4" customHeight="1">
      <c r="B37" s="178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179"/>
      <c r="P37" s="178"/>
      <c r="Q37" s="4"/>
      <c r="R37" s="4"/>
      <c r="S37" s="4"/>
      <c r="T37" s="4"/>
      <c r="U37" s="6"/>
      <c r="V37" s="6"/>
      <c r="W37" s="6"/>
      <c r="X37" s="4"/>
      <c r="Y37" s="4"/>
      <c r="Z37" s="4"/>
      <c r="AA37" s="4"/>
      <c r="AB37" s="4"/>
      <c r="AC37" s="4"/>
      <c r="AD37" s="179"/>
      <c r="AE37" s="178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179"/>
      <c r="AS37" s="178"/>
      <c r="AU37" s="4"/>
      <c r="AV37" s="4"/>
      <c r="AZ37" s="4"/>
      <c r="BA37" s="4"/>
      <c r="BB37" s="4"/>
      <c r="BC37" s="4"/>
      <c r="BD37" s="4"/>
      <c r="BE37" s="4"/>
      <c r="BF37" s="179"/>
      <c r="BG37" s="4"/>
    </row>
    <row r="38" spans="2:59" s="76" customFormat="1" ht="14.4" customHeight="1">
      <c r="B38" s="178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179"/>
      <c r="P38" s="178"/>
      <c r="Q38" s="4"/>
      <c r="R38" s="4"/>
      <c r="S38" s="4"/>
      <c r="T38" s="4"/>
      <c r="U38" s="6"/>
      <c r="V38" s="6"/>
      <c r="W38" s="6"/>
      <c r="X38" s="4"/>
      <c r="Y38" s="4"/>
      <c r="Z38" s="4"/>
      <c r="AA38" s="4"/>
      <c r="AB38" s="4"/>
      <c r="AC38" s="4"/>
      <c r="AD38" s="179"/>
      <c r="AE38" s="178"/>
      <c r="AF38" s="4" t="str">
        <f>verze!E147</f>
        <v>min.vestavná výška [mm] :</v>
      </c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179"/>
      <c r="AS38" s="178"/>
      <c r="AU38" s="4"/>
      <c r="AV38" s="4"/>
      <c r="AZ38" s="4"/>
      <c r="BA38" s="4"/>
      <c r="BB38" s="4"/>
      <c r="BC38" s="4"/>
      <c r="BD38" s="4"/>
      <c r="BE38" s="4"/>
      <c r="BF38" s="179"/>
      <c r="BG38" s="4"/>
    </row>
    <row r="39" spans="2:59" s="76" customFormat="1" ht="14.4" customHeight="1">
      <c r="B39" s="178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179"/>
      <c r="P39" s="178"/>
      <c r="Q39" s="4"/>
      <c r="R39" s="4"/>
      <c r="S39" s="4"/>
      <c r="T39" s="4"/>
      <c r="U39" s="6"/>
      <c r="V39" s="6"/>
      <c r="W39" s="6"/>
      <c r="X39" s="4"/>
      <c r="Y39" s="4"/>
      <c r="Z39" s="4"/>
      <c r="AA39" s="4"/>
      <c r="AB39" s="4"/>
      <c r="AC39" s="4"/>
      <c r="AD39" s="179"/>
      <c r="AE39" s="178"/>
      <c r="AF39" s="508" t="str">
        <f>verze!E148</f>
        <v>jenom SiSy</v>
      </c>
      <c r="AG39" s="508"/>
      <c r="AH39" s="509"/>
      <c r="AI39" s="510" t="s">
        <v>339</v>
      </c>
      <c r="AJ39" s="508"/>
      <c r="AK39" s="508"/>
      <c r="AL39" s="4"/>
      <c r="AM39" s="24"/>
      <c r="AN39" s="24"/>
      <c r="AO39" s="24"/>
      <c r="AP39" s="505">
        <f>SUM('AVT187In(vn-A)'!O19:AF22)+SUM('AVT187In(vn-A)'!O27:AD30)</f>
        <v>0</v>
      </c>
      <c r="AQ39" s="505"/>
      <c r="AR39" s="506"/>
      <c r="AS39" s="180"/>
      <c r="AZ39" s="24"/>
      <c r="BA39" s="24"/>
      <c r="BB39" s="24"/>
      <c r="BC39" s="24"/>
      <c r="BF39" s="193"/>
      <c r="BG39" s="4"/>
    </row>
    <row r="40" spans="2:59" s="76" customFormat="1" ht="14.4" customHeight="1">
      <c r="B40" s="178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4"/>
      <c r="N40" s="4"/>
      <c r="O40" s="179"/>
      <c r="P40" s="178"/>
      <c r="Q40" s="4"/>
      <c r="R40" s="4"/>
      <c r="S40" s="4"/>
      <c r="T40" s="4"/>
      <c r="U40" s="6"/>
      <c r="V40" s="6"/>
      <c r="W40" s="6"/>
      <c r="X40" s="4"/>
      <c r="Y40" s="4"/>
      <c r="Z40" s="4"/>
      <c r="AA40" s="4"/>
      <c r="AB40" s="4"/>
      <c r="AC40" s="4"/>
      <c r="AD40" s="179"/>
      <c r="AE40" s="178"/>
      <c r="AF40" s="507">
        <v>188</v>
      </c>
      <c r="AG40" s="507"/>
      <c r="AH40" s="511"/>
      <c r="AI40" s="507">
        <v>190</v>
      </c>
      <c r="AJ40" s="507"/>
      <c r="AK40" s="507"/>
      <c r="AL40" s="24"/>
      <c r="AM40" s="24"/>
      <c r="AN40" s="24"/>
      <c r="AO40" s="24"/>
      <c r="AP40" s="505"/>
      <c r="AQ40" s="505"/>
      <c r="AR40" s="506"/>
      <c r="AS40" s="180"/>
      <c r="AZ40" s="24"/>
      <c r="BA40" s="24"/>
      <c r="BB40" s="24"/>
      <c r="BC40" s="24"/>
      <c r="BF40" s="193"/>
      <c r="BG40" s="4"/>
    </row>
    <row r="41" spans="2:59" s="76" customFormat="1" ht="14.4" customHeight="1" thickBot="1">
      <c r="B41" s="181"/>
      <c r="C41" s="186"/>
      <c r="D41" s="186"/>
      <c r="E41" s="186"/>
      <c r="F41" s="186"/>
      <c r="G41" s="186"/>
      <c r="H41" s="186"/>
      <c r="I41" s="186"/>
      <c r="J41" s="186"/>
      <c r="K41" s="186"/>
      <c r="L41" s="186"/>
      <c r="M41" s="183"/>
      <c r="N41" s="183"/>
      <c r="O41" s="184"/>
      <c r="P41" s="181"/>
      <c r="Q41" s="186"/>
      <c r="R41" s="186"/>
      <c r="S41" s="186"/>
      <c r="T41" s="186"/>
      <c r="U41" s="186"/>
      <c r="V41" s="186"/>
      <c r="W41" s="186"/>
      <c r="X41" s="186"/>
      <c r="Y41" s="186"/>
      <c r="Z41" s="186"/>
      <c r="AA41" s="183"/>
      <c r="AB41" s="183"/>
      <c r="AC41" s="183"/>
      <c r="AD41" s="184"/>
      <c r="AE41" s="181"/>
      <c r="AF41" s="183"/>
      <c r="AG41" s="183"/>
      <c r="AH41" s="183"/>
      <c r="AI41" s="183"/>
      <c r="AJ41" s="183"/>
      <c r="AK41" s="183"/>
      <c r="AL41" s="183"/>
      <c r="AM41" s="183"/>
      <c r="AN41" s="183"/>
      <c r="AO41" s="183"/>
      <c r="AP41" s="183"/>
      <c r="AQ41" s="183"/>
      <c r="AR41" s="235" t="str">
        <f>IF(AND(AP39=0,SUM('AVT187In(vn-A)'!O84:AJ84)&lt;&gt;0),verze!E118&amp;"  ","")</f>
        <v/>
      </c>
      <c r="AS41" s="181"/>
      <c r="AT41" s="183"/>
      <c r="AU41" s="183"/>
      <c r="AV41" s="183"/>
      <c r="AW41" s="183"/>
      <c r="AX41" s="183"/>
      <c r="AY41" s="183"/>
      <c r="AZ41" s="183"/>
      <c r="BA41" s="183"/>
      <c r="BB41" s="183"/>
      <c r="BC41" s="183"/>
      <c r="BD41" s="183"/>
      <c r="BE41" s="183"/>
      <c r="BF41" s="184"/>
      <c r="BG41" s="4"/>
    </row>
    <row r="42" spans="2:59" s="76" customFormat="1" ht="14.4" customHeight="1" thickTop="1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5"/>
      <c r="O42" s="6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5"/>
      <c r="AD42" s="6"/>
      <c r="AE42" s="4"/>
      <c r="AR42" s="77"/>
      <c r="AS42" s="4"/>
      <c r="BF42" s="77"/>
      <c r="BG42" s="4"/>
    </row>
    <row r="43" spans="2:59" s="76" customFormat="1" ht="14.4" customHeight="1" thickBot="1">
      <c r="B43" s="4"/>
      <c r="C43" s="73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196"/>
      <c r="P43" s="197"/>
      <c r="Q43" s="197"/>
      <c r="R43" s="197"/>
      <c r="S43" s="197"/>
      <c r="T43" s="197"/>
      <c r="U43" s="197"/>
      <c r="V43" s="197"/>
      <c r="W43" s="197"/>
      <c r="X43" s="197"/>
      <c r="Y43" s="197"/>
      <c r="Z43" s="197"/>
      <c r="AA43" s="197"/>
      <c r="AB43" s="197"/>
      <c r="AC43" s="197"/>
      <c r="AD43" s="196"/>
      <c r="AE43" s="197"/>
      <c r="AF43" s="197"/>
      <c r="AG43" s="197"/>
      <c r="AH43" s="197"/>
      <c r="AI43" s="197"/>
      <c r="AJ43" s="197"/>
      <c r="AK43" s="197"/>
      <c r="AL43" s="197"/>
      <c r="AM43" s="197"/>
      <c r="AN43" s="197"/>
      <c r="AO43" s="197"/>
      <c r="AP43" s="197"/>
      <c r="AQ43" s="197"/>
      <c r="AR43" s="196" t="str">
        <f>verze!E128</f>
        <v>Vnitřní zásuvka - 187 mm se skleněným čelem</v>
      </c>
      <c r="AS43" s="197"/>
      <c r="AT43" s="197"/>
      <c r="AU43" s="197"/>
      <c r="AV43" s="197"/>
      <c r="AW43" s="197"/>
      <c r="AX43" s="197"/>
      <c r="AY43" s="197"/>
      <c r="AZ43" s="197"/>
      <c r="BA43" s="197"/>
      <c r="BB43" s="197"/>
      <c r="BC43" s="197"/>
      <c r="BD43" s="197"/>
      <c r="BE43" s="197"/>
      <c r="BF43" s="196"/>
      <c r="BG43" s="4"/>
    </row>
    <row r="44" spans="2:59" s="76" customFormat="1" ht="14.4" customHeight="1" thickTop="1">
      <c r="B44" s="173"/>
      <c r="C44" s="176"/>
      <c r="D44" s="176"/>
      <c r="E44" s="176"/>
      <c r="F44" s="176"/>
      <c r="G44" s="176"/>
      <c r="H44" s="176"/>
      <c r="I44" s="176"/>
      <c r="J44" s="176"/>
      <c r="K44" s="176"/>
      <c r="L44" s="176"/>
      <c r="M44" s="176"/>
      <c r="N44" s="176"/>
      <c r="O44" s="177"/>
      <c r="P44" s="173"/>
      <c r="Q44" s="174"/>
      <c r="R44" s="175"/>
      <c r="S44" s="175"/>
      <c r="T44" s="175"/>
      <c r="U44" s="175"/>
      <c r="V44" s="175"/>
      <c r="W44" s="176"/>
      <c r="X44" s="176"/>
      <c r="Y44" s="176"/>
      <c r="Z44" s="176"/>
      <c r="AA44" s="176"/>
      <c r="AB44" s="176"/>
      <c r="AC44" s="176"/>
      <c r="AD44" s="177"/>
      <c r="AE44" s="173"/>
      <c r="AF44" s="174" t="str">
        <f>verze!E119</f>
        <v>zásuvka základní</v>
      </c>
      <c r="AG44" s="175"/>
      <c r="AH44" s="175"/>
      <c r="AI44" s="175"/>
      <c r="AJ44" s="175"/>
      <c r="AK44" s="175"/>
      <c r="AL44" s="176"/>
      <c r="AM44" s="176"/>
      <c r="AN44" s="176"/>
      <c r="AO44" s="176"/>
      <c r="AP44" s="176"/>
      <c r="AQ44" s="176"/>
      <c r="AR44" s="177"/>
      <c r="AS44" s="173"/>
      <c r="AT44" s="176"/>
      <c r="AU44" s="175"/>
      <c r="AV44" s="175"/>
      <c r="AW44" s="175"/>
      <c r="AX44" s="175"/>
      <c r="AY44" s="175"/>
      <c r="AZ44" s="176"/>
      <c r="BA44" s="176"/>
      <c r="BB44" s="176"/>
      <c r="BC44" s="176"/>
      <c r="BD44" s="176"/>
      <c r="BE44" s="176"/>
      <c r="BF44" s="177"/>
      <c r="BG44" s="4"/>
    </row>
    <row r="45" spans="2:59" s="76" customFormat="1" ht="14.4" customHeight="1">
      <c r="B45" s="178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179"/>
      <c r="P45" s="178"/>
      <c r="Q45" s="4"/>
      <c r="R45" s="4"/>
      <c r="S45" s="4"/>
      <c r="T45" s="4"/>
      <c r="U45" s="6"/>
      <c r="V45" s="6"/>
      <c r="W45" s="6"/>
      <c r="X45" s="4"/>
      <c r="Y45" s="4"/>
      <c r="Z45" s="4"/>
      <c r="AA45" s="4"/>
      <c r="AB45" s="4"/>
      <c r="AC45" s="4"/>
      <c r="AD45" s="179"/>
      <c r="AE45" s="178"/>
      <c r="AF45" s="4" t="str">
        <f>verze!E145</f>
        <v>výška bočnice :</v>
      </c>
      <c r="AG45" s="4"/>
      <c r="AH45" s="4"/>
      <c r="AI45" s="4"/>
      <c r="AJ45" s="504" t="s">
        <v>336</v>
      </c>
      <c r="AK45" s="504"/>
      <c r="AL45" s="504"/>
      <c r="AM45" s="4"/>
      <c r="AN45" s="4"/>
      <c r="AO45" s="4"/>
      <c r="AP45" s="4"/>
      <c r="AQ45" s="4"/>
      <c r="AR45" s="179"/>
      <c r="AS45" s="178"/>
      <c r="AU45" s="4"/>
      <c r="AV45" s="4"/>
      <c r="AZ45" s="4"/>
      <c r="BA45" s="4"/>
      <c r="BB45" s="4"/>
      <c r="BC45" s="4"/>
      <c r="BD45" s="4"/>
      <c r="BE45" s="4"/>
      <c r="BF45" s="179"/>
      <c r="BG45" s="4"/>
    </row>
    <row r="46" spans="2:59" s="76" customFormat="1" ht="14.4" customHeight="1">
      <c r="B46" s="178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179"/>
      <c r="P46" s="178"/>
      <c r="Q46" s="4"/>
      <c r="R46" s="4"/>
      <c r="S46" s="4"/>
      <c r="T46" s="4"/>
      <c r="U46" s="6"/>
      <c r="V46" s="6"/>
      <c r="W46" s="6"/>
      <c r="X46" s="4"/>
      <c r="Y46" s="4"/>
      <c r="Z46" s="4"/>
      <c r="AA46" s="4"/>
      <c r="AB46" s="4"/>
      <c r="AC46" s="4"/>
      <c r="AD46" s="179"/>
      <c r="AE46" s="178"/>
      <c r="AF46" s="4"/>
      <c r="AG46" s="4"/>
      <c r="AH46" s="4"/>
      <c r="AI46" s="4"/>
      <c r="AJ46" s="504"/>
      <c r="AK46" s="504"/>
      <c r="AL46" s="504"/>
      <c r="AM46" s="4"/>
      <c r="AN46" s="4"/>
      <c r="AO46" s="4"/>
      <c r="AP46" s="4"/>
      <c r="AQ46" s="4"/>
      <c r="AR46" s="179"/>
      <c r="AS46" s="178"/>
      <c r="AU46" s="4"/>
      <c r="AV46" s="4"/>
      <c r="AZ46" s="4"/>
      <c r="BA46" s="4"/>
      <c r="BB46" s="4"/>
      <c r="BC46" s="4"/>
      <c r="BD46" s="4"/>
      <c r="BE46" s="4"/>
      <c r="BF46" s="179"/>
      <c r="BG46" s="4"/>
    </row>
    <row r="47" spans="2:59" s="76" customFormat="1" ht="14.4" customHeight="1">
      <c r="B47" s="178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179"/>
      <c r="P47" s="178"/>
      <c r="Q47" s="4"/>
      <c r="R47" s="4"/>
      <c r="S47" s="4"/>
      <c r="T47" s="4"/>
      <c r="U47" s="6"/>
      <c r="V47" s="6"/>
      <c r="W47" s="6"/>
      <c r="X47" s="4"/>
      <c r="Y47" s="4"/>
      <c r="Z47" s="4"/>
      <c r="AA47" s="4"/>
      <c r="AB47" s="4"/>
      <c r="AC47" s="4"/>
      <c r="AD47" s="179"/>
      <c r="AE47" s="178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179"/>
      <c r="AS47" s="178"/>
      <c r="AU47" s="4"/>
      <c r="AV47" s="4"/>
      <c r="AZ47" s="4"/>
      <c r="BA47" s="4"/>
      <c r="BB47" s="4"/>
      <c r="BC47" s="4"/>
      <c r="BD47" s="4"/>
      <c r="BE47" s="4"/>
      <c r="BF47" s="179"/>
      <c r="BG47" s="4"/>
    </row>
    <row r="48" spans="2:59" s="76" customFormat="1" ht="14.4" customHeight="1">
      <c r="B48" s="178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179"/>
      <c r="P48" s="178"/>
      <c r="Q48" s="4"/>
      <c r="R48" s="4"/>
      <c r="S48" s="4"/>
      <c r="T48" s="4"/>
      <c r="U48" s="6"/>
      <c r="V48" s="6"/>
      <c r="W48" s="6"/>
      <c r="X48" s="4"/>
      <c r="Y48" s="4"/>
      <c r="Z48" s="4"/>
      <c r="AA48" s="4"/>
      <c r="AB48" s="4"/>
      <c r="AC48" s="4"/>
      <c r="AD48" s="179"/>
      <c r="AE48" s="178"/>
      <c r="AF48" s="4" t="str">
        <f>verze!E147</f>
        <v>min.vestavná výška [mm] :</v>
      </c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179"/>
      <c r="AS48" s="178"/>
      <c r="AU48" s="4"/>
      <c r="AV48" s="4"/>
      <c r="AZ48" s="4"/>
      <c r="BA48" s="4"/>
      <c r="BB48" s="4"/>
      <c r="BC48" s="4"/>
      <c r="BD48" s="4"/>
      <c r="BE48" s="4"/>
      <c r="BF48" s="179"/>
      <c r="BG48" s="4"/>
    </row>
    <row r="49" spans="1:59" s="76" customFormat="1" ht="14.4" customHeight="1">
      <c r="B49" s="178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179"/>
      <c r="P49" s="178"/>
      <c r="Q49" s="4"/>
      <c r="R49" s="4"/>
      <c r="S49" s="4"/>
      <c r="T49" s="4"/>
      <c r="U49" s="6"/>
      <c r="V49" s="6"/>
      <c r="W49" s="6"/>
      <c r="X49" s="4"/>
      <c r="Y49" s="4"/>
      <c r="Z49" s="4"/>
      <c r="AA49" s="4"/>
      <c r="AB49" s="4"/>
      <c r="AC49" s="4"/>
      <c r="AD49" s="179"/>
      <c r="AE49" s="178"/>
      <c r="AF49" s="508" t="str">
        <f>verze!E148</f>
        <v>jenom SiSy</v>
      </c>
      <c r="AG49" s="508"/>
      <c r="AH49" s="509"/>
      <c r="AI49" s="510" t="s">
        <v>339</v>
      </c>
      <c r="AJ49" s="508"/>
      <c r="AK49" s="508"/>
      <c r="AL49" s="4"/>
      <c r="AM49" s="24"/>
      <c r="AN49" s="24"/>
      <c r="AO49" s="24"/>
      <c r="AP49" s="505">
        <f>SUM('AVT187(vn-S)'!O19:AF22)+SUM('AVT187(vn-S)'!O27:AD30)</f>
        <v>0</v>
      </c>
      <c r="AQ49" s="505"/>
      <c r="AR49" s="506"/>
      <c r="AS49" s="180"/>
      <c r="AZ49" s="24"/>
      <c r="BA49" s="24"/>
      <c r="BB49" s="24"/>
      <c r="BC49" s="24"/>
      <c r="BF49" s="193"/>
      <c r="BG49" s="4"/>
    </row>
    <row r="50" spans="1:59" s="76" customFormat="1" ht="14.4" customHeight="1">
      <c r="B50" s="178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4"/>
      <c r="N50" s="4"/>
      <c r="O50" s="179"/>
      <c r="P50" s="178"/>
      <c r="Q50" s="4"/>
      <c r="R50" s="4"/>
      <c r="S50" s="4"/>
      <c r="T50" s="4"/>
      <c r="U50" s="6"/>
      <c r="V50" s="6"/>
      <c r="W50" s="6"/>
      <c r="X50" s="4"/>
      <c r="Y50" s="4"/>
      <c r="Z50" s="4"/>
      <c r="AA50" s="4"/>
      <c r="AB50" s="4"/>
      <c r="AC50" s="4"/>
      <c r="AD50" s="179"/>
      <c r="AE50" s="178"/>
      <c r="AF50" s="507">
        <v>194</v>
      </c>
      <c r="AG50" s="507"/>
      <c r="AH50" s="511"/>
      <c r="AI50" s="507">
        <v>196</v>
      </c>
      <c r="AJ50" s="507"/>
      <c r="AK50" s="507"/>
      <c r="AL50" s="24"/>
      <c r="AM50" s="24"/>
      <c r="AN50" s="24"/>
      <c r="AO50" s="24"/>
      <c r="AP50" s="505"/>
      <c r="AQ50" s="505"/>
      <c r="AR50" s="506"/>
      <c r="AS50" s="180"/>
      <c r="AZ50" s="24"/>
      <c r="BA50" s="24"/>
      <c r="BB50" s="24"/>
      <c r="BC50" s="24"/>
      <c r="BF50" s="193"/>
      <c r="BG50" s="4"/>
    </row>
    <row r="51" spans="1:59" s="76" customFormat="1" ht="14.4" customHeight="1" thickBot="1">
      <c r="B51" s="181"/>
      <c r="C51" s="186"/>
      <c r="D51" s="186"/>
      <c r="E51" s="186"/>
      <c r="F51" s="186"/>
      <c r="G51" s="186"/>
      <c r="H51" s="186"/>
      <c r="I51" s="186"/>
      <c r="J51" s="186"/>
      <c r="K51" s="186"/>
      <c r="L51" s="186"/>
      <c r="M51" s="183"/>
      <c r="N51" s="183"/>
      <c r="O51" s="184"/>
      <c r="P51" s="181"/>
      <c r="Q51" s="186"/>
      <c r="R51" s="186"/>
      <c r="S51" s="186"/>
      <c r="T51" s="186"/>
      <c r="U51" s="186"/>
      <c r="V51" s="186"/>
      <c r="W51" s="186"/>
      <c r="X51" s="186"/>
      <c r="Y51" s="186"/>
      <c r="Z51" s="186"/>
      <c r="AA51" s="183"/>
      <c r="AB51" s="183"/>
      <c r="AC51" s="183"/>
      <c r="AD51" s="184"/>
      <c r="AE51" s="181"/>
      <c r="AF51" s="183"/>
      <c r="AG51" s="183"/>
      <c r="AH51" s="183"/>
      <c r="AI51" s="183"/>
      <c r="AJ51" s="183"/>
      <c r="AK51" s="183"/>
      <c r="AL51" s="183"/>
      <c r="AM51" s="183"/>
      <c r="AN51" s="183"/>
      <c r="AO51" s="183"/>
      <c r="AP51" s="183"/>
      <c r="AQ51" s="183"/>
      <c r="AR51" s="235" t="str">
        <f>IF(AND(AP49=0,SUM('AVT187(vn-S)'!O84:AJ84)&lt;&gt;0),verze!E118&amp;"  ","")</f>
        <v/>
      </c>
      <c r="AS51" s="181"/>
      <c r="AT51" s="183"/>
      <c r="AU51" s="183"/>
      <c r="AV51" s="183"/>
      <c r="AW51" s="183"/>
      <c r="AX51" s="183"/>
      <c r="AY51" s="183"/>
      <c r="AZ51" s="183"/>
      <c r="BA51" s="183"/>
      <c r="BB51" s="183"/>
      <c r="BC51" s="183"/>
      <c r="BD51" s="183"/>
      <c r="BE51" s="183"/>
      <c r="BF51" s="184"/>
      <c r="BG51" s="4"/>
    </row>
    <row r="52" spans="1:59" s="76" customFormat="1" ht="14.4" customHeight="1" thickTop="1">
      <c r="B52" s="173"/>
      <c r="C52" s="176"/>
      <c r="D52" s="176"/>
      <c r="E52" s="176"/>
      <c r="F52" s="176"/>
      <c r="G52" s="176"/>
      <c r="H52" s="176"/>
      <c r="I52" s="176"/>
      <c r="J52" s="176"/>
      <c r="K52" s="176"/>
      <c r="L52" s="176"/>
      <c r="M52" s="176"/>
      <c r="N52" s="176"/>
      <c r="O52" s="177"/>
      <c r="P52" s="173"/>
      <c r="Q52" s="174"/>
      <c r="R52" s="175"/>
      <c r="S52" s="175"/>
      <c r="T52" s="175"/>
      <c r="U52" s="175"/>
      <c r="V52" s="175"/>
      <c r="W52" s="176"/>
      <c r="X52" s="176"/>
      <c r="Y52" s="176"/>
      <c r="Z52" s="176"/>
      <c r="AA52" s="176"/>
      <c r="AB52" s="176"/>
      <c r="AC52" s="176"/>
      <c r="AD52" s="177"/>
      <c r="AE52" s="173"/>
      <c r="AF52" s="174" t="str">
        <f>verze!E120</f>
        <v>zásuvka ze skleněnou bočnicí</v>
      </c>
      <c r="AG52" s="175"/>
      <c r="AH52" s="175"/>
      <c r="AI52" s="175"/>
      <c r="AJ52" s="175"/>
      <c r="AK52" s="175"/>
      <c r="AL52" s="176"/>
      <c r="AM52" s="176"/>
      <c r="AN52" s="176"/>
      <c r="AO52" s="176"/>
      <c r="AP52" s="176"/>
      <c r="AQ52" s="176"/>
      <c r="AR52" s="177"/>
      <c r="AS52" s="176"/>
      <c r="AT52" s="175"/>
      <c r="AU52" s="175"/>
      <c r="AV52" s="175"/>
      <c r="AW52" s="175"/>
      <c r="AX52" s="175"/>
      <c r="AY52" s="175"/>
      <c r="AZ52" s="176"/>
      <c r="BA52" s="176"/>
      <c r="BB52" s="176"/>
      <c r="BC52" s="176"/>
      <c r="BD52" s="176"/>
      <c r="BE52" s="176"/>
      <c r="BF52" s="177"/>
      <c r="BG52" s="4"/>
    </row>
    <row r="53" spans="1:59" s="76" customFormat="1" ht="14.4" customHeight="1">
      <c r="B53" s="178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179"/>
      <c r="P53" s="178"/>
      <c r="Q53" s="4"/>
      <c r="R53" s="4"/>
      <c r="S53" s="4"/>
      <c r="T53" s="4"/>
      <c r="U53" s="6"/>
      <c r="V53" s="6"/>
      <c r="W53" s="6"/>
      <c r="X53" s="4"/>
      <c r="Y53" s="4"/>
      <c r="Z53" s="4"/>
      <c r="AA53" s="4"/>
      <c r="AB53" s="4"/>
      <c r="AC53" s="4"/>
      <c r="AD53" s="179"/>
      <c r="AE53" s="178"/>
      <c r="AF53" s="4" t="str">
        <f>verze!E145</f>
        <v>výška bočnice :</v>
      </c>
      <c r="AG53" s="4"/>
      <c r="AH53" s="4"/>
      <c r="AI53" s="4"/>
      <c r="AJ53" s="504" t="s">
        <v>336</v>
      </c>
      <c r="AK53" s="504"/>
      <c r="AL53" s="504"/>
      <c r="AM53" s="4"/>
      <c r="AN53" s="4"/>
      <c r="AO53" s="4"/>
      <c r="AP53" s="4"/>
      <c r="AQ53" s="4"/>
      <c r="AR53" s="179"/>
      <c r="AT53" s="4"/>
      <c r="AU53" s="4"/>
      <c r="AV53" s="4"/>
      <c r="AZ53" s="4"/>
      <c r="BA53" s="4"/>
      <c r="BB53" s="4"/>
      <c r="BC53" s="4"/>
      <c r="BD53" s="4"/>
      <c r="BE53" s="4"/>
      <c r="BF53" s="179"/>
      <c r="BG53" s="4"/>
    </row>
    <row r="54" spans="1:59" s="76" customFormat="1" ht="14.4" customHeight="1">
      <c r="B54" s="178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179"/>
      <c r="P54" s="178"/>
      <c r="Q54" s="4"/>
      <c r="R54" s="4"/>
      <c r="S54" s="4"/>
      <c r="T54" s="4"/>
      <c r="U54" s="6"/>
      <c r="V54" s="6"/>
      <c r="W54" s="6"/>
      <c r="X54" s="4"/>
      <c r="Y54" s="4"/>
      <c r="Z54" s="4"/>
      <c r="AA54" s="4"/>
      <c r="AB54" s="4"/>
      <c r="AC54" s="4"/>
      <c r="AD54" s="179"/>
      <c r="AE54" s="178"/>
      <c r="AF54" s="4"/>
      <c r="AG54" s="4"/>
      <c r="AH54" s="4"/>
      <c r="AI54" s="4"/>
      <c r="AJ54" s="504"/>
      <c r="AK54" s="504"/>
      <c r="AL54" s="504"/>
      <c r="AM54" s="4"/>
      <c r="AN54" s="4"/>
      <c r="AO54" s="4"/>
      <c r="AP54" s="4"/>
      <c r="AQ54" s="4"/>
      <c r="AR54" s="179"/>
      <c r="AT54" s="4"/>
      <c r="AU54" s="4"/>
      <c r="AV54" s="4"/>
      <c r="AZ54" s="4"/>
      <c r="BA54" s="4"/>
      <c r="BB54" s="4"/>
      <c r="BC54" s="4"/>
      <c r="BD54" s="4"/>
      <c r="BE54" s="4"/>
      <c r="BF54" s="179"/>
      <c r="BG54" s="4"/>
    </row>
    <row r="55" spans="1:59" s="76" customFormat="1" ht="14.4" customHeight="1">
      <c r="B55" s="178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179"/>
      <c r="P55" s="178"/>
      <c r="Q55" s="4"/>
      <c r="R55" s="4"/>
      <c r="S55" s="4"/>
      <c r="T55" s="4"/>
      <c r="U55" s="6"/>
      <c r="V55" s="6"/>
      <c r="W55" s="6"/>
      <c r="X55" s="4"/>
      <c r="Y55" s="4"/>
      <c r="Z55" s="4"/>
      <c r="AA55" s="4"/>
      <c r="AB55" s="4"/>
      <c r="AC55" s="4"/>
      <c r="AD55" s="179"/>
      <c r="AE55" s="178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179"/>
      <c r="AT55" s="4"/>
      <c r="AU55" s="4"/>
      <c r="AV55" s="4"/>
      <c r="AZ55" s="4"/>
      <c r="BA55" s="4"/>
      <c r="BB55" s="4"/>
      <c r="BC55" s="4"/>
      <c r="BD55" s="4"/>
      <c r="BE55" s="4"/>
      <c r="BF55" s="179"/>
      <c r="BG55" s="4"/>
    </row>
    <row r="56" spans="1:59" s="76" customFormat="1" ht="14.4" customHeight="1">
      <c r="B56" s="178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179"/>
      <c r="P56" s="178"/>
      <c r="Q56" s="4"/>
      <c r="R56" s="4"/>
      <c r="S56" s="4"/>
      <c r="T56" s="4"/>
      <c r="U56" s="6"/>
      <c r="V56" s="6"/>
      <c r="W56" s="6"/>
      <c r="X56" s="4"/>
      <c r="Y56" s="4"/>
      <c r="Z56" s="4"/>
      <c r="AA56" s="4"/>
      <c r="AB56" s="4"/>
      <c r="AC56" s="4"/>
      <c r="AD56" s="179"/>
      <c r="AE56" s="178"/>
      <c r="AF56" s="4" t="str">
        <f>verze!E147</f>
        <v>min.vestavná výška [mm] :</v>
      </c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179"/>
      <c r="AT56" s="4"/>
      <c r="AU56" s="4"/>
      <c r="AV56" s="4"/>
      <c r="AZ56" s="4"/>
      <c r="BA56" s="4"/>
      <c r="BB56" s="4"/>
      <c r="BC56" s="4"/>
      <c r="BD56" s="4"/>
      <c r="BE56" s="4"/>
      <c r="BF56" s="179"/>
      <c r="BG56" s="4"/>
    </row>
    <row r="57" spans="1:59" s="76" customFormat="1" ht="14.4" customHeight="1">
      <c r="B57" s="178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179"/>
      <c r="P57" s="178"/>
      <c r="Q57" s="4"/>
      <c r="R57" s="4"/>
      <c r="S57" s="4"/>
      <c r="T57" s="4"/>
      <c r="U57" s="6"/>
      <c r="V57" s="6"/>
      <c r="W57" s="6"/>
      <c r="X57" s="4"/>
      <c r="Y57" s="4"/>
      <c r="Z57" s="4"/>
      <c r="AA57" s="4"/>
      <c r="AB57" s="4"/>
      <c r="AC57" s="4"/>
      <c r="AD57" s="179"/>
      <c r="AE57" s="178"/>
      <c r="AF57" s="508" t="str">
        <f>verze!E148</f>
        <v>jenom SiSy</v>
      </c>
      <c r="AG57" s="508"/>
      <c r="AH57" s="509"/>
      <c r="AI57" s="510" t="s">
        <v>339</v>
      </c>
      <c r="AJ57" s="508"/>
      <c r="AK57" s="508"/>
      <c r="AL57" s="4"/>
      <c r="AM57" s="24"/>
      <c r="AN57" s="24"/>
      <c r="AO57" s="24"/>
      <c r="AP57" s="505">
        <f>SUM('AVT187In(vn-S)'!O19:AF22)+SUM('AVT187In(vn-S)'!O27:AD30)</f>
        <v>0</v>
      </c>
      <c r="AQ57" s="505"/>
      <c r="AR57" s="506"/>
      <c r="AZ57" s="24"/>
      <c r="BA57" s="24"/>
      <c r="BB57" s="24"/>
      <c r="BC57" s="24"/>
      <c r="BF57" s="193"/>
      <c r="BG57" s="4"/>
    </row>
    <row r="58" spans="1:59" s="76" customFormat="1" ht="14.4" customHeight="1">
      <c r="B58" s="178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4"/>
      <c r="N58" s="4"/>
      <c r="O58" s="179"/>
      <c r="P58" s="178"/>
      <c r="Q58" s="4"/>
      <c r="R58" s="4"/>
      <c r="S58" s="4"/>
      <c r="T58" s="4"/>
      <c r="U58" s="6"/>
      <c r="V58" s="6"/>
      <c r="W58" s="6"/>
      <c r="X58" s="4"/>
      <c r="Y58" s="4"/>
      <c r="Z58" s="4"/>
      <c r="AA58" s="4"/>
      <c r="AB58" s="4"/>
      <c r="AC58" s="4"/>
      <c r="AD58" s="179"/>
      <c r="AE58" s="178"/>
      <c r="AF58" s="507">
        <v>194</v>
      </c>
      <c r="AG58" s="507"/>
      <c r="AH58" s="511"/>
      <c r="AI58" s="507">
        <v>196</v>
      </c>
      <c r="AJ58" s="507"/>
      <c r="AK58" s="507"/>
      <c r="AL58" s="24"/>
      <c r="AM58" s="24"/>
      <c r="AN58" s="24"/>
      <c r="AO58" s="24"/>
      <c r="AP58" s="505"/>
      <c r="AQ58" s="505"/>
      <c r="AR58" s="506"/>
      <c r="AZ58" s="24"/>
      <c r="BA58" s="24"/>
      <c r="BB58" s="24"/>
      <c r="BC58" s="24"/>
      <c r="BF58" s="193"/>
      <c r="BG58" s="4"/>
    </row>
    <row r="59" spans="1:59" s="76" customFormat="1" ht="14.4" customHeight="1" thickBot="1">
      <c r="B59" s="181"/>
      <c r="C59" s="186"/>
      <c r="D59" s="186"/>
      <c r="E59" s="186"/>
      <c r="F59" s="186"/>
      <c r="G59" s="186"/>
      <c r="H59" s="186"/>
      <c r="I59" s="186"/>
      <c r="J59" s="186"/>
      <c r="K59" s="186"/>
      <c r="L59" s="186"/>
      <c r="M59" s="183"/>
      <c r="N59" s="183"/>
      <c r="O59" s="184"/>
      <c r="P59" s="181"/>
      <c r="Q59" s="186"/>
      <c r="R59" s="186"/>
      <c r="S59" s="186"/>
      <c r="T59" s="186"/>
      <c r="U59" s="186"/>
      <c r="V59" s="186"/>
      <c r="W59" s="186"/>
      <c r="X59" s="186"/>
      <c r="Y59" s="186"/>
      <c r="Z59" s="186"/>
      <c r="AA59" s="183"/>
      <c r="AB59" s="183"/>
      <c r="AC59" s="183"/>
      <c r="AD59" s="184"/>
      <c r="AE59" s="181"/>
      <c r="AF59" s="183"/>
      <c r="AG59" s="183"/>
      <c r="AH59" s="183"/>
      <c r="AI59" s="183"/>
      <c r="AJ59" s="183"/>
      <c r="AK59" s="183"/>
      <c r="AL59" s="183"/>
      <c r="AM59" s="183"/>
      <c r="AN59" s="183"/>
      <c r="AO59" s="183"/>
      <c r="AP59" s="183"/>
      <c r="AQ59" s="183"/>
      <c r="AR59" s="235" t="str">
        <f>IF(AND(AP57=0,SUM('AVT187In(vn-S)'!O84:AJ84)&lt;&gt;0),verze!E118&amp;"  ","")</f>
        <v/>
      </c>
      <c r="AS59" s="194"/>
      <c r="AT59" s="194"/>
      <c r="AU59" s="194"/>
      <c r="AV59" s="194"/>
      <c r="AW59" s="194"/>
      <c r="AX59" s="194"/>
      <c r="AY59" s="194"/>
      <c r="AZ59" s="186"/>
      <c r="BA59" s="186"/>
      <c r="BB59" s="186"/>
      <c r="BC59" s="186"/>
      <c r="BD59" s="194"/>
      <c r="BE59" s="194"/>
      <c r="BF59" s="195"/>
      <c r="BG59" s="4"/>
    </row>
    <row r="60" spans="1:59" s="76" customFormat="1" ht="14.4" customHeight="1" thickTop="1">
      <c r="B60" s="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4"/>
      <c r="N60" s="4"/>
      <c r="O60" s="4"/>
      <c r="P60" s="4"/>
      <c r="Q60" s="143"/>
      <c r="R60" s="143"/>
      <c r="S60" s="143"/>
      <c r="T60" s="143"/>
      <c r="U60" s="143"/>
      <c r="V60" s="143"/>
      <c r="W60" s="24"/>
      <c r="X60" s="24"/>
      <c r="Y60" s="24"/>
      <c r="Z60" s="24"/>
      <c r="AA60" s="24"/>
      <c r="AB60" s="159"/>
      <c r="AC60" s="159"/>
      <c r="AD60" s="159"/>
      <c r="AE60" s="24"/>
      <c r="AL60" s="24"/>
      <c r="AM60" s="24"/>
      <c r="AN60" s="24"/>
      <c r="AO60" s="24"/>
      <c r="AR60" s="77"/>
      <c r="AS60" s="24"/>
      <c r="AZ60" s="24"/>
      <c r="BA60" s="24"/>
      <c r="BB60" s="24"/>
      <c r="BC60" s="24"/>
      <c r="BF60" s="77"/>
      <c r="BG60" s="4"/>
    </row>
    <row r="61" spans="1:59" s="76" customFormat="1" ht="23.1" customHeight="1">
      <c r="A61" s="166"/>
      <c r="B61" s="172" t="str">
        <f>verze!E141</f>
        <v>Speciální zásuvky a speciální řešení</v>
      </c>
      <c r="C61" s="172"/>
      <c r="D61" s="166"/>
      <c r="E61" s="166"/>
      <c r="F61" s="166"/>
      <c r="G61" s="166"/>
      <c r="H61" s="166"/>
      <c r="I61" s="166"/>
      <c r="J61" s="166"/>
      <c r="K61" s="166"/>
      <c r="L61" s="166"/>
      <c r="M61" s="166"/>
      <c r="N61" s="167"/>
      <c r="O61" s="168"/>
      <c r="P61" s="169"/>
      <c r="Q61" s="170"/>
      <c r="R61" s="170"/>
      <c r="S61" s="170"/>
      <c r="T61" s="170"/>
      <c r="U61" s="170"/>
      <c r="V61" s="170"/>
      <c r="W61" s="170"/>
      <c r="X61" s="170"/>
      <c r="Y61" s="170"/>
      <c r="Z61" s="170"/>
      <c r="AA61" s="169"/>
      <c r="AB61" s="169"/>
      <c r="AC61" s="171"/>
      <c r="AD61" s="168"/>
      <c r="AE61" s="169"/>
      <c r="AF61" s="170"/>
      <c r="AG61" s="170"/>
      <c r="AH61" s="170"/>
      <c r="AI61" s="170"/>
      <c r="AJ61" s="170"/>
      <c r="AK61" s="170"/>
      <c r="AL61" s="170"/>
      <c r="AM61" s="170"/>
      <c r="AN61" s="170"/>
      <c r="AO61" s="169"/>
      <c r="AP61" s="169"/>
      <c r="AQ61" s="170"/>
      <c r="AR61" s="168"/>
      <c r="AS61" s="169"/>
      <c r="AT61" s="170"/>
      <c r="AU61" s="170"/>
      <c r="AV61" s="170"/>
      <c r="AW61" s="170"/>
      <c r="AX61" s="170"/>
      <c r="AY61" s="170"/>
      <c r="AZ61" s="170"/>
      <c r="BA61" s="170"/>
      <c r="BB61" s="170"/>
      <c r="BC61" s="169"/>
      <c r="BD61" s="169"/>
      <c r="BE61" s="170"/>
      <c r="BF61" s="168"/>
      <c r="BG61" s="4"/>
    </row>
    <row r="62" spans="1:59" s="76" customFormat="1" ht="14.4" customHeight="1" thickBot="1">
      <c r="B62" s="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4"/>
      <c r="N62" s="4"/>
      <c r="O62" s="4"/>
      <c r="P62" s="4"/>
      <c r="Q62" s="143"/>
      <c r="R62" s="143"/>
      <c r="S62" s="143"/>
      <c r="T62" s="143"/>
      <c r="U62" s="143"/>
      <c r="V62" s="143"/>
      <c r="W62" s="24"/>
      <c r="X62" s="24"/>
      <c r="Y62" s="24"/>
      <c r="Z62" s="24"/>
      <c r="AA62" s="24"/>
      <c r="AB62" s="159"/>
      <c r="AC62" s="159"/>
      <c r="AD62" s="159"/>
      <c r="AE62" s="24"/>
      <c r="AL62" s="24"/>
      <c r="AM62" s="24"/>
      <c r="AN62" s="24"/>
      <c r="AO62" s="24"/>
      <c r="AR62" s="77"/>
      <c r="AS62" s="24"/>
      <c r="AZ62" s="24"/>
      <c r="BA62" s="24"/>
      <c r="BB62" s="24"/>
      <c r="BC62" s="24"/>
      <c r="BF62" s="77"/>
      <c r="BG62" s="4"/>
    </row>
    <row r="63" spans="1:59" s="76" customFormat="1" ht="14.4" customHeight="1" thickTop="1">
      <c r="B63" s="173"/>
      <c r="C63" s="174" t="str">
        <f>verze!E119</f>
        <v>zásuvka základní</v>
      </c>
      <c r="D63" s="175"/>
      <c r="E63" s="175"/>
      <c r="F63" s="175"/>
      <c r="G63" s="175"/>
      <c r="H63" s="175"/>
      <c r="I63" s="175"/>
      <c r="J63" s="176"/>
      <c r="K63" s="176"/>
      <c r="L63" s="176"/>
      <c r="M63" s="176"/>
      <c r="N63" s="176"/>
      <c r="O63" s="177"/>
      <c r="P63" s="173"/>
      <c r="Q63" s="327"/>
      <c r="R63" s="327"/>
      <c r="S63" s="327"/>
      <c r="T63" s="327"/>
      <c r="U63" s="327"/>
      <c r="V63" s="327"/>
      <c r="W63" s="327"/>
      <c r="X63" s="327"/>
      <c r="Y63" s="327"/>
      <c r="Z63" s="327"/>
      <c r="AA63" s="327"/>
      <c r="AB63" s="327"/>
      <c r="AC63" s="327"/>
      <c r="AD63" s="328"/>
      <c r="AE63" s="173"/>
      <c r="AF63" s="327"/>
      <c r="AG63" s="327"/>
      <c r="AH63" s="327"/>
      <c r="AI63" s="327"/>
      <c r="AJ63" s="327"/>
      <c r="AK63" s="327"/>
      <c r="AL63" s="327"/>
      <c r="AM63" s="327"/>
      <c r="AN63" s="327"/>
      <c r="AO63" s="327"/>
      <c r="AP63" s="327"/>
      <c r="AQ63" s="327"/>
      <c r="AR63" s="328"/>
      <c r="AS63" s="176"/>
      <c r="AT63" s="175"/>
      <c r="AU63" s="175"/>
      <c r="AV63" s="175"/>
      <c r="AW63" s="175"/>
      <c r="AX63" s="175"/>
      <c r="AY63" s="175"/>
      <c r="AZ63" s="176"/>
      <c r="BA63" s="176"/>
      <c r="BB63" s="176"/>
      <c r="BC63" s="176"/>
      <c r="BD63" s="176"/>
      <c r="BE63" s="176"/>
      <c r="BF63" s="177"/>
      <c r="BG63" s="4"/>
    </row>
    <row r="64" spans="1:59" s="76" customFormat="1" ht="14.4" customHeight="1">
      <c r="B64" s="178"/>
      <c r="C64" s="4" t="str">
        <f>verze!E145</f>
        <v>výška bočnice :</v>
      </c>
      <c r="D64" s="4"/>
      <c r="E64" s="4"/>
      <c r="F64" s="4"/>
      <c r="G64" s="504" t="s">
        <v>376</v>
      </c>
      <c r="H64" s="504"/>
      <c r="I64" s="504"/>
      <c r="J64" s="4"/>
      <c r="K64" s="4"/>
      <c r="L64" s="4"/>
      <c r="M64" s="4"/>
      <c r="N64" s="4"/>
      <c r="O64" s="179"/>
      <c r="P64" s="178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179"/>
      <c r="AE64" s="178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179"/>
      <c r="AT64" s="4"/>
      <c r="AU64" s="4"/>
      <c r="AV64" s="4"/>
      <c r="AZ64" s="4"/>
      <c r="BA64" s="4"/>
      <c r="BB64" s="4"/>
      <c r="BC64" s="4"/>
      <c r="BD64" s="4"/>
      <c r="BE64" s="4"/>
      <c r="BF64" s="179"/>
      <c r="BG64" s="4"/>
    </row>
    <row r="65" spans="1:59" s="76" customFormat="1" ht="14.4" customHeight="1">
      <c r="B65" s="178"/>
      <c r="C65" s="4"/>
      <c r="D65" s="4"/>
      <c r="E65" s="4"/>
      <c r="F65" s="4"/>
      <c r="G65" s="504"/>
      <c r="H65" s="504"/>
      <c r="I65" s="504"/>
      <c r="J65" s="4"/>
      <c r="K65" s="4"/>
      <c r="L65" s="4"/>
      <c r="M65" s="4"/>
      <c r="N65" s="4"/>
      <c r="O65" s="179"/>
      <c r="P65" s="178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179"/>
      <c r="AE65" s="178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179"/>
      <c r="AT65" s="4"/>
      <c r="AU65" s="4"/>
      <c r="AV65" s="4"/>
      <c r="AZ65" s="4"/>
      <c r="BA65" s="4"/>
      <c r="BB65" s="4"/>
      <c r="BC65" s="4"/>
      <c r="BD65" s="4"/>
      <c r="BE65" s="4"/>
      <c r="BF65" s="179"/>
      <c r="BG65" s="4"/>
    </row>
    <row r="66" spans="1:59" s="76" customFormat="1" ht="14.4" customHeight="1">
      <c r="B66" s="178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179"/>
      <c r="P66" s="178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179"/>
      <c r="AE66" s="178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179"/>
      <c r="AT66" s="4"/>
      <c r="AU66" s="4"/>
      <c r="AV66" s="4"/>
      <c r="AZ66" s="4"/>
      <c r="BA66" s="4"/>
      <c r="BB66" s="4"/>
      <c r="BC66" s="4"/>
      <c r="BD66" s="4"/>
      <c r="BE66" s="4"/>
      <c r="BF66" s="179"/>
      <c r="BG66" s="4"/>
    </row>
    <row r="67" spans="1:59" s="76" customFormat="1" ht="14.4" customHeight="1">
      <c r="B67" s="178"/>
      <c r="C67" s="4" t="str">
        <f>verze!E147</f>
        <v>min.vestavná výška [mm] :</v>
      </c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179"/>
      <c r="P67" s="178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179"/>
      <c r="AE67" s="178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179"/>
      <c r="AT67" s="4"/>
      <c r="AU67" s="4"/>
      <c r="AV67" s="4"/>
      <c r="AZ67" s="4"/>
      <c r="BA67" s="4"/>
      <c r="BB67" s="4"/>
      <c r="BC67" s="4"/>
      <c r="BD67" s="4"/>
      <c r="BE67" s="4"/>
      <c r="BF67" s="179"/>
      <c r="BG67" s="4"/>
    </row>
    <row r="68" spans="1:59" s="97" customFormat="1" ht="14.4" customHeight="1">
      <c r="B68" s="180"/>
      <c r="C68" s="508" t="str">
        <f>verze!E148</f>
        <v>jenom SiSy</v>
      </c>
      <c r="D68" s="508"/>
      <c r="E68" s="509"/>
      <c r="F68" s="510" t="s">
        <v>339</v>
      </c>
      <c r="G68" s="508"/>
      <c r="H68" s="508"/>
      <c r="I68" s="4"/>
      <c r="J68" s="24"/>
      <c r="K68" s="24"/>
      <c r="L68" s="24"/>
      <c r="M68" s="505">
        <f>SUM('AVT77'!O19:AF22)+SUM('AVT77'!O27:AD30)</f>
        <v>0</v>
      </c>
      <c r="N68" s="505"/>
      <c r="O68" s="506"/>
      <c r="P68" s="178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179"/>
      <c r="AE68" s="178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179"/>
      <c r="AS68" s="76"/>
      <c r="AT68" s="76"/>
      <c r="AU68" s="76"/>
      <c r="AV68" s="76"/>
      <c r="AW68" s="76"/>
      <c r="AX68" s="76"/>
      <c r="AY68" s="76"/>
      <c r="AZ68" s="24"/>
      <c r="BA68" s="24"/>
      <c r="BB68" s="24"/>
      <c r="BC68" s="24"/>
      <c r="BD68" s="76"/>
      <c r="BE68" s="76"/>
      <c r="BF68" s="193"/>
      <c r="BG68" s="24"/>
    </row>
    <row r="69" spans="1:59" s="97" customFormat="1" ht="14.4" customHeight="1">
      <c r="B69" s="180"/>
      <c r="C69" s="507">
        <v>78</v>
      </c>
      <c r="D69" s="507"/>
      <c r="E69" s="511"/>
      <c r="F69" s="507">
        <v>80</v>
      </c>
      <c r="G69" s="507"/>
      <c r="H69" s="507"/>
      <c r="I69" s="24"/>
      <c r="J69" s="24"/>
      <c r="K69" s="24"/>
      <c r="L69" s="24"/>
      <c r="M69" s="505"/>
      <c r="N69" s="505"/>
      <c r="O69" s="506"/>
      <c r="P69" s="178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179"/>
      <c r="AE69" s="178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179"/>
      <c r="AS69" s="76"/>
      <c r="AT69" s="76"/>
      <c r="AU69" s="76"/>
      <c r="AV69" s="76"/>
      <c r="AW69" s="76"/>
      <c r="AX69" s="76"/>
      <c r="AY69" s="76"/>
      <c r="AZ69" s="24"/>
      <c r="BA69" s="24"/>
      <c r="BB69" s="24"/>
      <c r="BC69" s="24"/>
      <c r="BD69" s="76"/>
      <c r="BE69" s="76"/>
      <c r="BF69" s="193"/>
      <c r="BG69" s="24"/>
    </row>
    <row r="70" spans="1:59" s="76" customFormat="1" ht="14.4" customHeight="1" thickBot="1">
      <c r="B70" s="181"/>
      <c r="C70" s="182"/>
      <c r="D70" s="183"/>
      <c r="E70" s="183"/>
      <c r="F70" s="183"/>
      <c r="G70" s="183"/>
      <c r="H70" s="183"/>
      <c r="I70" s="183"/>
      <c r="J70" s="183"/>
      <c r="K70" s="183"/>
      <c r="L70" s="183"/>
      <c r="M70" s="183"/>
      <c r="N70" s="340"/>
      <c r="O70" s="184"/>
      <c r="P70" s="181"/>
      <c r="Q70" s="183"/>
      <c r="R70" s="183"/>
      <c r="S70" s="183"/>
      <c r="T70" s="183"/>
      <c r="U70" s="183"/>
      <c r="V70" s="183"/>
      <c r="W70" s="183"/>
      <c r="X70" s="183"/>
      <c r="Y70" s="183"/>
      <c r="Z70" s="183"/>
      <c r="AA70" s="183"/>
      <c r="AB70" s="183"/>
      <c r="AC70" s="183"/>
      <c r="AD70" s="184"/>
      <c r="AE70" s="181"/>
      <c r="AF70" s="183"/>
      <c r="AG70" s="183"/>
      <c r="AH70" s="183"/>
      <c r="AI70" s="183"/>
      <c r="AJ70" s="183"/>
      <c r="AK70" s="183"/>
      <c r="AL70" s="183"/>
      <c r="AM70" s="183"/>
      <c r="AN70" s="183"/>
      <c r="AO70" s="183"/>
      <c r="AP70" s="183"/>
      <c r="AQ70" s="183"/>
      <c r="AR70" s="184"/>
      <c r="AS70" s="194"/>
      <c r="AT70" s="194"/>
      <c r="AU70" s="194"/>
      <c r="AV70" s="194"/>
      <c r="AW70" s="194"/>
      <c r="AX70" s="194"/>
      <c r="AY70" s="194"/>
      <c r="AZ70" s="186"/>
      <c r="BA70" s="186"/>
      <c r="BB70" s="186"/>
      <c r="BC70" s="186"/>
      <c r="BD70" s="194"/>
      <c r="BE70" s="194"/>
      <c r="BF70" s="195"/>
      <c r="BG70" s="4"/>
    </row>
    <row r="71" spans="1:59" s="76" customFormat="1" ht="14.4" customHeight="1" thickTop="1">
      <c r="B71" s="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4"/>
      <c r="N71" s="4"/>
      <c r="O71" s="4"/>
      <c r="P71" s="4"/>
      <c r="Q71" s="143"/>
      <c r="R71" s="143"/>
      <c r="S71" s="143"/>
      <c r="T71" s="143"/>
      <c r="U71" s="143"/>
      <c r="V71" s="143"/>
      <c r="W71" s="24"/>
      <c r="X71" s="24"/>
      <c r="Y71" s="24"/>
      <c r="Z71" s="24"/>
      <c r="AA71" s="24"/>
      <c r="AB71" s="159"/>
      <c r="AC71" s="159"/>
      <c r="AD71" s="159"/>
      <c r="AE71" s="24"/>
      <c r="AL71" s="24"/>
      <c r="AM71" s="24"/>
      <c r="AN71" s="24"/>
      <c r="AO71" s="24"/>
      <c r="AR71" s="77"/>
      <c r="AS71" s="24"/>
      <c r="AZ71" s="24"/>
      <c r="BA71" s="24"/>
      <c r="BB71" s="24"/>
      <c r="BC71" s="24"/>
      <c r="BF71" s="77"/>
      <c r="BG71" s="4"/>
    </row>
    <row r="72" spans="1:59" s="76" customFormat="1" ht="23.1" customHeight="1">
      <c r="A72" s="166"/>
      <c r="B72" s="172" t="str">
        <f>verze!E142</f>
        <v>Zásuvky úzké</v>
      </c>
      <c r="C72" s="172"/>
      <c r="D72" s="166"/>
      <c r="E72" s="166"/>
      <c r="F72" s="166"/>
      <c r="G72" s="166"/>
      <c r="H72" s="166"/>
      <c r="I72" s="166"/>
      <c r="J72" s="166"/>
      <c r="K72" s="166"/>
      <c r="L72" s="166"/>
      <c r="M72" s="166"/>
      <c r="N72" s="167"/>
      <c r="O72" s="168"/>
      <c r="P72" s="169"/>
      <c r="Q72" s="170"/>
      <c r="R72" s="170"/>
      <c r="S72" s="170"/>
      <c r="T72" s="170"/>
      <c r="U72" s="170"/>
      <c r="V72" s="170"/>
      <c r="W72" s="170"/>
      <c r="X72" s="170"/>
      <c r="Y72" s="170"/>
      <c r="Z72" s="170"/>
      <c r="AA72" s="169"/>
      <c r="AB72" s="169"/>
      <c r="AC72" s="171"/>
      <c r="AD72" s="168"/>
      <c r="AE72" s="169"/>
      <c r="AF72" s="170"/>
      <c r="AG72" s="170"/>
      <c r="AH72" s="170"/>
      <c r="AI72" s="170"/>
      <c r="AJ72" s="170"/>
      <c r="AK72" s="170"/>
      <c r="AL72" s="170"/>
      <c r="AM72" s="170"/>
      <c r="AN72" s="170"/>
      <c r="AO72" s="169"/>
      <c r="AP72" s="169"/>
      <c r="AQ72" s="170"/>
      <c r="AR72" s="168"/>
      <c r="AS72" s="169"/>
      <c r="AT72" s="170"/>
      <c r="AU72" s="170"/>
      <c r="AV72" s="170"/>
      <c r="AW72" s="170"/>
      <c r="AX72" s="170"/>
      <c r="AY72" s="170"/>
      <c r="AZ72" s="170"/>
      <c r="BA72" s="170"/>
      <c r="BB72" s="170"/>
      <c r="BC72" s="169"/>
      <c r="BD72" s="169"/>
      <c r="BE72" s="170"/>
      <c r="BF72" s="168"/>
      <c r="BG72" s="4"/>
    </row>
    <row r="73" spans="1:59" s="76" customFormat="1" ht="14.4" customHeight="1" thickBot="1">
      <c r="B73" s="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4"/>
      <c r="N73" s="4"/>
      <c r="O73" s="4"/>
      <c r="P73" s="4"/>
      <c r="Q73" s="143"/>
      <c r="R73" s="143"/>
      <c r="S73" s="143"/>
      <c r="T73" s="143"/>
      <c r="U73" s="143"/>
      <c r="V73" s="143"/>
      <c r="W73" s="24"/>
      <c r="X73" s="24"/>
      <c r="Y73" s="24"/>
      <c r="Z73" s="24"/>
      <c r="AA73" s="24"/>
      <c r="AB73" s="159"/>
      <c r="AC73" s="159"/>
      <c r="AD73" s="159"/>
      <c r="AE73" s="24"/>
      <c r="AL73" s="24"/>
      <c r="AM73" s="24"/>
      <c r="AN73" s="24"/>
      <c r="AO73" s="24"/>
      <c r="AR73" s="77"/>
      <c r="AS73" s="24"/>
      <c r="AZ73" s="24"/>
      <c r="BA73" s="24"/>
      <c r="BB73" s="24"/>
      <c r="BC73" s="24"/>
      <c r="BF73" s="77"/>
      <c r="BG73" s="4"/>
    </row>
    <row r="74" spans="1:59" s="76" customFormat="1" ht="14.4" customHeight="1" thickTop="1">
      <c r="B74" s="173"/>
      <c r="C74" s="174" t="str">
        <f>verze!E136</f>
        <v>zásuvka úzká spodní 101/187</v>
      </c>
      <c r="D74" s="175"/>
      <c r="E74" s="175"/>
      <c r="F74" s="175"/>
      <c r="G74" s="175"/>
      <c r="H74" s="175"/>
      <c r="I74" s="175"/>
      <c r="J74" s="176"/>
      <c r="K74" s="176"/>
      <c r="L74" s="176"/>
      <c r="M74" s="176"/>
      <c r="N74" s="176"/>
      <c r="O74" s="177"/>
      <c r="P74" s="173"/>
      <c r="Q74" s="174" t="str">
        <f>verze!E137</f>
        <v>zásuvka úzká spodní 139/187</v>
      </c>
      <c r="R74" s="175"/>
      <c r="S74" s="175"/>
      <c r="T74" s="175"/>
      <c r="U74" s="175"/>
      <c r="V74" s="175"/>
      <c r="W74" s="175"/>
      <c r="X74" s="176"/>
      <c r="Y74" s="176"/>
      <c r="Z74" s="176"/>
      <c r="AA74" s="176"/>
      <c r="AB74" s="176"/>
      <c r="AC74" s="176"/>
      <c r="AD74" s="177"/>
      <c r="AE74" s="173"/>
      <c r="AF74" s="174" t="str">
        <f>verze!E138</f>
        <v>zásuvka úzká spodní 2x187</v>
      </c>
      <c r="AG74" s="175"/>
      <c r="AH74" s="175"/>
      <c r="AI74" s="175"/>
      <c r="AJ74" s="175"/>
      <c r="AK74" s="175"/>
      <c r="AL74" s="175"/>
      <c r="AM74" s="176"/>
      <c r="AN74" s="176"/>
      <c r="AO74" s="176"/>
      <c r="AP74" s="176"/>
      <c r="AQ74" s="176"/>
      <c r="AR74" s="177"/>
      <c r="AS74" s="173"/>
      <c r="AT74" s="174" t="str">
        <f>verze!E138</f>
        <v>zásuvka úzká spodní 2x187</v>
      </c>
      <c r="AU74" s="175"/>
      <c r="AV74" s="175"/>
      <c r="AW74" s="175"/>
      <c r="AX74" s="175"/>
      <c r="AY74" s="175"/>
      <c r="AZ74" s="175"/>
      <c r="BA74" s="176"/>
      <c r="BB74" s="176"/>
      <c r="BC74" s="176"/>
      <c r="BD74" s="176"/>
      <c r="BE74" s="176"/>
      <c r="BF74" s="177"/>
      <c r="BG74" s="4"/>
    </row>
    <row r="75" spans="1:59" s="76" customFormat="1" ht="14.4" customHeight="1">
      <c r="B75" s="178"/>
      <c r="C75" s="74" t="str">
        <f>verze!E119</f>
        <v>zásuvka základní</v>
      </c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179"/>
      <c r="P75" s="178"/>
      <c r="Q75" s="74" t="str">
        <f>verze!E119</f>
        <v>zásuvka základní</v>
      </c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179"/>
      <c r="AE75" s="178"/>
      <c r="AF75" s="74" t="str">
        <f>verze!E119</f>
        <v>zásuvka základní</v>
      </c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179"/>
      <c r="AS75" s="178"/>
      <c r="AT75" s="74" t="str">
        <f>verze!E120</f>
        <v>zásuvka ze skleněnou bočnicí</v>
      </c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179"/>
      <c r="BG75" s="4"/>
    </row>
    <row r="76" spans="1:59" s="76" customFormat="1" ht="14.4" customHeight="1">
      <c r="B76" s="178"/>
      <c r="C76" s="4" t="str">
        <f>verze!E145</f>
        <v>výška bočnice :</v>
      </c>
      <c r="D76" s="4"/>
      <c r="E76" s="4"/>
      <c r="F76" s="4"/>
      <c r="G76" s="4" t="s">
        <v>385</v>
      </c>
      <c r="H76" s="4"/>
      <c r="I76" s="4"/>
      <c r="J76" s="4"/>
      <c r="K76" s="4"/>
      <c r="L76" s="4"/>
      <c r="M76" s="4"/>
      <c r="N76" s="4"/>
      <c r="O76" s="179"/>
      <c r="P76" s="178"/>
      <c r="Q76" s="4" t="str">
        <f>verze!E145</f>
        <v>výška bočnice :</v>
      </c>
      <c r="R76" s="4"/>
      <c r="S76" s="4"/>
      <c r="T76" s="4"/>
      <c r="U76" s="4" t="s">
        <v>386</v>
      </c>
      <c r="V76" s="4"/>
      <c r="W76" s="4"/>
      <c r="X76" s="4"/>
      <c r="Y76" s="4"/>
      <c r="Z76" s="4"/>
      <c r="AA76" s="4"/>
      <c r="AB76" s="4"/>
      <c r="AC76" s="4"/>
      <c r="AD76" s="179"/>
      <c r="AE76" s="178"/>
      <c r="AF76" s="4" t="str">
        <f>verze!E145</f>
        <v>výška bočnice :</v>
      </c>
      <c r="AG76" s="4"/>
      <c r="AH76" s="4"/>
      <c r="AI76" s="4"/>
      <c r="AJ76" s="4" t="s">
        <v>336</v>
      </c>
      <c r="AK76" s="4"/>
      <c r="AL76" s="4"/>
      <c r="AM76" s="4"/>
      <c r="AN76" s="4"/>
      <c r="AO76" s="4"/>
      <c r="AP76" s="4"/>
      <c r="AQ76" s="4"/>
      <c r="AR76" s="179"/>
      <c r="AS76" s="178"/>
      <c r="AT76" s="4" t="str">
        <f>verze!E145</f>
        <v>výška bočnice :</v>
      </c>
      <c r="AU76" s="4"/>
      <c r="AV76" s="4"/>
      <c r="AW76" s="4"/>
      <c r="AX76" s="4" t="s">
        <v>336</v>
      </c>
      <c r="AY76" s="4"/>
      <c r="AZ76" s="4"/>
      <c r="BA76" s="4"/>
      <c r="BB76" s="4"/>
      <c r="BC76" s="4"/>
      <c r="BD76" s="4"/>
      <c r="BE76" s="4"/>
      <c r="BF76" s="179"/>
      <c r="BG76" s="4"/>
    </row>
    <row r="77" spans="1:59" s="76" customFormat="1" ht="14.4" customHeight="1">
      <c r="B77" s="178"/>
      <c r="C77" s="4"/>
      <c r="D77" s="4"/>
      <c r="E77" s="4"/>
      <c r="F77" s="4"/>
      <c r="G77" s="504"/>
      <c r="H77" s="504"/>
      <c r="I77" s="504"/>
      <c r="J77" s="4"/>
      <c r="K77" s="4"/>
      <c r="L77" s="4"/>
      <c r="M77" s="4"/>
      <c r="N77" s="4"/>
      <c r="O77" s="179"/>
      <c r="P77" s="178"/>
      <c r="Q77" s="4"/>
      <c r="R77" s="4"/>
      <c r="S77" s="4"/>
      <c r="T77" s="4"/>
      <c r="U77" s="504"/>
      <c r="V77" s="504"/>
      <c r="W77" s="504"/>
      <c r="X77" s="4"/>
      <c r="Y77" s="4"/>
      <c r="Z77" s="4"/>
      <c r="AA77" s="4"/>
      <c r="AB77" s="4"/>
      <c r="AC77" s="4"/>
      <c r="AD77" s="179"/>
      <c r="AE77" s="178"/>
      <c r="AF77" s="4"/>
      <c r="AG77" s="4"/>
      <c r="AH77" s="4"/>
      <c r="AI77" s="4"/>
      <c r="AJ77" s="504"/>
      <c r="AK77" s="504"/>
      <c r="AL77" s="504"/>
      <c r="AM77" s="4"/>
      <c r="AN77" s="4"/>
      <c r="AO77" s="4"/>
      <c r="AP77" s="4"/>
      <c r="AQ77" s="4"/>
      <c r="AR77" s="179"/>
      <c r="AS77" s="178"/>
      <c r="AT77" s="4"/>
      <c r="AU77" s="4"/>
      <c r="AV77" s="4"/>
      <c r="AW77" s="4"/>
      <c r="AX77" s="504"/>
      <c r="AY77" s="504"/>
      <c r="AZ77" s="504"/>
      <c r="BA77" s="4"/>
      <c r="BB77" s="4"/>
      <c r="BC77" s="4"/>
      <c r="BD77" s="4"/>
      <c r="BE77" s="4"/>
      <c r="BF77" s="179"/>
      <c r="BG77" s="4"/>
    </row>
    <row r="78" spans="1:59" s="76" customFormat="1" ht="14.4" customHeight="1">
      <c r="B78" s="178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179"/>
      <c r="P78" s="178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179"/>
      <c r="AE78" s="178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179"/>
      <c r="AS78" s="178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179"/>
      <c r="BG78" s="4"/>
    </row>
    <row r="79" spans="1:59" s="76" customFormat="1" ht="14.4" customHeight="1">
      <c r="B79" s="180"/>
      <c r="C79" s="4"/>
      <c r="D79" s="4"/>
      <c r="E79" s="4"/>
      <c r="F79" s="4"/>
      <c r="G79" s="4"/>
      <c r="H79" s="4"/>
      <c r="I79" s="24"/>
      <c r="J79" s="24"/>
      <c r="K79" s="24"/>
      <c r="L79" s="24"/>
      <c r="M79" s="505">
        <f>SUM('AVT-celny-101+187'!O19:AD19)+SUM('AVT-celny-101+187'!W20:AF20)+SUM('AVT-celny-101+187'!O25:AD25)</f>
        <v>0</v>
      </c>
      <c r="N79" s="505"/>
      <c r="O79" s="506"/>
      <c r="P79" s="180"/>
      <c r="Q79" s="4"/>
      <c r="R79" s="4"/>
      <c r="S79" s="4"/>
      <c r="T79" s="4"/>
      <c r="U79" s="4"/>
      <c r="V79" s="4"/>
      <c r="W79" s="24"/>
      <c r="X79" s="24"/>
      <c r="Y79" s="24"/>
      <c r="Z79" s="24"/>
      <c r="AA79" s="24"/>
      <c r="AB79" s="505">
        <f>SUM('AVT-celny-139+187'!O19:AD19)+SUM('AVT-celny-139+187'!W20:AF20)+SUM('AVT-celny-139+187'!O25:AD25)</f>
        <v>0</v>
      </c>
      <c r="AC79" s="505"/>
      <c r="AD79" s="506"/>
      <c r="AE79" s="180"/>
      <c r="AF79" s="4"/>
      <c r="AG79" s="4"/>
      <c r="AH79" s="4"/>
      <c r="AI79" s="4"/>
      <c r="AJ79" s="4"/>
      <c r="AK79" s="4"/>
      <c r="AL79" s="24"/>
      <c r="AM79" s="24"/>
      <c r="AN79" s="24"/>
      <c r="AO79" s="24"/>
      <c r="AP79" s="505">
        <f>SUM('AVT-celny-2x187'!O19:AD19)+SUM('AVT-celny-2x187'!W20:AF20)+SUM('AVT-celny-2x187'!O25:AD25)</f>
        <v>0</v>
      </c>
      <c r="AQ79" s="505"/>
      <c r="AR79" s="506"/>
      <c r="AS79" s="180"/>
      <c r="AT79" s="4"/>
      <c r="AU79" s="4"/>
      <c r="AV79" s="4"/>
      <c r="AW79" s="4"/>
      <c r="AX79" s="4"/>
      <c r="AY79" s="4"/>
      <c r="AZ79" s="24"/>
      <c r="BA79" s="24"/>
      <c r="BB79" s="24"/>
      <c r="BC79" s="24"/>
      <c r="BD79" s="505">
        <f>SUM('AVT-celny-2x187In'!S19:AD19)+SUM('AVT-celny-2x187In'!W20:AF20)+SUM('AVT-celny-2x187In'!S25:AD25)</f>
        <v>0</v>
      </c>
      <c r="BE79" s="505"/>
      <c r="BF79" s="506"/>
      <c r="BG79" s="24"/>
    </row>
    <row r="80" spans="1:59" s="76" customFormat="1" ht="14.4" customHeight="1">
      <c r="B80" s="180"/>
      <c r="C80" s="4"/>
      <c r="D80" s="4"/>
      <c r="E80" s="4"/>
      <c r="F80" s="4"/>
      <c r="G80" s="4"/>
      <c r="H80" s="4"/>
      <c r="I80" s="24"/>
      <c r="J80" s="24"/>
      <c r="K80" s="24"/>
      <c r="L80" s="24"/>
      <c r="M80" s="505"/>
      <c r="N80" s="505"/>
      <c r="O80" s="506"/>
      <c r="P80" s="180"/>
      <c r="Q80" s="4"/>
      <c r="R80" s="4"/>
      <c r="S80" s="4"/>
      <c r="T80" s="4"/>
      <c r="U80" s="4"/>
      <c r="V80" s="4"/>
      <c r="W80" s="24"/>
      <c r="X80" s="24"/>
      <c r="Y80" s="24"/>
      <c r="Z80" s="24"/>
      <c r="AA80" s="24"/>
      <c r="AB80" s="505"/>
      <c r="AC80" s="505"/>
      <c r="AD80" s="506"/>
      <c r="AE80" s="180"/>
      <c r="AF80" s="4"/>
      <c r="AG80" s="4"/>
      <c r="AH80" s="4"/>
      <c r="AI80" s="4"/>
      <c r="AJ80" s="4"/>
      <c r="AK80" s="4"/>
      <c r="AL80" s="24"/>
      <c r="AM80" s="24"/>
      <c r="AN80" s="24"/>
      <c r="AO80" s="24"/>
      <c r="AP80" s="505"/>
      <c r="AQ80" s="505"/>
      <c r="AR80" s="506"/>
      <c r="AS80" s="180"/>
      <c r="AT80" s="4"/>
      <c r="AU80" s="4"/>
      <c r="AV80" s="4"/>
      <c r="AW80" s="4"/>
      <c r="AX80" s="4"/>
      <c r="AY80" s="4"/>
      <c r="AZ80" s="24"/>
      <c r="BA80" s="24"/>
      <c r="BB80" s="24"/>
      <c r="BC80" s="24"/>
      <c r="BD80" s="505"/>
      <c r="BE80" s="505"/>
      <c r="BF80" s="506"/>
      <c r="BG80" s="24"/>
    </row>
    <row r="81" spans="1:59" s="76" customFormat="1" ht="14.4" customHeight="1" thickBot="1">
      <c r="A81" s="4"/>
      <c r="B81" s="185"/>
      <c r="C81" s="186"/>
      <c r="D81" s="186"/>
      <c r="E81" s="186"/>
      <c r="F81" s="186"/>
      <c r="G81" s="186"/>
      <c r="H81" s="186"/>
      <c r="I81" s="186"/>
      <c r="J81" s="186"/>
      <c r="K81" s="186"/>
      <c r="L81" s="183"/>
      <c r="M81" s="183"/>
      <c r="N81" s="183"/>
      <c r="O81" s="184"/>
      <c r="P81" s="185"/>
      <c r="Q81" s="186"/>
      <c r="R81" s="186"/>
      <c r="S81" s="186"/>
      <c r="T81" s="186"/>
      <c r="U81" s="186"/>
      <c r="V81" s="186"/>
      <c r="W81" s="186"/>
      <c r="X81" s="186"/>
      <c r="Y81" s="183"/>
      <c r="Z81" s="186"/>
      <c r="AA81" s="183"/>
      <c r="AB81" s="183"/>
      <c r="AC81" s="183"/>
      <c r="AD81" s="184"/>
      <c r="AE81" s="185"/>
      <c r="AF81" s="186"/>
      <c r="AG81" s="186"/>
      <c r="AH81" s="186"/>
      <c r="AI81" s="186"/>
      <c r="AJ81" s="186"/>
      <c r="AK81" s="186"/>
      <c r="AL81" s="186"/>
      <c r="AM81" s="186"/>
      <c r="AN81" s="186"/>
      <c r="AO81" s="183"/>
      <c r="AP81" s="183"/>
      <c r="AQ81" s="183"/>
      <c r="AR81" s="184"/>
      <c r="AS81" s="185"/>
      <c r="AT81" s="186"/>
      <c r="AU81" s="186"/>
      <c r="AV81" s="186"/>
      <c r="AW81" s="186"/>
      <c r="AX81" s="186"/>
      <c r="AY81" s="186"/>
      <c r="AZ81" s="186"/>
      <c r="BA81" s="186"/>
      <c r="BB81" s="186"/>
      <c r="BC81" s="183"/>
      <c r="BD81" s="183"/>
      <c r="BE81" s="183"/>
      <c r="BF81" s="184"/>
    </row>
    <row r="82" spans="1:59" s="76" customFormat="1" ht="14.4" customHeight="1" thickTop="1">
      <c r="B82" s="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4"/>
      <c r="N82" s="4"/>
      <c r="O82" s="4"/>
      <c r="P82" s="4"/>
      <c r="Q82" s="143"/>
      <c r="R82" s="143"/>
      <c r="S82" s="143"/>
      <c r="T82" s="143"/>
      <c r="U82" s="143"/>
      <c r="V82" s="143"/>
      <c r="W82" s="24"/>
      <c r="X82" s="24"/>
      <c r="Y82" s="24"/>
      <c r="Z82" s="24"/>
      <c r="AA82" s="24"/>
      <c r="AB82" s="159"/>
      <c r="AC82" s="159"/>
      <c r="AD82" s="159"/>
      <c r="AE82" s="24"/>
      <c r="AL82" s="24"/>
      <c r="AM82" s="24"/>
      <c r="AN82" s="24"/>
      <c r="AO82" s="24"/>
      <c r="AR82" s="77"/>
      <c r="AS82" s="24"/>
      <c r="AZ82" s="24"/>
      <c r="BA82" s="24"/>
      <c r="BB82" s="24"/>
      <c r="BC82" s="24"/>
      <c r="BF82" s="77"/>
      <c r="BG82" s="4"/>
    </row>
    <row r="83" spans="1:59" s="76" customFormat="1" ht="23.1" customHeight="1">
      <c r="A83" s="166"/>
      <c r="B83" s="172" t="str">
        <f>verze!E143</f>
        <v>Vysoké potravinové skříně</v>
      </c>
      <c r="C83" s="172"/>
      <c r="D83" s="166"/>
      <c r="E83" s="166"/>
      <c r="F83" s="166"/>
      <c r="G83" s="166"/>
      <c r="H83" s="166"/>
      <c r="I83" s="166"/>
      <c r="J83" s="166"/>
      <c r="K83" s="166"/>
      <c r="L83" s="166"/>
      <c r="M83" s="166"/>
      <c r="N83" s="167"/>
      <c r="O83" s="168"/>
      <c r="P83" s="169"/>
      <c r="Q83" s="170"/>
      <c r="R83" s="170"/>
      <c r="S83" s="170"/>
      <c r="T83" s="170"/>
      <c r="U83" s="170"/>
      <c r="V83" s="170"/>
      <c r="W83" s="170"/>
      <c r="X83" s="170"/>
      <c r="Y83" s="170"/>
      <c r="Z83" s="170"/>
      <c r="AA83" s="169"/>
      <c r="AB83" s="169"/>
      <c r="AC83" s="171"/>
      <c r="AD83" s="168"/>
      <c r="AE83" s="169"/>
      <c r="AF83" s="170"/>
      <c r="AG83" s="170"/>
      <c r="AH83" s="170"/>
      <c r="AI83" s="170"/>
      <c r="AJ83" s="170"/>
      <c r="AK83" s="170"/>
      <c r="AL83" s="170"/>
      <c r="AM83" s="170"/>
      <c r="AN83" s="170"/>
      <c r="AO83" s="169"/>
      <c r="AP83" s="169"/>
      <c r="AQ83" s="170"/>
      <c r="AR83" s="168"/>
      <c r="AS83" s="169"/>
      <c r="AT83" s="170"/>
      <c r="AU83" s="170"/>
      <c r="AV83" s="170"/>
      <c r="AW83" s="170"/>
      <c r="AX83" s="170"/>
      <c r="AY83" s="170"/>
      <c r="AZ83" s="170"/>
      <c r="BA83" s="170"/>
      <c r="BB83" s="170"/>
      <c r="BC83" s="169"/>
      <c r="BD83" s="169"/>
      <c r="BE83" s="170"/>
      <c r="BF83" s="168"/>
      <c r="BG83" s="4"/>
    </row>
    <row r="84" spans="1:59" s="76" customFormat="1" ht="14.4" customHeight="1" thickBot="1">
      <c r="B84" s="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4"/>
      <c r="N84" s="4"/>
      <c r="O84" s="4"/>
      <c r="P84" s="4"/>
      <c r="Q84" s="143"/>
      <c r="R84" s="143"/>
      <c r="S84" s="143"/>
      <c r="T84" s="143"/>
      <c r="U84" s="143"/>
      <c r="V84" s="143"/>
      <c r="W84" s="24"/>
      <c r="X84" s="24"/>
      <c r="Y84" s="24"/>
      <c r="Z84" s="24"/>
      <c r="AA84" s="24"/>
      <c r="AB84" s="159"/>
      <c r="AC84" s="159"/>
      <c r="AD84" s="159"/>
      <c r="AE84" s="24"/>
      <c r="AL84" s="24"/>
      <c r="AM84" s="24"/>
      <c r="AN84" s="24"/>
      <c r="AO84" s="24"/>
      <c r="AR84" s="77"/>
      <c r="AS84" s="24"/>
      <c r="AZ84" s="24"/>
      <c r="BA84" s="24"/>
      <c r="BB84" s="24"/>
      <c r="BC84" s="24"/>
      <c r="BF84" s="77"/>
      <c r="BG84" s="4"/>
    </row>
    <row r="85" spans="1:59" s="76" customFormat="1" ht="14.4" customHeight="1" thickTop="1">
      <c r="B85" s="173"/>
      <c r="C85" s="174" t="str">
        <f>verze!E139</f>
        <v>potravinová skříň vysoká výsuvná</v>
      </c>
      <c r="D85" s="175"/>
      <c r="E85" s="175"/>
      <c r="F85" s="175"/>
      <c r="G85" s="175"/>
      <c r="H85" s="175"/>
      <c r="I85" s="175"/>
      <c r="J85" s="176"/>
      <c r="K85" s="176"/>
      <c r="L85" s="176"/>
      <c r="M85" s="176"/>
      <c r="N85" s="176"/>
      <c r="O85" s="177"/>
      <c r="P85" s="173"/>
      <c r="Q85" s="174" t="str">
        <f>verze!E139</f>
        <v>potravinová skříň vysoká výsuvná</v>
      </c>
      <c r="R85" s="175"/>
      <c r="S85" s="175"/>
      <c r="T85" s="175"/>
      <c r="U85" s="175"/>
      <c r="V85" s="175"/>
      <c r="W85" s="175"/>
      <c r="X85" s="176"/>
      <c r="Y85" s="176"/>
      <c r="Z85" s="176"/>
      <c r="AA85" s="176"/>
      <c r="AB85" s="176"/>
      <c r="AC85" s="176"/>
      <c r="AD85" s="177"/>
      <c r="AE85" s="344"/>
      <c r="AF85" s="345"/>
      <c r="AG85" s="345"/>
      <c r="AH85" s="345"/>
      <c r="AI85" s="345"/>
      <c r="AJ85" s="345"/>
      <c r="AK85" s="345"/>
      <c r="AL85" s="345"/>
      <c r="AM85" s="345"/>
      <c r="AN85" s="345"/>
      <c r="AO85" s="345"/>
      <c r="AP85" s="345"/>
      <c r="AQ85" s="345"/>
      <c r="AR85" s="346"/>
      <c r="AS85" s="173"/>
      <c r="AT85" s="327"/>
      <c r="AU85" s="327"/>
      <c r="AV85" s="327"/>
      <c r="AW85" s="327"/>
      <c r="AX85" s="327"/>
      <c r="AY85" s="327"/>
      <c r="AZ85" s="327"/>
      <c r="BA85" s="327"/>
      <c r="BB85" s="327"/>
      <c r="BC85" s="327"/>
      <c r="BD85" s="327"/>
      <c r="BE85" s="327"/>
      <c r="BF85" s="328"/>
      <c r="BG85" s="4"/>
    </row>
    <row r="86" spans="1:59" s="76" customFormat="1" ht="14.4" customHeight="1">
      <c r="B86" s="178"/>
      <c r="C86" s="74" t="str">
        <f>verze!E119</f>
        <v>zásuvka základní</v>
      </c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179"/>
      <c r="P86" s="178"/>
      <c r="Q86" s="74" t="str">
        <f>verze!E120</f>
        <v>zásuvka ze skleněnou bočnicí</v>
      </c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179"/>
      <c r="AE86" s="347"/>
      <c r="AF86" s="348"/>
      <c r="AG86" s="348"/>
      <c r="AH86" s="348"/>
      <c r="AI86" s="348"/>
      <c r="AJ86" s="348"/>
      <c r="AK86" s="348"/>
      <c r="AL86" s="348"/>
      <c r="AM86" s="348"/>
      <c r="AN86" s="348"/>
      <c r="AO86" s="348"/>
      <c r="AP86" s="348"/>
      <c r="AQ86" s="348"/>
      <c r="AR86" s="349"/>
      <c r="AS86" s="178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179"/>
      <c r="BG86" s="4"/>
    </row>
    <row r="87" spans="1:59" s="76" customFormat="1" ht="14.4" customHeight="1">
      <c r="B87" s="178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179"/>
      <c r="P87" s="178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179"/>
      <c r="AE87" s="347"/>
      <c r="AF87" s="348"/>
      <c r="AG87" s="348"/>
      <c r="AH87" s="348"/>
      <c r="AI87" s="348"/>
      <c r="AJ87" s="348"/>
      <c r="AK87" s="348"/>
      <c r="AL87" s="348"/>
      <c r="AM87" s="348"/>
      <c r="AN87" s="348"/>
      <c r="AO87" s="348"/>
      <c r="AP87" s="348"/>
      <c r="AQ87" s="348"/>
      <c r="AR87" s="349"/>
      <c r="AS87" s="178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179"/>
      <c r="BG87" s="4"/>
    </row>
    <row r="88" spans="1:59" s="76" customFormat="1" ht="14.4" customHeight="1">
      <c r="B88" s="178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179"/>
      <c r="P88" s="178"/>
      <c r="Q88" s="4"/>
      <c r="R88" s="4"/>
      <c r="S88" s="4"/>
      <c r="T88" s="4"/>
      <c r="U88" s="504"/>
      <c r="V88" s="504"/>
      <c r="W88" s="504"/>
      <c r="X88" s="4"/>
      <c r="Y88" s="4"/>
      <c r="Z88" s="4"/>
      <c r="AA88" s="4"/>
      <c r="AB88" s="4"/>
      <c r="AC88" s="4"/>
      <c r="AD88" s="179"/>
      <c r="AE88" s="347"/>
      <c r="AF88" s="348"/>
      <c r="AG88" s="348"/>
      <c r="AH88" s="348"/>
      <c r="AI88" s="348"/>
      <c r="AJ88" s="348"/>
      <c r="AK88" s="348"/>
      <c r="AL88" s="348"/>
      <c r="AM88" s="348"/>
      <c r="AN88" s="348"/>
      <c r="AO88" s="348"/>
      <c r="AP88" s="348"/>
      <c r="AQ88" s="348"/>
      <c r="AR88" s="349"/>
      <c r="AS88" s="178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179"/>
      <c r="BG88" s="4"/>
    </row>
    <row r="89" spans="1:59" s="76" customFormat="1" ht="14.4" customHeight="1">
      <c r="B89" s="178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179"/>
      <c r="P89" s="178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179"/>
      <c r="AE89" s="347"/>
      <c r="AF89" s="348"/>
      <c r="AG89" s="348"/>
      <c r="AH89" s="348"/>
      <c r="AI89" s="348"/>
      <c r="AJ89" s="348"/>
      <c r="AK89" s="348"/>
      <c r="AL89" s="348"/>
      <c r="AM89" s="348"/>
      <c r="AN89" s="348"/>
      <c r="AO89" s="348"/>
      <c r="AP89" s="348"/>
      <c r="AQ89" s="348"/>
      <c r="AR89" s="349"/>
      <c r="AS89" s="178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179"/>
      <c r="BG89" s="4"/>
    </row>
    <row r="90" spans="1:59" s="76" customFormat="1" ht="14.4" customHeight="1">
      <c r="B90" s="180"/>
      <c r="C90" s="4"/>
      <c r="D90" s="4"/>
      <c r="E90" s="4"/>
      <c r="F90" s="4"/>
      <c r="G90" s="4"/>
      <c r="H90" s="4"/>
      <c r="I90" s="24"/>
      <c r="J90" s="24"/>
      <c r="K90" s="24"/>
      <c r="L90" s="24"/>
      <c r="M90" s="505">
        <f>SUM('potr-v101+187'!W20:AD20)+SUM('potr-v101+187'!W22:AF22)+SUM('potr-v101+187'!W28:AD28)</f>
        <v>0</v>
      </c>
      <c r="N90" s="505"/>
      <c r="O90" s="506"/>
      <c r="P90" s="180"/>
      <c r="Q90" s="4"/>
      <c r="R90" s="4"/>
      <c r="S90" s="4"/>
      <c r="T90" s="4"/>
      <c r="U90" s="4"/>
      <c r="V90" s="4"/>
      <c r="W90" s="24"/>
      <c r="X90" s="24"/>
      <c r="Y90" s="24"/>
      <c r="Z90" s="24"/>
      <c r="AA90" s="24"/>
      <c r="AB90" s="505">
        <f>SUM('potr-v101+187-IL'!W20:AD20)+SUM('potr-v101+187-IL'!W22:AF22)+SUM('potr-v101+187-IL'!W28:AD28)</f>
        <v>0</v>
      </c>
      <c r="AC90" s="505"/>
      <c r="AD90" s="506"/>
      <c r="AE90" s="347"/>
      <c r="AF90" s="348"/>
      <c r="AG90" s="348"/>
      <c r="AH90" s="348"/>
      <c r="AI90" s="348"/>
      <c r="AJ90" s="348"/>
      <c r="AK90" s="348"/>
      <c r="AL90" s="348"/>
      <c r="AM90" s="348"/>
      <c r="AN90" s="348"/>
      <c r="AO90" s="348"/>
      <c r="AP90" s="348"/>
      <c r="AQ90" s="348"/>
      <c r="AR90" s="349"/>
      <c r="AS90" s="178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179"/>
      <c r="BG90" s="24"/>
    </row>
    <row r="91" spans="1:59" s="76" customFormat="1" ht="14.4" customHeight="1">
      <c r="B91" s="180"/>
      <c r="C91" s="4"/>
      <c r="D91" s="4"/>
      <c r="E91" s="4"/>
      <c r="F91" s="4"/>
      <c r="G91" s="4"/>
      <c r="H91" s="4"/>
      <c r="I91" s="24"/>
      <c r="J91" s="24"/>
      <c r="K91" s="24"/>
      <c r="L91" s="24"/>
      <c r="M91" s="505"/>
      <c r="N91" s="505"/>
      <c r="O91" s="506"/>
      <c r="P91" s="180"/>
      <c r="Q91" s="4"/>
      <c r="R91" s="4"/>
      <c r="S91" s="4"/>
      <c r="T91" s="4"/>
      <c r="U91" s="4"/>
      <c r="V91" s="4"/>
      <c r="W91" s="24"/>
      <c r="X91" s="24"/>
      <c r="Y91" s="24"/>
      <c r="Z91" s="24"/>
      <c r="AA91" s="24"/>
      <c r="AB91" s="505"/>
      <c r="AC91" s="505"/>
      <c r="AD91" s="506"/>
      <c r="AE91" s="347"/>
      <c r="AF91" s="348"/>
      <c r="AG91" s="348"/>
      <c r="AH91" s="348"/>
      <c r="AI91" s="348"/>
      <c r="AJ91" s="348"/>
      <c r="AK91" s="348"/>
      <c r="AL91" s="348"/>
      <c r="AM91" s="348"/>
      <c r="AN91" s="348"/>
      <c r="AO91" s="348"/>
      <c r="AP91" s="348"/>
      <c r="AQ91" s="348"/>
      <c r="AR91" s="349"/>
      <c r="AS91" s="178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179"/>
      <c r="BG91" s="24"/>
    </row>
    <row r="92" spans="1:59" s="76" customFormat="1" ht="14.4" customHeight="1" thickBot="1">
      <c r="A92" s="4"/>
      <c r="B92" s="185"/>
      <c r="C92" s="186"/>
      <c r="D92" s="186"/>
      <c r="E92" s="186"/>
      <c r="F92" s="186"/>
      <c r="G92" s="186"/>
      <c r="H92" s="186"/>
      <c r="I92" s="186"/>
      <c r="J92" s="186"/>
      <c r="K92" s="186"/>
      <c r="L92" s="183"/>
      <c r="M92" s="183"/>
      <c r="N92" s="183"/>
      <c r="O92" s="235" t="str">
        <f>IF(AND(M90=0,SUM('potr-v101+187'!O85:AI85)&lt;&gt;0),verze!E118&amp;"  ","")</f>
        <v/>
      </c>
      <c r="P92" s="185"/>
      <c r="Q92" s="186"/>
      <c r="R92" s="186"/>
      <c r="S92" s="186"/>
      <c r="T92" s="186"/>
      <c r="U92" s="186"/>
      <c r="V92" s="186"/>
      <c r="W92" s="186"/>
      <c r="X92" s="186"/>
      <c r="Y92" s="183"/>
      <c r="Z92" s="186"/>
      <c r="AA92" s="183"/>
      <c r="AB92" s="183"/>
      <c r="AC92" s="183"/>
      <c r="AD92" s="235" t="str">
        <f>IF(AND(AB90=0,SUM('potr-v101+187-IL'!O85:AI85)&lt;&gt;0),verze!E118&amp;"  ","")</f>
        <v/>
      </c>
      <c r="AE92" s="350"/>
      <c r="AF92" s="351"/>
      <c r="AG92" s="351"/>
      <c r="AH92" s="351"/>
      <c r="AI92" s="351"/>
      <c r="AJ92" s="351"/>
      <c r="AK92" s="351"/>
      <c r="AL92" s="351"/>
      <c r="AM92" s="351"/>
      <c r="AN92" s="351"/>
      <c r="AO92" s="351"/>
      <c r="AP92" s="351"/>
      <c r="AQ92" s="351"/>
      <c r="AR92" s="352"/>
      <c r="AS92" s="181"/>
      <c r="AT92" s="183"/>
      <c r="AU92" s="183"/>
      <c r="AV92" s="183"/>
      <c r="AW92" s="183"/>
      <c r="AX92" s="183"/>
      <c r="AY92" s="183"/>
      <c r="AZ92" s="183"/>
      <c r="BA92" s="183"/>
      <c r="BB92" s="183"/>
      <c r="BC92" s="183"/>
      <c r="BD92" s="183"/>
      <c r="BE92" s="183"/>
      <c r="BF92" s="184"/>
    </row>
    <row r="93" spans="1:59" s="76" customFormat="1" ht="14.4" customHeight="1" thickTop="1" thickBo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5"/>
      <c r="O93" s="6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5"/>
      <c r="AD93" s="6"/>
      <c r="AE93" s="4"/>
      <c r="AR93" s="77"/>
      <c r="AS93" s="4"/>
      <c r="BF93" s="77"/>
      <c r="BG93" s="4"/>
    </row>
    <row r="94" spans="1:59" s="76" customFormat="1" ht="14.4" customHeight="1" thickTop="1">
      <c r="A94" s="4"/>
      <c r="B94" s="173"/>
      <c r="C94" s="174" t="str">
        <f>verze!E140</f>
        <v>potravinová skříň vysoká otvíravá</v>
      </c>
      <c r="D94" s="175"/>
      <c r="E94" s="175"/>
      <c r="F94" s="175"/>
      <c r="G94" s="175"/>
      <c r="H94" s="175"/>
      <c r="I94" s="175"/>
      <c r="J94" s="176"/>
      <c r="K94" s="176"/>
      <c r="L94" s="176"/>
      <c r="M94" s="176"/>
      <c r="N94" s="176"/>
      <c r="O94" s="177"/>
      <c r="P94" s="173"/>
      <c r="Q94" s="174" t="str">
        <f>verze!E140</f>
        <v>potravinová skříň vysoká otvíravá</v>
      </c>
      <c r="R94" s="175"/>
      <c r="S94" s="175"/>
      <c r="T94" s="175"/>
      <c r="U94" s="175"/>
      <c r="V94" s="175"/>
      <c r="W94" s="175"/>
      <c r="X94" s="176"/>
      <c r="Y94" s="176"/>
      <c r="Z94" s="176"/>
      <c r="AA94" s="176"/>
      <c r="AB94" s="176"/>
      <c r="AC94" s="176"/>
      <c r="AD94" s="177"/>
      <c r="AE94" s="173"/>
      <c r="AF94" s="327"/>
      <c r="AG94" s="327"/>
      <c r="AH94" s="327"/>
      <c r="AI94" s="327"/>
      <c r="AJ94" s="327"/>
      <c r="AK94" s="327"/>
      <c r="AL94" s="327"/>
      <c r="AM94" s="327"/>
      <c r="AN94" s="327"/>
      <c r="AO94" s="327"/>
      <c r="AP94" s="327"/>
      <c r="AQ94" s="327"/>
      <c r="AR94" s="328"/>
      <c r="AS94" s="173"/>
      <c r="AT94" s="174" t="str">
        <f>verze!E140</f>
        <v>potravinová skříň vysoká otvíravá</v>
      </c>
      <c r="AU94" s="231"/>
      <c r="AV94" s="231"/>
      <c r="AW94" s="231"/>
      <c r="AX94" s="231"/>
      <c r="AY94" s="231"/>
      <c r="AZ94" s="231"/>
      <c r="BA94" s="176"/>
      <c r="BB94" s="176"/>
      <c r="BC94" s="176"/>
      <c r="BD94" s="176"/>
      <c r="BE94" s="176"/>
      <c r="BF94" s="177"/>
      <c r="BG94" s="4"/>
    </row>
    <row r="95" spans="1:59" s="76" customFormat="1" ht="14.4" customHeight="1">
      <c r="A95" s="4"/>
      <c r="B95" s="178"/>
      <c r="C95" s="74" t="str">
        <f>verze!E119</f>
        <v>zásuvka základní</v>
      </c>
      <c r="D95" s="4"/>
      <c r="E95" s="4"/>
      <c r="F95" s="4"/>
      <c r="G95" s="75"/>
      <c r="H95" s="75"/>
      <c r="I95" s="75"/>
      <c r="J95" s="4"/>
      <c r="K95" s="4"/>
      <c r="L95" s="4"/>
      <c r="M95" s="4"/>
      <c r="N95" s="4"/>
      <c r="O95" s="179"/>
      <c r="P95" s="178"/>
      <c r="Q95" s="74" t="str">
        <f>verze!E120</f>
        <v>zásuvka ze skleněnou bočnicí</v>
      </c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179"/>
      <c r="AE95" s="178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179"/>
      <c r="AS95" s="178"/>
      <c r="AT95" s="74" t="str">
        <f>verze!E120</f>
        <v>zásuvka ze skleněnou bočnicí</v>
      </c>
      <c r="AU95" s="232"/>
      <c r="AV95" s="232"/>
      <c r="AW95" s="232"/>
      <c r="AX95" s="232"/>
      <c r="AY95" s="232"/>
      <c r="AZ95" s="232"/>
      <c r="BA95" s="4"/>
      <c r="BB95" s="4"/>
      <c r="BC95" s="4"/>
      <c r="BD95" s="4"/>
      <c r="BE95" s="4"/>
      <c r="BF95" s="179"/>
      <c r="BG95" s="4"/>
    </row>
    <row r="96" spans="1:59" s="76" customFormat="1" ht="14.4" customHeight="1">
      <c r="A96" s="4"/>
      <c r="B96" s="178"/>
      <c r="C96" s="74"/>
      <c r="D96" s="4"/>
      <c r="E96" s="4"/>
      <c r="F96" s="4"/>
      <c r="G96" s="504"/>
      <c r="H96" s="504"/>
      <c r="I96" s="504"/>
      <c r="J96" s="4"/>
      <c r="K96" s="4"/>
      <c r="L96" s="4"/>
      <c r="M96" s="4"/>
      <c r="N96" s="4"/>
      <c r="O96" s="179"/>
      <c r="P96" s="178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179"/>
      <c r="AE96" s="178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179"/>
      <c r="AS96" s="178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179"/>
      <c r="BG96" s="4"/>
    </row>
    <row r="97" spans="1:59" s="76" customFormat="1" ht="14.4" customHeight="1">
      <c r="A97" s="4"/>
      <c r="B97" s="178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179"/>
      <c r="P97" s="178"/>
      <c r="Q97" s="4"/>
      <c r="R97" s="4"/>
      <c r="S97" s="4"/>
      <c r="T97" s="4"/>
      <c r="U97" s="504"/>
      <c r="V97" s="504"/>
      <c r="W97" s="504"/>
      <c r="X97" s="4"/>
      <c r="Y97" s="4"/>
      <c r="Z97" s="4"/>
      <c r="AA97" s="4"/>
      <c r="AB97" s="4"/>
      <c r="AC97" s="4"/>
      <c r="AD97" s="179"/>
      <c r="AE97" s="178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179"/>
      <c r="AS97" s="178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179"/>
      <c r="BG97" s="4"/>
    </row>
    <row r="98" spans="1:59" s="76" customFormat="1" ht="14.4" customHeight="1">
      <c r="A98" s="4"/>
      <c r="B98" s="178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179"/>
      <c r="P98" s="178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179"/>
      <c r="AE98" s="178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179"/>
      <c r="AS98" s="178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179"/>
      <c r="BG98" s="4"/>
    </row>
    <row r="99" spans="1:59" s="76" customFormat="1" ht="14.4" customHeight="1">
      <c r="A99" s="4"/>
      <c r="B99" s="180"/>
      <c r="C99" s="4"/>
      <c r="D99" s="4"/>
      <c r="E99" s="4"/>
      <c r="F99" s="4"/>
      <c r="G99" s="4"/>
      <c r="H99" s="4"/>
      <c r="I99" s="24"/>
      <c r="J99" s="24"/>
      <c r="K99" s="24"/>
      <c r="L99" s="24"/>
      <c r="M99" s="505">
        <f>SUM('potr-o101+187'!W20:AD20)+SUM('potr-o101+187'!W22:AF22)+SUM('potr-o101+187'!W28:AD28)</f>
        <v>0</v>
      </c>
      <c r="N99" s="505"/>
      <c r="O99" s="506"/>
      <c r="P99" s="180"/>
      <c r="Q99" s="4"/>
      <c r="R99" s="4"/>
      <c r="S99" s="4"/>
      <c r="T99" s="4"/>
      <c r="U99" s="4"/>
      <c r="V99" s="4"/>
      <c r="W99" s="24"/>
      <c r="X99" s="24"/>
      <c r="Y99" s="24"/>
      <c r="Z99" s="24"/>
      <c r="AA99" s="24"/>
      <c r="AB99" s="505">
        <f>SUM('potr-o101+187-IL'!W20:AD20)+SUM('potr-o101+187-IL'!W22:AF22)+SUM('potr-o101+187-IL'!W28:AD28)</f>
        <v>0</v>
      </c>
      <c r="AC99" s="505"/>
      <c r="AD99" s="506"/>
      <c r="AE99" s="178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179"/>
      <c r="AS99" s="180"/>
      <c r="AT99" s="4"/>
      <c r="AU99" s="4"/>
      <c r="AV99" s="4"/>
      <c r="AW99" s="4"/>
      <c r="AX99" s="4"/>
      <c r="AY99" s="4"/>
      <c r="AZ99" s="24"/>
      <c r="BA99" s="24"/>
      <c r="BB99" s="24"/>
      <c r="BC99" s="24"/>
      <c r="BD99" s="505">
        <f>SUM('potr-o187-IL'!W20:AD20)+SUM('potr-o187-IL'!W22:AF22)+SUM('potr-o187-IL'!W28:AD28)</f>
        <v>0</v>
      </c>
      <c r="BE99" s="505"/>
      <c r="BF99" s="506"/>
      <c r="BG99" s="4"/>
    </row>
    <row r="100" spans="1:59" s="76" customFormat="1" ht="14.4" customHeight="1">
      <c r="A100" s="4"/>
      <c r="B100" s="180"/>
      <c r="C100" s="4"/>
      <c r="D100" s="4"/>
      <c r="E100" s="4"/>
      <c r="F100" s="4"/>
      <c r="G100" s="4"/>
      <c r="H100" s="4"/>
      <c r="I100" s="24"/>
      <c r="J100" s="24"/>
      <c r="K100" s="24"/>
      <c r="L100" s="24"/>
      <c r="M100" s="505"/>
      <c r="N100" s="505"/>
      <c r="O100" s="506"/>
      <c r="P100" s="180"/>
      <c r="Q100" s="4"/>
      <c r="R100" s="4"/>
      <c r="S100" s="4"/>
      <c r="T100" s="4"/>
      <c r="U100" s="4"/>
      <c r="V100" s="4"/>
      <c r="W100" s="24"/>
      <c r="X100" s="24"/>
      <c r="Y100" s="24"/>
      <c r="Z100" s="24"/>
      <c r="AA100" s="24"/>
      <c r="AB100" s="505"/>
      <c r="AC100" s="505"/>
      <c r="AD100" s="506"/>
      <c r="AE100" s="178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179"/>
      <c r="AS100" s="180"/>
      <c r="AT100" s="4"/>
      <c r="AU100" s="4"/>
      <c r="AV100" s="4"/>
      <c r="AW100" s="4"/>
      <c r="AX100" s="4"/>
      <c r="AY100" s="4"/>
      <c r="AZ100" s="24"/>
      <c r="BA100" s="24"/>
      <c r="BB100" s="24"/>
      <c r="BC100" s="24"/>
      <c r="BD100" s="505"/>
      <c r="BE100" s="505"/>
      <c r="BF100" s="506"/>
      <c r="BG100" s="4"/>
    </row>
    <row r="101" spans="1:59" s="76" customFormat="1" ht="14.4" customHeight="1" thickBot="1">
      <c r="A101" s="4"/>
      <c r="B101" s="185"/>
      <c r="C101" s="186"/>
      <c r="D101" s="186"/>
      <c r="E101" s="186"/>
      <c r="F101" s="186"/>
      <c r="G101" s="186"/>
      <c r="H101" s="186"/>
      <c r="I101" s="186"/>
      <c r="J101" s="186"/>
      <c r="K101" s="186"/>
      <c r="L101" s="183"/>
      <c r="M101" s="183"/>
      <c r="N101" s="183"/>
      <c r="O101" s="235" t="str">
        <f>IF(AND(M99=0,SUM('potr-o101+187'!O85:AI85)&lt;&gt;0),verze!E118&amp;"  ","")</f>
        <v/>
      </c>
      <c r="P101" s="185"/>
      <c r="Q101" s="186"/>
      <c r="R101" s="186"/>
      <c r="S101" s="186"/>
      <c r="T101" s="186"/>
      <c r="U101" s="186"/>
      <c r="V101" s="186"/>
      <c r="W101" s="186"/>
      <c r="X101" s="186"/>
      <c r="Y101" s="183"/>
      <c r="Z101" s="186"/>
      <c r="AA101" s="183"/>
      <c r="AB101" s="183"/>
      <c r="AC101" s="183"/>
      <c r="AD101" s="235" t="str">
        <f>IF(AND(AB99=0,SUM('potr-o101+187-IL'!O85:AI85)&lt;&gt;0),verze!E118&amp;"  ","")</f>
        <v/>
      </c>
      <c r="AE101" s="181"/>
      <c r="AF101" s="183"/>
      <c r="AG101" s="183"/>
      <c r="AH101" s="183"/>
      <c r="AI101" s="183"/>
      <c r="AJ101" s="183"/>
      <c r="AK101" s="183"/>
      <c r="AL101" s="183"/>
      <c r="AM101" s="183"/>
      <c r="AN101" s="183"/>
      <c r="AO101" s="183"/>
      <c r="AP101" s="183"/>
      <c r="AQ101" s="183"/>
      <c r="AR101" s="184"/>
      <c r="AS101" s="201"/>
      <c r="AT101" s="194"/>
      <c r="AU101" s="194"/>
      <c r="AV101" s="194"/>
      <c r="AW101" s="194"/>
      <c r="AX101" s="194"/>
      <c r="AY101" s="186"/>
      <c r="AZ101" s="186"/>
      <c r="BA101" s="186"/>
      <c r="BB101" s="186"/>
      <c r="BC101" s="194"/>
      <c r="BD101" s="194"/>
      <c r="BE101" s="202"/>
      <c r="BF101" s="235" t="str">
        <f>IF(AND(BD99=0,SUM('potr-o187-IL'!O86:AJ86)&lt;&gt;0),verze!E118&amp;"  ","")</f>
        <v/>
      </c>
      <c r="BG101" s="4"/>
    </row>
    <row r="102" spans="1:59" s="76" customFormat="1" ht="14.4" customHeight="1" thickTop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5"/>
      <c r="O102" s="6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5"/>
      <c r="AD102" s="6"/>
      <c r="AE102" s="4"/>
      <c r="AR102" s="77"/>
      <c r="AS102" s="4"/>
      <c r="BF102" s="77"/>
      <c r="BG102" s="4"/>
    </row>
    <row r="103" spans="1:59" s="76" customFormat="1" ht="14.4" customHeight="1">
      <c r="A103" s="4"/>
      <c r="B103" s="4"/>
      <c r="C103" s="365" t="str">
        <f>verze!E201</f>
        <v>SiSy = tlumení Silent System</v>
      </c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5"/>
      <c r="O103" s="6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5"/>
      <c r="AD103" s="6"/>
      <c r="AE103" s="4"/>
      <c r="AR103" s="77"/>
      <c r="AS103" s="4"/>
      <c r="BF103" s="77"/>
      <c r="BG103" s="4"/>
    </row>
    <row r="104" spans="1:59" s="76" customFormat="1" ht="14.4" customHeight="1">
      <c r="A104" s="4"/>
      <c r="B104" s="4"/>
      <c r="C104" s="365" t="str">
        <f>verze!E202</f>
        <v>P2O/SiSy = tlumení s otvíráním bez úchytky Push to open Silent</v>
      </c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5"/>
      <c r="O104" s="6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5"/>
      <c r="AD104" s="6"/>
      <c r="AE104" s="4"/>
      <c r="AR104" s="77"/>
      <c r="AS104" s="4"/>
      <c r="BF104" s="77"/>
      <c r="BG104" s="4"/>
    </row>
    <row r="105" spans="1:59" s="76" customFormat="1" ht="14.4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5"/>
      <c r="O105" s="6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5"/>
      <c r="AD105" s="6"/>
      <c r="AE105" s="4"/>
      <c r="AR105" s="77"/>
      <c r="AS105" s="4"/>
      <c r="BF105" s="77"/>
      <c r="BG105" s="4"/>
    </row>
    <row r="106" spans="1:59" s="76" customFormat="1" ht="14.4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5"/>
      <c r="O106" s="6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5"/>
      <c r="AD106" s="6"/>
      <c r="AE106" s="4"/>
      <c r="AR106" s="77"/>
      <c r="AS106" s="4"/>
      <c r="BF106" s="77"/>
      <c r="BG106" s="4"/>
    </row>
    <row r="107" spans="1:59" s="76" customFormat="1" ht="14.4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5"/>
      <c r="O107" s="6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5"/>
      <c r="AD107" s="6"/>
      <c r="AE107" s="4"/>
      <c r="AR107" s="77"/>
      <c r="AS107" s="4"/>
      <c r="BF107" s="77"/>
      <c r="BG107" s="4"/>
    </row>
    <row r="108" spans="1:59" s="76" customFormat="1" ht="14.4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5"/>
      <c r="O108" s="6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5"/>
      <c r="AD108" s="6"/>
      <c r="AE108" s="4"/>
      <c r="AR108" s="77"/>
      <c r="AS108" s="4"/>
      <c r="BF108" s="77"/>
      <c r="BG108" s="4"/>
    </row>
    <row r="109" spans="1:59" s="76" customFormat="1" ht="14.4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5"/>
      <c r="O109" s="6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5"/>
      <c r="AD109" s="6"/>
      <c r="AE109" s="4"/>
      <c r="AR109" s="77"/>
      <c r="AS109" s="4"/>
      <c r="BF109" s="77"/>
      <c r="BG109" s="4"/>
    </row>
    <row r="110" spans="1:59" s="76" customFormat="1" ht="14.4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5"/>
      <c r="O110" s="6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5"/>
      <c r="AD110" s="6"/>
      <c r="AE110" s="4"/>
      <c r="AR110" s="77"/>
      <c r="AS110" s="4"/>
      <c r="BF110" s="77"/>
      <c r="BG110" s="4"/>
    </row>
    <row r="111" spans="1:59" s="76" customFormat="1" ht="14.4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5"/>
      <c r="O111" s="6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5"/>
      <c r="AD111" s="6"/>
      <c r="AE111" s="4"/>
      <c r="AR111" s="77"/>
      <c r="AS111" s="4"/>
      <c r="BF111" s="77"/>
      <c r="BG111" s="4"/>
    </row>
  </sheetData>
  <sheetProtection algorithmName="SHA-512" hashValue="bF/+czLtr96pUBw0uKyD5BehddYeI/6bXoGwes6y+lEbGKDNyuRua7N1dvTi32HtM6H+Sbnb+xjCOcvii9+tcA==" saltValue="5gHlMWRTbW5kMF7l/IEvjg==" spinCount="100000" sheet="1" autoFilter="0"/>
  <mergeCells count="108">
    <mergeCell ref="AO2:AR2"/>
    <mergeCell ref="M68:O69"/>
    <mergeCell ref="AI2:AM2"/>
    <mergeCell ref="AP13:AR14"/>
    <mergeCell ref="AJ9:AL9"/>
    <mergeCell ref="AJ10:AL10"/>
    <mergeCell ref="U27:W27"/>
    <mergeCell ref="U28:W28"/>
    <mergeCell ref="AP31:AR32"/>
    <mergeCell ref="AJ17:AL17"/>
    <mergeCell ref="AF21:AH21"/>
    <mergeCell ref="AI21:AK21"/>
    <mergeCell ref="AF14:AH14"/>
    <mergeCell ref="BD99:BF100"/>
    <mergeCell ref="AP57:AR58"/>
    <mergeCell ref="G28:I28"/>
    <mergeCell ref="G27:I27"/>
    <mergeCell ref="BD79:BF80"/>
    <mergeCell ref="AB99:AD100"/>
    <mergeCell ref="C68:E68"/>
    <mergeCell ref="F68:H68"/>
    <mergeCell ref="C69:E69"/>
    <mergeCell ref="F69:H69"/>
    <mergeCell ref="U88:W88"/>
    <mergeCell ref="AB79:AD80"/>
    <mergeCell ref="U97:W97"/>
    <mergeCell ref="M99:O100"/>
    <mergeCell ref="M90:O91"/>
    <mergeCell ref="C31:E31"/>
    <mergeCell ref="F31:H31"/>
    <mergeCell ref="C32:E32"/>
    <mergeCell ref="F32:H32"/>
    <mergeCell ref="G65:I65"/>
    <mergeCell ref="Q31:S31"/>
    <mergeCell ref="G64:I64"/>
    <mergeCell ref="M79:O80"/>
    <mergeCell ref="AJ46:AL46"/>
    <mergeCell ref="C13:E13"/>
    <mergeCell ref="AA2:AE2"/>
    <mergeCell ref="M13:O14"/>
    <mergeCell ref="U9:W9"/>
    <mergeCell ref="G9:I9"/>
    <mergeCell ref="G10:I10"/>
    <mergeCell ref="F13:H13"/>
    <mergeCell ref="Q13:S13"/>
    <mergeCell ref="T13:V13"/>
    <mergeCell ref="U10:W10"/>
    <mergeCell ref="B2:E2"/>
    <mergeCell ref="G2:K2"/>
    <mergeCell ref="O2:S2"/>
    <mergeCell ref="U2:Y2"/>
    <mergeCell ref="AB13:AD14"/>
    <mergeCell ref="C14:E14"/>
    <mergeCell ref="F14:H14"/>
    <mergeCell ref="Q14:S14"/>
    <mergeCell ref="T14:V14"/>
    <mergeCell ref="BD13:BF14"/>
    <mergeCell ref="AT14:AV14"/>
    <mergeCell ref="AP39:AR40"/>
    <mergeCell ref="AF40:AH40"/>
    <mergeCell ref="AF13:AH13"/>
    <mergeCell ref="AI13:AK13"/>
    <mergeCell ref="AI14:AK14"/>
    <mergeCell ref="AF22:AH22"/>
    <mergeCell ref="AI22:AK22"/>
    <mergeCell ref="AJ18:AL18"/>
    <mergeCell ref="AW13:AY13"/>
    <mergeCell ref="AF39:AH39"/>
    <mergeCell ref="AF32:AH32"/>
    <mergeCell ref="AJ35:AL35"/>
    <mergeCell ref="AT20:BE22"/>
    <mergeCell ref="AX77:AZ77"/>
    <mergeCell ref="AJ77:AL77"/>
    <mergeCell ref="AF58:AH58"/>
    <mergeCell ref="AX9:AZ9"/>
    <mergeCell ref="AX10:AZ10"/>
    <mergeCell ref="AF31:AH31"/>
    <mergeCell ref="AI31:AK31"/>
    <mergeCell ref="AT13:AV13"/>
    <mergeCell ref="AF57:AH57"/>
    <mergeCell ref="AI57:AK57"/>
    <mergeCell ref="AI49:AK49"/>
    <mergeCell ref="AJ53:AL53"/>
    <mergeCell ref="AJ54:AL54"/>
    <mergeCell ref="U77:W77"/>
    <mergeCell ref="G77:I77"/>
    <mergeCell ref="G96:I96"/>
    <mergeCell ref="AB90:AD91"/>
    <mergeCell ref="AW14:AY14"/>
    <mergeCell ref="AP79:AR80"/>
    <mergeCell ref="AF49:AH49"/>
    <mergeCell ref="AB31:AD32"/>
    <mergeCell ref="AI40:AK40"/>
    <mergeCell ref="AJ36:AL36"/>
    <mergeCell ref="AJ45:AL45"/>
    <mergeCell ref="M31:O32"/>
    <mergeCell ref="AJ27:AL27"/>
    <mergeCell ref="AJ28:AL28"/>
    <mergeCell ref="T31:V31"/>
    <mergeCell ref="Q32:S32"/>
    <mergeCell ref="AI32:AK32"/>
    <mergeCell ref="T32:V32"/>
    <mergeCell ref="AP21:AR22"/>
    <mergeCell ref="AP49:AR50"/>
    <mergeCell ref="AF50:AH50"/>
    <mergeCell ref="AI50:AK50"/>
    <mergeCell ref="AI58:AK58"/>
    <mergeCell ref="AI39:AK39"/>
  </mergeCells>
  <conditionalFormatting sqref="M13:O14 AB13:AD14 AP13:AR14 AP21:AR22 M31:O32 AB31:AD32 M99:O100 M79:O80 AB62:AD62 M90:O91 AA82:AD84 AB57:AC58 AB60:AD60 AB71:AD73">
    <cfRule type="cellIs" dxfId="999" priority="262" stopIfTrue="1" operator="greaterThan">
      <formula>0</formula>
    </cfRule>
  </conditionalFormatting>
  <conditionalFormatting sqref="BD13:BF14">
    <cfRule type="cellIs" dxfId="998" priority="84" stopIfTrue="1" operator="greaterThan">
      <formula>0</formula>
    </cfRule>
  </conditionalFormatting>
  <conditionalFormatting sqref="AP31:AR32">
    <cfRule type="cellIs" dxfId="997" priority="17" stopIfTrue="1" operator="greaterThan">
      <formula>0</formula>
    </cfRule>
  </conditionalFormatting>
  <conditionalFormatting sqref="AB49:AC50">
    <cfRule type="cellIs" dxfId="996" priority="14" stopIfTrue="1" operator="greaterThan">
      <formula>0</formula>
    </cfRule>
  </conditionalFormatting>
  <conditionalFormatting sqref="AP49:AR50">
    <cfRule type="cellIs" dxfId="995" priority="16" stopIfTrue="1" operator="greaterThan">
      <formula>0</formula>
    </cfRule>
  </conditionalFormatting>
  <conditionalFormatting sqref="AP57:AR58">
    <cfRule type="cellIs" dxfId="994" priority="15" stopIfTrue="1" operator="greaterThan">
      <formula>0</formula>
    </cfRule>
  </conditionalFormatting>
  <conditionalFormatting sqref="AP39:AR40">
    <cfRule type="cellIs" dxfId="993" priority="12" stopIfTrue="1" operator="greaterThan">
      <formula>0</formula>
    </cfRule>
  </conditionalFormatting>
  <conditionalFormatting sqref="AB39:AC40">
    <cfRule type="cellIs" dxfId="992" priority="11" stopIfTrue="1" operator="greaterThan">
      <formula>0</formula>
    </cfRule>
  </conditionalFormatting>
  <conditionalFormatting sqref="M68:O69">
    <cfRule type="cellIs" dxfId="991" priority="10" stopIfTrue="1" operator="greaterThan">
      <formula>0</formula>
    </cfRule>
  </conditionalFormatting>
  <conditionalFormatting sqref="AP79:AR80">
    <cfRule type="cellIs" dxfId="990" priority="7" stopIfTrue="1" operator="greaterThan">
      <formula>0</formula>
    </cfRule>
  </conditionalFormatting>
  <conditionalFormatting sqref="BD79:BF80">
    <cfRule type="cellIs" dxfId="989" priority="6" stopIfTrue="1" operator="greaterThan">
      <formula>0</formula>
    </cfRule>
  </conditionalFormatting>
  <conditionalFormatting sqref="AB79:AD80">
    <cfRule type="cellIs" dxfId="988" priority="5" stopIfTrue="1" operator="greaterThan">
      <formula>0</formula>
    </cfRule>
  </conditionalFormatting>
  <conditionalFormatting sqref="Y82">
    <cfRule type="cellIs" dxfId="987" priority="4" stopIfTrue="1" operator="greaterThan">
      <formula>0</formula>
    </cfRule>
  </conditionalFormatting>
  <conditionalFormatting sqref="AB90:AD91">
    <cfRule type="cellIs" dxfId="986" priority="3" stopIfTrue="1" operator="greaterThan">
      <formula>0</formula>
    </cfRule>
  </conditionalFormatting>
  <conditionalFormatting sqref="AB99:AD100">
    <cfRule type="cellIs" dxfId="985" priority="2" stopIfTrue="1" operator="greaterThan">
      <formula>0</formula>
    </cfRule>
  </conditionalFormatting>
  <conditionalFormatting sqref="BD99:BF100">
    <cfRule type="cellIs" dxfId="984" priority="1" stopIfTrue="1" operator="greaterThan">
      <formula>0</formula>
    </cfRule>
  </conditionalFormatting>
  <hyperlinks>
    <hyperlink ref="G2:K2" location="FORM!A1" display="FORM!A1" xr:uid="{00000000-0004-0000-0200-000000000000}"/>
    <hyperlink ref="B2:E2" location="FORM!A1" display="&lt;&lt;&lt;" xr:uid="{00000000-0004-0000-0200-000001000000}"/>
    <hyperlink ref="AI2:AM2" location="OBJ!A1" display="OBJ!A1" xr:uid="{00000000-0004-0000-0200-000002000000}"/>
    <hyperlink ref="U2:Y2" location="'MENU-2'!A5" display="'MENU-2'!A5" xr:uid="{00000000-0004-0000-0200-000003000000}"/>
    <hyperlink ref="AO2:AR2" location="OBJ!A1" display="OBJ!A1" xr:uid="{00000000-0004-0000-0200-000004000000}"/>
  </hyperlinks>
  <printOptions horizontalCentered="1"/>
  <pageMargins left="0.19685039370078741" right="0.19685039370078741" top="0.19685039370078741" bottom="0.19685039370078741" header="0.31496062992125984" footer="0.31496062992125984"/>
  <pageSetup paperSize="9" orientation="landscape" r:id="rId1"/>
  <headerFooter>
    <oddHeader>&amp;R&amp;"Aptos"&amp;10&amp;K000000 Restricted&amp;1#_x000D_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25562" r:id="rId4" name="Button 147034">
              <controlPr defaultSize="0" print="0" autoFill="0" autoPict="0" macro="[0]!RESETTE">
                <anchor moveWithCells="1" sizeWithCells="1">
                  <from>
                    <xdr:col>48</xdr:col>
                    <xdr:colOff>106680</xdr:colOff>
                    <xdr:row>16</xdr:row>
                    <xdr:rowOff>99060</xdr:rowOff>
                  </from>
                  <to>
                    <xdr:col>54</xdr:col>
                    <xdr:colOff>106680</xdr:colOff>
                    <xdr:row>18</xdr:row>
                    <xdr:rowOff>144780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45"/>
  <dimension ref="A1:BD52"/>
  <sheetViews>
    <sheetView showGridLines="0" showRowColHeaders="0" zoomScaleNormal="100" workbookViewId="0">
      <pane ySplit="4" topLeftCell="A5" activePane="bottomLeft" state="frozen"/>
      <selection pane="bottomLeft" activeCell="A5" sqref="A5"/>
    </sheetView>
  </sheetViews>
  <sheetFormatPr defaultColWidth="9" defaultRowHeight="13.8"/>
  <cols>
    <col min="1" max="1" width="3.59765625" style="61" customWidth="1"/>
    <col min="2" max="44" width="3.09765625" style="61" customWidth="1"/>
    <col min="45" max="45" width="3.59765625" style="61" customWidth="1"/>
    <col min="46" max="48" width="9" style="61" hidden="1" customWidth="1"/>
    <col min="49" max="49" width="3.19921875" style="61" hidden="1" customWidth="1"/>
    <col min="50" max="55" width="2.8984375" style="61" hidden="1" customWidth="1"/>
    <col min="56" max="56" width="9" style="61" hidden="1" customWidth="1"/>
    <col min="57" max="67" width="9" style="61" customWidth="1"/>
    <col min="68" max="16384" width="9" style="61"/>
  </cols>
  <sheetData>
    <row r="1" spans="1:54" ht="12.9" customHeight="1" thickBot="1">
      <c r="AS1" s="147"/>
    </row>
    <row r="2" spans="1:54" ht="23.1" customHeight="1" thickBot="1">
      <c r="B2" s="484" t="str">
        <f>verze!E13</f>
        <v>&lt;&lt;  zpět</v>
      </c>
      <c r="C2" s="485"/>
      <c r="D2" s="485"/>
      <c r="E2" s="486"/>
      <c r="G2" s="500" t="str">
        <f>verze!E6</f>
        <v xml:space="preserve"> Úvod</v>
      </c>
      <c r="H2" s="501"/>
      <c r="I2" s="501"/>
      <c r="J2" s="501"/>
      <c r="K2" s="502"/>
      <c r="O2" s="500" t="str">
        <f>verze!E7</f>
        <v xml:space="preserve"> Výběr zásuvek</v>
      </c>
      <c r="P2" s="501"/>
      <c r="Q2" s="501"/>
      <c r="R2" s="501"/>
      <c r="S2" s="502"/>
      <c r="U2" s="513" t="str">
        <f>verze!E8</f>
        <v xml:space="preserve"> </v>
      </c>
      <c r="V2" s="514"/>
      <c r="W2" s="514"/>
      <c r="X2" s="514"/>
      <c r="Y2" s="515"/>
      <c r="AA2" s="513" t="str">
        <f>verze!E9</f>
        <v xml:space="preserve"> </v>
      </c>
      <c r="AB2" s="514"/>
      <c r="AC2" s="514"/>
      <c r="AD2" s="514"/>
      <c r="AE2" s="515"/>
      <c r="AI2" s="500" t="str">
        <f>verze!E10</f>
        <v xml:space="preserve"> Objednávka</v>
      </c>
      <c r="AJ2" s="501"/>
      <c r="AK2" s="501"/>
      <c r="AL2" s="501"/>
      <c r="AM2" s="502"/>
      <c r="AO2" s="484" t="str">
        <f>verze!E14</f>
        <v>vpřed  &gt;&gt;</v>
      </c>
      <c r="AP2" s="485"/>
      <c r="AQ2" s="485"/>
      <c r="AR2" s="486"/>
    </row>
    <row r="3" spans="1:54" ht="12.9" customHeight="1">
      <c r="AS3" s="147"/>
    </row>
    <row r="4" spans="1:54" ht="23.1" customHeight="1">
      <c r="A4" s="148"/>
      <c r="B4" s="91" t="str">
        <f>verze!E8</f>
        <v xml:space="preserve"> </v>
      </c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  <c r="U4" s="148"/>
      <c r="V4" s="148"/>
      <c r="W4" s="148"/>
      <c r="X4" s="148"/>
      <c r="Y4" s="148"/>
      <c r="Z4" s="148"/>
      <c r="AA4" s="148"/>
      <c r="AB4" s="148"/>
      <c r="AC4" s="148"/>
      <c r="AD4" s="148"/>
      <c r="AE4" s="148"/>
      <c r="AF4" s="148"/>
      <c r="AG4" s="148"/>
      <c r="AH4" s="148"/>
      <c r="AI4" s="148"/>
      <c r="AJ4" s="148"/>
      <c r="AK4" s="148"/>
      <c r="AL4" s="148"/>
      <c r="AM4" s="148"/>
      <c r="AN4" s="148"/>
      <c r="AO4" s="148"/>
      <c r="AP4" s="148"/>
      <c r="AQ4" s="148"/>
      <c r="AR4" s="149" t="s">
        <v>119</v>
      </c>
      <c r="AS4" s="150"/>
    </row>
    <row r="5" spans="1:54" ht="14.4" customHeight="1"/>
    <row r="6" spans="1:54" s="76" customFormat="1" ht="14.4" customHeight="1">
      <c r="A6" s="4"/>
      <c r="B6" s="73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80"/>
      <c r="O6" s="81"/>
      <c r="P6" s="82"/>
      <c r="Q6" s="79"/>
      <c r="R6" s="79"/>
      <c r="S6" s="79"/>
      <c r="T6" s="79"/>
      <c r="U6" s="79"/>
      <c r="V6" s="79"/>
      <c r="W6" s="79"/>
      <c r="X6" s="79"/>
      <c r="Y6" s="79"/>
      <c r="Z6" s="79"/>
      <c r="AA6" s="82"/>
      <c r="AB6" s="82"/>
      <c r="AC6" s="83"/>
      <c r="AD6" s="81"/>
      <c r="AE6" s="82"/>
      <c r="AF6" s="79"/>
      <c r="AG6" s="79"/>
      <c r="AH6" s="79"/>
      <c r="AI6" s="79"/>
      <c r="AJ6" s="79"/>
      <c r="AK6" s="79"/>
      <c r="AL6" s="79"/>
      <c r="AM6" s="79"/>
      <c r="AN6" s="79"/>
      <c r="AO6" s="82"/>
      <c r="AP6" s="82"/>
      <c r="AQ6" s="79"/>
      <c r="AR6" s="81"/>
      <c r="AS6" s="4"/>
    </row>
    <row r="7" spans="1:54" s="76" customFormat="1" ht="14.4" customHeight="1" thickBot="1">
      <c r="A7" s="4"/>
      <c r="B7" s="74"/>
      <c r="C7" s="75"/>
      <c r="D7" s="75"/>
      <c r="E7" s="75"/>
      <c r="F7" s="75"/>
      <c r="G7" s="75"/>
      <c r="H7" s="75"/>
      <c r="I7" s="75"/>
      <c r="P7" s="4"/>
      <c r="Q7" s="74"/>
      <c r="R7" s="75"/>
      <c r="S7" s="75"/>
      <c r="T7" s="75"/>
      <c r="U7" s="75"/>
      <c r="V7" s="75"/>
      <c r="AE7" s="4"/>
      <c r="AF7" s="74"/>
      <c r="AG7" s="75"/>
      <c r="AH7" s="75"/>
      <c r="AI7" s="75"/>
      <c r="AJ7" s="75"/>
      <c r="AK7" s="75"/>
      <c r="AS7" s="4"/>
    </row>
    <row r="8" spans="1:54" s="76" customFormat="1" ht="14.4" customHeight="1" thickTop="1">
      <c r="B8" s="173"/>
      <c r="C8" s="174" t="s">
        <v>170</v>
      </c>
      <c r="D8" s="175"/>
      <c r="E8" s="175"/>
      <c r="F8" s="175"/>
      <c r="G8" s="175"/>
      <c r="H8" s="175"/>
      <c r="I8" s="175"/>
      <c r="J8" s="176"/>
      <c r="K8" s="176"/>
      <c r="L8" s="176"/>
      <c r="M8" s="176"/>
      <c r="N8" s="176"/>
      <c r="O8" s="177"/>
      <c r="P8" s="173"/>
      <c r="Q8" s="174"/>
      <c r="R8" s="175"/>
      <c r="S8" s="175"/>
      <c r="T8" s="175"/>
      <c r="U8" s="175"/>
      <c r="V8" s="175"/>
      <c r="W8" s="175"/>
      <c r="X8" s="176"/>
      <c r="Y8" s="176"/>
      <c r="Z8" s="176"/>
      <c r="AA8" s="176"/>
      <c r="AB8" s="176"/>
      <c r="AC8" s="176"/>
      <c r="AD8" s="177"/>
      <c r="AE8" s="173"/>
      <c r="AF8" s="174"/>
      <c r="AG8" s="175"/>
      <c r="AH8" s="175"/>
      <c r="AI8" s="175"/>
      <c r="AJ8" s="175"/>
      <c r="AK8" s="175"/>
      <c r="AL8" s="175"/>
      <c r="AM8" s="176"/>
      <c r="AN8" s="176"/>
      <c r="AO8" s="176"/>
      <c r="AP8" s="176"/>
      <c r="AQ8" s="176"/>
      <c r="AR8" s="177"/>
      <c r="AS8" s="4"/>
    </row>
    <row r="9" spans="1:54" s="76" customFormat="1" ht="14.4" customHeight="1">
      <c r="B9" s="178"/>
      <c r="C9" s="4" t="str">
        <f>verze!$E$150</f>
        <v>min.šířka korp.:</v>
      </c>
      <c r="D9" s="4"/>
      <c r="E9" s="4"/>
      <c r="F9" s="4"/>
      <c r="G9" s="504" t="s">
        <v>265</v>
      </c>
      <c r="H9" s="504"/>
      <c r="I9" s="504"/>
      <c r="J9" s="4"/>
      <c r="K9" s="4"/>
      <c r="L9" s="4"/>
      <c r="M9" s="4"/>
      <c r="N9" s="4"/>
      <c r="O9" s="179"/>
      <c r="P9" s="178"/>
      <c r="Q9" s="4" t="str">
        <f>verze!$E$150</f>
        <v>min.šířka korp.:</v>
      </c>
      <c r="R9" s="4"/>
      <c r="S9" s="4"/>
      <c r="T9" s="4"/>
      <c r="U9" s="504"/>
      <c r="V9" s="504"/>
      <c r="W9" s="504"/>
      <c r="X9" s="4"/>
      <c r="Y9" s="4"/>
      <c r="Z9" s="4"/>
      <c r="AA9" s="4"/>
      <c r="AB9" s="4"/>
      <c r="AC9" s="4"/>
      <c r="AD9" s="179"/>
      <c r="AE9" s="178"/>
      <c r="AF9" s="4" t="str">
        <f>verze!$E$150</f>
        <v>min.šířka korp.:</v>
      </c>
      <c r="AG9" s="4"/>
      <c r="AH9" s="4"/>
      <c r="AI9" s="4"/>
      <c r="AJ9" s="504"/>
      <c r="AK9" s="504"/>
      <c r="AL9" s="504"/>
      <c r="AM9" s="4"/>
      <c r="AN9" s="4"/>
      <c r="AO9" s="4"/>
      <c r="AP9" s="4"/>
      <c r="AQ9" s="4"/>
      <c r="AR9" s="179"/>
      <c r="AS9" s="4"/>
    </row>
    <row r="10" spans="1:54" s="76" customFormat="1" ht="14.4" customHeight="1">
      <c r="B10" s="178"/>
      <c r="C10" s="4" t="str">
        <f>verze!$E$151</f>
        <v>max.šířka korp.:</v>
      </c>
      <c r="D10" s="4"/>
      <c r="E10" s="4"/>
      <c r="F10" s="4"/>
      <c r="G10" s="504" t="s">
        <v>266</v>
      </c>
      <c r="H10" s="504"/>
      <c r="I10" s="504"/>
      <c r="J10" s="4"/>
      <c r="K10" s="4"/>
      <c r="L10" s="4"/>
      <c r="M10" s="4"/>
      <c r="N10" s="4"/>
      <c r="O10" s="179"/>
      <c r="P10" s="178"/>
      <c r="Q10" s="4" t="str">
        <f>verze!$E$151</f>
        <v>max.šířka korp.:</v>
      </c>
      <c r="R10" s="4"/>
      <c r="S10" s="4"/>
      <c r="T10" s="4"/>
      <c r="U10" s="504"/>
      <c r="V10" s="504"/>
      <c r="W10" s="504"/>
      <c r="X10" s="4"/>
      <c r="Y10" s="4"/>
      <c r="Z10" s="4"/>
      <c r="AA10" s="4"/>
      <c r="AB10" s="4"/>
      <c r="AC10" s="4"/>
      <c r="AD10" s="179"/>
      <c r="AE10" s="178"/>
      <c r="AF10" s="4" t="str">
        <f>verze!$E$151</f>
        <v>max.šířka korp.:</v>
      </c>
      <c r="AG10" s="4"/>
      <c r="AH10" s="4"/>
      <c r="AI10" s="4"/>
      <c r="AJ10" s="504"/>
      <c r="AK10" s="504"/>
      <c r="AL10" s="504"/>
      <c r="AM10" s="4"/>
      <c r="AN10" s="4"/>
      <c r="AO10" s="4"/>
      <c r="AP10" s="4"/>
      <c r="AQ10" s="4"/>
      <c r="AR10" s="179"/>
      <c r="AS10" s="4"/>
    </row>
    <row r="11" spans="1:54" s="76" customFormat="1" ht="14.4" customHeight="1">
      <c r="B11" s="178"/>
      <c r="C11" s="4"/>
      <c r="D11" s="4"/>
      <c r="E11" s="4"/>
      <c r="F11" s="4"/>
      <c r="G11" s="4"/>
      <c r="H11" s="4"/>
      <c r="I11" s="24"/>
      <c r="J11" s="4"/>
      <c r="K11" s="4"/>
      <c r="L11" s="4"/>
      <c r="M11" s="4"/>
      <c r="N11" s="4"/>
      <c r="O11" s="179"/>
      <c r="P11" s="178"/>
      <c r="Q11" s="4"/>
      <c r="R11" s="4"/>
      <c r="S11" s="4"/>
      <c r="T11" s="4"/>
      <c r="U11" s="4"/>
      <c r="V11" s="4"/>
      <c r="W11" s="24"/>
      <c r="X11" s="4"/>
      <c r="Y11" s="4"/>
      <c r="Z11" s="4"/>
      <c r="AA11" s="4"/>
      <c r="AB11" s="4"/>
      <c r="AC11" s="4"/>
      <c r="AD11" s="179"/>
      <c r="AE11" s="178"/>
      <c r="AF11" s="4"/>
      <c r="AG11" s="4"/>
      <c r="AH11" s="4"/>
      <c r="AI11" s="4"/>
      <c r="AJ11" s="4"/>
      <c r="AK11" s="4"/>
      <c r="AL11" s="24"/>
      <c r="AM11" s="4"/>
      <c r="AN11" s="4"/>
      <c r="AO11" s="4"/>
      <c r="AP11" s="4"/>
      <c r="AQ11" s="4"/>
      <c r="AR11" s="179"/>
      <c r="AS11" s="4"/>
    </row>
    <row r="12" spans="1:54" s="76" customFormat="1" ht="14.4" customHeight="1">
      <c r="B12" s="178"/>
      <c r="C12" s="4" t="str">
        <f>verze!$E$152</f>
        <v>min.hl.příbor. :</v>
      </c>
      <c r="D12" s="4"/>
      <c r="E12" s="4"/>
      <c r="F12" s="4"/>
      <c r="G12" s="504" t="s">
        <v>267</v>
      </c>
      <c r="H12" s="504"/>
      <c r="I12" s="504"/>
      <c r="J12" s="4"/>
      <c r="K12" s="4"/>
      <c r="L12" s="4"/>
      <c r="M12" s="4"/>
      <c r="N12" s="4"/>
      <c r="O12" s="179"/>
      <c r="P12" s="178"/>
      <c r="Q12" s="4" t="str">
        <f>verze!$E$152</f>
        <v>min.hl.příbor. :</v>
      </c>
      <c r="R12" s="4"/>
      <c r="S12" s="4"/>
      <c r="T12" s="4"/>
      <c r="U12" s="504"/>
      <c r="V12" s="504"/>
      <c r="W12" s="504"/>
      <c r="X12" s="4"/>
      <c r="Y12" s="4"/>
      <c r="Z12" s="4"/>
      <c r="AA12" s="4"/>
      <c r="AB12" s="4"/>
      <c r="AC12" s="4"/>
      <c r="AD12" s="179"/>
      <c r="AE12" s="178"/>
      <c r="AF12" s="4" t="str">
        <f>verze!$E$152</f>
        <v>min.hl.příbor. :</v>
      </c>
      <c r="AG12" s="4"/>
      <c r="AH12" s="4"/>
      <c r="AI12" s="4"/>
      <c r="AJ12" s="504"/>
      <c r="AK12" s="504"/>
      <c r="AL12" s="504"/>
      <c r="AM12" s="4"/>
      <c r="AN12" s="4"/>
      <c r="AO12" s="4"/>
      <c r="AP12" s="4"/>
      <c r="AQ12" s="4"/>
      <c r="AR12" s="179"/>
      <c r="AS12" s="4"/>
      <c r="AW12" s="76">
        <f>SUM('AVT101'!$O$19:$AP$19)</f>
        <v>0</v>
      </c>
      <c r="AX12" s="151">
        <f>IF(AW12=MAX(AW$12:AW$14),1,0)</f>
        <v>1</v>
      </c>
      <c r="AY12" s="76" t="e">
        <f>SUM(#REF!)</f>
        <v>#REF!</v>
      </c>
      <c r="AZ12" s="151" t="e">
        <f>IF(AY12=MAX(AY$12:AY$14),1,0)</f>
        <v>#REF!</v>
      </c>
      <c r="BA12" s="76" t="e">
        <f>SUM(#REF!)</f>
        <v>#REF!</v>
      </c>
      <c r="BB12" s="151" t="e">
        <f>IF(BA12=MAX(BA$12:BA$14),1,0)</f>
        <v>#REF!</v>
      </c>
    </row>
    <row r="13" spans="1:54" s="97" customFormat="1" ht="14.4" customHeight="1">
      <c r="B13" s="180"/>
      <c r="C13" s="4" t="str">
        <f>verze!$E$153</f>
        <v>max.hl.příbor.:</v>
      </c>
      <c r="D13" s="4"/>
      <c r="E13" s="4"/>
      <c r="F13" s="4"/>
      <c r="G13" s="504" t="s">
        <v>268</v>
      </c>
      <c r="H13" s="504"/>
      <c r="I13" s="504"/>
      <c r="J13" s="24"/>
      <c r="K13" s="24"/>
      <c r="L13" s="24"/>
      <c r="M13" s="505" t="e">
        <f>SUM(#REF!)+SUM(#REF!)</f>
        <v>#REF!</v>
      </c>
      <c r="N13" s="505"/>
      <c r="O13" s="506"/>
      <c r="P13" s="180"/>
      <c r="Q13" s="4" t="str">
        <f>verze!$E$153</f>
        <v>max.hl.příbor.:</v>
      </c>
      <c r="R13" s="4"/>
      <c r="S13" s="4"/>
      <c r="T13" s="4"/>
      <c r="U13" s="504"/>
      <c r="V13" s="504"/>
      <c r="W13" s="504"/>
      <c r="X13" s="24"/>
      <c r="Y13" s="24"/>
      <c r="Z13" s="24"/>
      <c r="AA13" s="24"/>
      <c r="AB13" s="505" t="e">
        <f>SUM(SUM(#REF!)+SUM(#REF!))</f>
        <v>#REF!</v>
      </c>
      <c r="AC13" s="505"/>
      <c r="AD13" s="506"/>
      <c r="AE13" s="180"/>
      <c r="AF13" s="4" t="str">
        <f>verze!$E$153</f>
        <v>max.hl.příbor.:</v>
      </c>
      <c r="AG13" s="4"/>
      <c r="AH13" s="4"/>
      <c r="AI13" s="4"/>
      <c r="AJ13" s="504"/>
      <c r="AK13" s="504"/>
      <c r="AL13" s="504"/>
      <c r="AM13" s="24"/>
      <c r="AN13" s="24"/>
      <c r="AO13" s="24"/>
      <c r="AP13" s="505" t="e">
        <f>SUM(SUM(#REF!)+SUM(#REF!))</f>
        <v>#REF!</v>
      </c>
      <c r="AQ13" s="505"/>
      <c r="AR13" s="506"/>
      <c r="AS13" s="24"/>
      <c r="AW13" s="97">
        <f>SUM('AVT101'!$O$20:$AP$20)+SUM('AVT101'!$O$27:$AP$27)</f>
        <v>0</v>
      </c>
      <c r="AX13" s="151">
        <f>IF(AW13=MAX(AW$12:AW$14),1,0)</f>
        <v>1</v>
      </c>
      <c r="AY13" s="97" t="e">
        <f>SUM(#REF!)+SUM(#REF!)</f>
        <v>#REF!</v>
      </c>
      <c r="AZ13" s="151" t="e">
        <f>IF(AY13=MAX(AY$12:AY$14),1,0)</f>
        <v>#REF!</v>
      </c>
      <c r="BA13" s="97" t="e">
        <f>SUM(#REF!)+SUM(#REF!)</f>
        <v>#REF!</v>
      </c>
      <c r="BB13" s="151" t="e">
        <f>IF(BA13=MAX(BA$12:BA$14),1,0)</f>
        <v>#REF!</v>
      </c>
    </row>
    <row r="14" spans="1:54" s="97" customFormat="1" ht="14.4" customHeight="1">
      <c r="B14" s="180"/>
      <c r="C14" s="4"/>
      <c r="D14" s="4"/>
      <c r="E14" s="4"/>
      <c r="F14" s="4"/>
      <c r="G14" s="4"/>
      <c r="H14" s="4"/>
      <c r="I14" s="24"/>
      <c r="J14" s="24"/>
      <c r="K14" s="24"/>
      <c r="L14" s="24"/>
      <c r="M14" s="505"/>
      <c r="N14" s="505"/>
      <c r="O14" s="506"/>
      <c r="P14" s="180"/>
      <c r="Q14" s="4"/>
      <c r="R14" s="4"/>
      <c r="S14" s="4"/>
      <c r="T14" s="4"/>
      <c r="U14" s="4"/>
      <c r="V14" s="4"/>
      <c r="W14" s="24"/>
      <c r="X14" s="24"/>
      <c r="Y14" s="24"/>
      <c r="Z14" s="24"/>
      <c r="AA14" s="24"/>
      <c r="AB14" s="505"/>
      <c r="AC14" s="505"/>
      <c r="AD14" s="506"/>
      <c r="AE14" s="180"/>
      <c r="AF14" s="4"/>
      <c r="AG14" s="4"/>
      <c r="AH14" s="4"/>
      <c r="AI14" s="4"/>
      <c r="AJ14" s="4"/>
      <c r="AK14" s="4"/>
      <c r="AL14" s="24"/>
      <c r="AM14" s="24"/>
      <c r="AN14" s="24"/>
      <c r="AO14" s="24"/>
      <c r="AP14" s="505"/>
      <c r="AQ14" s="505"/>
      <c r="AR14" s="506"/>
      <c r="AS14" s="24"/>
      <c r="AW14" s="97">
        <f>SUM('AVT101'!$Q$21:$AR$21)+SUM('AVT101'!$Q$27:$AR$27)</f>
        <v>0</v>
      </c>
      <c r="AX14" s="151">
        <f>IF(AW14=MAX(AW$12:AW$14),1,0)</f>
        <v>1</v>
      </c>
      <c r="AY14" s="97" t="e">
        <f>SUM(#REF!)+SUM(#REF!)</f>
        <v>#REF!</v>
      </c>
      <c r="AZ14" s="151" t="e">
        <f>IF(AY14=MAX(AY$12:AY$14),1,0)</f>
        <v>#REF!</v>
      </c>
      <c r="BA14" s="97" t="e">
        <f>SUM(#REF!)+SUM(#REF!)</f>
        <v>#REF!</v>
      </c>
      <c r="BB14" s="151" t="e">
        <f>IF(BA14=MAX(BA$12:BA$14),1,0)</f>
        <v>#REF!</v>
      </c>
    </row>
    <row r="15" spans="1:54" s="76" customFormat="1" ht="14.4" customHeight="1" thickBot="1">
      <c r="B15" s="178"/>
      <c r="C15" s="73"/>
      <c r="D15" s="4"/>
      <c r="E15" s="4"/>
      <c r="F15" s="4"/>
      <c r="G15" s="4"/>
      <c r="H15" s="4"/>
      <c r="I15" s="4"/>
      <c r="J15" s="4"/>
      <c r="K15" s="4"/>
      <c r="L15" s="4"/>
      <c r="M15" s="4"/>
      <c r="N15" s="234"/>
      <c r="O15" s="179"/>
      <c r="P15" s="178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179"/>
      <c r="AE15" s="178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179"/>
      <c r="AS15" s="4"/>
    </row>
    <row r="16" spans="1:54" s="76" customFormat="1" ht="14.4" customHeight="1" thickTop="1">
      <c r="B16" s="173"/>
      <c r="C16" s="174"/>
      <c r="D16" s="175"/>
      <c r="E16" s="175"/>
      <c r="F16" s="175"/>
      <c r="G16" s="175"/>
      <c r="H16" s="175"/>
      <c r="I16" s="175"/>
      <c r="J16" s="176"/>
      <c r="K16" s="176"/>
      <c r="L16" s="176"/>
      <c r="M16" s="176"/>
      <c r="N16" s="176"/>
      <c r="O16" s="177"/>
      <c r="P16" s="173"/>
      <c r="Q16" s="174"/>
      <c r="R16" s="175"/>
      <c r="S16" s="175"/>
      <c r="T16" s="175"/>
      <c r="U16" s="175"/>
      <c r="V16" s="175"/>
      <c r="W16" s="175"/>
      <c r="X16" s="176"/>
      <c r="Y16" s="176"/>
      <c r="Z16" s="176"/>
      <c r="AA16" s="176"/>
      <c r="AB16" s="176"/>
      <c r="AC16" s="176"/>
      <c r="AD16" s="177"/>
      <c r="AE16" s="173"/>
      <c r="AF16" s="174"/>
      <c r="AG16" s="175"/>
      <c r="AH16" s="175"/>
      <c r="AI16" s="175"/>
      <c r="AJ16" s="175"/>
      <c r="AK16" s="175"/>
      <c r="AL16" s="175"/>
      <c r="AM16" s="176"/>
      <c r="AN16" s="176"/>
      <c r="AO16" s="176"/>
      <c r="AP16" s="176"/>
      <c r="AQ16" s="176"/>
      <c r="AR16" s="177"/>
      <c r="AS16" s="4"/>
    </row>
    <row r="17" spans="2:54" s="76" customFormat="1" ht="14.4" customHeight="1">
      <c r="B17" s="178"/>
      <c r="C17" s="4" t="str">
        <f>verze!$E$150</f>
        <v>min.šířka korp.:</v>
      </c>
      <c r="D17" s="4"/>
      <c r="E17" s="4"/>
      <c r="F17" s="4"/>
      <c r="G17" s="504"/>
      <c r="H17" s="504"/>
      <c r="I17" s="504"/>
      <c r="J17" s="4"/>
      <c r="K17" s="4"/>
      <c r="L17" s="4"/>
      <c r="M17" s="4"/>
      <c r="N17" s="4"/>
      <c r="O17" s="179"/>
      <c r="P17" s="178"/>
      <c r="Q17" s="4" t="str">
        <f>verze!$E$150</f>
        <v>min.šířka korp.:</v>
      </c>
      <c r="R17" s="4"/>
      <c r="S17" s="4"/>
      <c r="T17" s="4"/>
      <c r="U17" s="504"/>
      <c r="V17" s="504"/>
      <c r="W17" s="504"/>
      <c r="X17" s="4"/>
      <c r="Y17" s="4"/>
      <c r="Z17" s="4"/>
      <c r="AA17" s="4"/>
      <c r="AB17" s="4"/>
      <c r="AC17" s="4"/>
      <c r="AD17" s="179"/>
      <c r="AE17" s="178"/>
      <c r="AF17" s="4" t="str">
        <f>verze!$E$150</f>
        <v>min.šířka korp.:</v>
      </c>
      <c r="AG17" s="4"/>
      <c r="AH17" s="4"/>
      <c r="AI17" s="4"/>
      <c r="AJ17" s="504"/>
      <c r="AK17" s="504"/>
      <c r="AL17" s="504"/>
      <c r="AM17" s="4"/>
      <c r="AN17" s="4"/>
      <c r="AO17" s="4"/>
      <c r="AP17" s="4"/>
      <c r="AQ17" s="4"/>
      <c r="AR17" s="179"/>
      <c r="AS17" s="4"/>
    </row>
    <row r="18" spans="2:54" s="76" customFormat="1" ht="14.4" customHeight="1">
      <c r="B18" s="178"/>
      <c r="C18" s="4" t="str">
        <f>verze!$E$151</f>
        <v>max.šířka korp.:</v>
      </c>
      <c r="D18" s="4"/>
      <c r="E18" s="4"/>
      <c r="F18" s="4"/>
      <c r="G18" s="504"/>
      <c r="H18" s="504"/>
      <c r="I18" s="504"/>
      <c r="J18" s="4"/>
      <c r="K18" s="4"/>
      <c r="L18" s="4"/>
      <c r="M18" s="4"/>
      <c r="N18" s="4"/>
      <c r="O18" s="179"/>
      <c r="P18" s="178"/>
      <c r="Q18" s="4" t="str">
        <f>verze!$E$151</f>
        <v>max.šířka korp.:</v>
      </c>
      <c r="R18" s="4"/>
      <c r="S18" s="4"/>
      <c r="T18" s="4"/>
      <c r="U18" s="504"/>
      <c r="V18" s="504"/>
      <c r="W18" s="504"/>
      <c r="X18" s="4"/>
      <c r="Y18" s="4"/>
      <c r="Z18" s="4"/>
      <c r="AA18" s="4"/>
      <c r="AB18" s="4"/>
      <c r="AC18" s="4"/>
      <c r="AD18" s="179"/>
      <c r="AE18" s="178"/>
      <c r="AF18" s="4" t="str">
        <f>verze!$E$151</f>
        <v>max.šířka korp.:</v>
      </c>
      <c r="AG18" s="4"/>
      <c r="AH18" s="4"/>
      <c r="AI18" s="4"/>
      <c r="AJ18" s="504"/>
      <c r="AK18" s="504"/>
      <c r="AL18" s="504"/>
      <c r="AM18" s="4"/>
      <c r="AN18" s="4"/>
      <c r="AO18" s="4"/>
      <c r="AP18" s="4"/>
      <c r="AQ18" s="4"/>
      <c r="AR18" s="179"/>
      <c r="AS18" s="4"/>
    </row>
    <row r="19" spans="2:54" s="76" customFormat="1" ht="14.4" customHeight="1">
      <c r="B19" s="178"/>
      <c r="C19" s="4"/>
      <c r="D19" s="4"/>
      <c r="E19" s="4"/>
      <c r="F19" s="4"/>
      <c r="G19" s="4"/>
      <c r="H19" s="4"/>
      <c r="I19" s="24"/>
      <c r="J19" s="4"/>
      <c r="K19" s="4"/>
      <c r="L19" s="4"/>
      <c r="M19" s="4"/>
      <c r="N19" s="4"/>
      <c r="O19" s="179"/>
      <c r="P19" s="178"/>
      <c r="Q19" s="4"/>
      <c r="R19" s="4"/>
      <c r="S19" s="4"/>
      <c r="T19" s="4"/>
      <c r="U19" s="4"/>
      <c r="V19" s="4"/>
      <c r="W19" s="24"/>
      <c r="X19" s="4"/>
      <c r="Y19" s="4"/>
      <c r="Z19" s="4"/>
      <c r="AA19" s="4"/>
      <c r="AB19" s="4"/>
      <c r="AC19" s="4"/>
      <c r="AD19" s="179"/>
      <c r="AE19" s="178"/>
      <c r="AF19" s="4"/>
      <c r="AG19" s="4"/>
      <c r="AH19" s="4"/>
      <c r="AI19" s="4"/>
      <c r="AJ19" s="4"/>
      <c r="AK19" s="4"/>
      <c r="AL19" s="24"/>
      <c r="AM19" s="4"/>
      <c r="AN19" s="4"/>
      <c r="AO19" s="4"/>
      <c r="AP19" s="4"/>
      <c r="AQ19" s="4"/>
      <c r="AR19" s="179"/>
      <c r="AS19" s="4"/>
    </row>
    <row r="20" spans="2:54" s="76" customFormat="1" ht="14.4" customHeight="1">
      <c r="B20" s="178"/>
      <c r="C20" s="4" t="str">
        <f>verze!$E$152</f>
        <v>min.hl.příbor. :</v>
      </c>
      <c r="D20" s="4"/>
      <c r="E20" s="4"/>
      <c r="F20" s="4"/>
      <c r="G20" s="504"/>
      <c r="H20" s="504"/>
      <c r="I20" s="504"/>
      <c r="J20" s="4"/>
      <c r="K20" s="4"/>
      <c r="L20" s="4"/>
      <c r="M20" s="4"/>
      <c r="N20" s="4"/>
      <c r="O20" s="179"/>
      <c r="P20" s="178"/>
      <c r="Q20" s="4" t="str">
        <f>verze!$E$152</f>
        <v>min.hl.příbor. :</v>
      </c>
      <c r="R20" s="4"/>
      <c r="S20" s="4"/>
      <c r="T20" s="4"/>
      <c r="U20" s="504"/>
      <c r="V20" s="504"/>
      <c r="W20" s="504"/>
      <c r="X20" s="4"/>
      <c r="Y20" s="4"/>
      <c r="Z20" s="4"/>
      <c r="AA20" s="4"/>
      <c r="AB20" s="4"/>
      <c r="AC20" s="4"/>
      <c r="AD20" s="179"/>
      <c r="AE20" s="178"/>
      <c r="AF20" s="4" t="str">
        <f>verze!$E$152</f>
        <v>min.hl.příbor. :</v>
      </c>
      <c r="AG20" s="4"/>
      <c r="AH20" s="4"/>
      <c r="AI20" s="4"/>
      <c r="AJ20" s="504"/>
      <c r="AK20" s="504"/>
      <c r="AL20" s="504"/>
      <c r="AM20" s="4"/>
      <c r="AN20" s="4"/>
      <c r="AO20" s="4"/>
      <c r="AP20" s="4"/>
      <c r="AQ20" s="4"/>
      <c r="AR20" s="179"/>
      <c r="AS20" s="4"/>
      <c r="BA20" s="76" t="e">
        <f>SUM(#REF!)</f>
        <v>#REF!</v>
      </c>
      <c r="BB20" s="151" t="e">
        <f>IF(BA20=MAX(BA$20:BA$22),1,0)</f>
        <v>#REF!</v>
      </c>
    </row>
    <row r="21" spans="2:54" s="97" customFormat="1" ht="14.4" customHeight="1">
      <c r="B21" s="180"/>
      <c r="C21" s="4" t="str">
        <f>verze!$E$153</f>
        <v>max.hl.příbor.:</v>
      </c>
      <c r="D21" s="4"/>
      <c r="E21" s="4"/>
      <c r="F21" s="4"/>
      <c r="G21" s="504"/>
      <c r="H21" s="504"/>
      <c r="I21" s="504"/>
      <c r="J21" s="24"/>
      <c r="K21" s="24"/>
      <c r="L21" s="24"/>
      <c r="M21" s="505">
        <f>SUM(SUM('AVT101'!O27:AR29)+SUM('AVT101'!O34:AR35))</f>
        <v>0</v>
      </c>
      <c r="N21" s="505"/>
      <c r="O21" s="506"/>
      <c r="P21" s="180"/>
      <c r="Q21" s="4" t="str">
        <f>verze!$E$153</f>
        <v>max.hl.příbor.:</v>
      </c>
      <c r="R21" s="4"/>
      <c r="S21" s="4"/>
      <c r="T21" s="4"/>
      <c r="U21" s="504"/>
      <c r="V21" s="504"/>
      <c r="W21" s="504"/>
      <c r="X21" s="24"/>
      <c r="Y21" s="24"/>
      <c r="Z21" s="24"/>
      <c r="AA21" s="24"/>
      <c r="AB21" s="505" t="e">
        <f>SUM(SUM(#REF!)+SUM(#REF!))</f>
        <v>#REF!</v>
      </c>
      <c r="AC21" s="505"/>
      <c r="AD21" s="506"/>
      <c r="AE21" s="180"/>
      <c r="AF21" s="4" t="str">
        <f>verze!$E$153</f>
        <v>max.hl.příbor.:</v>
      </c>
      <c r="AG21" s="4"/>
      <c r="AH21" s="4"/>
      <c r="AI21" s="4"/>
      <c r="AJ21" s="504"/>
      <c r="AK21" s="504"/>
      <c r="AL21" s="504"/>
      <c r="AM21" s="24"/>
      <c r="AN21" s="24"/>
      <c r="AO21" s="24"/>
      <c r="AP21" s="505" t="e">
        <f>SUM(SUM(#REF!)+SUM(#REF!))</f>
        <v>#REF!</v>
      </c>
      <c r="AQ21" s="505"/>
      <c r="AR21" s="506"/>
      <c r="AS21" s="24"/>
      <c r="BA21" s="97" t="e">
        <f>SUM(#REF!)+SUM(#REF!)</f>
        <v>#REF!</v>
      </c>
      <c r="BB21" s="151" t="e">
        <f>IF(BA21=MAX(BA$20:BA$22),1,0)</f>
        <v>#REF!</v>
      </c>
    </row>
    <row r="22" spans="2:54" s="97" customFormat="1" ht="14.4" customHeight="1">
      <c r="B22" s="180"/>
      <c r="C22" s="4"/>
      <c r="D22" s="4"/>
      <c r="E22" s="4"/>
      <c r="F22" s="4"/>
      <c r="G22" s="4"/>
      <c r="H22" s="4"/>
      <c r="I22" s="24"/>
      <c r="J22" s="24"/>
      <c r="K22" s="24"/>
      <c r="L22" s="24"/>
      <c r="M22" s="505"/>
      <c r="N22" s="505"/>
      <c r="O22" s="506"/>
      <c r="P22" s="180"/>
      <c r="Q22" s="4"/>
      <c r="R22" s="4"/>
      <c r="S22" s="4"/>
      <c r="T22" s="4"/>
      <c r="U22" s="4"/>
      <c r="V22" s="4"/>
      <c r="W22" s="24"/>
      <c r="X22" s="24"/>
      <c r="Y22" s="24"/>
      <c r="Z22" s="24"/>
      <c r="AA22" s="24"/>
      <c r="AB22" s="505"/>
      <c r="AC22" s="505"/>
      <c r="AD22" s="506"/>
      <c r="AE22" s="180"/>
      <c r="AF22" s="4"/>
      <c r="AG22" s="4"/>
      <c r="AH22" s="4"/>
      <c r="AI22" s="4"/>
      <c r="AJ22" s="4"/>
      <c r="AK22" s="4"/>
      <c r="AL22" s="24"/>
      <c r="AM22" s="24"/>
      <c r="AN22" s="24"/>
      <c r="AO22" s="24"/>
      <c r="AP22" s="505"/>
      <c r="AQ22" s="505"/>
      <c r="AR22" s="506"/>
      <c r="AS22" s="24"/>
      <c r="BA22" s="97" t="e">
        <f>SUM(#REF!)+SUM(#REF!)</f>
        <v>#REF!</v>
      </c>
      <c r="BB22" s="151" t="e">
        <f>IF(BA22=MAX(BA$20:BA$22),1,0)</f>
        <v>#REF!</v>
      </c>
    </row>
    <row r="23" spans="2:54" s="97" customFormat="1" ht="14.4" customHeight="1" thickBot="1">
      <c r="B23" s="185"/>
      <c r="C23" s="186"/>
      <c r="D23" s="186"/>
      <c r="E23" s="186"/>
      <c r="F23" s="186"/>
      <c r="G23" s="186"/>
      <c r="H23" s="186"/>
      <c r="I23" s="186"/>
      <c r="J23" s="186"/>
      <c r="K23" s="186"/>
      <c r="L23" s="186"/>
      <c r="M23" s="183"/>
      <c r="N23" s="183"/>
      <c r="O23" s="184"/>
      <c r="P23" s="185"/>
      <c r="Q23" s="187"/>
      <c r="R23" s="187"/>
      <c r="S23" s="188"/>
      <c r="T23" s="188"/>
      <c r="U23" s="189"/>
      <c r="V23" s="189"/>
      <c r="W23" s="186"/>
      <c r="X23" s="186"/>
      <c r="Y23" s="186"/>
      <c r="Z23" s="186"/>
      <c r="AA23" s="186"/>
      <c r="AB23" s="190"/>
      <c r="AC23" s="190"/>
      <c r="AD23" s="191"/>
      <c r="AE23" s="185"/>
      <c r="AF23" s="187"/>
      <c r="AG23" s="187"/>
      <c r="AH23" s="188"/>
      <c r="AI23" s="188"/>
      <c r="AJ23" s="189"/>
      <c r="AK23" s="189"/>
      <c r="AL23" s="186"/>
      <c r="AM23" s="186"/>
      <c r="AN23" s="186"/>
      <c r="AO23" s="186"/>
      <c r="AP23" s="190"/>
      <c r="AQ23" s="190"/>
      <c r="AR23" s="191"/>
      <c r="AS23" s="24"/>
    </row>
    <row r="24" spans="2:54" s="76" customFormat="1" ht="14.4" customHeight="1" thickTop="1">
      <c r="B24" s="173"/>
      <c r="C24" s="174"/>
      <c r="D24" s="175"/>
      <c r="E24" s="175"/>
      <c r="F24" s="175"/>
      <c r="G24" s="175"/>
      <c r="H24" s="175"/>
      <c r="I24" s="175"/>
      <c r="J24" s="176"/>
      <c r="K24" s="176"/>
      <c r="L24" s="176"/>
      <c r="M24" s="176"/>
      <c r="N24" s="176"/>
      <c r="O24" s="177"/>
      <c r="P24" s="173"/>
      <c r="Q24" s="174"/>
      <c r="R24" s="175"/>
      <c r="S24" s="175"/>
      <c r="T24" s="175"/>
      <c r="U24" s="175"/>
      <c r="V24" s="175"/>
      <c r="W24" s="175"/>
      <c r="X24" s="176"/>
      <c r="Y24" s="176"/>
      <c r="Z24" s="176"/>
      <c r="AA24" s="176"/>
      <c r="AB24" s="176"/>
      <c r="AC24" s="176"/>
      <c r="AD24" s="177"/>
      <c r="AE24" s="173"/>
      <c r="AF24" s="174"/>
      <c r="AG24" s="175"/>
      <c r="AH24" s="175"/>
      <c r="AI24" s="175"/>
      <c r="AJ24" s="175"/>
      <c r="AK24" s="175"/>
      <c r="AL24" s="175"/>
      <c r="AM24" s="176"/>
      <c r="AN24" s="176"/>
      <c r="AO24" s="176"/>
      <c r="AP24" s="176"/>
      <c r="AQ24" s="176"/>
      <c r="AR24" s="177"/>
      <c r="AS24" s="4"/>
    </row>
    <row r="25" spans="2:54" s="76" customFormat="1" ht="14.4" customHeight="1">
      <c r="B25" s="178"/>
      <c r="C25" s="4" t="str">
        <f>verze!$E$150</f>
        <v>min.šířka korp.:</v>
      </c>
      <c r="D25" s="4"/>
      <c r="E25" s="4"/>
      <c r="F25" s="4"/>
      <c r="G25" s="504"/>
      <c r="H25" s="504"/>
      <c r="I25" s="504"/>
      <c r="J25" s="4"/>
      <c r="K25" s="4"/>
      <c r="L25" s="4"/>
      <c r="M25" s="4"/>
      <c r="N25" s="4"/>
      <c r="O25" s="179"/>
      <c r="P25" s="178"/>
      <c r="Q25" s="4" t="str">
        <f>verze!$E$150</f>
        <v>min.šířka korp.:</v>
      </c>
      <c r="R25" s="4"/>
      <c r="S25" s="4"/>
      <c r="T25" s="4"/>
      <c r="U25" s="504"/>
      <c r="V25" s="504"/>
      <c r="W25" s="504"/>
      <c r="X25" s="4"/>
      <c r="Y25" s="4"/>
      <c r="Z25" s="4"/>
      <c r="AA25" s="4"/>
      <c r="AB25" s="4"/>
      <c r="AC25" s="4"/>
      <c r="AD25" s="179"/>
      <c r="AE25" s="178"/>
      <c r="AF25" s="4" t="str">
        <f>verze!$E$150</f>
        <v>min.šířka korp.:</v>
      </c>
      <c r="AG25" s="4"/>
      <c r="AH25" s="4"/>
      <c r="AI25" s="4"/>
      <c r="AJ25" s="504"/>
      <c r="AK25" s="504"/>
      <c r="AL25" s="504"/>
      <c r="AM25" s="4"/>
      <c r="AN25" s="4"/>
      <c r="AO25" s="4"/>
      <c r="AP25" s="4"/>
      <c r="AQ25" s="4"/>
      <c r="AR25" s="179"/>
      <c r="AS25" s="4"/>
    </row>
    <row r="26" spans="2:54" s="76" customFormat="1" ht="14.4" customHeight="1">
      <c r="B26" s="178"/>
      <c r="C26" s="4" t="str">
        <f>verze!$E$151</f>
        <v>max.šířka korp.:</v>
      </c>
      <c r="D26" s="4"/>
      <c r="E26" s="4"/>
      <c r="F26" s="4"/>
      <c r="G26" s="504"/>
      <c r="H26" s="504"/>
      <c r="I26" s="504"/>
      <c r="J26" s="4"/>
      <c r="K26" s="4"/>
      <c r="L26" s="4"/>
      <c r="M26" s="4"/>
      <c r="N26" s="4"/>
      <c r="O26" s="179"/>
      <c r="P26" s="178"/>
      <c r="Q26" s="4" t="str">
        <f>verze!$E$151</f>
        <v>max.šířka korp.:</v>
      </c>
      <c r="R26" s="4"/>
      <c r="S26" s="4"/>
      <c r="T26" s="4"/>
      <c r="U26" s="504"/>
      <c r="V26" s="504"/>
      <c r="W26" s="504"/>
      <c r="X26" s="4"/>
      <c r="Y26" s="4"/>
      <c r="Z26" s="4"/>
      <c r="AA26" s="4"/>
      <c r="AB26" s="4"/>
      <c r="AC26" s="4"/>
      <c r="AD26" s="179"/>
      <c r="AE26" s="178"/>
      <c r="AF26" s="4" t="str">
        <f>verze!$E$151</f>
        <v>max.šířka korp.:</v>
      </c>
      <c r="AG26" s="4"/>
      <c r="AH26" s="4"/>
      <c r="AI26" s="4"/>
      <c r="AJ26" s="504"/>
      <c r="AK26" s="504"/>
      <c r="AL26" s="504"/>
      <c r="AM26" s="4"/>
      <c r="AN26" s="4"/>
      <c r="AO26" s="4"/>
      <c r="AP26" s="4"/>
      <c r="AQ26" s="4"/>
      <c r="AR26" s="179"/>
      <c r="AS26" s="4"/>
    </row>
    <row r="27" spans="2:54" s="76" customFormat="1" ht="14.4" customHeight="1">
      <c r="B27" s="178"/>
      <c r="C27" s="4"/>
      <c r="D27" s="4"/>
      <c r="E27" s="4"/>
      <c r="F27" s="4"/>
      <c r="G27" s="4"/>
      <c r="H27" s="4"/>
      <c r="I27" s="24"/>
      <c r="J27" s="4"/>
      <c r="K27" s="4"/>
      <c r="L27" s="4"/>
      <c r="M27" s="4"/>
      <c r="N27" s="4"/>
      <c r="O27" s="179"/>
      <c r="P27" s="178"/>
      <c r="Q27" s="4"/>
      <c r="R27" s="4"/>
      <c r="S27" s="4"/>
      <c r="T27" s="4"/>
      <c r="U27" s="4"/>
      <c r="V27" s="4"/>
      <c r="W27" s="24"/>
      <c r="X27" s="4"/>
      <c r="Y27" s="4"/>
      <c r="Z27" s="4"/>
      <c r="AA27" s="4"/>
      <c r="AB27" s="4"/>
      <c r="AC27" s="4"/>
      <c r="AD27" s="179"/>
      <c r="AE27" s="178"/>
      <c r="AF27" s="4"/>
      <c r="AG27" s="4"/>
      <c r="AH27" s="4"/>
      <c r="AI27" s="4"/>
      <c r="AJ27" s="4"/>
      <c r="AK27" s="4"/>
      <c r="AL27" s="24"/>
      <c r="AM27" s="4"/>
      <c r="AN27" s="4"/>
      <c r="AO27" s="4"/>
      <c r="AP27" s="4"/>
      <c r="AQ27" s="4"/>
      <c r="AR27" s="179"/>
      <c r="AS27" s="4"/>
    </row>
    <row r="28" spans="2:54" s="76" customFormat="1" ht="14.4" customHeight="1">
      <c r="B28" s="178"/>
      <c r="C28" s="4" t="str">
        <f>verze!$E$152</f>
        <v>min.hl.příbor. :</v>
      </c>
      <c r="D28" s="4"/>
      <c r="E28" s="4"/>
      <c r="F28" s="4"/>
      <c r="G28" s="504"/>
      <c r="H28" s="504"/>
      <c r="I28" s="504"/>
      <c r="J28" s="4"/>
      <c r="K28" s="4"/>
      <c r="L28" s="4"/>
      <c r="M28" s="4"/>
      <c r="N28" s="4"/>
      <c r="O28" s="179"/>
      <c r="P28" s="178"/>
      <c r="Q28" s="4" t="str">
        <f>verze!$E$152</f>
        <v>min.hl.příbor. :</v>
      </c>
      <c r="R28" s="4"/>
      <c r="S28" s="4"/>
      <c r="T28" s="4"/>
      <c r="U28" s="504"/>
      <c r="V28" s="504"/>
      <c r="W28" s="504"/>
      <c r="X28" s="4"/>
      <c r="Y28" s="4"/>
      <c r="Z28" s="4"/>
      <c r="AA28" s="4"/>
      <c r="AB28" s="4"/>
      <c r="AC28" s="4"/>
      <c r="AD28" s="179"/>
      <c r="AE28" s="178"/>
      <c r="AF28" s="4" t="str">
        <f>verze!$E$152</f>
        <v>min.hl.příbor. :</v>
      </c>
      <c r="AG28" s="4"/>
      <c r="AH28" s="4"/>
      <c r="AI28" s="4"/>
      <c r="AJ28" s="504"/>
      <c r="AK28" s="504"/>
      <c r="AL28" s="504"/>
      <c r="AM28" s="4"/>
      <c r="AN28" s="4"/>
      <c r="AO28" s="4"/>
      <c r="AP28" s="4"/>
      <c r="AQ28" s="4"/>
      <c r="AR28" s="179"/>
      <c r="AS28" s="4"/>
      <c r="AY28" s="76" t="e">
        <f>SUM(#REF!)</f>
        <v>#REF!</v>
      </c>
      <c r="AZ28" s="151" t="e">
        <f>IF(AY28=MAX(AY$28:AY$30),1,0)</f>
        <v>#REF!</v>
      </c>
      <c r="BA28" s="76" t="e">
        <f>SUM(#REF!)</f>
        <v>#REF!</v>
      </c>
      <c r="BB28" s="151" t="e">
        <f>IF(BA28=MAX(BA$28:BA$30),1,0)</f>
        <v>#REF!</v>
      </c>
    </row>
    <row r="29" spans="2:54" s="97" customFormat="1" ht="14.4" customHeight="1">
      <c r="B29" s="180"/>
      <c r="C29" s="4" t="str">
        <f>verze!$E$153</f>
        <v>max.hl.příbor.:</v>
      </c>
      <c r="D29" s="4"/>
      <c r="E29" s="4"/>
      <c r="F29" s="4"/>
      <c r="G29" s="504"/>
      <c r="H29" s="504"/>
      <c r="I29" s="504"/>
      <c r="J29" s="24"/>
      <c r="K29" s="24"/>
      <c r="L29" s="24"/>
      <c r="M29" s="505">
        <f>SUM(SUM('AVT101'!O35:AR37)+SUM('AVT101'!O42:AR43))</f>
        <v>0</v>
      </c>
      <c r="N29" s="505"/>
      <c r="O29" s="506"/>
      <c r="P29" s="180"/>
      <c r="Q29" s="4" t="str">
        <f>verze!$E$153</f>
        <v>max.hl.příbor.:</v>
      </c>
      <c r="R29" s="4"/>
      <c r="S29" s="4"/>
      <c r="T29" s="4"/>
      <c r="U29" s="504"/>
      <c r="V29" s="504"/>
      <c r="W29" s="504"/>
      <c r="X29" s="24"/>
      <c r="Y29" s="24"/>
      <c r="Z29" s="24"/>
      <c r="AA29" s="24"/>
      <c r="AB29" s="505" t="e">
        <f>SUM(SUM(#REF!)+SUM(#REF!))</f>
        <v>#REF!</v>
      </c>
      <c r="AC29" s="505"/>
      <c r="AD29" s="506"/>
      <c r="AE29" s="180"/>
      <c r="AF29" s="4" t="str">
        <f>verze!$E$153</f>
        <v>max.hl.příbor.:</v>
      </c>
      <c r="AG29" s="4"/>
      <c r="AH29" s="4"/>
      <c r="AI29" s="4"/>
      <c r="AJ29" s="504"/>
      <c r="AK29" s="504"/>
      <c r="AL29" s="504"/>
      <c r="AM29" s="24"/>
      <c r="AN29" s="24"/>
      <c r="AO29" s="24"/>
      <c r="AP29" s="505" t="e">
        <f>SUM(SUM(#REF!)+SUM(#REF!))</f>
        <v>#REF!</v>
      </c>
      <c r="AQ29" s="505"/>
      <c r="AR29" s="506"/>
      <c r="AS29" s="24"/>
      <c r="AY29" s="97" t="e">
        <f>SUM(#REF!)+SUM(#REF!)</f>
        <v>#REF!</v>
      </c>
      <c r="AZ29" s="151" t="e">
        <f>IF(AY29=MAX(AY$28:AY$30),1,0)</f>
        <v>#REF!</v>
      </c>
      <c r="BA29" s="97" t="e">
        <f>SUM(#REF!)+SUM(#REF!)</f>
        <v>#REF!</v>
      </c>
      <c r="BB29" s="151" t="e">
        <f>IF(BA29=MAX(BA$28:BA$30),1,0)</f>
        <v>#REF!</v>
      </c>
    </row>
    <row r="30" spans="2:54" s="97" customFormat="1" ht="14.4" customHeight="1">
      <c r="B30" s="180"/>
      <c r="C30" s="4"/>
      <c r="D30" s="4"/>
      <c r="E30" s="4"/>
      <c r="F30" s="4"/>
      <c r="G30" s="4"/>
      <c r="H30" s="4"/>
      <c r="I30" s="24"/>
      <c r="J30" s="24"/>
      <c r="K30" s="24"/>
      <c r="L30" s="24"/>
      <c r="M30" s="505"/>
      <c r="N30" s="505"/>
      <c r="O30" s="506"/>
      <c r="P30" s="180"/>
      <c r="Q30" s="4"/>
      <c r="R30" s="4"/>
      <c r="S30" s="4"/>
      <c r="T30" s="4"/>
      <c r="U30" s="4"/>
      <c r="V30" s="4"/>
      <c r="W30" s="24"/>
      <c r="X30" s="24"/>
      <c r="Y30" s="24"/>
      <c r="Z30" s="24"/>
      <c r="AA30" s="24"/>
      <c r="AB30" s="505"/>
      <c r="AC30" s="505"/>
      <c r="AD30" s="506"/>
      <c r="AE30" s="180"/>
      <c r="AF30" s="4"/>
      <c r="AG30" s="4"/>
      <c r="AH30" s="4"/>
      <c r="AI30" s="4"/>
      <c r="AJ30" s="4"/>
      <c r="AK30" s="4"/>
      <c r="AL30" s="24"/>
      <c r="AM30" s="24"/>
      <c r="AN30" s="24"/>
      <c r="AO30" s="24"/>
      <c r="AP30" s="505"/>
      <c r="AQ30" s="505"/>
      <c r="AR30" s="506"/>
      <c r="AS30" s="24"/>
      <c r="AY30" s="97" t="e">
        <f>SUM(#REF!)+SUM(#REF!)</f>
        <v>#REF!</v>
      </c>
      <c r="AZ30" s="151" t="e">
        <f>IF(AY30=MAX(AY$28:AY$30),1,0)</f>
        <v>#REF!</v>
      </c>
      <c r="BA30" s="97" t="e">
        <f>SUM(#REF!)+SUM(#REF!)</f>
        <v>#REF!</v>
      </c>
      <c r="BB30" s="151" t="e">
        <f>IF(BA30=MAX(BA$28:BA$30),1,0)</f>
        <v>#REF!</v>
      </c>
    </row>
    <row r="31" spans="2:54" s="97" customFormat="1" ht="14.4" customHeight="1" thickBot="1">
      <c r="B31" s="185"/>
      <c r="C31" s="186"/>
      <c r="D31" s="186"/>
      <c r="E31" s="186"/>
      <c r="F31" s="186"/>
      <c r="G31" s="186"/>
      <c r="H31" s="186"/>
      <c r="I31" s="186"/>
      <c r="J31" s="186"/>
      <c r="K31" s="186"/>
      <c r="L31" s="186"/>
      <c r="M31" s="183"/>
      <c r="N31" s="183"/>
      <c r="O31" s="184"/>
      <c r="P31" s="185"/>
      <c r="Q31" s="187"/>
      <c r="R31" s="187"/>
      <c r="S31" s="188"/>
      <c r="T31" s="188"/>
      <c r="U31" s="189"/>
      <c r="V31" s="189"/>
      <c r="W31" s="186"/>
      <c r="X31" s="186"/>
      <c r="Y31" s="186"/>
      <c r="Z31" s="186"/>
      <c r="AA31" s="186"/>
      <c r="AB31" s="190"/>
      <c r="AC31" s="190"/>
      <c r="AD31" s="191"/>
      <c r="AE31" s="185"/>
      <c r="AF31" s="187"/>
      <c r="AG31" s="187"/>
      <c r="AH31" s="188"/>
      <c r="AI31" s="188"/>
      <c r="AJ31" s="189"/>
      <c r="AK31" s="189"/>
      <c r="AL31" s="186"/>
      <c r="AM31" s="186"/>
      <c r="AN31" s="186"/>
      <c r="AO31" s="186"/>
      <c r="AP31" s="190"/>
      <c r="AQ31" s="190"/>
      <c r="AR31" s="191"/>
      <c r="AS31" s="24"/>
    </row>
    <row r="32" spans="2:54" s="76" customFormat="1" ht="14.4" customHeight="1" thickTop="1">
      <c r="B32" s="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4"/>
      <c r="N32" s="4"/>
      <c r="O32" s="4"/>
      <c r="P32" s="4"/>
      <c r="Q32" s="143"/>
      <c r="R32" s="143"/>
      <c r="S32" s="143"/>
      <c r="T32" s="143"/>
      <c r="U32" s="143"/>
      <c r="V32" s="143"/>
      <c r="W32" s="24"/>
      <c r="X32" s="24"/>
      <c r="Y32" s="24"/>
      <c r="Z32" s="24"/>
      <c r="AA32" s="24"/>
      <c r="AB32" s="159"/>
      <c r="AC32" s="159"/>
      <c r="AD32" s="159"/>
      <c r="AE32" s="24"/>
      <c r="AL32" s="24"/>
      <c r="AM32" s="24"/>
      <c r="AN32" s="24"/>
      <c r="AO32" s="24"/>
      <c r="AR32" s="77"/>
      <c r="AS32" s="4"/>
    </row>
    <row r="33" spans="1:45" s="76" customFormat="1" ht="23.1" customHeight="1">
      <c r="A33" s="166"/>
      <c r="B33" s="172"/>
      <c r="C33" s="172"/>
      <c r="D33" s="166"/>
      <c r="E33" s="166"/>
      <c r="F33" s="166"/>
      <c r="G33" s="166"/>
      <c r="H33" s="166"/>
      <c r="I33" s="166"/>
      <c r="J33" s="166"/>
      <c r="K33" s="166"/>
      <c r="L33" s="166"/>
      <c r="M33" s="166"/>
      <c r="N33" s="167"/>
      <c r="O33" s="168"/>
      <c r="P33" s="169"/>
      <c r="Q33" s="170"/>
      <c r="R33" s="170"/>
      <c r="S33" s="170"/>
      <c r="T33" s="170"/>
      <c r="U33" s="170"/>
      <c r="V33" s="170"/>
      <c r="W33" s="170"/>
      <c r="X33" s="170"/>
      <c r="Y33" s="170"/>
      <c r="Z33" s="170"/>
      <c r="AA33" s="169"/>
      <c r="AB33" s="169"/>
      <c r="AC33" s="171"/>
      <c r="AD33" s="168"/>
      <c r="AE33" s="169"/>
      <c r="AF33" s="170"/>
      <c r="AG33" s="170"/>
      <c r="AH33" s="170"/>
      <c r="AI33" s="170"/>
      <c r="AJ33" s="170"/>
      <c r="AK33" s="170"/>
      <c r="AL33" s="170"/>
      <c r="AM33" s="170"/>
      <c r="AN33" s="170"/>
      <c r="AO33" s="169"/>
      <c r="AP33" s="169"/>
      <c r="AQ33" s="170"/>
      <c r="AR33" s="168"/>
      <c r="AS33" s="4"/>
    </row>
    <row r="34" spans="1:45" s="76" customFormat="1" ht="14.4" customHeight="1" thickBot="1">
      <c r="B34" s="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4"/>
      <c r="N34" s="4"/>
      <c r="O34" s="4"/>
      <c r="P34" s="4"/>
      <c r="Q34" s="143"/>
      <c r="R34" s="143"/>
      <c r="S34" s="143"/>
      <c r="T34" s="143"/>
      <c r="U34" s="143"/>
      <c r="V34" s="143"/>
      <c r="W34" s="24"/>
      <c r="X34" s="24"/>
      <c r="Y34" s="24"/>
      <c r="Z34" s="24"/>
      <c r="AA34" s="24"/>
      <c r="AB34" s="159"/>
      <c r="AC34" s="159"/>
      <c r="AD34" s="159"/>
      <c r="AE34" s="24"/>
      <c r="AL34" s="24"/>
      <c r="AM34" s="24"/>
      <c r="AN34" s="24"/>
      <c r="AO34" s="24"/>
      <c r="AR34" s="77"/>
      <c r="AS34" s="4"/>
    </row>
    <row r="35" spans="1:45" s="76" customFormat="1" ht="14.4" customHeight="1" thickTop="1">
      <c r="B35" s="173"/>
      <c r="C35" s="174"/>
      <c r="D35" s="175"/>
      <c r="E35" s="175"/>
      <c r="F35" s="175"/>
      <c r="G35" s="175"/>
      <c r="H35" s="175"/>
      <c r="I35" s="175"/>
      <c r="J35" s="176"/>
      <c r="K35" s="176"/>
      <c r="L35" s="176"/>
      <c r="M35" s="176"/>
      <c r="N35" s="176"/>
      <c r="O35" s="177"/>
      <c r="P35" s="173"/>
      <c r="Q35" s="174"/>
      <c r="R35" s="231"/>
      <c r="S35" s="231"/>
      <c r="T35" s="231"/>
      <c r="U35" s="231"/>
      <c r="V35" s="231"/>
      <c r="W35" s="231"/>
      <c r="X35" s="176"/>
      <c r="Y35" s="176"/>
      <c r="Z35" s="176"/>
      <c r="AA35" s="176"/>
      <c r="AB35" s="176"/>
      <c r="AC35" s="176"/>
      <c r="AD35" s="177"/>
      <c r="AE35" s="173"/>
      <c r="AF35" s="174"/>
      <c r="AG35" s="231"/>
      <c r="AH35" s="231"/>
      <c r="AI35" s="231"/>
      <c r="AJ35" s="231"/>
      <c r="AK35" s="231"/>
      <c r="AL35" s="231"/>
      <c r="AM35" s="176"/>
      <c r="AN35" s="176"/>
      <c r="AO35" s="176"/>
      <c r="AP35" s="176"/>
      <c r="AQ35" s="176"/>
      <c r="AR35" s="177"/>
      <c r="AS35" s="4"/>
    </row>
    <row r="36" spans="1:45" s="76" customFormat="1" ht="14.4" customHeight="1">
      <c r="B36" s="178"/>
      <c r="C36" s="7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179"/>
      <c r="P36" s="178"/>
      <c r="Q36" s="74"/>
      <c r="R36" s="232"/>
      <c r="S36" s="232"/>
      <c r="T36" s="232"/>
      <c r="U36" s="232"/>
      <c r="V36" s="232"/>
      <c r="W36" s="232"/>
      <c r="X36" s="4"/>
      <c r="Y36" s="4"/>
      <c r="Z36" s="4"/>
      <c r="AA36" s="4"/>
      <c r="AB36" s="4"/>
      <c r="AC36" s="4"/>
      <c r="AD36" s="179"/>
      <c r="AE36" s="178"/>
      <c r="AF36" s="74"/>
      <c r="AG36" s="232"/>
      <c r="AH36" s="232"/>
      <c r="AI36" s="232"/>
      <c r="AJ36" s="232"/>
      <c r="AK36" s="232"/>
      <c r="AL36" s="232"/>
      <c r="AM36" s="4"/>
      <c r="AN36" s="4"/>
      <c r="AO36" s="4"/>
      <c r="AP36" s="4"/>
      <c r="AQ36" s="4"/>
      <c r="AR36" s="179"/>
      <c r="AS36" s="4"/>
    </row>
    <row r="37" spans="1:45" s="76" customFormat="1" ht="14.4" customHeight="1">
      <c r="B37" s="178"/>
      <c r="C37" s="4"/>
      <c r="D37" s="4"/>
      <c r="E37" s="4"/>
      <c r="F37" s="4"/>
      <c r="G37" s="504"/>
      <c r="H37" s="504"/>
      <c r="I37" s="504"/>
      <c r="J37" s="4"/>
      <c r="K37" s="4"/>
      <c r="L37" s="4"/>
      <c r="M37" s="4"/>
      <c r="N37" s="4"/>
      <c r="O37" s="179"/>
      <c r="P37" s="178"/>
      <c r="Q37" s="4"/>
      <c r="R37" s="4"/>
      <c r="S37" s="4"/>
      <c r="T37" s="4"/>
      <c r="U37" s="504"/>
      <c r="V37" s="504"/>
      <c r="W37" s="504"/>
      <c r="X37" s="4"/>
      <c r="Y37" s="4"/>
      <c r="Z37" s="4"/>
      <c r="AA37" s="4"/>
      <c r="AB37" s="4"/>
      <c r="AC37" s="4"/>
      <c r="AD37" s="179"/>
      <c r="AE37" s="178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179"/>
      <c r="AS37" s="4"/>
    </row>
    <row r="38" spans="1:45" s="76" customFormat="1" ht="14.4" customHeight="1">
      <c r="B38" s="178"/>
      <c r="C38" s="4"/>
      <c r="D38" s="4"/>
      <c r="E38" s="4"/>
      <c r="F38" s="4"/>
      <c r="G38" s="504"/>
      <c r="H38" s="504"/>
      <c r="I38" s="504"/>
      <c r="J38" s="4"/>
      <c r="K38" s="4"/>
      <c r="L38" s="4"/>
      <c r="M38" s="4"/>
      <c r="N38" s="4"/>
      <c r="O38" s="179"/>
      <c r="P38" s="178"/>
      <c r="Q38" s="4"/>
      <c r="R38" s="4"/>
      <c r="S38" s="4"/>
      <c r="T38" s="4"/>
      <c r="U38" s="504"/>
      <c r="V38" s="504"/>
      <c r="W38" s="504"/>
      <c r="X38" s="4"/>
      <c r="Y38" s="4"/>
      <c r="Z38" s="4"/>
      <c r="AA38" s="4"/>
      <c r="AB38" s="4"/>
      <c r="AC38" s="4"/>
      <c r="AD38" s="179"/>
      <c r="AE38" s="178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179"/>
      <c r="AS38" s="4"/>
    </row>
    <row r="39" spans="1:45" s="76" customFormat="1" ht="14.4" customHeight="1">
      <c r="B39" s="178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179"/>
      <c r="P39" s="178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179"/>
      <c r="AE39" s="178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179"/>
      <c r="AS39" s="4"/>
    </row>
    <row r="40" spans="1:45" s="76" customFormat="1" ht="14.4" customHeight="1">
      <c r="B40" s="180"/>
      <c r="C40" s="4"/>
      <c r="D40" s="4"/>
      <c r="E40" s="4"/>
      <c r="F40" s="4"/>
      <c r="G40" s="4"/>
      <c r="H40" s="4"/>
      <c r="I40" s="24"/>
      <c r="J40" s="24"/>
      <c r="K40" s="24"/>
      <c r="L40" s="24"/>
      <c r="M40" s="505"/>
      <c r="N40" s="505"/>
      <c r="O40" s="506"/>
      <c r="P40" s="180"/>
      <c r="Q40" s="4"/>
      <c r="R40" s="4"/>
      <c r="S40" s="4"/>
      <c r="T40" s="4"/>
      <c r="U40" s="4"/>
      <c r="V40" s="4"/>
      <c r="W40" s="24"/>
      <c r="X40" s="24"/>
      <c r="Y40" s="24"/>
      <c r="Z40" s="24"/>
      <c r="AA40" s="24"/>
      <c r="AB40" s="505"/>
      <c r="AC40" s="505"/>
      <c r="AD40" s="506"/>
      <c r="AE40" s="180"/>
      <c r="AF40" s="4"/>
      <c r="AG40" s="4"/>
      <c r="AH40" s="4"/>
      <c r="AI40" s="4"/>
      <c r="AJ40" s="4"/>
      <c r="AK40" s="4"/>
      <c r="AL40" s="24"/>
      <c r="AM40" s="24"/>
      <c r="AN40" s="24"/>
      <c r="AO40" s="24"/>
      <c r="AP40" s="505"/>
      <c r="AQ40" s="505"/>
      <c r="AR40" s="506"/>
      <c r="AS40" s="24"/>
    </row>
    <row r="41" spans="1:45" s="76" customFormat="1" ht="14.4" customHeight="1">
      <c r="B41" s="180"/>
      <c r="C41" s="4"/>
      <c r="D41" s="4"/>
      <c r="E41" s="4"/>
      <c r="F41" s="4"/>
      <c r="G41" s="4"/>
      <c r="H41" s="4"/>
      <c r="I41" s="24"/>
      <c r="J41" s="24"/>
      <c r="K41" s="24"/>
      <c r="L41" s="24"/>
      <c r="M41" s="505"/>
      <c r="N41" s="505"/>
      <c r="O41" s="506"/>
      <c r="P41" s="180"/>
      <c r="Q41" s="4"/>
      <c r="R41" s="4"/>
      <c r="S41" s="4"/>
      <c r="T41" s="4"/>
      <c r="U41" s="4"/>
      <c r="V41" s="4"/>
      <c r="W41" s="24"/>
      <c r="X41" s="24"/>
      <c r="Y41" s="24"/>
      <c r="Z41" s="24"/>
      <c r="AA41" s="24"/>
      <c r="AB41" s="505"/>
      <c r="AC41" s="505"/>
      <c r="AD41" s="506"/>
      <c r="AE41" s="180"/>
      <c r="AF41" s="4"/>
      <c r="AG41" s="4"/>
      <c r="AH41" s="4"/>
      <c r="AI41" s="4"/>
      <c r="AJ41" s="4"/>
      <c r="AK41" s="4"/>
      <c r="AL41" s="24"/>
      <c r="AM41" s="24"/>
      <c r="AN41" s="24"/>
      <c r="AO41" s="24"/>
      <c r="AP41" s="505"/>
      <c r="AQ41" s="505"/>
      <c r="AR41" s="506"/>
      <c r="AS41" s="24"/>
    </row>
    <row r="42" spans="1:45" s="76" customFormat="1" ht="14.4" customHeight="1" thickBot="1">
      <c r="A42" s="4"/>
      <c r="B42" s="185"/>
      <c r="C42" s="186"/>
      <c r="D42" s="186"/>
      <c r="E42" s="186"/>
      <c r="F42" s="186"/>
      <c r="G42" s="186"/>
      <c r="H42" s="186"/>
      <c r="I42" s="186"/>
      <c r="J42" s="186"/>
      <c r="K42" s="186"/>
      <c r="L42" s="183"/>
      <c r="M42" s="183"/>
      <c r="N42" s="183"/>
      <c r="O42" s="184"/>
      <c r="P42" s="199"/>
      <c r="Q42" s="198"/>
      <c r="R42" s="198"/>
      <c r="S42" s="198"/>
      <c r="T42" s="198"/>
      <c r="U42" s="198"/>
      <c r="V42" s="186"/>
      <c r="W42" s="186"/>
      <c r="X42" s="186"/>
      <c r="Y42" s="186"/>
      <c r="Z42" s="186"/>
      <c r="AA42" s="190"/>
      <c r="AB42" s="190"/>
      <c r="AC42" s="190"/>
      <c r="AD42" s="200"/>
      <c r="AE42" s="201"/>
      <c r="AF42" s="194"/>
      <c r="AG42" s="194"/>
      <c r="AH42" s="194"/>
      <c r="AI42" s="194"/>
      <c r="AJ42" s="194"/>
      <c r="AK42" s="186"/>
      <c r="AL42" s="186"/>
      <c r="AM42" s="186"/>
      <c r="AN42" s="186"/>
      <c r="AO42" s="194"/>
      <c r="AP42" s="194"/>
      <c r="AQ42" s="202"/>
      <c r="AR42" s="184"/>
    </row>
    <row r="43" spans="1:45" s="76" customFormat="1" ht="14.4" customHeight="1" thickTop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5"/>
      <c r="O43" s="6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5"/>
      <c r="AD43" s="6"/>
      <c r="AE43" s="4"/>
      <c r="AR43" s="77"/>
      <c r="AS43" s="4"/>
    </row>
    <row r="44" spans="1:45" s="76" customFormat="1" ht="14.4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5"/>
      <c r="O44" s="6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5"/>
      <c r="AD44" s="6"/>
      <c r="AE44" s="4"/>
      <c r="AR44" s="77"/>
      <c r="AS44" s="4"/>
    </row>
    <row r="45" spans="1:45" s="76" customFormat="1" ht="14.4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5"/>
      <c r="O45" s="6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5"/>
      <c r="AD45" s="6"/>
      <c r="AE45" s="4"/>
      <c r="AR45" s="77"/>
      <c r="AS45" s="4"/>
    </row>
    <row r="46" spans="1:45" s="76" customFormat="1" ht="14.4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5"/>
      <c r="O46" s="6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5"/>
      <c r="AD46" s="6"/>
      <c r="AE46" s="4"/>
      <c r="AR46" s="77"/>
      <c r="AS46" s="4"/>
    </row>
    <row r="47" spans="1:45" s="76" customFormat="1" ht="14.4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5"/>
      <c r="O47" s="6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5"/>
      <c r="AD47" s="6"/>
      <c r="AE47" s="4"/>
      <c r="AR47" s="77"/>
      <c r="AS47" s="4"/>
    </row>
    <row r="48" spans="1:45" s="76" customFormat="1" ht="14.4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5"/>
      <c r="O48" s="6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5"/>
      <c r="AD48" s="6"/>
      <c r="AE48" s="4"/>
      <c r="AR48" s="77"/>
      <c r="AS48" s="4"/>
    </row>
    <row r="49" spans="1:45" s="76" customFormat="1" ht="14.4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5"/>
      <c r="O49" s="6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5"/>
      <c r="AD49" s="6"/>
      <c r="AE49" s="4"/>
      <c r="AR49" s="77"/>
      <c r="AS49" s="4"/>
    </row>
    <row r="50" spans="1:45" s="76" customFormat="1" ht="14.4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5"/>
      <c r="O50" s="6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5"/>
      <c r="AD50" s="6"/>
      <c r="AE50" s="4"/>
      <c r="AR50" s="77"/>
      <c r="AS50" s="4"/>
    </row>
    <row r="51" spans="1:45" s="76" customFormat="1" ht="14.4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5"/>
      <c r="O51" s="6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5"/>
      <c r="AD51" s="6"/>
      <c r="AE51" s="4"/>
      <c r="AR51" s="77"/>
      <c r="AS51" s="4"/>
    </row>
    <row r="52" spans="1:45" s="76" customFormat="1" ht="14.4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5"/>
      <c r="O52" s="6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5"/>
      <c r="AD52" s="6"/>
      <c r="AE52" s="4"/>
      <c r="AR52" s="77"/>
      <c r="AS52" s="4"/>
    </row>
  </sheetData>
  <sheetProtection password="DD97" sheet="1"/>
  <mergeCells count="59">
    <mergeCell ref="G21:I21"/>
    <mergeCell ref="U17:W17"/>
    <mergeCell ref="U18:W18"/>
    <mergeCell ref="U20:W20"/>
    <mergeCell ref="U21:W21"/>
    <mergeCell ref="M21:O22"/>
    <mergeCell ref="G17:I17"/>
    <mergeCell ref="G18:I18"/>
    <mergeCell ref="G20:I20"/>
    <mergeCell ref="G25:I25"/>
    <mergeCell ref="G26:I26"/>
    <mergeCell ref="G28:I28"/>
    <mergeCell ref="G29:I29"/>
    <mergeCell ref="U28:W28"/>
    <mergeCell ref="U29:W29"/>
    <mergeCell ref="M29:O30"/>
    <mergeCell ref="AP40:AR41"/>
    <mergeCell ref="G37:I37"/>
    <mergeCell ref="U37:W37"/>
    <mergeCell ref="G38:I38"/>
    <mergeCell ref="U38:W38"/>
    <mergeCell ref="M40:O41"/>
    <mergeCell ref="AB40:AD41"/>
    <mergeCell ref="AP29:AR30"/>
    <mergeCell ref="AJ29:AL29"/>
    <mergeCell ref="U25:W25"/>
    <mergeCell ref="AJ25:AL25"/>
    <mergeCell ref="U26:W26"/>
    <mergeCell ref="AJ26:AL26"/>
    <mergeCell ref="AB29:AD30"/>
    <mergeCell ref="AB21:AD22"/>
    <mergeCell ref="AJ21:AL21"/>
    <mergeCell ref="AJ28:AL28"/>
    <mergeCell ref="AP21:AR22"/>
    <mergeCell ref="AJ17:AL17"/>
    <mergeCell ref="AJ18:AL18"/>
    <mergeCell ref="AJ20:AL20"/>
    <mergeCell ref="AP13:AR14"/>
    <mergeCell ref="G10:I10"/>
    <mergeCell ref="U10:W10"/>
    <mergeCell ref="AJ10:AL10"/>
    <mergeCell ref="M13:O14"/>
    <mergeCell ref="G12:I12"/>
    <mergeCell ref="G13:I13"/>
    <mergeCell ref="U12:W12"/>
    <mergeCell ref="U13:W13"/>
    <mergeCell ref="AJ12:AL12"/>
    <mergeCell ref="AJ13:AL13"/>
    <mergeCell ref="AB13:AD14"/>
    <mergeCell ref="AO2:AR2"/>
    <mergeCell ref="G9:I9"/>
    <mergeCell ref="U9:W9"/>
    <mergeCell ref="AJ9:AL9"/>
    <mergeCell ref="B2:E2"/>
    <mergeCell ref="G2:K2"/>
    <mergeCell ref="O2:S2"/>
    <mergeCell ref="U2:Y2"/>
    <mergeCell ref="AA2:AE2"/>
    <mergeCell ref="AI2:AM2"/>
  </mergeCells>
  <conditionalFormatting sqref="M40:O41 AP40:AR41 AA42:AC42 M13:O14 AB13:AD14 AP13:AR14 AP29:AR31 AB29:AD41 AP21:AR23 AB21:AD23">
    <cfRule type="cellIs" dxfId="983" priority="117" stopIfTrue="1" operator="greaterThan">
      <formula>0</formula>
    </cfRule>
  </conditionalFormatting>
  <conditionalFormatting sqref="M21:O22">
    <cfRule type="cellIs" dxfId="982" priority="2" stopIfTrue="1" operator="greaterThan">
      <formula>0</formula>
    </cfRule>
  </conditionalFormatting>
  <conditionalFormatting sqref="M29:O30">
    <cfRule type="cellIs" dxfId="981" priority="1" stopIfTrue="1" operator="greaterThan">
      <formula>0</formula>
    </cfRule>
  </conditionalFormatting>
  <hyperlinks>
    <hyperlink ref="G2:K2" location="FORM!A1" display="FORM!A1" xr:uid="{00000000-0004-0000-0300-000000000000}"/>
    <hyperlink ref="B2:E2" location="MENU!A1" display="MENU!A1" xr:uid="{00000000-0004-0000-0300-000001000000}"/>
    <hyperlink ref="AI2:AM2" location="OBJ!A1" display="OBJ!A1" xr:uid="{00000000-0004-0000-0300-000002000000}"/>
    <hyperlink ref="AO2:AR2" location="OBJ!A1" display="OBJ!A1" xr:uid="{00000000-0004-0000-0300-000003000000}"/>
    <hyperlink ref="O2:S2" location="MENU!A1" display="MENU!A1" xr:uid="{00000000-0004-0000-0300-000004000000}"/>
  </hyperlinks>
  <printOptions horizontalCentered="1"/>
  <pageMargins left="0.19685039370078741" right="0.19685039370078741" top="0.19685039370078741" bottom="0.19685039370078741" header="0.31496062992125984" footer="0.31496062992125984"/>
  <pageSetup paperSize="9" orientation="landscape" r:id="rId1"/>
  <headerFooter>
    <oddHeader>&amp;R&amp;"Aptos"&amp;10&amp;K000000 Restricted&amp;1#_x000D_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List6">
    <tabColor theme="9" tint="-0.249977111117893"/>
  </sheetPr>
  <dimension ref="A1:BK100"/>
  <sheetViews>
    <sheetView showGridLines="0" showRowColHeaders="0" zoomScale="95" zoomScaleNormal="95" workbookViewId="0"/>
  </sheetViews>
  <sheetFormatPr defaultColWidth="9" defaultRowHeight="13.8"/>
  <cols>
    <col min="1" max="1" width="3.59765625" style="86" customWidth="1"/>
    <col min="2" max="4" width="3.09765625" style="86" customWidth="1"/>
    <col min="5" max="5" width="7.59765625" style="86" customWidth="1"/>
    <col min="6" max="44" width="3.09765625" style="86" customWidth="1"/>
    <col min="45" max="45" width="3.59765625" style="86" customWidth="1"/>
    <col min="46" max="46" width="9" style="86" customWidth="1"/>
    <col min="47" max="47" width="9" style="86" hidden="1" customWidth="1"/>
    <col min="48" max="48" width="32.5" style="86" hidden="1" customWidth="1"/>
    <col min="49" max="49" width="4.3984375" style="86" hidden="1" customWidth="1"/>
    <col min="50" max="50" width="2" style="86" hidden="1" customWidth="1"/>
    <col min="51" max="52" width="4.59765625" style="86" hidden="1" customWidth="1"/>
    <col min="53" max="54" width="9" style="86" hidden="1" customWidth="1"/>
    <col min="55" max="55" width="2.59765625" style="86" hidden="1" customWidth="1"/>
    <col min="56" max="56" width="9" style="86" hidden="1" customWidth="1"/>
    <col min="57" max="57" width="33.8984375" style="86" hidden="1" customWidth="1"/>
    <col min="58" max="58" width="4.3984375" style="86" hidden="1" customWidth="1"/>
    <col min="59" max="59" width="2" style="86" hidden="1" customWidth="1"/>
    <col min="60" max="61" width="4.59765625" style="86" hidden="1" customWidth="1"/>
    <col min="62" max="63" width="9" style="86" hidden="1" customWidth="1"/>
    <col min="64" max="75" width="9" style="86" customWidth="1"/>
    <col min="76" max="16384" width="9" style="86"/>
  </cols>
  <sheetData>
    <row r="1" spans="1:63" ht="12.9" customHeight="1" thickBot="1">
      <c r="AU1" s="140"/>
      <c r="AV1" s="279"/>
      <c r="AW1" s="279"/>
      <c r="AX1" s="140"/>
      <c r="AY1" s="140"/>
      <c r="AZ1" s="140"/>
      <c r="BA1" s="140"/>
      <c r="BB1" s="140"/>
      <c r="BC1" s="140"/>
      <c r="BD1" s="140"/>
      <c r="BE1" s="140"/>
      <c r="BF1" s="140"/>
      <c r="BG1" s="140"/>
      <c r="BH1" s="140"/>
      <c r="BI1" s="140"/>
      <c r="BJ1" s="140"/>
      <c r="BK1" s="140"/>
    </row>
    <row r="2" spans="1:63" ht="23.1" customHeight="1" thickBot="1">
      <c r="B2" s="475" t="str">
        <f>verze!E13</f>
        <v>&lt;&lt;  zpět</v>
      </c>
      <c r="C2" s="476"/>
      <c r="D2" s="476"/>
      <c r="E2" s="477"/>
      <c r="G2" s="513" t="str">
        <f>verze!E6</f>
        <v xml:space="preserve"> Úvod</v>
      </c>
      <c r="H2" s="514"/>
      <c r="I2" s="514"/>
      <c r="J2" s="514"/>
      <c r="K2" s="515"/>
      <c r="O2" s="500" t="str">
        <f>verze!E7</f>
        <v xml:space="preserve"> Výběr zásuvek</v>
      </c>
      <c r="P2" s="501"/>
      <c r="Q2" s="501"/>
      <c r="R2" s="501"/>
      <c r="S2" s="502"/>
      <c r="U2" s="513" t="str">
        <f>verze!E8</f>
        <v xml:space="preserve"> </v>
      </c>
      <c r="V2" s="514"/>
      <c r="W2" s="514"/>
      <c r="X2" s="514"/>
      <c r="Y2" s="515"/>
      <c r="AA2" s="513" t="str">
        <f>verze!E9</f>
        <v xml:space="preserve"> </v>
      </c>
      <c r="AB2" s="514"/>
      <c r="AC2" s="514"/>
      <c r="AD2" s="514"/>
      <c r="AE2" s="515"/>
      <c r="AI2" s="513" t="str">
        <f>verze!E10</f>
        <v xml:space="preserve"> Objednávka</v>
      </c>
      <c r="AJ2" s="514"/>
      <c r="AK2" s="514"/>
      <c r="AL2" s="514"/>
      <c r="AM2" s="515"/>
      <c r="AO2" s="475" t="str">
        <f>verze!E14</f>
        <v>vpřed  &gt;&gt;</v>
      </c>
      <c r="AP2" s="476"/>
      <c r="AQ2" s="476"/>
      <c r="AR2" s="477"/>
      <c r="AV2" s="143"/>
      <c r="AW2" s="143"/>
    </row>
    <row r="3" spans="1:63" ht="12.9" customHeight="1">
      <c r="AV3" s="143"/>
      <c r="AW3" s="143"/>
    </row>
    <row r="4" spans="1:63" ht="23.1" customHeight="1">
      <c r="A4" s="89"/>
      <c r="B4" s="93" t="str">
        <f>verze!E206&amp;" AVANTECH YOU  77"</f>
        <v>Zásuvka AVANTECH YOU  77</v>
      </c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U4" s="94" t="s">
        <v>33</v>
      </c>
      <c r="AW4" s="285">
        <f>IF(FORM!AU13=FORM!U18,1,0)</f>
        <v>1</v>
      </c>
      <c r="BB4" s="322">
        <f>SUM(BB5:BB935)</f>
        <v>0</v>
      </c>
      <c r="BD4" s="94" t="s">
        <v>34</v>
      </c>
      <c r="BK4" s="322">
        <f>SUM(BK5:BK928)</f>
        <v>0</v>
      </c>
    </row>
    <row r="5" spans="1:63" ht="14.4" customHeight="1">
      <c r="AU5" s="319">
        <f>OBJ!B23</f>
        <v>9353331</v>
      </c>
      <c r="AV5" s="21" t="str">
        <f>VLOOKUP(AU5,CENY!$B$11:$G$1054,2,FALSE)</f>
        <v>AvanY-sólo oceľ.boky-NW 77/400mm/strieb.</v>
      </c>
      <c r="AW5" s="22">
        <f>VLOOKUP(AU5,CENY!$B$11:$G$1054,3,FALSE)</f>
        <v>1</v>
      </c>
      <c r="AX5" s="362">
        <v>6</v>
      </c>
      <c r="AY5" s="23">
        <f>U20+U28+U30</f>
        <v>0</v>
      </c>
      <c r="AZ5" s="326">
        <f>IF(AY5="","",IF($AW$4=1,AY5,0))</f>
        <v>0</v>
      </c>
      <c r="BA5" s="95">
        <f>VLOOKUP(AU5,CENY!$B$11:$M$2025,12,FALSE)</f>
        <v>565.42399</v>
      </c>
      <c r="BB5" s="95">
        <f t="shared" ref="BB5:BB37" si="0">IF(BA5="","",BA5*AY5)</f>
        <v>0</v>
      </c>
      <c r="BD5" s="319">
        <f>OBJ!B29</f>
        <v>9255000</v>
      </c>
      <c r="BE5" s="21" t="str">
        <f>VLOOKUP(BD5,CENY!$B$11:$G$1054,2,FALSE)</f>
        <v>AvanY-bok ľavý /v77/h400/ strieborná</v>
      </c>
      <c r="BF5" s="22">
        <f>VLOOKUP(BD5,CENY!$B$11:$G$1054,3,FALSE)</f>
        <v>10</v>
      </c>
      <c r="BG5" s="22"/>
      <c r="BH5" s="23">
        <f>AY5</f>
        <v>0</v>
      </c>
      <c r="BI5" s="326">
        <f>IF(BH5="","",IF($AW$4=0,BH5,0))</f>
        <v>0</v>
      </c>
      <c r="BJ5" s="95">
        <f>VLOOKUP(BD5,CENY!$B$11:$M$2025,12,FALSE)</f>
        <v>218.14608000000001</v>
      </c>
      <c r="BK5" s="95">
        <f>IF(BJ5="","",BJ5*BH5)</f>
        <v>0</v>
      </c>
    </row>
    <row r="6" spans="1:63" ht="14.4" customHeight="1">
      <c r="B6" s="549" t="str">
        <f>" "&amp;verze!E90</f>
        <v xml:space="preserve"> bočnice:</v>
      </c>
      <c r="C6" s="549"/>
      <c r="D6" s="549"/>
      <c r="E6" s="549"/>
      <c r="F6" s="564" t="s">
        <v>375</v>
      </c>
      <c r="G6" s="564"/>
      <c r="H6" s="564"/>
      <c r="I6" s="564"/>
      <c r="J6" s="564"/>
      <c r="K6" s="564"/>
      <c r="AU6" s="319">
        <f>OBJ!B24</f>
        <v>9353332</v>
      </c>
      <c r="AV6" s="21" t="str">
        <f>VLOOKUP(AU6,CENY!$B$11:$G$1054,2,FALSE)</f>
        <v>AvanY-sólo oceľ.boky-NW 77/450mm/strieb.</v>
      </c>
      <c r="AW6" s="22">
        <f>VLOOKUP(AU6,CENY!$B$11:$G$1054,3,FALSE)</f>
        <v>1</v>
      </c>
      <c r="AX6" s="362">
        <v>6</v>
      </c>
      <c r="AY6" s="23">
        <f>W20+W22+W28+W30</f>
        <v>0</v>
      </c>
      <c r="AZ6" s="326">
        <f t="shared" ref="AZ6:AZ69" si="1">IF(AY6="","",IF($AW$4=1,AY6,0))</f>
        <v>0</v>
      </c>
      <c r="BA6" s="95">
        <f>VLOOKUP(AU6,CENY!$B$11:$M$2025,12,FALSE)</f>
        <v>557.79456000000005</v>
      </c>
      <c r="BB6" s="95">
        <f t="shared" si="0"/>
        <v>0</v>
      </c>
      <c r="BD6" s="319">
        <f>OBJ!B30</f>
        <v>9255001</v>
      </c>
      <c r="BE6" s="21" t="str">
        <f>VLOOKUP(BD6,CENY!$B$11:$G$1054,2,FALSE)</f>
        <v>AvanY-bok pravý /v77/h400/ strieborná</v>
      </c>
      <c r="BF6" s="22">
        <f>VLOOKUP(BD6,CENY!$B$11:$G$1054,3,FALSE)</f>
        <v>10</v>
      </c>
      <c r="BG6" s="22"/>
      <c r="BH6" s="23">
        <f>AY5</f>
        <v>0</v>
      </c>
      <c r="BI6" s="326">
        <f t="shared" ref="BI6:BI69" si="2">IF(BH6="","",IF($AW$4=0,BH6,0))</f>
        <v>0</v>
      </c>
      <c r="BJ6" s="95">
        <f>VLOOKUP(BD6,CENY!$B$11:$M$2025,12,FALSE)</f>
        <v>218.14608000000001</v>
      </c>
      <c r="BK6" s="95">
        <f t="shared" ref="BK6:BK36" si="3">IF(BJ6="","",BJ6*BH6)</f>
        <v>0</v>
      </c>
    </row>
    <row r="7" spans="1:63" ht="14.4" customHeight="1">
      <c r="B7" s="549" t="str">
        <f>" "&amp;verze!E56</f>
        <v xml:space="preserve"> barva:</v>
      </c>
      <c r="C7" s="549"/>
      <c r="D7" s="549"/>
      <c r="E7" s="549"/>
      <c r="F7" s="564" t="str">
        <f>" "&amp;FORM!U8</f>
        <v xml:space="preserve"> stříbrná</v>
      </c>
      <c r="G7" s="564"/>
      <c r="H7" s="564"/>
      <c r="I7" s="564"/>
      <c r="J7" s="564"/>
      <c r="K7" s="564"/>
      <c r="AU7" s="319">
        <f>OBJ!B25</f>
        <v>9353333</v>
      </c>
      <c r="AV7" s="21" t="str">
        <f>VLOOKUP(AU7,CENY!$B$11:$G$1054,2,FALSE)</f>
        <v>AvanY-sólo oceľ.boky-NW 77/500mm/strieb.</v>
      </c>
      <c r="AW7" s="22">
        <f>VLOOKUP(AU7,CENY!$B$11:$G$1054,3,FALSE)</f>
        <v>1</v>
      </c>
      <c r="AX7" s="362">
        <v>8</v>
      </c>
      <c r="AY7" s="23">
        <f>Y20+Y22+Y28+Y30</f>
        <v>0</v>
      </c>
      <c r="AZ7" s="326">
        <f t="shared" si="1"/>
        <v>0</v>
      </c>
      <c r="BA7" s="95">
        <f>VLOOKUP(AU7,CENY!$B$11:$M$2025,12,FALSE)</f>
        <v>565.18799999999999</v>
      </c>
      <c r="BB7" s="95">
        <f t="shared" si="0"/>
        <v>0</v>
      </c>
      <c r="BD7" s="319">
        <f>OBJ!B31</f>
        <v>9255002</v>
      </c>
      <c r="BE7" s="21" t="str">
        <f>VLOOKUP(BD7,CENY!$B$11:$G$1054,2,FALSE)</f>
        <v>AvanY-bok ľavý /v77/h450/ strieborná</v>
      </c>
      <c r="BF7" s="22">
        <f>VLOOKUP(BD7,CENY!$B$11:$G$1054,3,FALSE)</f>
        <v>10</v>
      </c>
      <c r="BG7" s="22"/>
      <c r="BH7" s="23">
        <f>AY6</f>
        <v>0</v>
      </c>
      <c r="BI7" s="326">
        <f t="shared" si="2"/>
        <v>0</v>
      </c>
      <c r="BJ7" s="95">
        <f>VLOOKUP(BD7,CENY!$B$11:$M$2025,12,FALSE)</f>
        <v>222.02244999999999</v>
      </c>
      <c r="BK7" s="95">
        <f t="shared" si="3"/>
        <v>0</v>
      </c>
    </row>
    <row r="8" spans="1:63" ht="14.4" customHeight="1">
      <c r="B8" s="549" t="str">
        <f>" "&amp;verze!E70</f>
        <v xml:space="preserve"> dekorativní profil:</v>
      </c>
      <c r="C8" s="549"/>
      <c r="D8" s="549"/>
      <c r="E8" s="549"/>
      <c r="F8" s="564" t="str">
        <f>" "&amp;FORM!AM18</f>
        <v xml:space="preserve"> v barvě bočnice</v>
      </c>
      <c r="G8" s="564"/>
      <c r="H8" s="564"/>
      <c r="I8" s="564"/>
      <c r="J8" s="564"/>
      <c r="K8" s="564"/>
      <c r="AU8" s="319">
        <f>OBJ!B26</f>
        <v>9353334</v>
      </c>
      <c r="AV8" s="21" t="str">
        <f>VLOOKUP(AU8,CENY!$B$11:$G$1054,2,FALSE)</f>
        <v>AvanY-sólo oceľ.boky-NW 77/550mm/strieb.</v>
      </c>
      <c r="AW8" s="22">
        <f>VLOOKUP(AU8,CENY!$B$11:$G$1054,3,FALSE)</f>
        <v>1</v>
      </c>
      <c r="AX8" s="362">
        <v>8</v>
      </c>
      <c r="AY8" s="23">
        <f>AA20+AA22+AA28+AA30</f>
        <v>0</v>
      </c>
      <c r="AZ8" s="326">
        <f t="shared" si="1"/>
        <v>0</v>
      </c>
      <c r="BA8" s="95">
        <f>VLOOKUP(AU8,CENY!$B$11:$M$2025,12,FALSE)</f>
        <v>588.23680999999999</v>
      </c>
      <c r="BB8" s="95">
        <f t="shared" si="0"/>
        <v>0</v>
      </c>
      <c r="BD8" s="319">
        <f>OBJ!B32</f>
        <v>9255003</v>
      </c>
      <c r="BE8" s="21" t="str">
        <f>VLOOKUP(BD8,CENY!$B$11:$G$1054,2,FALSE)</f>
        <v>AvanY-bok pravý /v77/h450/ strieborná</v>
      </c>
      <c r="BF8" s="22">
        <f>VLOOKUP(BD8,CENY!$B$11:$G$1054,3,FALSE)</f>
        <v>10</v>
      </c>
      <c r="BG8" s="22"/>
      <c r="BH8" s="23">
        <f>AY6</f>
        <v>0</v>
      </c>
      <c r="BI8" s="326">
        <f t="shared" si="2"/>
        <v>0</v>
      </c>
      <c r="BJ8" s="95">
        <f>VLOOKUP(BD8,CENY!$B$11:$M$2025,12,FALSE)</f>
        <v>222.02244999999999</v>
      </c>
      <c r="BK8" s="95">
        <f t="shared" si="3"/>
        <v>0</v>
      </c>
    </row>
    <row r="9" spans="1:63" ht="14.4" customHeight="1">
      <c r="B9" s="550"/>
      <c r="C9" s="558"/>
      <c r="D9" s="558"/>
      <c r="E9" s="559"/>
      <c r="F9" s="560"/>
      <c r="G9" s="561"/>
      <c r="H9" s="561"/>
      <c r="I9" s="561"/>
      <c r="J9" s="561"/>
      <c r="K9" s="562"/>
      <c r="AU9" s="319"/>
      <c r="AV9" s="21"/>
      <c r="AW9" s="22"/>
      <c r="AX9" s="22"/>
      <c r="AY9" s="23"/>
      <c r="AZ9" s="326" t="str">
        <f t="shared" si="1"/>
        <v/>
      </c>
      <c r="BA9" s="95"/>
      <c r="BB9" s="95" t="str">
        <f t="shared" si="0"/>
        <v/>
      </c>
      <c r="BD9" s="319">
        <f>OBJ!B33</f>
        <v>9255004</v>
      </c>
      <c r="BE9" s="21" t="str">
        <f>VLOOKUP(BD9,CENY!$B$11:$G$1054,2,FALSE)</f>
        <v>AvanY-bok ľavý /v77/h500/ strieborná</v>
      </c>
      <c r="BF9" s="22">
        <f>VLOOKUP(BD9,CENY!$B$11:$G$1054,3,FALSE)</f>
        <v>10</v>
      </c>
      <c r="BG9" s="22"/>
      <c r="BH9" s="23">
        <f>AY7</f>
        <v>0</v>
      </c>
      <c r="BI9" s="326">
        <f t="shared" si="2"/>
        <v>0</v>
      </c>
      <c r="BJ9" s="95">
        <f>VLOOKUP(BD9,CENY!$B$11:$M$2025,12,FALSE)</f>
        <v>225.89116000000001</v>
      </c>
      <c r="BK9" s="95">
        <f t="shared" si="3"/>
        <v>0</v>
      </c>
    </row>
    <row r="10" spans="1:63" ht="14.4" customHeight="1">
      <c r="B10" s="549" t="str">
        <f>" "&amp;verze!E57</f>
        <v xml:space="preserve"> čelní kování:</v>
      </c>
      <c r="C10" s="549"/>
      <c r="D10" s="549"/>
      <c r="E10" s="549"/>
      <c r="F10" s="563" t="str">
        <f>" "&amp;FORM!AM8</f>
        <v xml:space="preserve"> na vruty</v>
      </c>
      <c r="G10" s="563"/>
      <c r="H10" s="563"/>
      <c r="I10" s="563"/>
      <c r="J10" s="563"/>
      <c r="K10" s="563"/>
      <c r="AU10" s="319">
        <f>OBJ!B74</f>
        <v>9347505</v>
      </c>
      <c r="AV10" s="21" t="str">
        <f>VLOOKUP(AU10,CENY!$B$11:$G$1054,2,FALSE)</f>
        <v>AvanY-design ALprofil Hybrid na bok 400/ strieb.</v>
      </c>
      <c r="AW10" s="22">
        <f>VLOOKUP(AU10,CENY!$B$11:$G$1054,3,FALSE)</f>
        <v>200</v>
      </c>
      <c r="AX10" s="22"/>
      <c r="AY10" s="23">
        <f>IF(FORM!AM18=FORM!AU16,0,2*(U20+U28+U30))</f>
        <v>0</v>
      </c>
      <c r="AZ10" s="326">
        <f t="shared" si="1"/>
        <v>0</v>
      </c>
      <c r="BA10" s="95">
        <f>VLOOKUP(AU10,CENY!$B$11:$M$2025,12,FALSE)</f>
        <v>20.742249999999999</v>
      </c>
      <c r="BB10" s="95">
        <f t="shared" si="0"/>
        <v>0</v>
      </c>
      <c r="BD10" s="319">
        <f>OBJ!B34</f>
        <v>9255005</v>
      </c>
      <c r="BE10" s="21" t="str">
        <f>VLOOKUP(BD10,CENY!$B$11:$G$1054,2,FALSE)</f>
        <v>AvanY-bok pravý /v77/h500/ strieborná</v>
      </c>
      <c r="BF10" s="22">
        <f>VLOOKUP(BD10,CENY!$B$11:$G$1054,3,FALSE)</f>
        <v>10</v>
      </c>
      <c r="BG10" s="22"/>
      <c r="BH10" s="23">
        <f>AY7</f>
        <v>0</v>
      </c>
      <c r="BI10" s="326">
        <f t="shared" si="2"/>
        <v>0</v>
      </c>
      <c r="BJ10" s="95">
        <f>VLOOKUP(BD10,CENY!$B$11:$M$2025,12,FALSE)</f>
        <v>225.89116000000001</v>
      </c>
      <c r="BK10" s="95">
        <f t="shared" si="3"/>
        <v>0</v>
      </c>
    </row>
    <row r="11" spans="1:63" ht="14.4" customHeight="1">
      <c r="B11" s="549" t="str">
        <f>" "&amp;verze!E76</f>
        <v xml:space="preserve"> krytka:</v>
      </c>
      <c r="C11" s="549"/>
      <c r="D11" s="549"/>
      <c r="E11" s="549"/>
      <c r="F11" s="563" t="str">
        <f>" "&amp;FORM!AM21</f>
        <v xml:space="preserve"> žádná</v>
      </c>
      <c r="G11" s="563"/>
      <c r="H11" s="563"/>
      <c r="I11" s="563"/>
      <c r="J11" s="563"/>
      <c r="K11" s="563"/>
      <c r="AU11" s="319">
        <f>OBJ!B75</f>
        <v>9347506</v>
      </c>
      <c r="AV11" s="21" t="str">
        <f>VLOOKUP(AU11,CENY!$B$11:$G$1054,2,FALSE)</f>
        <v>AvanY-design ALprofil Hybrid na bok 450/ strieb.</v>
      </c>
      <c r="AW11" s="22">
        <f>VLOOKUP(AU11,CENY!$B$11:$G$1054,3,FALSE)</f>
        <v>200</v>
      </c>
      <c r="AX11" s="22"/>
      <c r="AY11" s="23">
        <f>IF(FORM!AM18=FORM!AU16,0,2*(W20+W22+W28+W30))</f>
        <v>0</v>
      </c>
      <c r="AZ11" s="326">
        <f t="shared" si="1"/>
        <v>0</v>
      </c>
      <c r="BA11" s="95">
        <f>VLOOKUP(AU11,CENY!$B$11:$M$2025,12,FALSE)</f>
        <v>21.111910000000002</v>
      </c>
      <c r="BB11" s="95">
        <f t="shared" si="0"/>
        <v>0</v>
      </c>
      <c r="BD11" s="319">
        <f>OBJ!B35</f>
        <v>9255006</v>
      </c>
      <c r="BE11" s="21" t="str">
        <f>VLOOKUP(BD11,CENY!$B$11:$G$1054,2,FALSE)</f>
        <v>AvanY-bok ľavý /v77/h550/ strieborná</v>
      </c>
      <c r="BF11" s="22">
        <f>VLOOKUP(BD11,CENY!$B$11:$G$1054,3,FALSE)</f>
        <v>10</v>
      </c>
      <c r="BG11" s="22"/>
      <c r="BH11" s="23">
        <f>AY8</f>
        <v>0</v>
      </c>
      <c r="BI11" s="326">
        <f t="shared" si="2"/>
        <v>0</v>
      </c>
      <c r="BJ11" s="95">
        <f>VLOOKUP(BD11,CENY!$B$11:$M$2025,12,FALSE)</f>
        <v>229.76492999999999</v>
      </c>
      <c r="BK11" s="95">
        <f t="shared" si="3"/>
        <v>0</v>
      </c>
    </row>
    <row r="12" spans="1:63" ht="14.4" customHeight="1" thickBot="1">
      <c r="B12" s="549"/>
      <c r="C12" s="549"/>
      <c r="D12" s="549"/>
      <c r="E12" s="550"/>
      <c r="F12" s="551"/>
      <c r="G12" s="552"/>
      <c r="H12" s="552"/>
      <c r="I12" s="552"/>
      <c r="J12" s="553"/>
      <c r="K12" s="554"/>
      <c r="AU12" s="319">
        <f>OBJ!B76</f>
        <v>9347507</v>
      </c>
      <c r="AV12" s="21" t="str">
        <f>VLOOKUP(AU12,CENY!$B$11:$G$1054,2,FALSE)</f>
        <v>AvanY-design ALprofil Hybrid na bok 500/ strieb.</v>
      </c>
      <c r="AW12" s="22">
        <f>VLOOKUP(AU12,CENY!$B$11:$G$1054,3,FALSE)</f>
        <v>200</v>
      </c>
      <c r="AX12" s="22"/>
      <c r="AY12" s="23">
        <f>IF(FORM!AM18=FORM!AU16,0,2*(Y20+Y22+Y28+Y30))</f>
        <v>0</v>
      </c>
      <c r="AZ12" s="326">
        <f t="shared" si="1"/>
        <v>0</v>
      </c>
      <c r="BA12" s="95">
        <f>VLOOKUP(AU12,CENY!$B$11:$M$2025,12,FALSE)</f>
        <v>21.479700000000001</v>
      </c>
      <c r="BB12" s="95">
        <f t="shared" si="0"/>
        <v>0</v>
      </c>
      <c r="BD12" s="319">
        <f>OBJ!B36</f>
        <v>9255007</v>
      </c>
      <c r="BE12" s="21" t="str">
        <f>VLOOKUP(BD12,CENY!$B$11:$G$1054,2,FALSE)</f>
        <v>AvanY-bok pravý /v77/h550/ strieborná</v>
      </c>
      <c r="BF12" s="22">
        <f>VLOOKUP(BD12,CENY!$B$11:$G$1054,3,FALSE)</f>
        <v>10</v>
      </c>
      <c r="BG12" s="22"/>
      <c r="BH12" s="23">
        <f>AY8</f>
        <v>0</v>
      </c>
      <c r="BI12" s="326">
        <f t="shared" si="2"/>
        <v>0</v>
      </c>
      <c r="BJ12" s="95">
        <f>VLOOKUP(BD12,CENY!$B$11:$M$2025,12,FALSE)</f>
        <v>229.76492999999999</v>
      </c>
      <c r="BK12" s="95">
        <f t="shared" si="3"/>
        <v>0</v>
      </c>
    </row>
    <row r="13" spans="1:63" ht="14.4" customHeight="1">
      <c r="B13" s="549" t="str">
        <f>" "&amp;verze!E92</f>
        <v xml:space="preserve"> cena kování:</v>
      </c>
      <c r="C13" s="549"/>
      <c r="D13" s="549"/>
      <c r="E13" s="550"/>
      <c r="F13" s="555">
        <f>IF(AW4=1,BB4,BK4)</f>
        <v>0</v>
      </c>
      <c r="G13" s="555"/>
      <c r="H13" s="555"/>
      <c r="I13" s="555"/>
      <c r="J13" s="556" t="str">
        <f>IF(verze!E1="CZK","CZK","EUR")</f>
        <v>CZK</v>
      </c>
      <c r="K13" s="557"/>
      <c r="AU13" s="319">
        <f>OBJ!B77</f>
        <v>9347508</v>
      </c>
      <c r="AV13" s="21" t="str">
        <f>VLOOKUP(AU13,CENY!$B$11:$G$1054,2,FALSE)</f>
        <v>AvanY-design ALprofil Hybrid na bok 550/ strieb.</v>
      </c>
      <c r="AW13" s="22">
        <f>VLOOKUP(AU13,CENY!$B$11:$G$1054,3,FALSE)</f>
        <v>200</v>
      </c>
      <c r="AX13" s="22"/>
      <c r="AY13" s="23">
        <f>IF(FORM!AM18=FORM!AU16,0,2*(AA20+AA22+AA28+AA30))</f>
        <v>0</v>
      </c>
      <c r="AZ13" s="326">
        <f t="shared" si="1"/>
        <v>0</v>
      </c>
      <c r="BA13" s="95">
        <f>VLOOKUP(AU13,CENY!$B$11:$M$2025,12,FALSE)</f>
        <v>21.84564</v>
      </c>
      <c r="BB13" s="95">
        <f t="shared" si="0"/>
        <v>0</v>
      </c>
      <c r="BD13" s="319"/>
      <c r="BE13" s="21"/>
      <c r="BF13" s="22"/>
      <c r="BG13" s="22"/>
      <c r="BH13" s="23"/>
      <c r="BI13" s="326" t="str">
        <f t="shared" si="2"/>
        <v/>
      </c>
      <c r="BJ13" s="95"/>
      <c r="BK13" s="95" t="str">
        <f t="shared" si="3"/>
        <v/>
      </c>
    </row>
    <row r="14" spans="1:63" ht="14.4" customHeight="1">
      <c r="AU14" s="319"/>
      <c r="AV14" s="21"/>
      <c r="AW14" s="22"/>
      <c r="AX14" s="22"/>
      <c r="AY14" s="23"/>
      <c r="AZ14" s="326" t="str">
        <f t="shared" si="1"/>
        <v/>
      </c>
      <c r="BA14" s="95"/>
      <c r="BB14" s="95" t="str">
        <f t="shared" si="0"/>
        <v/>
      </c>
      <c r="BD14" s="319">
        <f>OBJ!B37</f>
        <v>9255832</v>
      </c>
      <c r="BE14" s="21" t="str">
        <f>VLOOKUP(BD14,CENY!$B$11:$G$1054,2,FALSE)</f>
        <v>AvanY-príchytka čela k naskrutk./ v77</v>
      </c>
      <c r="BF14" s="22">
        <f>VLOOKUP(BD14,CENY!$B$11:$G$1054,3,FALSE)</f>
        <v>100</v>
      </c>
      <c r="BG14" s="22"/>
      <c r="BH14" s="23">
        <f>2*(SUM(O19:T19)+SUM(O20:AD20)+SUM(W22:AF22)+SUM(O27:T27)+SUM(O28:AD28)+SUM(O30:AD30))</f>
        <v>0</v>
      </c>
      <c r="BI14" s="326">
        <f t="shared" si="2"/>
        <v>0</v>
      </c>
      <c r="BJ14" s="95">
        <f>VLOOKUP(BD14,CENY!$B$11:$M$2025,12,FALSE)</f>
        <v>16.912929999999999</v>
      </c>
      <c r="BK14" s="95">
        <f t="shared" si="3"/>
        <v>0</v>
      </c>
    </row>
    <row r="15" spans="1:63" ht="14.4" customHeight="1">
      <c r="AU15" s="319">
        <f>OBJ!B246</f>
        <v>9318190</v>
      </c>
      <c r="AV15" s="21" t="str">
        <f>VLOOKUP(AU15,CENY!$B$11:$G$1054,2,FALSE)</f>
        <v>Actro You(L) 400/SiSy 40kg; EB21</v>
      </c>
      <c r="AW15" s="22">
        <f>VLOOKUP(AU15,CENY!$B$11:$G$1054,3,FALSE)</f>
        <v>1</v>
      </c>
      <c r="AX15" s="362">
        <v>8</v>
      </c>
      <c r="AY15" s="23">
        <f>U20</f>
        <v>0</v>
      </c>
      <c r="AZ15" s="326">
        <f t="shared" si="1"/>
        <v>0</v>
      </c>
      <c r="BA15" s="95">
        <f>VLOOKUP(AU15,CENY!$B$11:$M$2025,12,FALSE)</f>
        <v>664.73978</v>
      </c>
      <c r="BB15" s="95">
        <f t="shared" si="0"/>
        <v>0</v>
      </c>
      <c r="BD15" s="319">
        <f>OBJ!B27</f>
        <v>79665</v>
      </c>
      <c r="BE15" s="21" t="str">
        <f>VLOOKUP(BD15,CENY!$B$11:$G$1054,2,FALSE)</f>
        <v>Univerzálny uholník  31x31mm</v>
      </c>
      <c r="BF15" s="22">
        <f>VLOOKUP(BD15,CENY!$B$11:$G$1054,3,FALSE)</f>
        <v>100</v>
      </c>
      <c r="BG15" s="22"/>
      <c r="BH15" s="23">
        <f>2*(SUM(O19:T19)+SUM(O20:AD20)+SUM(W22:AF22)+SUM(O27:T27)+SUM(O28:AD28)+SUM(O30:AD30))</f>
        <v>0</v>
      </c>
      <c r="BI15" s="326">
        <f t="shared" si="2"/>
        <v>0</v>
      </c>
      <c r="BJ15" s="95">
        <f>VLOOKUP(BD15,CENY!$B$11:$M$2025,12,FALSE)</f>
        <v>9.3302200000000006</v>
      </c>
      <c r="BK15" s="95">
        <f t="shared" si="3"/>
        <v>0</v>
      </c>
    </row>
    <row r="16" spans="1:63" ht="14.4" customHeight="1">
      <c r="AU16" s="319">
        <f>OBJ!B247</f>
        <v>9318191</v>
      </c>
      <c r="AV16" s="21" t="str">
        <f>VLOOKUP(AU16,CENY!$B$11:$G$1054,2,FALSE)</f>
        <v>Actro You(L) 450/SiSy 40kg; EB21</v>
      </c>
      <c r="AW16" s="22">
        <f>VLOOKUP(AU16,CENY!$B$11:$G$1054,3,FALSE)</f>
        <v>1</v>
      </c>
      <c r="AX16" s="362">
        <v>10</v>
      </c>
      <c r="AY16" s="23">
        <f>W20</f>
        <v>0</v>
      </c>
      <c r="AZ16" s="326">
        <f t="shared" si="1"/>
        <v>0</v>
      </c>
      <c r="BA16" s="95">
        <f>VLOOKUP(AU16,CENY!$B$11:$M$2025,12,FALSE)</f>
        <v>671.97520999999995</v>
      </c>
      <c r="BB16" s="95">
        <f t="shared" si="0"/>
        <v>0</v>
      </c>
      <c r="BD16" s="20"/>
      <c r="BE16" s="21"/>
      <c r="BF16" s="22"/>
      <c r="BG16" s="22"/>
      <c r="BH16" s="23"/>
      <c r="BI16" s="326" t="str">
        <f t="shared" si="2"/>
        <v/>
      </c>
      <c r="BJ16" s="95"/>
      <c r="BK16" s="95" t="str">
        <f t="shared" si="3"/>
        <v/>
      </c>
    </row>
    <row r="17" spans="2:63" ht="14.4" customHeight="1" thickBot="1">
      <c r="B17" s="1" t="s">
        <v>284</v>
      </c>
      <c r="O17" s="547" t="str">
        <f>FORM!U18</f>
        <v>flexibilní sety</v>
      </c>
      <c r="P17" s="548"/>
      <c r="Q17" s="548"/>
      <c r="R17" s="548"/>
      <c r="S17" s="548"/>
      <c r="T17" s="548"/>
      <c r="U17" s="548"/>
      <c r="V17" s="548"/>
      <c r="W17" s="548"/>
      <c r="X17" s="548"/>
      <c r="Y17" s="548"/>
      <c r="Z17" s="548"/>
      <c r="AA17" s="548"/>
      <c r="AB17" s="548"/>
      <c r="AC17" s="548"/>
      <c r="AD17" s="548"/>
      <c r="AE17" s="548"/>
      <c r="AF17" s="548"/>
      <c r="AI17" s="540" t="str">
        <f>verze!E198</f>
        <v>P2O Silent pro Actro</v>
      </c>
      <c r="AJ17" s="541"/>
      <c r="AK17" s="541"/>
      <c r="AL17" s="541"/>
      <c r="AM17" s="541"/>
      <c r="AN17" s="541"/>
      <c r="AO17" s="541"/>
      <c r="AU17" s="319">
        <f>OBJ!B248</f>
        <v>9318192</v>
      </c>
      <c r="AV17" s="21" t="str">
        <f>VLOOKUP(AU17,CENY!$B$11:$G$1054,2,FALSE)</f>
        <v>Actro You(L) 500/SiSy 40kg; EB21</v>
      </c>
      <c r="AW17" s="22">
        <f>VLOOKUP(AU17,CENY!$B$11:$G$1054,3,FALSE)</f>
        <v>1</v>
      </c>
      <c r="AX17" s="362">
        <v>10</v>
      </c>
      <c r="AY17" s="23">
        <f>Y20</f>
        <v>0</v>
      </c>
      <c r="AZ17" s="326">
        <f t="shared" si="1"/>
        <v>0</v>
      </c>
      <c r="BA17" s="95">
        <f>VLOOKUP(AU17,CENY!$B$11:$M$2025,12,FALSE)</f>
        <v>164.23333</v>
      </c>
      <c r="BB17" s="95">
        <f t="shared" si="0"/>
        <v>0</v>
      </c>
      <c r="BD17" s="319">
        <f>OBJ!B74</f>
        <v>9347505</v>
      </c>
      <c r="BE17" s="21" t="str">
        <f>VLOOKUP(BD17,CENY!$B$11:$G$1054,2,FALSE)</f>
        <v>AvanY-design ALprofil Hybrid na bok 400/ strieb.</v>
      </c>
      <c r="BF17" s="22">
        <f>VLOOKUP(BD17,CENY!$B$11:$G$1054,3,FALSE)</f>
        <v>200</v>
      </c>
      <c r="BG17" s="22"/>
      <c r="BH17" s="23">
        <f>2*(U20+U28+U30)</f>
        <v>0</v>
      </c>
      <c r="BI17" s="326">
        <f t="shared" si="2"/>
        <v>0</v>
      </c>
      <c r="BJ17" s="95">
        <f>VLOOKUP(BD17,CENY!$B$11:$M$2025,12,FALSE)</f>
        <v>20.742249999999999</v>
      </c>
      <c r="BK17" s="95">
        <f t="shared" si="3"/>
        <v>0</v>
      </c>
    </row>
    <row r="18" spans="2:63" ht="14.4" customHeight="1" thickBot="1">
      <c r="B18" s="96"/>
      <c r="C18" s="96"/>
      <c r="D18" s="96"/>
      <c r="E18" s="96"/>
      <c r="F18" s="96"/>
      <c r="G18" s="96"/>
      <c r="H18" s="72"/>
      <c r="I18" s="72"/>
      <c r="J18" s="72"/>
      <c r="K18" s="72"/>
      <c r="L18" s="72"/>
      <c r="M18" s="72"/>
      <c r="N18" s="72" t="str">
        <f>verze!$E$20&amp;" "</f>
        <v xml:space="preserve">Jmenovitá délka: </v>
      </c>
      <c r="O18" s="535">
        <v>270</v>
      </c>
      <c r="P18" s="536"/>
      <c r="Q18" s="535">
        <v>300</v>
      </c>
      <c r="R18" s="536"/>
      <c r="S18" s="535">
        <v>350</v>
      </c>
      <c r="T18" s="536"/>
      <c r="U18" s="535">
        <v>400</v>
      </c>
      <c r="V18" s="536"/>
      <c r="W18" s="535">
        <v>450</v>
      </c>
      <c r="X18" s="536"/>
      <c r="Y18" s="537">
        <v>500</v>
      </c>
      <c r="Z18" s="538"/>
      <c r="AA18" s="535">
        <v>550</v>
      </c>
      <c r="AB18" s="536"/>
      <c r="AC18" s="535">
        <v>600</v>
      </c>
      <c r="AD18" s="536"/>
      <c r="AE18" s="535">
        <v>650</v>
      </c>
      <c r="AF18" s="536"/>
      <c r="AI18" s="543" t="s">
        <v>299</v>
      </c>
      <c r="AJ18" s="543"/>
      <c r="AK18" s="543"/>
      <c r="AL18" s="543"/>
      <c r="AM18" s="543"/>
      <c r="AN18" s="543"/>
      <c r="AO18" s="543"/>
      <c r="AU18" s="319">
        <f>OBJ!B249</f>
        <v>9318194</v>
      </c>
      <c r="AV18" s="21" t="str">
        <f>VLOOKUP(AU18,CENY!$B$11:$G$1054,2,FALSE)</f>
        <v>Actro You(L) 550/SiSy 40kg; EB21</v>
      </c>
      <c r="AW18" s="22">
        <f>VLOOKUP(AU18,CENY!$B$11:$G$1054,3,FALSE)</f>
        <v>1</v>
      </c>
      <c r="AX18" s="362">
        <v>10</v>
      </c>
      <c r="AY18" s="23">
        <f>AA20</f>
        <v>0</v>
      </c>
      <c r="AZ18" s="326">
        <f t="shared" si="1"/>
        <v>0</v>
      </c>
      <c r="BA18" s="95">
        <f>VLOOKUP(AU18,CENY!$B$11:$M$2025,12,FALSE)</f>
        <v>173.62268</v>
      </c>
      <c r="BB18" s="95">
        <f t="shared" si="0"/>
        <v>0</v>
      </c>
      <c r="BD18" s="319">
        <f>OBJ!B75</f>
        <v>9347506</v>
      </c>
      <c r="BE18" s="21" t="str">
        <f>VLOOKUP(BD18,CENY!$B$11:$G$1054,2,FALSE)</f>
        <v>AvanY-design ALprofil Hybrid na bok 450/ strieb.</v>
      </c>
      <c r="BF18" s="22">
        <f>VLOOKUP(BD18,CENY!$B$11:$G$1054,3,FALSE)</f>
        <v>200</v>
      </c>
      <c r="BG18" s="22"/>
      <c r="BH18" s="23">
        <f>2*(W20+W22+W28+W30)</f>
        <v>0</v>
      </c>
      <c r="BI18" s="326">
        <f t="shared" si="2"/>
        <v>0</v>
      </c>
      <c r="BJ18" s="95">
        <f>VLOOKUP(BD18,CENY!$B$11:$M$2025,12,FALSE)</f>
        <v>21.111910000000002</v>
      </c>
      <c r="BK18" s="95">
        <f t="shared" si="3"/>
        <v>0</v>
      </c>
    </row>
    <row r="19" spans="2:63" ht="14.4" customHeight="1" thickBot="1">
      <c r="B19" s="530" t="s">
        <v>289</v>
      </c>
      <c r="C19" s="530"/>
      <c r="D19" s="530"/>
      <c r="E19" s="530"/>
      <c r="F19" s="530"/>
      <c r="G19" s="530"/>
      <c r="H19" s="531" t="str">
        <f>verze!E18</f>
        <v>plnovýsuv</v>
      </c>
      <c r="I19" s="531"/>
      <c r="J19" s="531"/>
      <c r="K19" s="531"/>
      <c r="L19" s="531"/>
      <c r="M19" s="532" t="s">
        <v>286</v>
      </c>
      <c r="N19" s="533"/>
      <c r="O19" s="280"/>
      <c r="P19" s="281"/>
      <c r="Q19" s="280"/>
      <c r="R19" s="281"/>
      <c r="S19" s="280"/>
      <c r="T19" s="281"/>
      <c r="U19" s="283"/>
      <c r="V19" s="284"/>
      <c r="W19" s="283"/>
      <c r="X19" s="284"/>
      <c r="Y19" s="283"/>
      <c r="Z19" s="284"/>
      <c r="AA19" s="283"/>
      <c r="AB19" s="284"/>
      <c r="AC19" s="280"/>
      <c r="AD19" s="281"/>
      <c r="AE19" s="280"/>
      <c r="AF19" s="281"/>
      <c r="AI19" s="289"/>
      <c r="AJ19" s="290"/>
      <c r="AK19" s="289"/>
      <c r="AL19" s="290"/>
      <c r="AM19" s="291" t="s">
        <v>295</v>
      </c>
      <c r="AN19" s="534"/>
      <c r="AO19" s="534"/>
      <c r="AU19" s="319"/>
      <c r="AV19" s="21"/>
      <c r="AW19" s="22"/>
      <c r="AX19" s="22"/>
      <c r="AY19" s="23"/>
      <c r="AZ19" s="326" t="str">
        <f t="shared" si="1"/>
        <v/>
      </c>
      <c r="BA19" s="95"/>
      <c r="BB19" s="95" t="str">
        <f t="shared" si="0"/>
        <v/>
      </c>
      <c r="BD19" s="319">
        <f>OBJ!B76</f>
        <v>9347507</v>
      </c>
      <c r="BE19" s="21" t="str">
        <f>VLOOKUP(BD19,CENY!$B$11:$G$1054,2,FALSE)</f>
        <v>AvanY-design ALprofil Hybrid na bok 500/ strieb.</v>
      </c>
      <c r="BF19" s="22">
        <f>VLOOKUP(BD19,CENY!$B$11:$G$1054,3,FALSE)</f>
        <v>200</v>
      </c>
      <c r="BG19" s="22"/>
      <c r="BH19" s="23">
        <f>2*(Y20+Y22+Y28+Y30)</f>
        <v>0</v>
      </c>
      <c r="BI19" s="326">
        <f t="shared" si="2"/>
        <v>0</v>
      </c>
      <c r="BJ19" s="95">
        <f>VLOOKUP(BD19,CENY!$B$11:$M$2025,12,FALSE)</f>
        <v>21.479700000000001</v>
      </c>
      <c r="BK19" s="95">
        <f t="shared" si="3"/>
        <v>0</v>
      </c>
    </row>
    <row r="20" spans="2:63" ht="14.4" customHeight="1" thickBot="1">
      <c r="B20" s="521" t="s">
        <v>290</v>
      </c>
      <c r="C20" s="521"/>
      <c r="D20" s="521"/>
      <c r="E20" s="521"/>
      <c r="F20" s="521"/>
      <c r="G20" s="521"/>
      <c r="H20" s="522" t="str">
        <f>verze!E18</f>
        <v>plnovýsuv</v>
      </c>
      <c r="I20" s="522"/>
      <c r="J20" s="522"/>
      <c r="K20" s="522"/>
      <c r="L20" s="522"/>
      <c r="M20" s="523" t="s">
        <v>287</v>
      </c>
      <c r="N20" s="546"/>
      <c r="O20" s="518"/>
      <c r="P20" s="519"/>
      <c r="Q20" s="518"/>
      <c r="R20" s="519"/>
      <c r="S20" s="518"/>
      <c r="T20" s="519"/>
      <c r="U20" s="516"/>
      <c r="V20" s="517"/>
      <c r="W20" s="516"/>
      <c r="X20" s="517"/>
      <c r="Y20" s="516"/>
      <c r="Z20" s="517"/>
      <c r="AA20" s="516"/>
      <c r="AB20" s="517"/>
      <c r="AC20" s="518"/>
      <c r="AD20" s="519"/>
      <c r="AE20" s="518"/>
      <c r="AF20" s="519"/>
      <c r="AI20" s="287"/>
      <c r="AJ20" s="288"/>
      <c r="AK20" s="287"/>
      <c r="AL20" s="288"/>
      <c r="AM20" s="286" t="s">
        <v>294</v>
      </c>
      <c r="AN20" s="520"/>
      <c r="AO20" s="520"/>
      <c r="AU20" s="319">
        <f>OBJ!B268</f>
        <v>9318215</v>
      </c>
      <c r="AV20" s="21" t="str">
        <f>VLOOKUP(AU20,CENY!$B$11:$G$1054,2,FALSE)</f>
        <v>Actro You(XL) 450/SiSy 70kg; EB21</v>
      </c>
      <c r="AW20" s="22">
        <f>VLOOKUP(AU20,CENY!$B$11:$G$1054,3,FALSE)</f>
        <v>1</v>
      </c>
      <c r="AX20" s="362">
        <v>10</v>
      </c>
      <c r="AY20" s="23">
        <f>W22</f>
        <v>0</v>
      </c>
      <c r="AZ20" s="326">
        <f t="shared" si="1"/>
        <v>0</v>
      </c>
      <c r="BA20" s="95">
        <f>VLOOKUP(AU20,CENY!$B$11:$M$2025,12,FALSE)</f>
        <v>197.37184999999999</v>
      </c>
      <c r="BB20" s="95">
        <f t="shared" si="0"/>
        <v>0</v>
      </c>
      <c r="BD20" s="319">
        <f>OBJ!B77</f>
        <v>9347508</v>
      </c>
      <c r="BE20" s="21" t="str">
        <f>VLOOKUP(BD20,CENY!$B$11:$G$1054,2,FALSE)</f>
        <v>AvanY-design ALprofil Hybrid na bok 550/ strieb.</v>
      </c>
      <c r="BF20" s="22">
        <f>VLOOKUP(BD20,CENY!$B$11:$G$1054,3,FALSE)</f>
        <v>200</v>
      </c>
      <c r="BG20" s="22"/>
      <c r="BH20" s="23">
        <f>2*(AA20+AA22+AA28+AA30)</f>
        <v>0</v>
      </c>
      <c r="BI20" s="326">
        <f t="shared" si="2"/>
        <v>0</v>
      </c>
      <c r="BJ20" s="95">
        <f>VLOOKUP(BD20,CENY!$B$11:$M$2025,12,FALSE)</f>
        <v>21.84564</v>
      </c>
      <c r="BK20" s="95">
        <f t="shared" si="3"/>
        <v>0</v>
      </c>
    </row>
    <row r="21" spans="2:63" ht="14.4" customHeight="1" thickBot="1">
      <c r="O21" s="283"/>
      <c r="P21" s="284"/>
      <c r="Q21" s="283"/>
      <c r="R21" s="284"/>
      <c r="S21" s="283"/>
      <c r="T21" s="284"/>
      <c r="U21" s="283"/>
      <c r="V21" s="284"/>
      <c r="W21" s="283"/>
      <c r="X21" s="284"/>
      <c r="Y21" s="283"/>
      <c r="Z21" s="284"/>
      <c r="AA21" s="283"/>
      <c r="AB21" s="284"/>
      <c r="AC21" s="283"/>
      <c r="AD21" s="284"/>
      <c r="AE21" s="283"/>
      <c r="AF21" s="284"/>
      <c r="AI21" s="287"/>
      <c r="AJ21" s="288"/>
      <c r="AK21" s="287"/>
      <c r="AL21" s="288"/>
      <c r="AM21" s="286" t="s">
        <v>296</v>
      </c>
      <c r="AN21" s="542"/>
      <c r="AO21" s="542"/>
      <c r="AU21" s="319">
        <f>OBJ!B269</f>
        <v>9318216</v>
      </c>
      <c r="AV21" s="21" t="str">
        <f>VLOOKUP(AU21,CENY!$B$11:$G$1054,2,FALSE)</f>
        <v>Actro You(XL) 500/SiSy 70kg; EB21</v>
      </c>
      <c r="AW21" s="22">
        <f>VLOOKUP(AU21,CENY!$B$11:$G$1054,3,FALSE)</f>
        <v>1</v>
      </c>
      <c r="AX21" s="362">
        <v>10</v>
      </c>
      <c r="AY21" s="23">
        <f>Y22</f>
        <v>0</v>
      </c>
      <c r="AZ21" s="326">
        <f t="shared" si="1"/>
        <v>0</v>
      </c>
      <c r="BA21" s="95">
        <f>VLOOKUP(AU21,CENY!$B$11:$M$2025,12,FALSE)</f>
        <v>823.68502000000001</v>
      </c>
      <c r="BB21" s="95">
        <f t="shared" si="0"/>
        <v>0</v>
      </c>
      <c r="BD21" s="319"/>
      <c r="BE21" s="21"/>
      <c r="BF21" s="22"/>
      <c r="BG21" s="22"/>
      <c r="BH21" s="23"/>
      <c r="BI21" s="326" t="str">
        <f t="shared" si="2"/>
        <v/>
      </c>
      <c r="BJ21" s="95"/>
      <c r="BK21" s="95" t="str">
        <f t="shared" si="3"/>
        <v/>
      </c>
    </row>
    <row r="22" spans="2:63" ht="14.4" customHeight="1" thickBot="1">
      <c r="B22" s="544" t="s">
        <v>291</v>
      </c>
      <c r="C22" s="544"/>
      <c r="D22" s="544"/>
      <c r="E22" s="544"/>
      <c r="F22" s="544"/>
      <c r="G22" s="544"/>
      <c r="H22" s="545" t="str">
        <f>verze!E18</f>
        <v>plnovýsuv</v>
      </c>
      <c r="I22" s="545"/>
      <c r="J22" s="545"/>
      <c r="K22" s="545"/>
      <c r="L22" s="545"/>
      <c r="M22" s="523" t="s">
        <v>288</v>
      </c>
      <c r="N22" s="524"/>
      <c r="O22" s="518"/>
      <c r="P22" s="519"/>
      <c r="Q22" s="518"/>
      <c r="R22" s="519"/>
      <c r="S22" s="518"/>
      <c r="T22" s="519"/>
      <c r="U22" s="518"/>
      <c r="V22" s="519"/>
      <c r="W22" s="516"/>
      <c r="X22" s="517"/>
      <c r="Y22" s="516"/>
      <c r="Z22" s="517"/>
      <c r="AA22" s="516"/>
      <c r="AB22" s="517"/>
      <c r="AC22" s="518"/>
      <c r="AD22" s="519"/>
      <c r="AE22" s="518"/>
      <c r="AF22" s="519"/>
      <c r="AI22" s="287"/>
      <c r="AJ22" s="288"/>
      <c r="AK22" s="287"/>
      <c r="AL22" s="288"/>
      <c r="AM22" s="286" t="s">
        <v>297</v>
      </c>
      <c r="AN22" s="539"/>
      <c r="AO22" s="539"/>
      <c r="AU22" s="319">
        <f>OBJ!B270</f>
        <v>9318217</v>
      </c>
      <c r="AV22" s="21" t="str">
        <f>VLOOKUP(AU22,CENY!$B$11:$G$1054,2,FALSE)</f>
        <v>Actro You(XL) 550/SiSy 70kg; EB21</v>
      </c>
      <c r="AW22" s="22">
        <f>VLOOKUP(AU22,CENY!$B$11:$G$1054,3,FALSE)</f>
        <v>1</v>
      </c>
      <c r="AX22" s="362">
        <v>10</v>
      </c>
      <c r="AY22" s="23">
        <f>AA22</f>
        <v>0</v>
      </c>
      <c r="AZ22" s="326">
        <f t="shared" si="1"/>
        <v>0</v>
      </c>
      <c r="BA22" s="95">
        <f>VLOOKUP(AU22,CENY!$B$11:$M$2025,12,FALSE)</f>
        <v>862.82307000000003</v>
      </c>
      <c r="BB22" s="95">
        <f t="shared" si="0"/>
        <v>0</v>
      </c>
      <c r="BD22" s="319">
        <f>OBJ!B257</f>
        <v>9318175</v>
      </c>
      <c r="BE22" s="21" t="str">
        <f>VLOOKUP(BD22,CENY!$B$11:$G$1054,2,FALSE)</f>
        <v>Actro You(L) 400/SiSy 40kg; EB21; ľavý</v>
      </c>
      <c r="BF22" s="22">
        <f>VLOOKUP(BD22,CENY!$B$11:$G$1054,3,FALSE)</f>
        <v>10</v>
      </c>
      <c r="BG22" s="22"/>
      <c r="BH22" s="23">
        <f>AY15</f>
        <v>0</v>
      </c>
      <c r="BI22" s="326">
        <f t="shared" si="2"/>
        <v>0</v>
      </c>
      <c r="BJ22" s="95">
        <f>VLOOKUP(BD22,CENY!$B$11:$M$2025,12,FALSE)</f>
        <v>302.69770999999997</v>
      </c>
      <c r="BK22" s="95">
        <f t="shared" si="3"/>
        <v>0</v>
      </c>
    </row>
    <row r="23" spans="2:63" ht="14.4" customHeight="1">
      <c r="O23" s="4"/>
      <c r="P23" s="4"/>
      <c r="AU23" s="319"/>
      <c r="AV23" s="21"/>
      <c r="AW23" s="22"/>
      <c r="AX23" s="22"/>
      <c r="AY23" s="23"/>
      <c r="AZ23" s="326" t="str">
        <f t="shared" si="1"/>
        <v/>
      </c>
      <c r="BA23" s="95"/>
      <c r="BB23" s="95" t="str">
        <f t="shared" si="0"/>
        <v/>
      </c>
      <c r="BD23" s="319">
        <f>OBJ!B258</f>
        <v>9318176</v>
      </c>
      <c r="BE23" s="21" t="str">
        <f>VLOOKUP(BD23,CENY!$B$11:$G$1054,2,FALSE)</f>
        <v>Actro You(L) 400/SiSy 40kg; EB21; pravý</v>
      </c>
      <c r="BF23" s="22">
        <f>VLOOKUP(BD23,CENY!$B$11:$G$1054,3,FALSE)</f>
        <v>10</v>
      </c>
      <c r="BG23" s="22"/>
      <c r="BH23" s="23">
        <f>AY15</f>
        <v>0</v>
      </c>
      <c r="BI23" s="326">
        <f t="shared" si="2"/>
        <v>0</v>
      </c>
      <c r="BJ23" s="95">
        <f>VLOOKUP(BD23,CENY!$B$11:$M$2025,12,FALSE)</f>
        <v>302.69770999999997</v>
      </c>
      <c r="BK23" s="95">
        <f t="shared" si="3"/>
        <v>0</v>
      </c>
    </row>
    <row r="24" spans="2:63" ht="14.4" customHeight="1">
      <c r="AU24" s="319">
        <f>OBJ!B284</f>
        <v>9257890</v>
      </c>
      <c r="AV24" s="21" t="str">
        <f>VLOOKUP(AU24,CENY!$B$11:$G$1054,2,FALSE)</f>
        <v>Actro You - Push to open Silent; &lt;10kg</v>
      </c>
      <c r="AW24" s="22">
        <f>VLOOKUP(AU24,CENY!$B$11:$G$1054,3,FALSE)</f>
        <v>1</v>
      </c>
      <c r="AX24" s="22"/>
      <c r="AY24" s="23">
        <f>AN19</f>
        <v>0</v>
      </c>
      <c r="AZ24" s="326">
        <f t="shared" si="1"/>
        <v>0</v>
      </c>
      <c r="BA24" s="95">
        <f>VLOOKUP(AU24,CENY!$B$11:$M$2025,12,FALSE)</f>
        <v>481.81412999999998</v>
      </c>
      <c r="BB24" s="95">
        <f t="shared" si="0"/>
        <v>0</v>
      </c>
      <c r="BD24" s="319">
        <f>OBJ!B259</f>
        <v>9318177</v>
      </c>
      <c r="BE24" s="21" t="str">
        <f>VLOOKUP(BD24,CENY!$B$11:$G$1054,2,FALSE)</f>
        <v>Actro You(L) 450/SiSy 40kg; EB21; ľavý</v>
      </c>
      <c r="BF24" s="22">
        <f>VLOOKUP(BD24,CENY!$B$11:$G$1054,3,FALSE)</f>
        <v>10</v>
      </c>
      <c r="BG24" s="22"/>
      <c r="BH24" s="23">
        <f>AY16</f>
        <v>0</v>
      </c>
      <c r="BI24" s="326">
        <f t="shared" si="2"/>
        <v>0</v>
      </c>
      <c r="BJ24" s="95">
        <f>VLOOKUP(BD24,CENY!$B$11:$M$2025,12,FALSE)</f>
        <v>298.33073999999999</v>
      </c>
      <c r="BK24" s="95">
        <f t="shared" si="3"/>
        <v>0</v>
      </c>
    </row>
    <row r="25" spans="2:63" ht="14.4" customHeight="1" thickBot="1">
      <c r="B25" s="2" t="s">
        <v>285</v>
      </c>
      <c r="AI25" s="540" t="str">
        <f>verze!E199</f>
        <v>P2O Silent pro Quadro</v>
      </c>
      <c r="AJ25" s="541"/>
      <c r="AK25" s="541"/>
      <c r="AL25" s="541"/>
      <c r="AM25" s="541"/>
      <c r="AN25" s="541"/>
      <c r="AO25" s="541"/>
      <c r="AU25" s="319">
        <f>OBJ!B285</f>
        <v>9257891</v>
      </c>
      <c r="AV25" s="21" t="str">
        <f>VLOOKUP(AU25,CENY!$B$11:$G$1054,2,FALSE)</f>
        <v>Actro You - Push to open Silent; 8-20kg</v>
      </c>
      <c r="AW25" s="22">
        <f>VLOOKUP(AU25,CENY!$B$11:$G$1054,3,FALSE)</f>
        <v>1</v>
      </c>
      <c r="AX25" s="22"/>
      <c r="AY25" s="23">
        <f>AN20</f>
        <v>0</v>
      </c>
      <c r="AZ25" s="326">
        <f t="shared" si="1"/>
        <v>0</v>
      </c>
      <c r="BA25" s="95">
        <f>VLOOKUP(AU25,CENY!$B$11:$M$2025,12,FALSE)</f>
        <v>481.81412999999998</v>
      </c>
      <c r="BB25" s="95">
        <f t="shared" si="0"/>
        <v>0</v>
      </c>
      <c r="BD25" s="319">
        <f>OBJ!B260</f>
        <v>9318178</v>
      </c>
      <c r="BE25" s="21" t="str">
        <f>VLOOKUP(BD25,CENY!$B$11:$G$1054,2,FALSE)</f>
        <v>Actro You(L) 450/SiSy 40kg; EB21; pravý</v>
      </c>
      <c r="BF25" s="22">
        <f>VLOOKUP(BD25,CENY!$B$11:$G$1054,3,FALSE)</f>
        <v>10</v>
      </c>
      <c r="BG25" s="22"/>
      <c r="BH25" s="23">
        <f>AY16</f>
        <v>0</v>
      </c>
      <c r="BI25" s="326">
        <f t="shared" si="2"/>
        <v>0</v>
      </c>
      <c r="BJ25" s="95">
        <f>VLOOKUP(BD25,CENY!$B$11:$M$2025,12,FALSE)</f>
        <v>298.33073999999999</v>
      </c>
      <c r="BK25" s="95">
        <f t="shared" si="3"/>
        <v>0</v>
      </c>
    </row>
    <row r="26" spans="2:63" ht="14.4" customHeight="1" thickBot="1">
      <c r="B26" s="96"/>
      <c r="C26" s="96"/>
      <c r="D26" s="96"/>
      <c r="E26" s="96"/>
      <c r="F26" s="96"/>
      <c r="G26" s="96"/>
      <c r="H26" s="72"/>
      <c r="I26" s="72"/>
      <c r="J26" s="72"/>
      <c r="K26" s="72"/>
      <c r="L26" s="72"/>
      <c r="M26" s="72"/>
      <c r="N26" s="72" t="str">
        <f>verze!$E$20&amp;" "</f>
        <v xml:space="preserve">Jmenovitá délka: </v>
      </c>
      <c r="O26" s="535">
        <v>270</v>
      </c>
      <c r="P26" s="536"/>
      <c r="Q26" s="535">
        <v>300</v>
      </c>
      <c r="R26" s="536"/>
      <c r="S26" s="535">
        <v>350</v>
      </c>
      <c r="T26" s="536"/>
      <c r="U26" s="535">
        <v>400</v>
      </c>
      <c r="V26" s="536"/>
      <c r="W26" s="535">
        <v>450</v>
      </c>
      <c r="X26" s="536"/>
      <c r="Y26" s="537">
        <v>500</v>
      </c>
      <c r="Z26" s="538"/>
      <c r="AA26" s="535">
        <v>550</v>
      </c>
      <c r="AB26" s="536"/>
      <c r="AC26" s="535">
        <v>600</v>
      </c>
      <c r="AD26" s="536"/>
      <c r="AI26" s="543" t="s">
        <v>299</v>
      </c>
      <c r="AJ26" s="543"/>
      <c r="AK26" s="543"/>
      <c r="AL26" s="543"/>
      <c r="AM26" s="543"/>
      <c r="AN26" s="543"/>
      <c r="AO26" s="543"/>
      <c r="AU26" s="319">
        <f>OBJ!B286</f>
        <v>9257892</v>
      </c>
      <c r="AV26" s="21" t="str">
        <f>VLOOKUP(AU26,CENY!$B$11:$G$1054,2,FALSE)</f>
        <v>Actro You - Push to open Silent; 10-40kg</v>
      </c>
      <c r="AW26" s="22">
        <f>VLOOKUP(AU26,CENY!$B$11:$G$1054,3,FALSE)</f>
        <v>1</v>
      </c>
      <c r="AX26" s="22"/>
      <c r="AY26" s="23">
        <f>AN21</f>
        <v>0</v>
      </c>
      <c r="AZ26" s="326">
        <f t="shared" si="1"/>
        <v>0</v>
      </c>
      <c r="BA26" s="95">
        <f>VLOOKUP(AU26,CENY!$B$11:$M$2025,12,FALSE)</f>
        <v>481.81412999999998</v>
      </c>
      <c r="BB26" s="95">
        <f t="shared" si="0"/>
        <v>0</v>
      </c>
      <c r="BD26" s="319">
        <f>OBJ!B261</f>
        <v>9318179</v>
      </c>
      <c r="BE26" s="21" t="str">
        <f>VLOOKUP(BD26,CENY!$B$11:$G$1054,2,FALSE)</f>
        <v>Actro You(L) 500/SiSy 40kg; EB21; ľavý</v>
      </c>
      <c r="BF26" s="22">
        <f>VLOOKUP(BD26,CENY!$B$11:$G$1054,3,FALSE)</f>
        <v>10</v>
      </c>
      <c r="BG26" s="22"/>
      <c r="BH26" s="23">
        <f>AY17</f>
        <v>0</v>
      </c>
      <c r="BI26" s="326">
        <f t="shared" si="2"/>
        <v>0</v>
      </c>
      <c r="BJ26" s="95">
        <f>VLOOKUP(BD26,CENY!$B$11:$M$2025,12,FALSE)</f>
        <v>296.00905</v>
      </c>
      <c r="BK26" s="95">
        <f t="shared" si="3"/>
        <v>0</v>
      </c>
    </row>
    <row r="27" spans="2:63" ht="14.4" customHeight="1" thickBot="1">
      <c r="B27" s="530" t="s">
        <v>292</v>
      </c>
      <c r="C27" s="530"/>
      <c r="D27" s="530"/>
      <c r="E27" s="530"/>
      <c r="F27" s="530"/>
      <c r="G27" s="530"/>
      <c r="H27" s="531" t="str">
        <f>verze!E18</f>
        <v>plnovýsuv</v>
      </c>
      <c r="I27" s="531"/>
      <c r="J27" s="531"/>
      <c r="K27" s="531"/>
      <c r="L27" s="531"/>
      <c r="M27" s="532" t="s">
        <v>286</v>
      </c>
      <c r="N27" s="533"/>
      <c r="O27" s="280"/>
      <c r="P27" s="281"/>
      <c r="Q27" s="280"/>
      <c r="R27" s="281"/>
      <c r="S27" s="280"/>
      <c r="T27" s="281"/>
      <c r="U27" s="283"/>
      <c r="V27" s="284"/>
      <c r="W27" s="283"/>
      <c r="X27" s="284"/>
      <c r="Y27" s="283"/>
      <c r="Z27" s="284"/>
      <c r="AA27" s="283"/>
      <c r="AB27" s="284"/>
      <c r="AC27" s="280"/>
      <c r="AD27" s="281"/>
      <c r="AI27" s="289"/>
      <c r="AJ27" s="290"/>
      <c r="AK27" s="289"/>
      <c r="AL27" s="290"/>
      <c r="AM27" s="291" t="s">
        <v>295</v>
      </c>
      <c r="AN27" s="534"/>
      <c r="AO27" s="534"/>
      <c r="AU27" s="319">
        <f>OBJ!B287</f>
        <v>9257893</v>
      </c>
      <c r="AV27" s="21" t="str">
        <f>VLOOKUP(AU27,CENY!$B$11:$G$1054,2,FALSE)</f>
        <v>Actro You - Push to open Silent; 20-70kg</v>
      </c>
      <c r="AW27" s="22">
        <f>VLOOKUP(AU27,CENY!$B$11:$G$1054,3,FALSE)</f>
        <v>1</v>
      </c>
      <c r="AX27" s="22"/>
      <c r="AY27" s="23">
        <f>AN22</f>
        <v>0</v>
      </c>
      <c r="AZ27" s="326">
        <f t="shared" si="1"/>
        <v>0</v>
      </c>
      <c r="BA27" s="95">
        <f>VLOOKUP(AU27,CENY!$B$11:$M$2025,12,FALSE)</f>
        <v>481.81412999999998</v>
      </c>
      <c r="BB27" s="95">
        <f t="shared" si="0"/>
        <v>0</v>
      </c>
      <c r="BD27" s="319">
        <f>OBJ!B262</f>
        <v>9318180</v>
      </c>
      <c r="BE27" s="21" t="str">
        <f>VLOOKUP(BD27,CENY!$B$11:$G$1054,2,FALSE)</f>
        <v>Actro You(L) 500/SiSy 40kg; EB21; pravý</v>
      </c>
      <c r="BF27" s="22">
        <f>VLOOKUP(BD27,CENY!$B$11:$G$1054,3,FALSE)</f>
        <v>10</v>
      </c>
      <c r="BG27" s="22"/>
      <c r="BH27" s="23">
        <f>AY17</f>
        <v>0</v>
      </c>
      <c r="BI27" s="326">
        <f t="shared" si="2"/>
        <v>0</v>
      </c>
      <c r="BJ27" s="95">
        <f>VLOOKUP(BD27,CENY!$B$11:$M$2025,12,FALSE)</f>
        <v>296.00905</v>
      </c>
      <c r="BK27" s="95">
        <f t="shared" si="3"/>
        <v>0</v>
      </c>
    </row>
    <row r="28" spans="2:63" ht="14.4" customHeight="1" thickBot="1">
      <c r="B28" s="521" t="s">
        <v>372</v>
      </c>
      <c r="C28" s="521"/>
      <c r="D28" s="521"/>
      <c r="E28" s="521"/>
      <c r="F28" s="521"/>
      <c r="G28" s="521"/>
      <c r="H28" s="522" t="str">
        <f>verze!E18</f>
        <v>plnovýsuv</v>
      </c>
      <c r="I28" s="522"/>
      <c r="J28" s="522"/>
      <c r="K28" s="522"/>
      <c r="L28" s="522"/>
      <c r="M28" s="523" t="s">
        <v>1</v>
      </c>
      <c r="N28" s="524"/>
      <c r="O28" s="518"/>
      <c r="P28" s="519"/>
      <c r="Q28" s="518"/>
      <c r="R28" s="519"/>
      <c r="S28" s="518"/>
      <c r="T28" s="519"/>
      <c r="U28" s="516"/>
      <c r="V28" s="517"/>
      <c r="W28" s="516"/>
      <c r="X28" s="517"/>
      <c r="Y28" s="516"/>
      <c r="Z28" s="517"/>
      <c r="AA28" s="516"/>
      <c r="AB28" s="517"/>
      <c r="AC28" s="518"/>
      <c r="AD28" s="519"/>
      <c r="AI28" s="287"/>
      <c r="AJ28" s="288"/>
      <c r="AK28" s="287"/>
      <c r="AL28" s="288"/>
      <c r="AM28" s="286" t="s">
        <v>294</v>
      </c>
      <c r="AN28" s="520"/>
      <c r="AO28" s="520"/>
      <c r="AU28" s="319">
        <f>OBJ!B288</f>
        <v>9236718</v>
      </c>
      <c r="AV28" s="21" t="str">
        <f>VLOOKUP(AU28,CENY!$B$11:$G$1054,2,FALSE)</f>
        <v>Push to open Synchro / tyč 2.000 mm</v>
      </c>
      <c r="AW28" s="22">
        <f>VLOOKUP(AU28,CENY!$B$11:$G$1054,3,FALSE)</f>
        <v>100</v>
      </c>
      <c r="AX28" s="22"/>
      <c r="AY28" s="23">
        <f>SUM(AN19:AO22)+SUM(AN27:AO29)+SUM(O30:AD30)</f>
        <v>0</v>
      </c>
      <c r="AZ28" s="326">
        <f t="shared" si="1"/>
        <v>0</v>
      </c>
      <c r="BA28" s="95">
        <f>VLOOKUP(AU28,CENY!$B$11:$M$2025,12,FALSE)</f>
        <v>182.03933000000001</v>
      </c>
      <c r="BB28" s="95">
        <f t="shared" si="0"/>
        <v>0</v>
      </c>
      <c r="BD28" s="319">
        <f>OBJ!B263</f>
        <v>9318181</v>
      </c>
      <c r="BE28" s="21" t="str">
        <f>VLOOKUP(BD28,CENY!$B$11:$G$1054,2,FALSE)</f>
        <v>Actro You(L) 550/SiSy 40kg; EB21; ľavý</v>
      </c>
      <c r="BF28" s="22">
        <f>VLOOKUP(BD28,CENY!$B$11:$G$1054,3,FALSE)</f>
        <v>10</v>
      </c>
      <c r="BG28" s="22"/>
      <c r="BH28" s="23">
        <f>AY18</f>
        <v>0</v>
      </c>
      <c r="BI28" s="326">
        <f t="shared" si="2"/>
        <v>0</v>
      </c>
      <c r="BJ28" s="95">
        <f>VLOOKUP(BD28,CENY!$B$11:$M$2025,12,FALSE)</f>
        <v>321.83461999999997</v>
      </c>
      <c r="BK28" s="95">
        <f t="shared" si="3"/>
        <v>0</v>
      </c>
    </row>
    <row r="29" spans="2:63" ht="14.4" customHeight="1" thickBot="1">
      <c r="O29" s="283"/>
      <c r="P29" s="284"/>
      <c r="Q29" s="283"/>
      <c r="R29" s="284"/>
      <c r="S29" s="283"/>
      <c r="T29" s="284"/>
      <c r="U29" s="283"/>
      <c r="V29" s="284"/>
      <c r="W29" s="283"/>
      <c r="X29" s="284"/>
      <c r="Y29" s="283"/>
      <c r="Z29" s="284"/>
      <c r="AA29" s="283"/>
      <c r="AB29" s="284"/>
      <c r="AC29" s="283"/>
      <c r="AD29" s="284"/>
      <c r="AI29" s="287"/>
      <c r="AJ29" s="288"/>
      <c r="AK29" s="287"/>
      <c r="AL29" s="288"/>
      <c r="AM29" s="286" t="s">
        <v>298</v>
      </c>
      <c r="AN29" s="527"/>
      <c r="AO29" s="527"/>
      <c r="AU29" s="319"/>
      <c r="AV29" s="21"/>
      <c r="AW29" s="22"/>
      <c r="AX29" s="22"/>
      <c r="AY29" s="23"/>
      <c r="AZ29" s="326" t="str">
        <f t="shared" si="1"/>
        <v/>
      </c>
      <c r="BA29" s="95"/>
      <c r="BB29" s="95" t="str">
        <f t="shared" si="0"/>
        <v/>
      </c>
      <c r="BD29" s="319">
        <f>OBJ!B264</f>
        <v>9318182</v>
      </c>
      <c r="BE29" s="21" t="str">
        <f>VLOOKUP(BD29,CENY!$B$11:$G$1054,2,FALSE)</f>
        <v>Actro You(L) 550/SiSy 40kg; EB21; pravý</v>
      </c>
      <c r="BF29" s="22">
        <f>VLOOKUP(BD29,CENY!$B$11:$G$1054,3,FALSE)</f>
        <v>10</v>
      </c>
      <c r="BG29" s="22"/>
      <c r="BH29" s="23">
        <f>AY18</f>
        <v>0</v>
      </c>
      <c r="BI29" s="326">
        <f t="shared" si="2"/>
        <v>0</v>
      </c>
      <c r="BJ29" s="95">
        <f>VLOOKUP(BD29,CENY!$B$11:$M$2025,12,FALSE)</f>
        <v>321.83461999999997</v>
      </c>
      <c r="BK29" s="95">
        <f t="shared" si="3"/>
        <v>0</v>
      </c>
    </row>
    <row r="30" spans="2:63" ht="14.4" customHeight="1" thickBot="1">
      <c r="B30" s="528" t="s">
        <v>373</v>
      </c>
      <c r="C30" s="528"/>
      <c r="D30" s="528"/>
      <c r="E30" s="528"/>
      <c r="F30" s="528"/>
      <c r="G30" s="528"/>
      <c r="H30" s="529" t="str">
        <f>verze!E18</f>
        <v>plnovýsuv</v>
      </c>
      <c r="I30" s="529"/>
      <c r="J30" s="529"/>
      <c r="K30" s="529"/>
      <c r="L30" s="529"/>
      <c r="M30" s="523" t="s">
        <v>1</v>
      </c>
      <c r="N30" s="524"/>
      <c r="O30" s="518"/>
      <c r="P30" s="519"/>
      <c r="Q30" s="518"/>
      <c r="R30" s="519"/>
      <c r="S30" s="518"/>
      <c r="T30" s="519"/>
      <c r="U30" s="516"/>
      <c r="V30" s="517"/>
      <c r="W30" s="516"/>
      <c r="X30" s="517"/>
      <c r="Y30" s="516"/>
      <c r="Z30" s="517"/>
      <c r="AA30" s="516"/>
      <c r="AB30" s="517"/>
      <c r="AC30" s="525"/>
      <c r="AD30" s="526"/>
      <c r="AU30" s="319">
        <f>OBJ!B307</f>
        <v>9256888</v>
      </c>
      <c r="AV30" s="21" t="str">
        <f>VLOOKUP(AU30,CENY!$B$11:$G$1054,2,FALSE)</f>
        <v>Quadro You(M) 400/SiSy 30kg; EB21</v>
      </c>
      <c r="AW30" s="22">
        <f>VLOOKUP(AU30,CENY!$B$11:$G$1054,3,FALSE)</f>
        <v>1</v>
      </c>
      <c r="AX30" s="362">
        <v>8</v>
      </c>
      <c r="AY30" s="23">
        <f>U28</f>
        <v>0</v>
      </c>
      <c r="AZ30" s="326">
        <f t="shared" si="1"/>
        <v>0</v>
      </c>
      <c r="BA30" s="95">
        <f>VLOOKUP(AU30,CENY!$B$11:$M$2025,12,FALSE)</f>
        <v>498.97861999999998</v>
      </c>
      <c r="BB30" s="95">
        <f t="shared" si="0"/>
        <v>0</v>
      </c>
      <c r="BD30" s="319"/>
      <c r="BE30" s="21"/>
      <c r="BF30" s="22"/>
      <c r="BG30" s="22"/>
      <c r="BH30" s="23"/>
      <c r="BI30" s="326" t="str">
        <f t="shared" si="2"/>
        <v/>
      </c>
      <c r="BJ30" s="95"/>
      <c r="BK30" s="95" t="str">
        <f t="shared" si="3"/>
        <v/>
      </c>
    </row>
    <row r="31" spans="2:63" ht="14.4" customHeight="1">
      <c r="AU31" s="319">
        <f>OBJ!B308</f>
        <v>9256890</v>
      </c>
      <c r="AV31" s="21" t="str">
        <f>VLOOKUP(AU31,CENY!$B$11:$G$1054,2,FALSE)</f>
        <v>Quadro You(M) 450/SiSy 30kg; EB21</v>
      </c>
      <c r="AW31" s="22">
        <f>VLOOKUP(AU31,CENY!$B$11:$G$1054,3,FALSE)</f>
        <v>1</v>
      </c>
      <c r="AX31" s="362">
        <v>8</v>
      </c>
      <c r="AY31" s="23">
        <f>W28</f>
        <v>0</v>
      </c>
      <c r="AZ31" s="326">
        <f t="shared" si="1"/>
        <v>0</v>
      </c>
      <c r="BA31" s="95">
        <f>VLOOKUP(AU31,CENY!$B$11:$M$2025,12,FALSE)</f>
        <v>122.98869999999999</v>
      </c>
      <c r="BB31" s="95">
        <f t="shared" si="0"/>
        <v>0</v>
      </c>
      <c r="BD31" s="319">
        <f>OBJ!B273</f>
        <v>9318198</v>
      </c>
      <c r="BE31" s="21" t="str">
        <f>VLOOKUP(BD31,CENY!$B$11:$G$1054,2,FALSE)</f>
        <v>Actro You(XL) 450/SiSy 70kg; EB21; ľavý</v>
      </c>
      <c r="BF31" s="22">
        <f>VLOOKUP(BD31,CENY!$B$11:$G$1054,3,FALSE)</f>
        <v>10</v>
      </c>
      <c r="BG31" s="22"/>
      <c r="BH31" s="23">
        <f>AY20</f>
        <v>0</v>
      </c>
      <c r="BI31" s="326">
        <f t="shared" si="2"/>
        <v>0</v>
      </c>
      <c r="BJ31" s="95">
        <f>VLOOKUP(BD31,CENY!$B$11:$M$2025,12,FALSE)</f>
        <v>368.62277</v>
      </c>
      <c r="BK31" s="95">
        <f t="shared" si="3"/>
        <v>0</v>
      </c>
    </row>
    <row r="32" spans="2:63" ht="14.4" customHeight="1">
      <c r="B32" s="366" t="str">
        <f>verze!E201</f>
        <v>SiSy = tlumení Silent System</v>
      </c>
      <c r="AU32" s="319">
        <f>OBJ!B309</f>
        <v>9256892</v>
      </c>
      <c r="AV32" s="21" t="str">
        <f>VLOOKUP(AU32,CENY!$B$11:$G$1054,2,FALSE)</f>
        <v>Quadro You(M) 500/SiSy 30kg; EB21</v>
      </c>
      <c r="AW32" s="22">
        <f>VLOOKUP(AU32,CENY!$B$11:$G$1054,3,FALSE)</f>
        <v>1</v>
      </c>
      <c r="AX32" s="362">
        <v>8</v>
      </c>
      <c r="AY32" s="23">
        <f>Y28</f>
        <v>0</v>
      </c>
      <c r="AZ32" s="326">
        <f t="shared" si="1"/>
        <v>0</v>
      </c>
      <c r="BA32" s="95">
        <f>VLOOKUP(AU32,CENY!$B$11:$M$2025,12,FALSE)</f>
        <v>504.59701000000001</v>
      </c>
      <c r="BB32" s="95">
        <f t="shared" si="0"/>
        <v>0</v>
      </c>
      <c r="BD32" s="319">
        <f>OBJ!B274</f>
        <v>9318199</v>
      </c>
      <c r="BE32" s="21" t="str">
        <f>VLOOKUP(BD32,CENY!$B$11:$G$1054,2,FALSE)</f>
        <v>Actro You(XL) 450/SiSy 70kg; EB21; pravý</v>
      </c>
      <c r="BF32" s="22">
        <f>VLOOKUP(BD32,CENY!$B$11:$G$1054,3,FALSE)</f>
        <v>10</v>
      </c>
      <c r="BG32" s="22"/>
      <c r="BH32" s="23">
        <f>AY20</f>
        <v>0</v>
      </c>
      <c r="BI32" s="326">
        <f t="shared" si="2"/>
        <v>0</v>
      </c>
      <c r="BJ32" s="95">
        <f>VLOOKUP(BD32,CENY!$B$11:$M$2025,12,FALSE)</f>
        <v>368.62277</v>
      </c>
      <c r="BK32" s="95">
        <f t="shared" si="3"/>
        <v>0</v>
      </c>
    </row>
    <row r="33" spans="2:63" ht="14.4" customHeight="1">
      <c r="B33" s="366" t="str">
        <f>verze!E204</f>
        <v>P2O = otvírání bez úchytky Push to open</v>
      </c>
      <c r="AU33" s="319">
        <f>OBJ!B310</f>
        <v>9256894</v>
      </c>
      <c r="AV33" s="21" t="str">
        <f>VLOOKUP(AU33,CENY!$B$11:$G$1054,2,FALSE)</f>
        <v>Quadro You(M) 550/SiSy 30kg; EB21</v>
      </c>
      <c r="AW33" s="22">
        <f>VLOOKUP(AU33,CENY!$B$11:$G$1054,3,FALSE)</f>
        <v>1</v>
      </c>
      <c r="AX33" s="362">
        <v>8</v>
      </c>
      <c r="AY33" s="23">
        <f>AA28</f>
        <v>0</v>
      </c>
      <c r="AZ33" s="326">
        <f t="shared" si="1"/>
        <v>0</v>
      </c>
      <c r="BA33" s="95">
        <f>VLOOKUP(AU33,CENY!$B$11:$M$2025,12,FALSE)</f>
        <v>127.68105</v>
      </c>
      <c r="BB33" s="95">
        <f t="shared" si="0"/>
        <v>0</v>
      </c>
      <c r="BD33" s="319">
        <f>OBJ!B275</f>
        <v>9318201</v>
      </c>
      <c r="BE33" s="21" t="str">
        <f>VLOOKUP(BD33,CENY!$B$11:$G$1054,2,FALSE)</f>
        <v>Actro You(XL) 500/SiSy 70kg; EB21; ľavý</v>
      </c>
      <c r="BF33" s="22">
        <f>VLOOKUP(BD33,CENY!$B$11:$G$1054,3,FALSE)</f>
        <v>10</v>
      </c>
      <c r="BG33" s="22"/>
      <c r="BH33" s="23">
        <f>AY21</f>
        <v>0</v>
      </c>
      <c r="BI33" s="326">
        <f t="shared" si="2"/>
        <v>0</v>
      </c>
      <c r="BJ33" s="95">
        <f>VLOOKUP(BD33,CENY!$B$11:$M$2025,12,FALSE)</f>
        <v>372.33726999999999</v>
      </c>
      <c r="BK33" s="95">
        <f t="shared" si="3"/>
        <v>0</v>
      </c>
    </row>
    <row r="34" spans="2:63" ht="14.4" customHeight="1">
      <c r="B34" s="366" t="str">
        <f>verze!E203</f>
        <v>P2O Silent = tlumení s otvíráním bez úchytky Push to open Silent</v>
      </c>
      <c r="AU34" s="319"/>
      <c r="AV34" s="21"/>
      <c r="AW34" s="22"/>
      <c r="AX34" s="22"/>
      <c r="AY34" s="23"/>
      <c r="AZ34" s="326" t="str">
        <f t="shared" si="1"/>
        <v/>
      </c>
      <c r="BA34" s="95"/>
      <c r="BB34" s="95" t="str">
        <f t="shared" si="0"/>
        <v/>
      </c>
      <c r="BD34" s="319">
        <f>OBJ!B276</f>
        <v>9318203</v>
      </c>
      <c r="BE34" s="21" t="str">
        <f>VLOOKUP(BD34,CENY!$B$11:$G$1054,2,FALSE)</f>
        <v>Actro You(XL) 500/SiSy 70kg; EB21; pravý</v>
      </c>
      <c r="BF34" s="22">
        <f>VLOOKUP(BD34,CENY!$B$11:$G$1054,3,FALSE)</f>
        <v>10</v>
      </c>
      <c r="BG34" s="22"/>
      <c r="BH34" s="23">
        <f>AY21</f>
        <v>0</v>
      </c>
      <c r="BI34" s="326">
        <f t="shared" si="2"/>
        <v>0</v>
      </c>
      <c r="BJ34" s="95">
        <f>VLOOKUP(BD34,CENY!$B$11:$M$2025,12,FALSE)</f>
        <v>372.33726999999999</v>
      </c>
      <c r="BK34" s="95">
        <f t="shared" si="3"/>
        <v>0</v>
      </c>
    </row>
    <row r="35" spans="2:63" ht="14.4" customHeight="1">
      <c r="AU35" s="319">
        <f>OBJ!B329</f>
        <v>9257894</v>
      </c>
      <c r="AV35" s="21" t="str">
        <f>VLOOKUP(AU35,CENY!$B$11:$G$1054,2,FALSE)</f>
        <v>Quadro You - Push to open Silent; &lt;10kg</v>
      </c>
      <c r="AW35" s="22">
        <f>VLOOKUP(AU35,CENY!$B$11:$G$1054,3,FALSE)</f>
        <v>1</v>
      </c>
      <c r="AX35" s="22"/>
      <c r="AY35" s="23">
        <f>AN27</f>
        <v>0</v>
      </c>
      <c r="AZ35" s="326">
        <f t="shared" si="1"/>
        <v>0</v>
      </c>
      <c r="BA35" s="95">
        <f>VLOOKUP(AU35,CENY!$B$11:$M$2025,12,FALSE)</f>
        <v>480.50922000000003</v>
      </c>
      <c r="BB35" s="95">
        <f t="shared" si="0"/>
        <v>0</v>
      </c>
      <c r="BD35" s="319">
        <f>OBJ!B277</f>
        <v>9318208</v>
      </c>
      <c r="BE35" s="21" t="str">
        <f>VLOOKUP(BD35,CENY!$B$11:$G$1054,2,FALSE)</f>
        <v>Actro You(XL) 550/SiSy 70kg; EB21; ľavý</v>
      </c>
      <c r="BF35" s="22">
        <f>VLOOKUP(BD35,CENY!$B$11:$G$1054,3,FALSE)</f>
        <v>10</v>
      </c>
      <c r="BG35" s="22"/>
      <c r="BH35" s="23">
        <f>AY22</f>
        <v>0</v>
      </c>
      <c r="BI35" s="326">
        <f t="shared" si="2"/>
        <v>0</v>
      </c>
      <c r="BJ35" s="95">
        <f>VLOOKUP(BD35,CENY!$B$11:$M$2025,12,FALSE)</f>
        <v>392.11943000000002</v>
      </c>
      <c r="BK35" s="95">
        <f t="shared" si="3"/>
        <v>0</v>
      </c>
    </row>
    <row r="36" spans="2:63" ht="14.4" customHeight="1">
      <c r="AU36" s="319">
        <f>OBJ!B330</f>
        <v>9257895</v>
      </c>
      <c r="AV36" s="21" t="str">
        <f>VLOOKUP(AU36,CENY!$B$11:$G$1054,2,FALSE)</f>
        <v>Quadro You - Push to open Silent; 8-20kg</v>
      </c>
      <c r="AW36" s="22">
        <f>VLOOKUP(AU36,CENY!$B$11:$G$1054,3,FALSE)</f>
        <v>1</v>
      </c>
      <c r="AX36" s="22"/>
      <c r="AY36" s="23">
        <f>AN28</f>
        <v>0</v>
      </c>
      <c r="AZ36" s="326">
        <f t="shared" si="1"/>
        <v>0</v>
      </c>
      <c r="BA36" s="95">
        <f>VLOOKUP(AU36,CENY!$B$11:$M$2025,12,FALSE)</f>
        <v>480.50922000000003</v>
      </c>
      <c r="BB36" s="95">
        <f t="shared" si="0"/>
        <v>0</v>
      </c>
      <c r="BD36" s="319">
        <f>OBJ!B278</f>
        <v>9318209</v>
      </c>
      <c r="BE36" s="21" t="str">
        <f>VLOOKUP(BD36,CENY!$B$11:$G$1054,2,FALSE)</f>
        <v>Actro You(XL) 550/SiSy 70kg; EB21; pravý</v>
      </c>
      <c r="BF36" s="22">
        <f>VLOOKUP(BD36,CENY!$B$11:$G$1054,3,FALSE)</f>
        <v>10</v>
      </c>
      <c r="BG36" s="22"/>
      <c r="BH36" s="23">
        <f>AY22</f>
        <v>0</v>
      </c>
      <c r="BI36" s="326">
        <f t="shared" si="2"/>
        <v>0</v>
      </c>
      <c r="BJ36" s="95">
        <f>VLOOKUP(BD36,CENY!$B$11:$M$2025,12,FALSE)</f>
        <v>392.11943000000002</v>
      </c>
      <c r="BK36" s="95">
        <f t="shared" si="3"/>
        <v>0</v>
      </c>
    </row>
    <row r="37" spans="2:63" ht="14.4" customHeight="1">
      <c r="AU37" s="319">
        <f>OBJ!B331</f>
        <v>9257896</v>
      </c>
      <c r="AV37" s="21" t="str">
        <f>VLOOKUP(AU37,CENY!$B$11:$G$1054,2,FALSE)</f>
        <v>Quadro You - Push to open Silent; 10-30kg</v>
      </c>
      <c r="AW37" s="22">
        <f>VLOOKUP(AU37,CENY!$B$11:$G$1054,3,FALSE)</f>
        <v>1</v>
      </c>
      <c r="AX37" s="22"/>
      <c r="AY37" s="23">
        <f>AN29</f>
        <v>0</v>
      </c>
      <c r="AZ37" s="326">
        <f t="shared" si="1"/>
        <v>0</v>
      </c>
      <c r="BA37" s="95">
        <f>VLOOKUP(AU37,CENY!$B$11:$M$2025,12,FALSE)</f>
        <v>480.50922000000003</v>
      </c>
      <c r="BB37" s="95">
        <f t="shared" si="0"/>
        <v>0</v>
      </c>
      <c r="BD37" s="319"/>
      <c r="BE37" s="21"/>
      <c r="BF37" s="22"/>
      <c r="BG37" s="22"/>
      <c r="BH37" s="23"/>
      <c r="BI37" s="326" t="str">
        <f t="shared" si="2"/>
        <v/>
      </c>
      <c r="BJ37" s="95"/>
      <c r="BK37" s="95" t="str">
        <f t="shared" ref="BK37:BK76" si="4">IF(BJ37="","",BJ37*BH37)</f>
        <v/>
      </c>
    </row>
    <row r="38" spans="2:63" ht="14.4" customHeight="1">
      <c r="AU38" s="319"/>
      <c r="AV38" s="21"/>
      <c r="AW38" s="22"/>
      <c r="AX38" s="22"/>
      <c r="AY38" s="23"/>
      <c r="AZ38" s="326" t="str">
        <f t="shared" si="1"/>
        <v/>
      </c>
      <c r="BA38" s="95"/>
      <c r="BB38" s="95" t="str">
        <f t="shared" ref="BB38:BB77" si="5">IF(BA38="","",BA38*AY38)</f>
        <v/>
      </c>
      <c r="BD38" s="319">
        <f>OBJ!B284</f>
        <v>9257890</v>
      </c>
      <c r="BE38" s="21" t="str">
        <f>VLOOKUP(BD38,CENY!$B$11:$G$1054,2,FALSE)</f>
        <v>Actro You - Push to open Silent; &lt;10kg</v>
      </c>
      <c r="BF38" s="22">
        <f>VLOOKUP(BD38,CENY!$B$11:$G$1054,3,FALSE)</f>
        <v>1</v>
      </c>
      <c r="BG38" s="22"/>
      <c r="BH38" s="23">
        <f>AY24</f>
        <v>0</v>
      </c>
      <c r="BI38" s="326">
        <f t="shared" si="2"/>
        <v>0</v>
      </c>
      <c r="BJ38" s="95">
        <f>VLOOKUP(BD38,CENY!$B$11:$M$2025,12,FALSE)</f>
        <v>481.81412999999998</v>
      </c>
      <c r="BK38" s="95">
        <f t="shared" si="4"/>
        <v>0</v>
      </c>
    </row>
    <row r="39" spans="2:63" ht="14.4" customHeight="1">
      <c r="AU39" s="319">
        <f>OBJ!B336</f>
        <v>9256933</v>
      </c>
      <c r="AV39" s="21" t="str">
        <f>VLOOKUP(AU39,CENY!$B$11:$G$1054,2,FALSE)</f>
        <v>Quadro You(M) 400/P2O 30kg; EB21</v>
      </c>
      <c r="AW39" s="22">
        <f>VLOOKUP(AU39,CENY!$B$11:$G$1054,3,FALSE)</f>
        <v>1</v>
      </c>
      <c r="AX39" s="362">
        <v>8</v>
      </c>
      <c r="AY39" s="23">
        <f>U30</f>
        <v>0</v>
      </c>
      <c r="AZ39" s="326">
        <f t="shared" si="1"/>
        <v>0</v>
      </c>
      <c r="BA39" s="95">
        <f>VLOOKUP(AU39,CENY!$B$11:$M$2025,12,FALSE)</f>
        <v>557.20162000000005</v>
      </c>
      <c r="BB39" s="95">
        <f t="shared" si="5"/>
        <v>0</v>
      </c>
      <c r="BD39" s="319">
        <f>OBJ!B285</f>
        <v>9257891</v>
      </c>
      <c r="BE39" s="21" t="str">
        <f>VLOOKUP(BD39,CENY!$B$11:$G$1054,2,FALSE)</f>
        <v>Actro You - Push to open Silent; 8-20kg</v>
      </c>
      <c r="BF39" s="22">
        <f>VLOOKUP(BD39,CENY!$B$11:$G$1054,3,FALSE)</f>
        <v>1</v>
      </c>
      <c r="BG39" s="22"/>
      <c r="BH39" s="23">
        <f>AY25</f>
        <v>0</v>
      </c>
      <c r="BI39" s="326">
        <f t="shared" si="2"/>
        <v>0</v>
      </c>
      <c r="BJ39" s="95">
        <f>VLOOKUP(BD39,CENY!$B$11:$M$2025,12,FALSE)</f>
        <v>481.81412999999998</v>
      </c>
      <c r="BK39" s="95">
        <f t="shared" si="4"/>
        <v>0</v>
      </c>
    </row>
    <row r="40" spans="2:63" ht="14.4" customHeight="1">
      <c r="AU40" s="319">
        <f>OBJ!B337</f>
        <v>9256935</v>
      </c>
      <c r="AV40" s="21" t="str">
        <f>VLOOKUP(AU40,CENY!$B$11:$G$1054,2,FALSE)</f>
        <v>Quadro You(M) 450/P2O 30kg; EB21</v>
      </c>
      <c r="AW40" s="22">
        <f>VLOOKUP(AU40,CENY!$B$11:$G$1054,3,FALSE)</f>
        <v>1</v>
      </c>
      <c r="AX40" s="362">
        <v>8</v>
      </c>
      <c r="AY40" s="23">
        <f>W30</f>
        <v>0</v>
      </c>
      <c r="AZ40" s="326">
        <f t="shared" si="1"/>
        <v>0</v>
      </c>
      <c r="BA40" s="95">
        <f>VLOOKUP(AU40,CENY!$B$11:$M$2025,12,FALSE)</f>
        <v>566.90911000000006</v>
      </c>
      <c r="BB40" s="95">
        <f t="shared" si="5"/>
        <v>0</v>
      </c>
      <c r="BD40" s="319">
        <f>OBJ!B286</f>
        <v>9257892</v>
      </c>
      <c r="BE40" s="21" t="str">
        <f>VLOOKUP(BD40,CENY!$B$11:$G$1054,2,FALSE)</f>
        <v>Actro You - Push to open Silent; 10-40kg</v>
      </c>
      <c r="BF40" s="22">
        <f>VLOOKUP(BD40,CENY!$B$11:$G$1054,3,FALSE)</f>
        <v>1</v>
      </c>
      <c r="BG40" s="22"/>
      <c r="BH40" s="23">
        <f>AY26</f>
        <v>0</v>
      </c>
      <c r="BI40" s="326">
        <f t="shared" si="2"/>
        <v>0</v>
      </c>
      <c r="BJ40" s="95">
        <f>VLOOKUP(BD40,CENY!$B$11:$M$2025,12,FALSE)</f>
        <v>481.81412999999998</v>
      </c>
      <c r="BK40" s="95">
        <f t="shared" si="4"/>
        <v>0</v>
      </c>
    </row>
    <row r="41" spans="2:63" ht="14.4" customHeight="1">
      <c r="AU41" s="319">
        <f>OBJ!B338</f>
        <v>9256937</v>
      </c>
      <c r="AV41" s="21" t="str">
        <f>VLOOKUP(AU41,CENY!$B$11:$G$1054,2,FALSE)</f>
        <v>Quadro You(M) 500/P2O 30kg; EB21</v>
      </c>
      <c r="AW41" s="22">
        <f>VLOOKUP(AU41,CENY!$B$11:$G$1054,3,FALSE)</f>
        <v>1</v>
      </c>
      <c r="AX41" s="362">
        <v>8</v>
      </c>
      <c r="AY41" s="23">
        <f>Y30</f>
        <v>0</v>
      </c>
      <c r="AZ41" s="326">
        <f t="shared" si="1"/>
        <v>0</v>
      </c>
      <c r="BA41" s="95">
        <f>VLOOKUP(AU41,CENY!$B$11:$M$2025,12,FALSE)</f>
        <v>139.41228000000001</v>
      </c>
      <c r="BB41" s="95">
        <f t="shared" si="5"/>
        <v>0</v>
      </c>
      <c r="BD41" s="319">
        <f>OBJ!B287</f>
        <v>9257893</v>
      </c>
      <c r="BE41" s="21" t="str">
        <f>VLOOKUP(BD41,CENY!$B$11:$G$1054,2,FALSE)</f>
        <v>Actro You - Push to open Silent; 20-70kg</v>
      </c>
      <c r="BF41" s="22">
        <f>VLOOKUP(BD41,CENY!$B$11:$G$1054,3,FALSE)</f>
        <v>1</v>
      </c>
      <c r="BG41" s="22"/>
      <c r="BH41" s="23">
        <f>AY27</f>
        <v>0</v>
      </c>
      <c r="BI41" s="326">
        <f t="shared" si="2"/>
        <v>0</v>
      </c>
      <c r="BJ41" s="95">
        <f>VLOOKUP(BD41,CENY!$B$11:$M$2025,12,FALSE)</f>
        <v>481.81412999999998</v>
      </c>
      <c r="BK41" s="95">
        <f t="shared" si="4"/>
        <v>0</v>
      </c>
    </row>
    <row r="42" spans="2:63" ht="14.4" customHeight="1">
      <c r="AU42" s="319">
        <f>OBJ!B339</f>
        <v>9256939</v>
      </c>
      <c r="AV42" s="21" t="str">
        <f>VLOOKUP(AU42,CENY!$B$11:$G$1054,2,FALSE)</f>
        <v>Quadro You(M) 550/P2O 30kg; EB21</v>
      </c>
      <c r="AW42" s="22">
        <f>VLOOKUP(AU42,CENY!$B$11:$G$1054,3,FALSE)</f>
        <v>1</v>
      </c>
      <c r="AX42" s="362">
        <v>8</v>
      </c>
      <c r="AY42" s="23">
        <f>AA30</f>
        <v>0</v>
      </c>
      <c r="AZ42" s="326">
        <f t="shared" si="1"/>
        <v>0</v>
      </c>
      <c r="BA42" s="95">
        <f>VLOOKUP(AU42,CENY!$B$11:$M$2025,12,FALSE)</f>
        <v>586.3143</v>
      </c>
      <c r="BB42" s="95">
        <f t="shared" si="5"/>
        <v>0</v>
      </c>
      <c r="BD42" s="319">
        <f>OBJ!B288</f>
        <v>9236718</v>
      </c>
      <c r="BE42" s="21" t="str">
        <f>VLOOKUP(BD42,CENY!$B$11:$G$1054,2,FALSE)</f>
        <v>Push to open Synchro / tyč 2.000 mm</v>
      </c>
      <c r="BF42" s="22">
        <f>VLOOKUP(BD42,CENY!$B$11:$G$1054,3,FALSE)</f>
        <v>100</v>
      </c>
      <c r="BG42" s="22"/>
      <c r="BH42" s="23">
        <f>AY28</f>
        <v>0</v>
      </c>
      <c r="BI42" s="326">
        <f t="shared" si="2"/>
        <v>0</v>
      </c>
      <c r="BJ42" s="95">
        <f>VLOOKUP(BD42,CENY!$B$11:$M$2025,12,FALSE)</f>
        <v>182.03933000000001</v>
      </c>
      <c r="BK42" s="95">
        <f t="shared" si="4"/>
        <v>0</v>
      </c>
    </row>
    <row r="43" spans="2:63" ht="14.4" customHeight="1">
      <c r="AU43" s="319"/>
      <c r="AV43" s="21"/>
      <c r="AW43" s="22"/>
      <c r="AX43" s="22"/>
      <c r="AY43" s="23"/>
      <c r="AZ43" s="326" t="str">
        <f t="shared" si="1"/>
        <v/>
      </c>
      <c r="BA43" s="95"/>
      <c r="BB43" s="95" t="str">
        <f t="shared" si="5"/>
        <v/>
      </c>
      <c r="BD43" s="319"/>
      <c r="BE43" s="21"/>
      <c r="BF43" s="22"/>
      <c r="BG43" s="22"/>
      <c r="BH43" s="23"/>
      <c r="BI43" s="326" t="str">
        <f t="shared" si="2"/>
        <v/>
      </c>
      <c r="BJ43" s="95"/>
      <c r="BK43" s="95" t="str">
        <f t="shared" si="4"/>
        <v/>
      </c>
    </row>
    <row r="44" spans="2:63" ht="14.4" customHeight="1">
      <c r="AU44" s="319">
        <f>OBJ!B358</f>
        <v>9219966</v>
      </c>
      <c r="AV44" s="21" t="str">
        <f>VLOOKUP(AU44,CENY!$B$11:$G$1054,2,FALSE)</f>
        <v>Push to open Synchro / adaptér typ A</v>
      </c>
      <c r="AW44" s="22">
        <f>VLOOKUP(AU44,CENY!$B$11:$G$1054,3,FALSE)</f>
        <v>200</v>
      </c>
      <c r="AX44" s="22"/>
      <c r="AY44" s="23">
        <f>2*SUM(O30:AD30)</f>
        <v>0</v>
      </c>
      <c r="AZ44" s="326">
        <f t="shared" si="1"/>
        <v>0</v>
      </c>
      <c r="BA44" s="95">
        <f>VLOOKUP(AU44,CENY!$B$11:$M$2025,12,FALSE)</f>
        <v>16.488900000000001</v>
      </c>
      <c r="BB44" s="95">
        <f t="shared" si="5"/>
        <v>0</v>
      </c>
      <c r="BD44" s="319">
        <f>OBJ!B318</f>
        <v>9256864</v>
      </c>
      <c r="BE44" s="21" t="str">
        <f>VLOOKUP(BD44,CENY!$B$11:$G$1054,2,FALSE)</f>
        <v>Quadro You(M) 400/SiSy 30kg; EB21; ľavý</v>
      </c>
      <c r="BF44" s="22">
        <f>VLOOKUP(BD44,CENY!$B$11:$G$1054,3,FALSE)</f>
        <v>20</v>
      </c>
      <c r="BG44" s="22"/>
      <c r="BH44" s="23">
        <f>AY30</f>
        <v>0</v>
      </c>
      <c r="BI44" s="326">
        <f t="shared" si="2"/>
        <v>0</v>
      </c>
      <c r="BJ44" s="95">
        <f>VLOOKUP(BD44,CENY!$B$11:$M$2025,12,FALSE)</f>
        <v>233.96566000000001</v>
      </c>
      <c r="BK44" s="95">
        <f t="shared" si="4"/>
        <v>0</v>
      </c>
    </row>
    <row r="45" spans="2:63" ht="14.4" customHeight="1">
      <c r="AU45" s="319"/>
      <c r="AV45" s="21"/>
      <c r="AW45" s="22"/>
      <c r="AX45" s="22"/>
      <c r="AY45" s="23"/>
      <c r="AZ45" s="326" t="str">
        <f t="shared" si="1"/>
        <v/>
      </c>
      <c r="BA45" s="95"/>
      <c r="BB45" s="95" t="str">
        <f t="shared" si="5"/>
        <v/>
      </c>
      <c r="BD45" s="319">
        <f>OBJ!B319</f>
        <v>9256865</v>
      </c>
      <c r="BE45" s="21" t="str">
        <f>VLOOKUP(BD45,CENY!$B$11:$G$1054,2,FALSE)</f>
        <v>Quadro You(M) 400/SiSy 30kg; EB21; pravý</v>
      </c>
      <c r="BF45" s="22">
        <f>VLOOKUP(BD45,CENY!$B$11:$G$1054,3,FALSE)</f>
        <v>20</v>
      </c>
      <c r="BG45" s="22"/>
      <c r="BH45" s="23">
        <f>AY30</f>
        <v>0</v>
      </c>
      <c r="BI45" s="326">
        <f t="shared" si="2"/>
        <v>0</v>
      </c>
      <c r="BJ45" s="95">
        <f>VLOOKUP(BD45,CENY!$B$11:$M$2025,12,FALSE)</f>
        <v>233.96566000000001</v>
      </c>
      <c r="BK45" s="95">
        <f t="shared" si="4"/>
        <v>0</v>
      </c>
    </row>
    <row r="46" spans="2:63" ht="14.4" customHeight="1">
      <c r="AQ46" s="233"/>
      <c r="AU46" s="442">
        <f>OBJ!B37</f>
        <v>9255832</v>
      </c>
      <c r="AV46" s="443" t="str">
        <f>VLOOKUP(AU46,CENY!$B$11:$G$1054,2,FALSE)</f>
        <v>AvanY-príchytka čela k naskrutk./ v77</v>
      </c>
      <c r="AW46" s="22">
        <f>VLOOKUP(AU46,CENY!$B$11:$G$1054,3,FALSE)</f>
        <v>100</v>
      </c>
      <c r="AX46" s="22"/>
      <c r="AY46" s="68">
        <f>2*(SUM(O19:T19)+SUM(O20:AD20)+SUM(W22:AF22)+SUM(O27:T27)+SUM(O28:AD28)+SUM(O30:AD30))</f>
        <v>0</v>
      </c>
      <c r="AZ46" s="326">
        <f t="shared" si="1"/>
        <v>0</v>
      </c>
      <c r="BA46" s="95">
        <f>VLOOKUP(AU46,CENY!$B$11:$M$2025,12,FALSE)</f>
        <v>16.912929999999999</v>
      </c>
      <c r="BB46" s="95">
        <f t="shared" si="5"/>
        <v>0</v>
      </c>
      <c r="BD46" s="319">
        <f>OBJ!B320</f>
        <v>9256868</v>
      </c>
      <c r="BE46" s="21" t="str">
        <f>VLOOKUP(BD46,CENY!$B$11:$G$1054,2,FALSE)</f>
        <v>Quadro You(M) 450/SiSy 30kg; EB21; ľavý</v>
      </c>
      <c r="BF46" s="22">
        <f>VLOOKUP(BD46,CENY!$B$11:$G$1054,3,FALSE)</f>
        <v>20</v>
      </c>
      <c r="BG46" s="22"/>
      <c r="BH46" s="23">
        <f>AY31</f>
        <v>0</v>
      </c>
      <c r="BI46" s="326">
        <f t="shared" si="2"/>
        <v>0</v>
      </c>
      <c r="BJ46" s="95">
        <f>VLOOKUP(BD46,CENY!$B$11:$M$2025,12,FALSE)</f>
        <v>238.81201999999999</v>
      </c>
      <c r="BK46" s="95">
        <f t="shared" si="4"/>
        <v>0</v>
      </c>
    </row>
    <row r="47" spans="2:63" ht="14.4" customHeight="1">
      <c r="AQ47" s="233"/>
      <c r="AU47" s="319"/>
      <c r="AV47" s="21"/>
      <c r="AW47" s="22"/>
      <c r="AX47" s="22"/>
      <c r="AY47" s="23"/>
      <c r="AZ47" s="326" t="str">
        <f t="shared" si="1"/>
        <v/>
      </c>
      <c r="BA47" s="95"/>
      <c r="BB47" s="95" t="str">
        <f t="shared" si="5"/>
        <v/>
      </c>
      <c r="BD47" s="319">
        <f>OBJ!B321</f>
        <v>9256869</v>
      </c>
      <c r="BE47" s="21" t="str">
        <f>VLOOKUP(BD47,CENY!$B$11:$G$1054,2,FALSE)</f>
        <v>Quadro You(M) 450/SiSy 30kg; EB21; pravý</v>
      </c>
      <c r="BF47" s="22">
        <f>VLOOKUP(BD47,CENY!$B$11:$G$1054,3,FALSE)</f>
        <v>20</v>
      </c>
      <c r="BG47" s="22"/>
      <c r="BH47" s="23">
        <f>AY31</f>
        <v>0</v>
      </c>
      <c r="BI47" s="326">
        <f t="shared" si="2"/>
        <v>0</v>
      </c>
      <c r="BJ47" s="95">
        <f>VLOOKUP(BD47,CENY!$B$11:$M$2025,12,FALSE)</f>
        <v>238.81201999999999</v>
      </c>
      <c r="BK47" s="95">
        <f t="shared" si="4"/>
        <v>0</v>
      </c>
    </row>
    <row r="48" spans="2:63" ht="14.4" customHeight="1">
      <c r="AU48" s="320">
        <f>OBJ!B214</f>
        <v>0</v>
      </c>
      <c r="AV48" s="321" t="e">
        <f>VLOOKUP(AU48,CENY!$B$11:$G$1054,2,FALSE)</f>
        <v>#N/A</v>
      </c>
      <c r="AW48" s="22" t="e">
        <f>VLOOKUP(AU48,CENY!$B$11:$G$1054,3,FALSE)</f>
        <v>#N/A</v>
      </c>
      <c r="AX48" s="22"/>
      <c r="AY48" s="68">
        <f>IF(FORM!AM21&lt;&gt;FORM!AW16,(2*(+SUM(O19:T19)+SUM(O20:AD20)+SUM(W22:AF22)+SUM(O27:T27)+SUM(O28:AD28)+SUM(O30:AD30))),0)</f>
        <v>0</v>
      </c>
      <c r="AZ48" s="326">
        <f t="shared" si="1"/>
        <v>0</v>
      </c>
      <c r="BA48" s="324" t="str">
        <f>IF(AU48=0,"",VLOOKUP(AU48,CENY!$B$11:$M$2025,12,FALSE))</f>
        <v/>
      </c>
      <c r="BB48" s="95" t="str">
        <f>IF(BA48="","",BA48*AY48)</f>
        <v/>
      </c>
      <c r="BD48" s="319">
        <f>OBJ!B322</f>
        <v>9256872</v>
      </c>
      <c r="BE48" s="21" t="str">
        <f>VLOOKUP(BD48,CENY!$B$11:$G$1054,2,FALSE)</f>
        <v>Quadro You(M) 500/SiSy 30kg; EB21; ľavý</v>
      </c>
      <c r="BF48" s="22">
        <f>VLOOKUP(BD48,CENY!$B$11:$G$1054,3,FALSE)</f>
        <v>20</v>
      </c>
      <c r="BG48" s="22"/>
      <c r="BH48" s="23">
        <f>AY32</f>
        <v>0</v>
      </c>
      <c r="BI48" s="326">
        <f t="shared" si="2"/>
        <v>0</v>
      </c>
      <c r="BJ48" s="95">
        <f>VLOOKUP(BD48,CENY!$B$11:$M$2025,12,FALSE)</f>
        <v>237.18776</v>
      </c>
      <c r="BK48" s="95">
        <f t="shared" si="4"/>
        <v>0</v>
      </c>
    </row>
    <row r="49" spans="47:63" ht="14.4" customHeight="1">
      <c r="AU49" s="319"/>
      <c r="AV49" s="21"/>
      <c r="AW49" s="22"/>
      <c r="AX49" s="22"/>
      <c r="AY49" s="23"/>
      <c r="AZ49" s="326" t="str">
        <f t="shared" si="1"/>
        <v/>
      </c>
      <c r="BA49" s="95"/>
      <c r="BB49" s="95" t="str">
        <f t="shared" si="5"/>
        <v/>
      </c>
      <c r="BD49" s="319">
        <f>OBJ!B323</f>
        <v>9256873</v>
      </c>
      <c r="BE49" s="21" t="str">
        <f>VLOOKUP(BD49,CENY!$B$11:$G$1054,2,FALSE)</f>
        <v>Quadro You(M) 500/SiSy 30kg; EB21; pravý</v>
      </c>
      <c r="BF49" s="22">
        <f>VLOOKUP(BD49,CENY!$B$11:$G$1054,3,FALSE)</f>
        <v>20</v>
      </c>
      <c r="BG49" s="22"/>
      <c r="BH49" s="23">
        <f>AY32</f>
        <v>0</v>
      </c>
      <c r="BI49" s="326">
        <f t="shared" si="2"/>
        <v>0</v>
      </c>
      <c r="BJ49" s="95">
        <f>VLOOKUP(BD49,CENY!$B$11:$M$2025,12,FALSE)</f>
        <v>237.18776</v>
      </c>
      <c r="BK49" s="95">
        <f t="shared" si="4"/>
        <v>0</v>
      </c>
    </row>
    <row r="50" spans="47:63" ht="14.4" customHeight="1">
      <c r="AU50" s="319"/>
      <c r="AV50" s="21"/>
      <c r="AW50" s="22"/>
      <c r="AX50" s="22"/>
      <c r="AY50" s="23"/>
      <c r="AZ50" s="326" t="str">
        <f t="shared" si="1"/>
        <v/>
      </c>
      <c r="BA50" s="95"/>
      <c r="BB50" s="95" t="str">
        <f t="shared" si="5"/>
        <v/>
      </c>
      <c r="BD50" s="319">
        <f>OBJ!B324</f>
        <v>9256876</v>
      </c>
      <c r="BE50" s="21" t="str">
        <f>VLOOKUP(BD50,CENY!$B$11:$G$1054,2,FALSE)</f>
        <v>Quadro You(M) 550/SiSy 30kg; EB21; ľavý</v>
      </c>
      <c r="BF50" s="22">
        <f>VLOOKUP(BD50,CENY!$B$11:$G$1054,3,FALSE)</f>
        <v>20</v>
      </c>
      <c r="BG50" s="22"/>
      <c r="BH50" s="23">
        <f>AY33</f>
        <v>0</v>
      </c>
      <c r="BI50" s="326">
        <f t="shared" si="2"/>
        <v>0</v>
      </c>
      <c r="BJ50" s="95">
        <f>VLOOKUP(BD50,CENY!$B$11:$M$2025,12,FALSE)</f>
        <v>241.90996999999999</v>
      </c>
      <c r="BK50" s="95">
        <f t="shared" si="4"/>
        <v>0</v>
      </c>
    </row>
    <row r="51" spans="47:63" ht="14.4" customHeight="1">
      <c r="AU51" s="319"/>
      <c r="AV51" s="21"/>
      <c r="AW51" s="22"/>
      <c r="AX51" s="22"/>
      <c r="AY51" s="23"/>
      <c r="AZ51" s="326" t="str">
        <f t="shared" si="1"/>
        <v/>
      </c>
      <c r="BA51" s="95"/>
      <c r="BB51" s="95" t="str">
        <f t="shared" si="5"/>
        <v/>
      </c>
      <c r="BD51" s="319">
        <f>OBJ!B325</f>
        <v>9256877</v>
      </c>
      <c r="BE51" s="21" t="str">
        <f>VLOOKUP(BD51,CENY!$B$11:$G$1054,2,FALSE)</f>
        <v>Quadro You(M) 550/SiSy 30kg; EB21; pravý</v>
      </c>
      <c r="BF51" s="22">
        <f>VLOOKUP(BD51,CENY!$B$11:$G$1054,3,FALSE)</f>
        <v>20</v>
      </c>
      <c r="BG51" s="22"/>
      <c r="BH51" s="23">
        <f>AY33</f>
        <v>0</v>
      </c>
      <c r="BI51" s="326">
        <f t="shared" si="2"/>
        <v>0</v>
      </c>
      <c r="BJ51" s="95">
        <f>VLOOKUP(BD51,CENY!$B$11:$M$2025,12,FALSE)</f>
        <v>248.51953</v>
      </c>
      <c r="BK51" s="95">
        <f t="shared" si="4"/>
        <v>0</v>
      </c>
    </row>
    <row r="52" spans="47:63" ht="14.4" customHeight="1">
      <c r="AU52" s="319"/>
      <c r="AV52" s="21"/>
      <c r="AW52" s="22"/>
      <c r="AX52" s="22"/>
      <c r="AY52" s="23"/>
      <c r="AZ52" s="326" t="str">
        <f t="shared" si="1"/>
        <v/>
      </c>
      <c r="BA52" s="95"/>
      <c r="BB52" s="95" t="str">
        <f t="shared" si="5"/>
        <v/>
      </c>
      <c r="BD52" s="319"/>
      <c r="BE52" s="21"/>
      <c r="BF52" s="22"/>
      <c r="BG52" s="22"/>
      <c r="BH52" s="23"/>
      <c r="BI52" s="326" t="str">
        <f t="shared" si="2"/>
        <v/>
      </c>
      <c r="BJ52" s="95"/>
      <c r="BK52" s="95" t="str">
        <f t="shared" si="4"/>
        <v/>
      </c>
    </row>
    <row r="53" spans="47:63" ht="14.4" customHeight="1">
      <c r="AU53" s="319"/>
      <c r="AV53" s="21"/>
      <c r="AW53" s="22"/>
      <c r="AX53" s="22"/>
      <c r="AY53" s="23"/>
      <c r="AZ53" s="326" t="str">
        <f t="shared" si="1"/>
        <v/>
      </c>
      <c r="BA53" s="95"/>
      <c r="BB53" s="95" t="str">
        <f t="shared" si="5"/>
        <v/>
      </c>
      <c r="BD53" s="319">
        <f>OBJ!B329</f>
        <v>9257894</v>
      </c>
      <c r="BE53" s="21" t="str">
        <f>VLOOKUP(BD53,CENY!$B$11:$G$1054,2,FALSE)</f>
        <v>Quadro You - Push to open Silent; &lt;10kg</v>
      </c>
      <c r="BF53" s="22">
        <f>VLOOKUP(BD53,CENY!$B$11:$G$1054,3,FALSE)</f>
        <v>1</v>
      </c>
      <c r="BG53" s="22"/>
      <c r="BH53" s="23">
        <f>AY35</f>
        <v>0</v>
      </c>
      <c r="BI53" s="326">
        <f t="shared" si="2"/>
        <v>0</v>
      </c>
      <c r="BJ53" s="95">
        <f>VLOOKUP(BD53,CENY!$B$11:$M$2025,12,FALSE)</f>
        <v>480.50922000000003</v>
      </c>
      <c r="BK53" s="95">
        <f t="shared" si="4"/>
        <v>0</v>
      </c>
    </row>
    <row r="54" spans="47:63" ht="14.4" customHeight="1">
      <c r="AU54" s="319"/>
      <c r="AV54" s="21"/>
      <c r="AW54" s="22"/>
      <c r="AX54" s="22"/>
      <c r="AY54" s="23"/>
      <c r="AZ54" s="326" t="str">
        <f t="shared" si="1"/>
        <v/>
      </c>
      <c r="BA54" s="95"/>
      <c r="BB54" s="95" t="str">
        <f t="shared" si="5"/>
        <v/>
      </c>
      <c r="BD54" s="319">
        <f>OBJ!B330</f>
        <v>9257895</v>
      </c>
      <c r="BE54" s="21" t="str">
        <f>VLOOKUP(BD54,CENY!$B$11:$G$1054,2,FALSE)</f>
        <v>Quadro You - Push to open Silent; 8-20kg</v>
      </c>
      <c r="BF54" s="22">
        <f>VLOOKUP(BD54,CENY!$B$11:$G$1054,3,FALSE)</f>
        <v>1</v>
      </c>
      <c r="BG54" s="22"/>
      <c r="BH54" s="23">
        <f>AY36</f>
        <v>0</v>
      </c>
      <c r="BI54" s="326">
        <f t="shared" si="2"/>
        <v>0</v>
      </c>
      <c r="BJ54" s="95">
        <f>VLOOKUP(BD54,CENY!$B$11:$M$2025,12,FALSE)</f>
        <v>480.50922000000003</v>
      </c>
      <c r="BK54" s="95">
        <f t="shared" si="4"/>
        <v>0</v>
      </c>
    </row>
    <row r="55" spans="47:63" ht="14.4" customHeight="1">
      <c r="AU55" s="319"/>
      <c r="AV55" s="21"/>
      <c r="AW55" s="22"/>
      <c r="AX55" s="22"/>
      <c r="AY55" s="23"/>
      <c r="AZ55" s="326" t="str">
        <f t="shared" si="1"/>
        <v/>
      </c>
      <c r="BA55" s="95"/>
      <c r="BB55" s="95" t="str">
        <f t="shared" si="5"/>
        <v/>
      </c>
      <c r="BD55" s="319">
        <f>OBJ!B331</f>
        <v>9257896</v>
      </c>
      <c r="BE55" s="21" t="str">
        <f>VLOOKUP(BD55,CENY!$B$11:$G$1054,2,FALSE)</f>
        <v>Quadro You - Push to open Silent; 10-30kg</v>
      </c>
      <c r="BF55" s="22">
        <f>VLOOKUP(BD55,CENY!$B$11:$G$1054,3,FALSE)</f>
        <v>1</v>
      </c>
      <c r="BG55" s="22"/>
      <c r="BH55" s="23">
        <f>AY37</f>
        <v>0</v>
      </c>
      <c r="BI55" s="326">
        <f t="shared" si="2"/>
        <v>0</v>
      </c>
      <c r="BJ55" s="95">
        <f>VLOOKUP(BD55,CENY!$B$11:$M$2025,12,FALSE)</f>
        <v>480.50922000000003</v>
      </c>
      <c r="BK55" s="95">
        <f t="shared" si="4"/>
        <v>0</v>
      </c>
    </row>
    <row r="56" spans="47:63" ht="14.4" customHeight="1">
      <c r="AU56" s="20"/>
      <c r="AV56" s="21"/>
      <c r="AW56" s="22"/>
      <c r="AX56" s="22"/>
      <c r="AY56" s="23"/>
      <c r="AZ56" s="326" t="str">
        <f t="shared" si="1"/>
        <v/>
      </c>
      <c r="BA56" s="95"/>
      <c r="BB56" s="95" t="str">
        <f t="shared" si="5"/>
        <v/>
      </c>
      <c r="BD56" s="319"/>
      <c r="BE56" s="21"/>
      <c r="BF56" s="22"/>
      <c r="BG56" s="22"/>
      <c r="BH56" s="23"/>
      <c r="BI56" s="326" t="str">
        <f t="shared" si="2"/>
        <v/>
      </c>
      <c r="BJ56" s="95"/>
      <c r="BK56" s="95" t="str">
        <f t="shared" si="4"/>
        <v/>
      </c>
    </row>
    <row r="57" spans="47:63" ht="14.4" customHeight="1">
      <c r="AU57" s="20"/>
      <c r="AV57" s="21"/>
      <c r="AW57" s="22"/>
      <c r="AX57" s="22"/>
      <c r="AY57" s="23"/>
      <c r="AZ57" s="326" t="str">
        <f t="shared" si="1"/>
        <v/>
      </c>
      <c r="BA57" s="95"/>
      <c r="BB57" s="95" t="str">
        <f t="shared" si="5"/>
        <v/>
      </c>
      <c r="BD57" s="319">
        <f>OBJ!B347</f>
        <v>9256909</v>
      </c>
      <c r="BE57" s="21" t="str">
        <f>VLOOKUP(BD57,CENY!$B$11:$G$1054,2,FALSE)</f>
        <v>Quadro You(M) 400/P2O 30kg; EB21; ľavý</v>
      </c>
      <c r="BF57" s="22">
        <f>VLOOKUP(BD57,CENY!$B$11:$G$1054,3,FALSE)</f>
        <v>20</v>
      </c>
      <c r="BG57" s="22"/>
      <c r="BH57" s="23">
        <f>AY39</f>
        <v>0</v>
      </c>
      <c r="BI57" s="326">
        <f t="shared" si="2"/>
        <v>0</v>
      </c>
      <c r="BJ57" s="95">
        <f>VLOOKUP(BD57,CENY!$B$11:$M$2025,12,FALSE)</f>
        <v>263.07337999999999</v>
      </c>
      <c r="BK57" s="95">
        <f t="shared" si="4"/>
        <v>0</v>
      </c>
    </row>
    <row r="58" spans="47:63" ht="14.4" customHeight="1">
      <c r="AU58" s="20"/>
      <c r="AV58" s="21"/>
      <c r="AW58" s="22"/>
      <c r="AX58" s="22"/>
      <c r="AY58" s="23"/>
      <c r="AZ58" s="326" t="str">
        <f t="shared" si="1"/>
        <v/>
      </c>
      <c r="BA58" s="95"/>
      <c r="BB58" s="95" t="str">
        <f t="shared" si="5"/>
        <v/>
      </c>
      <c r="BD58" s="319">
        <f>OBJ!B348</f>
        <v>9256910</v>
      </c>
      <c r="BE58" s="21" t="str">
        <f>VLOOKUP(BD58,CENY!$B$11:$G$1054,2,FALSE)</f>
        <v>Quadro You(M) 400/P2O 30kg; EB21; pravý</v>
      </c>
      <c r="BF58" s="22">
        <f>VLOOKUP(BD58,CENY!$B$11:$G$1054,3,FALSE)</f>
        <v>20</v>
      </c>
      <c r="BG58" s="22"/>
      <c r="BH58" s="23">
        <f>AY39</f>
        <v>0</v>
      </c>
      <c r="BI58" s="326">
        <f t="shared" si="2"/>
        <v>0</v>
      </c>
      <c r="BJ58" s="95">
        <f>VLOOKUP(BD58,CENY!$B$11:$M$2025,12,FALSE)</f>
        <v>263.07337999999999</v>
      </c>
      <c r="BK58" s="95">
        <f t="shared" si="4"/>
        <v>0</v>
      </c>
    </row>
    <row r="59" spans="47:63" ht="14.4" customHeight="1">
      <c r="AU59" s="20"/>
      <c r="AV59" s="21"/>
      <c r="AW59" s="22"/>
      <c r="AX59" s="22"/>
      <c r="AY59" s="23"/>
      <c r="AZ59" s="326" t="str">
        <f t="shared" si="1"/>
        <v/>
      </c>
      <c r="BA59" s="95"/>
      <c r="BB59" s="95" t="str">
        <f t="shared" si="5"/>
        <v/>
      </c>
      <c r="BD59" s="319">
        <f>OBJ!B349</f>
        <v>9256913</v>
      </c>
      <c r="BE59" s="21" t="str">
        <f>VLOOKUP(BD59,CENY!$B$11:$G$1054,2,FALSE)</f>
        <v>Quadro You(M) 450/P2O 30kg; EB21; ľavý</v>
      </c>
      <c r="BF59" s="22">
        <f>VLOOKUP(BD59,CENY!$B$11:$G$1054,3,FALSE)</f>
        <v>20</v>
      </c>
      <c r="BG59" s="22"/>
      <c r="BH59" s="23">
        <f>AY40</f>
        <v>0</v>
      </c>
      <c r="BI59" s="326">
        <f t="shared" si="2"/>
        <v>0</v>
      </c>
      <c r="BJ59" s="95">
        <f>VLOOKUP(BD59,CENY!$B$11:$M$2025,12,FALSE)</f>
        <v>267.92221999999998</v>
      </c>
      <c r="BK59" s="95">
        <f t="shared" si="4"/>
        <v>0</v>
      </c>
    </row>
    <row r="60" spans="47:63" ht="14.4" customHeight="1">
      <c r="AU60" s="20"/>
      <c r="AV60" s="21"/>
      <c r="AW60" s="22"/>
      <c r="AX60" s="22"/>
      <c r="AY60" s="23"/>
      <c r="AZ60" s="326" t="str">
        <f t="shared" si="1"/>
        <v/>
      </c>
      <c r="BA60" s="95"/>
      <c r="BB60" s="95" t="str">
        <f t="shared" si="5"/>
        <v/>
      </c>
      <c r="BD60" s="319">
        <f>OBJ!B350</f>
        <v>9256914</v>
      </c>
      <c r="BE60" s="21" t="str">
        <f>VLOOKUP(BD60,CENY!$B$11:$G$1054,2,FALSE)</f>
        <v>Quadro You(M) 450/P2O 30kg; EB21; pravý</v>
      </c>
      <c r="BF60" s="22">
        <f>VLOOKUP(BD60,CENY!$B$11:$G$1054,3,FALSE)</f>
        <v>20</v>
      </c>
      <c r="BG60" s="22"/>
      <c r="BH60" s="23">
        <f>AY40</f>
        <v>0</v>
      </c>
      <c r="BI60" s="326">
        <f t="shared" si="2"/>
        <v>0</v>
      </c>
      <c r="BJ60" s="95">
        <f>VLOOKUP(BD60,CENY!$B$11:$M$2025,12,FALSE)</f>
        <v>267.92221999999998</v>
      </c>
      <c r="BK60" s="95">
        <f t="shared" si="4"/>
        <v>0</v>
      </c>
    </row>
    <row r="61" spans="47:63" ht="14.4" customHeight="1">
      <c r="AU61" s="20"/>
      <c r="AV61" s="21"/>
      <c r="AW61" s="22"/>
      <c r="AX61" s="22"/>
      <c r="AY61" s="23"/>
      <c r="AZ61" s="326" t="str">
        <f t="shared" si="1"/>
        <v/>
      </c>
      <c r="BA61" s="95"/>
      <c r="BB61" s="95" t="str">
        <f t="shared" si="5"/>
        <v/>
      </c>
      <c r="BD61" s="319">
        <f>OBJ!B351</f>
        <v>9256917</v>
      </c>
      <c r="BE61" s="21" t="str">
        <f>VLOOKUP(BD61,CENY!$B$11:$G$1054,2,FALSE)</f>
        <v>Quadro You(M) 500/P2O 30kg; EB21; ľavý</v>
      </c>
      <c r="BF61" s="22">
        <f>VLOOKUP(BD61,CENY!$B$11:$G$1054,3,FALSE)</f>
        <v>20</v>
      </c>
      <c r="BG61" s="22"/>
      <c r="BH61" s="23">
        <f>AY41</f>
        <v>0</v>
      </c>
      <c r="BI61" s="326">
        <f t="shared" si="2"/>
        <v>0</v>
      </c>
      <c r="BJ61" s="95">
        <f>VLOOKUP(BD61,CENY!$B$11:$M$2025,12,FALSE)</f>
        <v>265.52375999999998</v>
      </c>
      <c r="BK61" s="95">
        <f t="shared" si="4"/>
        <v>0</v>
      </c>
    </row>
    <row r="62" spans="47:63" ht="14.4" customHeight="1">
      <c r="AU62" s="20"/>
      <c r="AV62" s="21"/>
      <c r="AW62" s="22"/>
      <c r="AX62" s="22"/>
      <c r="AY62" s="23"/>
      <c r="AZ62" s="326" t="str">
        <f t="shared" si="1"/>
        <v/>
      </c>
      <c r="BA62" s="95"/>
      <c r="BB62" s="95" t="str">
        <f t="shared" si="5"/>
        <v/>
      </c>
      <c r="BD62" s="319">
        <f>OBJ!B352</f>
        <v>9256918</v>
      </c>
      <c r="BE62" s="21" t="str">
        <f>VLOOKUP(BD62,CENY!$B$11:$G$1054,2,FALSE)</f>
        <v>Quadro You(M) 500/P2O 30kg; EB21; pravý</v>
      </c>
      <c r="BF62" s="22">
        <f>VLOOKUP(BD62,CENY!$B$11:$G$1054,3,FALSE)</f>
        <v>20</v>
      </c>
      <c r="BG62" s="22"/>
      <c r="BH62" s="23">
        <f>AY41</f>
        <v>0</v>
      </c>
      <c r="BI62" s="326">
        <f t="shared" si="2"/>
        <v>0</v>
      </c>
      <c r="BJ62" s="95">
        <f>VLOOKUP(BD62,CENY!$B$11:$M$2025,12,FALSE)</f>
        <v>265.52375999999998</v>
      </c>
      <c r="BK62" s="95">
        <f t="shared" si="4"/>
        <v>0</v>
      </c>
    </row>
    <row r="63" spans="47:63" ht="14.4" customHeight="1">
      <c r="AU63" s="20"/>
      <c r="AV63" s="21"/>
      <c r="AW63" s="22"/>
      <c r="AX63" s="22"/>
      <c r="AY63" s="23"/>
      <c r="AZ63" s="326" t="str">
        <f t="shared" si="1"/>
        <v/>
      </c>
      <c r="BA63" s="95"/>
      <c r="BB63" s="95" t="str">
        <f t="shared" si="5"/>
        <v/>
      </c>
      <c r="BD63" s="319">
        <f>OBJ!B353</f>
        <v>9256921</v>
      </c>
      <c r="BE63" s="21" t="str">
        <f>VLOOKUP(BD63,CENY!$B$11:$G$1054,2,FALSE)</f>
        <v>Quadro You(M) 550/P2O 30kg; EB21; ľavý</v>
      </c>
      <c r="BF63" s="22">
        <f>VLOOKUP(BD63,CENY!$B$11:$G$1054,3,FALSE)</f>
        <v>20</v>
      </c>
      <c r="BG63" s="22"/>
      <c r="BH63" s="23">
        <f>AY42</f>
        <v>0</v>
      </c>
      <c r="BI63" s="326">
        <f t="shared" si="2"/>
        <v>0</v>
      </c>
      <c r="BJ63" s="95">
        <f>VLOOKUP(BD63,CENY!$B$11:$M$2025,12,FALSE)</f>
        <v>270.22431</v>
      </c>
      <c r="BK63" s="95">
        <f t="shared" si="4"/>
        <v>0</v>
      </c>
    </row>
    <row r="64" spans="47:63" ht="14.4" customHeight="1">
      <c r="AU64" s="20"/>
      <c r="AV64" s="21"/>
      <c r="AW64" s="22"/>
      <c r="AX64" s="22"/>
      <c r="AY64" s="23"/>
      <c r="AZ64" s="326" t="str">
        <f t="shared" si="1"/>
        <v/>
      </c>
      <c r="BA64" s="95"/>
      <c r="BB64" s="95" t="str">
        <f t="shared" si="5"/>
        <v/>
      </c>
      <c r="BD64" s="319">
        <f>OBJ!B354</f>
        <v>9256922</v>
      </c>
      <c r="BE64" s="21" t="str">
        <f>VLOOKUP(BD64,CENY!$B$11:$G$1054,2,FALSE)</f>
        <v>Quadro You(M) 550/P2O 30kg; EB21; pravý</v>
      </c>
      <c r="BF64" s="22">
        <f>VLOOKUP(BD64,CENY!$B$11:$G$1054,3,FALSE)</f>
        <v>20</v>
      </c>
      <c r="BG64" s="22"/>
      <c r="BH64" s="23">
        <f>AY42</f>
        <v>0</v>
      </c>
      <c r="BI64" s="326">
        <f t="shared" si="2"/>
        <v>0</v>
      </c>
      <c r="BJ64" s="95">
        <f>VLOOKUP(BD64,CENY!$B$11:$M$2025,12,FALSE)</f>
        <v>277.60748999999998</v>
      </c>
      <c r="BK64" s="95">
        <f t="shared" si="4"/>
        <v>0</v>
      </c>
    </row>
    <row r="65" spans="47:63" ht="14.4" customHeight="1">
      <c r="AU65" s="20"/>
      <c r="AV65" s="21"/>
      <c r="AW65" s="22"/>
      <c r="AX65" s="22"/>
      <c r="AY65" s="23"/>
      <c r="AZ65" s="326" t="str">
        <f t="shared" si="1"/>
        <v/>
      </c>
      <c r="BA65" s="95"/>
      <c r="BB65" s="95" t="str">
        <f t="shared" si="5"/>
        <v/>
      </c>
      <c r="BD65" s="319"/>
      <c r="BE65" s="21"/>
      <c r="BF65" s="22"/>
      <c r="BG65" s="22"/>
      <c r="BH65" s="23"/>
      <c r="BI65" s="326" t="str">
        <f t="shared" si="2"/>
        <v/>
      </c>
      <c r="BJ65" s="95"/>
      <c r="BK65" s="95" t="str">
        <f t="shared" si="4"/>
        <v/>
      </c>
    </row>
    <row r="66" spans="47:63" ht="14.4" customHeight="1">
      <c r="AU66" s="20"/>
      <c r="AV66" s="21"/>
      <c r="AW66" s="22"/>
      <c r="AX66" s="22"/>
      <c r="AY66" s="23"/>
      <c r="AZ66" s="326" t="str">
        <f t="shared" si="1"/>
        <v/>
      </c>
      <c r="BA66" s="95"/>
      <c r="BB66" s="95" t="str">
        <f t="shared" si="5"/>
        <v/>
      </c>
      <c r="BD66" s="319">
        <f>OBJ!B358</f>
        <v>9219966</v>
      </c>
      <c r="BE66" s="21" t="str">
        <f>VLOOKUP(BD66,CENY!$B$11:$G$1054,2,FALSE)</f>
        <v>Push to open Synchro / adaptér typ A</v>
      </c>
      <c r="BF66" s="22">
        <f>VLOOKUP(BD66,CENY!$B$11:$G$1054,3,FALSE)</f>
        <v>200</v>
      </c>
      <c r="BG66" s="22"/>
      <c r="BH66" s="23">
        <f>AY44</f>
        <v>0</v>
      </c>
      <c r="BI66" s="326">
        <f t="shared" si="2"/>
        <v>0</v>
      </c>
      <c r="BJ66" s="95">
        <f>VLOOKUP(BD66,CENY!$B$11:$M$2025,12,FALSE)</f>
        <v>16.488900000000001</v>
      </c>
      <c r="BK66" s="95">
        <f t="shared" si="4"/>
        <v>0</v>
      </c>
    </row>
    <row r="67" spans="47:63" ht="14.4" customHeight="1">
      <c r="AU67" s="20"/>
      <c r="AV67" s="21"/>
      <c r="AW67" s="22"/>
      <c r="AX67" s="22"/>
      <c r="AY67" s="23"/>
      <c r="AZ67" s="326" t="str">
        <f t="shared" si="1"/>
        <v/>
      </c>
      <c r="BA67" s="95"/>
      <c r="BB67" s="95" t="str">
        <f t="shared" si="5"/>
        <v/>
      </c>
      <c r="BD67" s="319"/>
      <c r="BE67" s="21"/>
      <c r="BF67" s="22"/>
      <c r="BG67" s="22"/>
      <c r="BH67" s="23"/>
      <c r="BI67" s="326" t="str">
        <f t="shared" si="2"/>
        <v/>
      </c>
      <c r="BJ67" s="95"/>
      <c r="BK67" s="95" t="str">
        <f t="shared" si="4"/>
        <v/>
      </c>
    </row>
    <row r="68" spans="47:63" ht="14.4" customHeight="1">
      <c r="AU68" s="20"/>
      <c r="AV68" s="21"/>
      <c r="AW68" s="22"/>
      <c r="AX68" s="22"/>
      <c r="AY68" s="23"/>
      <c r="AZ68" s="326" t="str">
        <f t="shared" si="1"/>
        <v/>
      </c>
      <c r="BA68" s="95"/>
      <c r="BB68" s="95" t="str">
        <f t="shared" si="5"/>
        <v/>
      </c>
      <c r="BD68" s="319">
        <f>OBJ!B214</f>
        <v>0</v>
      </c>
      <c r="BE68" s="21" t="e">
        <f>VLOOKUP(BD68,CENY!$B$11:$G$1054,2,FALSE)</f>
        <v>#N/A</v>
      </c>
      <c r="BF68" s="22" t="e">
        <f>VLOOKUP(BD68,CENY!$B$11:$G$1054,3,FALSE)</f>
        <v>#N/A</v>
      </c>
      <c r="BG68" s="22"/>
      <c r="BH68" s="23">
        <f>AY48</f>
        <v>0</v>
      </c>
      <c r="BI68" s="326">
        <f t="shared" si="2"/>
        <v>0</v>
      </c>
      <c r="BJ68" s="324" t="str">
        <f>IF(BD68=0,"",VLOOKUP(BD68,CENY!$B$11:$M$2025,12,FALSE))</f>
        <v/>
      </c>
      <c r="BK68" s="95" t="str">
        <f>IF(BJ68="","",BJ68*BH68)</f>
        <v/>
      </c>
    </row>
    <row r="69" spans="47:63" ht="14.4" customHeight="1">
      <c r="AU69" s="20"/>
      <c r="AV69" s="21"/>
      <c r="AW69" s="22"/>
      <c r="AX69" s="22"/>
      <c r="AY69" s="23"/>
      <c r="AZ69" s="326" t="str">
        <f t="shared" si="1"/>
        <v/>
      </c>
      <c r="BA69" s="95"/>
      <c r="BB69" s="95" t="str">
        <f t="shared" si="5"/>
        <v/>
      </c>
      <c r="BD69" s="319"/>
      <c r="BE69" s="21"/>
      <c r="BF69" s="22"/>
      <c r="BG69" s="22"/>
      <c r="BH69" s="23"/>
      <c r="BI69" s="326" t="str">
        <f t="shared" si="2"/>
        <v/>
      </c>
      <c r="BJ69" s="95"/>
      <c r="BK69" s="95" t="str">
        <f t="shared" si="4"/>
        <v/>
      </c>
    </row>
    <row r="70" spans="47:63" ht="14.4" customHeight="1">
      <c r="AU70" s="319">
        <f>OBJ!B360</f>
        <v>9278225</v>
      </c>
      <c r="AV70" s="21" t="str">
        <f>VLOOKUP(AU70,CENY!$B$11:$G$1054,2,FALSE)</f>
        <v>Skrutka s polgul.hlavou 3,5x6,5mm</v>
      </c>
      <c r="AW70" s="22">
        <f>VLOOKUP(AU70,CENY!$B$11:$G$1054,3,FALSE)</f>
        <v>200</v>
      </c>
      <c r="AX70" s="22"/>
      <c r="AY70" s="23">
        <f>SUMPRODUCT(AX5:AX8,AY5:AY8)</f>
        <v>0</v>
      </c>
      <c r="AZ70" s="326">
        <f t="shared" ref="AZ70:AZ75" si="6">IF(AY70="","",IF($AW$4=1,AY70,0))</f>
        <v>0</v>
      </c>
      <c r="BA70" s="95">
        <f>VLOOKUP(AU70,CENY!$B$11:$M$2025,12,FALSE)</f>
        <v>0</v>
      </c>
      <c r="BB70" s="95">
        <f t="shared" si="5"/>
        <v>0</v>
      </c>
      <c r="BC70" s="86" t="s">
        <v>402</v>
      </c>
      <c r="BD70" s="319">
        <f>OBJ!B360</f>
        <v>9278225</v>
      </c>
      <c r="BE70" s="21" t="str">
        <f>VLOOKUP(BD70,CENY!$B$11:$G$1054,2,FALSE)</f>
        <v>Skrutka s polgul.hlavou 3,5x6,5mm</v>
      </c>
      <c r="BF70" s="22">
        <f>VLOOKUP(BD70,CENY!$B$11:$G$1054,3,FALSE)</f>
        <v>200</v>
      </c>
      <c r="BG70" s="22"/>
      <c r="BH70" s="23">
        <f>AY70+BH15*1</f>
        <v>0</v>
      </c>
      <c r="BI70" s="326">
        <f t="shared" ref="BI70:BI78" si="7">IF(BH70="","",IF($AW$4=0,BH70,0))</f>
        <v>0</v>
      </c>
      <c r="BJ70" s="95">
        <f>VLOOKUP(BD70,CENY!$B$11:$M$2025,12,FALSE)</f>
        <v>0</v>
      </c>
      <c r="BK70" s="95">
        <f t="shared" ref="BK70:BK75" si="8">IF(BJ70="","",BJ70*BH70)</f>
        <v>0</v>
      </c>
    </row>
    <row r="71" spans="47:63" ht="14.4" customHeight="1">
      <c r="AU71" s="319">
        <f>OBJ!B361</f>
        <v>45167</v>
      </c>
      <c r="AV71" s="21" t="str">
        <f>VLOOKUP(AU71,CENY!$B$11:$G$1054,2,FALSE)</f>
        <v>Skrutka s polgul.hlavou 3,5x12mm</v>
      </c>
      <c r="AW71" s="22">
        <f>VLOOKUP(AU71,CENY!$B$11:$G$1054,3,FALSE)</f>
        <v>200</v>
      </c>
      <c r="AX71" s="22"/>
      <c r="AY71" s="23">
        <v>0</v>
      </c>
      <c r="AZ71" s="326">
        <f t="shared" si="6"/>
        <v>0</v>
      </c>
      <c r="BA71" s="95">
        <f>VLOOKUP(AU71,CENY!$B$11:$M$2025,12,FALSE)</f>
        <v>0.84719999999999995</v>
      </c>
      <c r="BB71" s="95">
        <f>IF(BA71="","",BA71*AY71)</f>
        <v>0</v>
      </c>
      <c r="BC71" s="86" t="s">
        <v>401</v>
      </c>
      <c r="BD71" s="319">
        <f>OBJ!B361</f>
        <v>45167</v>
      </c>
      <c r="BE71" s="21" t="str">
        <f>VLOOKUP(BD71,CENY!$B$11:$G$1054,2,FALSE)</f>
        <v>Skrutka s polgul.hlavou 3,5x12mm</v>
      </c>
      <c r="BF71" s="22">
        <f>VLOOKUP(BD71,CENY!$B$11:$G$1054,3,FALSE)</f>
        <v>200</v>
      </c>
      <c r="BG71" s="22"/>
      <c r="BH71" s="23">
        <f>BH15*1</f>
        <v>0</v>
      </c>
      <c r="BI71" s="326">
        <f t="shared" si="7"/>
        <v>0</v>
      </c>
      <c r="BJ71" s="95">
        <f>VLOOKUP(BD71,CENY!$B$11:$M$2025,12,FALSE)</f>
        <v>0.84719999999999995</v>
      </c>
      <c r="BK71" s="95">
        <f t="shared" si="8"/>
        <v>0</v>
      </c>
    </row>
    <row r="72" spans="47:63" ht="14.4" customHeight="1">
      <c r="AU72" s="319">
        <f>OBJ!B362</f>
        <v>45168</v>
      </c>
      <c r="AV72" s="21" t="str">
        <f>VLOOKUP(AU72,CENY!$B$11:$G$1054,2,FALSE)</f>
        <v>Skrutka s polgul.hlavou 3,5x20mm</v>
      </c>
      <c r="AW72" s="22">
        <f>VLOOKUP(AU72,CENY!$B$11:$G$1054,3,FALSE)</f>
        <v>200</v>
      </c>
      <c r="AX72" s="22"/>
      <c r="AY72" s="360">
        <v>0</v>
      </c>
      <c r="AZ72" s="326">
        <f t="shared" si="6"/>
        <v>0</v>
      </c>
      <c r="BA72" s="95">
        <f>VLOOKUP(AU72,CENY!$B$11:$M$2025,12,FALSE)</f>
        <v>1.2154199999999999</v>
      </c>
      <c r="BB72" s="95">
        <f>IF(BA72="","",BA72*AY72)</f>
        <v>0</v>
      </c>
      <c r="BC72" s="86" t="s">
        <v>397</v>
      </c>
      <c r="BD72" s="319">
        <f>OBJ!B362</f>
        <v>45168</v>
      </c>
      <c r="BE72" s="21" t="str">
        <f>VLOOKUP(BD72,CENY!$B$11:$G$1054,2,FALSE)</f>
        <v>Skrutka s polgul.hlavou 3,5x20mm</v>
      </c>
      <c r="BF72" s="22">
        <f>VLOOKUP(BD72,CENY!$B$11:$G$1054,3,FALSE)</f>
        <v>200</v>
      </c>
      <c r="BG72" s="22"/>
      <c r="BH72" s="360">
        <f>IF(FORM!$AM$8=FORM!$AU$10,BH14*2,0)</f>
        <v>0</v>
      </c>
      <c r="BI72" s="326">
        <f t="shared" si="7"/>
        <v>0</v>
      </c>
      <c r="BJ72" s="95">
        <f>VLOOKUP(BD72,CENY!$B$11:$M$2025,12,FALSE)</f>
        <v>1.2154199999999999</v>
      </c>
      <c r="BK72" s="95">
        <f t="shared" si="8"/>
        <v>0</v>
      </c>
    </row>
    <row r="73" spans="47:63" ht="14.4" customHeight="1">
      <c r="AU73" s="319">
        <f>OBJ!B363</f>
        <v>9278224</v>
      </c>
      <c r="AV73" s="21" t="str">
        <f>VLOOKUP(AU73,CENY!$B$11:$G$1054,2,FALSE)</f>
        <v>Skrutka s polgul.hlavou 3,5x30mm</v>
      </c>
      <c r="AW73" s="22">
        <f>VLOOKUP(AU73,CENY!$B$11:$G$1054,3,FALSE)</f>
        <v>200</v>
      </c>
      <c r="AX73" s="22"/>
      <c r="AY73" s="360">
        <v>0</v>
      </c>
      <c r="AZ73" s="326">
        <f t="shared" si="6"/>
        <v>0</v>
      </c>
      <c r="BA73" s="95">
        <f>VLOOKUP(AU73,CENY!$B$11:$M$2025,12,FALSE)</f>
        <v>0.89337999999999995</v>
      </c>
      <c r="BB73" s="95">
        <f>IF(BA73="","",BA73*AY73)</f>
        <v>0</v>
      </c>
      <c r="BC73" s="86" t="s">
        <v>398</v>
      </c>
      <c r="BD73" s="319">
        <f>OBJ!B363</f>
        <v>9278224</v>
      </c>
      <c r="BE73" s="21" t="str">
        <f>VLOOKUP(BD73,CENY!$B$11:$G$1054,2,FALSE)</f>
        <v>Skrutka s polgul.hlavou 3,5x30mm</v>
      </c>
      <c r="BF73" s="22">
        <f>VLOOKUP(BD73,CENY!$B$11:$G$1054,3,FALSE)</f>
        <v>200</v>
      </c>
      <c r="BG73" s="22"/>
      <c r="BH73" s="360">
        <f>SUM(BH5:BH12)</f>
        <v>0</v>
      </c>
      <c r="BI73" s="326">
        <f t="shared" si="7"/>
        <v>0</v>
      </c>
      <c r="BJ73" s="95">
        <f>VLOOKUP(BD73,CENY!$B$11:$M$2025,12,FALSE)</f>
        <v>0.89337999999999995</v>
      </c>
      <c r="BK73" s="95">
        <f t="shared" si="8"/>
        <v>0</v>
      </c>
    </row>
    <row r="74" spans="47:63" ht="14.4" customHeight="1">
      <c r="AU74" s="319">
        <f>OBJ!B364</f>
        <v>9279197</v>
      </c>
      <c r="AV74" s="21" t="str">
        <f>VLOOKUP(AU74,CENY!$B$11:$G$1054,2,FALSE)</f>
        <v>Skrutka s polgul.hlavou M3,5x12mm</v>
      </c>
      <c r="AW74" s="22">
        <f>VLOOKUP(AU74,CENY!$B$11:$G$1054,3,FALSE)</f>
        <v>1000</v>
      </c>
      <c r="AX74" s="22"/>
      <c r="AY74" s="68">
        <v>0</v>
      </c>
      <c r="AZ74" s="326">
        <f t="shared" si="6"/>
        <v>0</v>
      </c>
      <c r="BA74" s="95">
        <f>VLOOKUP(AU74,CENY!$B$11:$M$2025,12,FALSE)</f>
        <v>0</v>
      </c>
      <c r="BB74" s="95">
        <f>IF(BA74="","",BA74*AY74)</f>
        <v>0</v>
      </c>
      <c r="BC74" s="86" t="s">
        <v>399</v>
      </c>
      <c r="BD74" s="319">
        <f>OBJ!B364</f>
        <v>9279197</v>
      </c>
      <c r="BE74" s="21" t="str">
        <f>VLOOKUP(BD74,CENY!$B$11:$G$1054,2,FALSE)</f>
        <v>Skrutka s polgul.hlavou M3,5x12mm</v>
      </c>
      <c r="BF74" s="22">
        <f>VLOOKUP(BD74,CENY!$B$11:$G$1054,3,FALSE)</f>
        <v>1000</v>
      </c>
      <c r="BG74" s="22"/>
      <c r="BH74" s="68">
        <f>AY74</f>
        <v>0</v>
      </c>
      <c r="BI74" s="326">
        <f t="shared" si="7"/>
        <v>0</v>
      </c>
      <c r="BJ74" s="95">
        <f>VLOOKUP(BD74,CENY!$B$11:$M$2025,12,FALSE)</f>
        <v>0</v>
      </c>
      <c r="BK74" s="95">
        <f t="shared" si="8"/>
        <v>0</v>
      </c>
    </row>
    <row r="75" spans="47:63" ht="14.4" customHeight="1">
      <c r="AU75" s="319">
        <f>OBJ!B365</f>
        <v>9137114</v>
      </c>
      <c r="AV75" s="21" t="str">
        <f>VLOOKUP(AU75,CENY!$B$11:$G$1054,2,FALSE)</f>
        <v>EURO-skrutka  6,0x14mm / niklovaná</v>
      </c>
      <c r="AW75" s="22">
        <f>VLOOKUP(AU75,CENY!$B$11:$G$1054,3,FALSE)</f>
        <v>200</v>
      </c>
      <c r="AX75" s="22"/>
      <c r="AY75" s="23">
        <f>SUMPRODUCT(AX15:AX42,AY15:AY42)</f>
        <v>0</v>
      </c>
      <c r="AZ75" s="326">
        <f t="shared" si="6"/>
        <v>0</v>
      </c>
      <c r="BA75" s="95">
        <f>VLOOKUP(AU75,CENY!$B$11:$M$2025,12,FALSE)</f>
        <v>1.8839300000000001</v>
      </c>
      <c r="BB75" s="95">
        <f>IF(BA75="","",BA75*AY75)</f>
        <v>0</v>
      </c>
      <c r="BC75" s="86" t="s">
        <v>400</v>
      </c>
      <c r="BD75" s="319">
        <f>OBJ!B365</f>
        <v>9137114</v>
      </c>
      <c r="BE75" s="21" t="str">
        <f>VLOOKUP(BD75,CENY!$B$11:$G$1054,2,FALSE)</f>
        <v>EURO-skrutka  6,0x14mm / niklovaná</v>
      </c>
      <c r="BF75" s="22">
        <f>VLOOKUP(BD75,CENY!$B$11:$G$1054,3,FALSE)</f>
        <v>200</v>
      </c>
      <c r="BG75" s="22"/>
      <c r="BH75" s="23">
        <f>AY75</f>
        <v>0</v>
      </c>
      <c r="BI75" s="326">
        <f t="shared" si="7"/>
        <v>0</v>
      </c>
      <c r="BJ75" s="95">
        <f>VLOOKUP(BD75,CENY!$B$11:$M$2025,12,FALSE)</f>
        <v>1.8839300000000001</v>
      </c>
      <c r="BK75" s="95">
        <f t="shared" si="8"/>
        <v>0</v>
      </c>
    </row>
    <row r="76" spans="47:63" ht="14.4" customHeight="1">
      <c r="AU76" s="20"/>
      <c r="AV76" s="21"/>
      <c r="AW76" s="22"/>
      <c r="AX76" s="22"/>
      <c r="AY76" s="23"/>
      <c r="AZ76" s="326" t="str">
        <f>IF(AY76="","",IF($AW$4=1,AY76,0))</f>
        <v/>
      </c>
      <c r="BA76" s="95"/>
      <c r="BB76" s="95" t="str">
        <f t="shared" si="5"/>
        <v/>
      </c>
      <c r="BD76" s="319"/>
      <c r="BE76" s="21"/>
      <c r="BF76" s="22"/>
      <c r="BG76" s="22"/>
      <c r="BH76" s="23"/>
      <c r="BI76" s="326" t="str">
        <f t="shared" si="7"/>
        <v/>
      </c>
      <c r="BJ76" s="95"/>
      <c r="BK76" s="95" t="str">
        <f t="shared" si="4"/>
        <v/>
      </c>
    </row>
    <row r="77" spans="47:63" ht="14.4" customHeight="1">
      <c r="AU77" s="20"/>
      <c r="AV77" s="21"/>
      <c r="AW77" s="22"/>
      <c r="AX77" s="22"/>
      <c r="AY77" s="23"/>
      <c r="AZ77" s="326" t="str">
        <f>IF(AY77="","",IF($AW$4=1,AY77,0))</f>
        <v/>
      </c>
      <c r="BA77" s="95"/>
      <c r="BB77" s="95" t="str">
        <f t="shared" si="5"/>
        <v/>
      </c>
      <c r="BD77" s="319"/>
      <c r="BE77" s="21"/>
      <c r="BF77" s="22"/>
      <c r="BG77" s="22"/>
      <c r="BH77" s="23"/>
      <c r="BI77" s="326" t="str">
        <f t="shared" si="7"/>
        <v/>
      </c>
      <c r="BJ77" s="95"/>
      <c r="BK77" s="95" t="str">
        <f>IF(BJ77="","",BJ77*BH77)</f>
        <v/>
      </c>
    </row>
    <row r="78" spans="47:63" ht="14.4" customHeight="1">
      <c r="AU78" s="20"/>
      <c r="AV78" s="21"/>
      <c r="AW78" s="22"/>
      <c r="AX78" s="22"/>
      <c r="AY78" s="23"/>
      <c r="AZ78" s="326" t="str">
        <f>IF(AY78="","",IF($AW$4=1,AY78,0))</f>
        <v/>
      </c>
      <c r="BA78" s="95"/>
      <c r="BB78" s="95" t="str">
        <f>IF(BA78="","",BA78*AY78)</f>
        <v/>
      </c>
      <c r="BD78" s="319"/>
      <c r="BE78" s="21"/>
      <c r="BF78" s="22"/>
      <c r="BG78" s="22"/>
      <c r="BH78" s="23"/>
      <c r="BI78" s="326" t="str">
        <f t="shared" si="7"/>
        <v/>
      </c>
      <c r="BJ78" s="95"/>
      <c r="BK78" s="95" t="str">
        <f>IF(BJ78="","",BJ78*BH78)</f>
        <v/>
      </c>
    </row>
    <row r="79" spans="47:63" ht="14.4" customHeight="1"/>
    <row r="80" spans="47:63" ht="14.4" customHeight="1"/>
    <row r="81" ht="14.4" customHeight="1"/>
    <row r="82" ht="14.4" customHeight="1"/>
    <row r="83" ht="14.4" customHeight="1"/>
    <row r="84" ht="14.4" customHeight="1"/>
    <row r="85" ht="14.4" customHeight="1"/>
    <row r="86" ht="14.4" customHeight="1"/>
    <row r="87" ht="14.4" customHeight="1"/>
    <row r="88" ht="14.4" customHeight="1"/>
    <row r="89" ht="14.4" customHeight="1"/>
    <row r="90" ht="14.4" customHeight="1"/>
    <row r="91" ht="14.4" customHeight="1"/>
    <row r="92" ht="14.4" customHeight="1"/>
    <row r="93" ht="14.4" customHeight="1"/>
    <row r="94" ht="14.4" customHeight="1"/>
    <row r="95" ht="14.4" customHeight="1"/>
    <row r="96" ht="14.4" customHeight="1"/>
    <row r="97" ht="14.4" customHeight="1"/>
    <row r="98" ht="14.4" customHeight="1"/>
    <row r="99" ht="14.4" customHeight="1"/>
    <row r="100" ht="14.4" customHeight="1"/>
  </sheetData>
  <sheetProtection algorithmName="SHA-512" hashValue="DyyM3jPMKBVD5U/7Nk3mcRDI473jrxAGbEBicq59BCPUM5gzRh7ayrJy1bJGDHP9DsXu5CXgfISTpplXXP3LUw==" saltValue="U6vuANeHWIJDZfJkRlTaAw==" spinCount="100000" sheet="1" objects="1" scenarios="1"/>
  <mergeCells count="106">
    <mergeCell ref="AO2:AR2"/>
    <mergeCell ref="B6:E6"/>
    <mergeCell ref="F6:K6"/>
    <mergeCell ref="O2:S2"/>
    <mergeCell ref="B7:E7"/>
    <mergeCell ref="F7:K7"/>
    <mergeCell ref="B8:E8"/>
    <mergeCell ref="F8:K8"/>
    <mergeCell ref="B2:E2"/>
    <mergeCell ref="G2:K2"/>
    <mergeCell ref="U2:Y2"/>
    <mergeCell ref="AA2:AE2"/>
    <mergeCell ref="AI2:AM2"/>
    <mergeCell ref="B12:E12"/>
    <mergeCell ref="F12:I12"/>
    <mergeCell ref="J12:K12"/>
    <mergeCell ref="B13:E13"/>
    <mergeCell ref="F13:I13"/>
    <mergeCell ref="J13:K13"/>
    <mergeCell ref="B9:E9"/>
    <mergeCell ref="F9:K9"/>
    <mergeCell ref="B10:E10"/>
    <mergeCell ref="F10:K10"/>
    <mergeCell ref="B11:E11"/>
    <mergeCell ref="F11:K11"/>
    <mergeCell ref="AE18:AF18"/>
    <mergeCell ref="AI18:AO18"/>
    <mergeCell ref="B19:G19"/>
    <mergeCell ref="H19:L19"/>
    <mergeCell ref="M19:N19"/>
    <mergeCell ref="AN19:AO19"/>
    <mergeCell ref="O17:AF17"/>
    <mergeCell ref="AI17:AO17"/>
    <mergeCell ref="O18:P18"/>
    <mergeCell ref="Q18:R18"/>
    <mergeCell ref="S18:T18"/>
    <mergeCell ref="U18:V18"/>
    <mergeCell ref="W18:X18"/>
    <mergeCell ref="Y18:Z18"/>
    <mergeCell ref="AA18:AB18"/>
    <mergeCell ref="AC18:AD18"/>
    <mergeCell ref="B22:G22"/>
    <mergeCell ref="H22:L22"/>
    <mergeCell ref="M22:N22"/>
    <mergeCell ref="O22:P22"/>
    <mergeCell ref="Q22:R22"/>
    <mergeCell ref="S22:T22"/>
    <mergeCell ref="U22:V22"/>
    <mergeCell ref="W22:X22"/>
    <mergeCell ref="U20:V20"/>
    <mergeCell ref="W20:X20"/>
    <mergeCell ref="B20:G20"/>
    <mergeCell ref="H20:L20"/>
    <mergeCell ref="M20:N20"/>
    <mergeCell ref="O20:P20"/>
    <mergeCell ref="Q20:R20"/>
    <mergeCell ref="S20:T20"/>
    <mergeCell ref="Y22:Z22"/>
    <mergeCell ref="AA22:AB22"/>
    <mergeCell ref="AC22:AD22"/>
    <mergeCell ref="AA26:AB26"/>
    <mergeCell ref="AC26:AD26"/>
    <mergeCell ref="AE22:AF22"/>
    <mergeCell ref="AN22:AO22"/>
    <mergeCell ref="AI25:AO25"/>
    <mergeCell ref="AN20:AO20"/>
    <mergeCell ref="AN21:AO21"/>
    <mergeCell ref="Y20:Z20"/>
    <mergeCell ref="AA20:AB20"/>
    <mergeCell ref="AC20:AD20"/>
    <mergeCell ref="AE20:AF20"/>
    <mergeCell ref="AI26:AO26"/>
    <mergeCell ref="B27:G27"/>
    <mergeCell ref="H27:L27"/>
    <mergeCell ref="M27:N27"/>
    <mergeCell ref="AN27:AO27"/>
    <mergeCell ref="O26:P26"/>
    <mergeCell ref="Q26:R26"/>
    <mergeCell ref="S26:T26"/>
    <mergeCell ref="U26:V26"/>
    <mergeCell ref="W26:X26"/>
    <mergeCell ref="Y26:Z26"/>
    <mergeCell ref="U28:V28"/>
    <mergeCell ref="W28:X28"/>
    <mergeCell ref="Y28:Z28"/>
    <mergeCell ref="AA28:AB28"/>
    <mergeCell ref="AA30:AB30"/>
    <mergeCell ref="AC28:AD28"/>
    <mergeCell ref="AN28:AO28"/>
    <mergeCell ref="B28:G28"/>
    <mergeCell ref="H28:L28"/>
    <mergeCell ref="M28:N28"/>
    <mergeCell ref="O28:P28"/>
    <mergeCell ref="Q28:R28"/>
    <mergeCell ref="S28:T28"/>
    <mergeCell ref="AC30:AD30"/>
    <mergeCell ref="AN29:AO29"/>
    <mergeCell ref="B30:G30"/>
    <mergeCell ref="H30:L30"/>
    <mergeCell ref="M30:N30"/>
    <mergeCell ref="O30:P30"/>
    <mergeCell ref="Q30:R30"/>
    <mergeCell ref="S30:T30"/>
    <mergeCell ref="U30:V30"/>
    <mergeCell ref="W30:X30"/>
    <mergeCell ref="Y30:Z30"/>
  </mergeCells>
  <conditionalFormatting sqref="BH5:BI5 AY5:AZ8 AY10:AY35 AY38 BH6:BH14 BH16:BH51 BH56:BH64 AY66:AY69 AZ10:AZ69 BI6:BI69 AY76:AZ78 BH76:BI78">
    <cfRule type="cellIs" dxfId="980" priority="35" stopIfTrue="1" operator="equal">
      <formula>0</formula>
    </cfRule>
  </conditionalFormatting>
  <conditionalFormatting sqref="O17:AF17 U20:AB20 W22:AB22 U28:AB28 U30:AB30 AI25:AO25 AI17:AO17">
    <cfRule type="expression" dxfId="979" priority="34" stopIfTrue="1">
      <formula>$AW$4=0</formula>
    </cfRule>
  </conditionalFormatting>
  <conditionalFormatting sqref="AY44:AY45 AY47 AY49:AY51">
    <cfRule type="cellIs" dxfId="978" priority="32" stopIfTrue="1" operator="equal">
      <formula>0</formula>
    </cfRule>
  </conditionalFormatting>
  <conditionalFormatting sqref="AY52">
    <cfRule type="cellIs" dxfId="977" priority="31" stopIfTrue="1" operator="equal">
      <formula>0</formula>
    </cfRule>
  </conditionalFormatting>
  <conditionalFormatting sqref="AY56:AY65">
    <cfRule type="cellIs" dxfId="976" priority="30" stopIfTrue="1" operator="equal">
      <formula>0</formula>
    </cfRule>
  </conditionalFormatting>
  <conditionalFormatting sqref="BH15">
    <cfRule type="cellIs" dxfId="975" priority="29" stopIfTrue="1" operator="equal">
      <formula>0</formula>
    </cfRule>
  </conditionalFormatting>
  <conditionalFormatting sqref="AY39:AY42">
    <cfRule type="cellIs" dxfId="974" priority="26" stopIfTrue="1" operator="equal">
      <formula>0</formula>
    </cfRule>
  </conditionalFormatting>
  <conditionalFormatting sqref="AY43">
    <cfRule type="cellIs" dxfId="973" priority="24" stopIfTrue="1" operator="equal">
      <formula>0</formula>
    </cfRule>
  </conditionalFormatting>
  <conditionalFormatting sqref="AY46">
    <cfRule type="cellIs" dxfId="972" priority="23" stopIfTrue="1" operator="equal">
      <formula>0</formula>
    </cfRule>
  </conditionalFormatting>
  <conditionalFormatting sqref="AY53:AY55">
    <cfRule type="cellIs" dxfId="971" priority="22" stopIfTrue="1" operator="equal">
      <formula>0</formula>
    </cfRule>
  </conditionalFormatting>
  <conditionalFormatting sqref="BH52:BH55">
    <cfRule type="cellIs" dxfId="970" priority="21" stopIfTrue="1" operator="equal">
      <formula>0</formula>
    </cfRule>
  </conditionalFormatting>
  <conditionalFormatting sqref="BH65:BH67 BH69">
    <cfRule type="cellIs" dxfId="969" priority="20" stopIfTrue="1" operator="equal">
      <formula>0</formula>
    </cfRule>
  </conditionalFormatting>
  <conditionalFormatting sqref="AY36:AY37">
    <cfRule type="cellIs" dxfId="968" priority="18" stopIfTrue="1" operator="equal">
      <formula>0</formula>
    </cfRule>
  </conditionalFormatting>
  <conditionalFormatting sqref="AY48">
    <cfRule type="cellIs" dxfId="967" priority="15" stopIfTrue="1" operator="equal">
      <formula>0</formula>
    </cfRule>
  </conditionalFormatting>
  <conditionalFormatting sqref="BH68">
    <cfRule type="cellIs" dxfId="966" priority="14" stopIfTrue="1" operator="equal">
      <formula>0</formula>
    </cfRule>
  </conditionalFormatting>
  <conditionalFormatting sqref="F13:K13">
    <cfRule type="expression" dxfId="965" priority="13" stopIfTrue="1">
      <formula>$AW$4=1</formula>
    </cfRule>
  </conditionalFormatting>
  <conditionalFormatting sqref="AY9">
    <cfRule type="cellIs" dxfId="964" priority="11" stopIfTrue="1" operator="equal">
      <formula>0</formula>
    </cfRule>
  </conditionalFormatting>
  <conditionalFormatting sqref="AZ9">
    <cfRule type="cellIs" dxfId="963" priority="10" stopIfTrue="1" operator="equal">
      <formula>0</formula>
    </cfRule>
  </conditionalFormatting>
  <conditionalFormatting sqref="AZ71:AZ75">
    <cfRule type="cellIs" dxfId="962" priority="9" stopIfTrue="1" operator="equal">
      <formula>0</formula>
    </cfRule>
  </conditionalFormatting>
  <conditionalFormatting sqref="AY71:AY75">
    <cfRule type="cellIs" dxfId="961" priority="8" stopIfTrue="1" operator="equal">
      <formula>0</formula>
    </cfRule>
  </conditionalFormatting>
  <conditionalFormatting sqref="BH71 BH74:BH75">
    <cfRule type="cellIs" dxfId="960" priority="7" stopIfTrue="1" operator="equal">
      <formula>0</formula>
    </cfRule>
  </conditionalFormatting>
  <conditionalFormatting sqref="BI71:BI75">
    <cfRule type="cellIs" dxfId="959" priority="6" stopIfTrue="1" operator="equal">
      <formula>0</formula>
    </cfRule>
  </conditionalFormatting>
  <conditionalFormatting sqref="BH72:BH73">
    <cfRule type="cellIs" dxfId="958" priority="5" stopIfTrue="1" operator="equal">
      <formula>0</formula>
    </cfRule>
  </conditionalFormatting>
  <conditionalFormatting sqref="AZ70">
    <cfRule type="cellIs" dxfId="957" priority="4" stopIfTrue="1" operator="equal">
      <formula>0</formula>
    </cfRule>
  </conditionalFormatting>
  <conditionalFormatting sqref="AY70">
    <cfRule type="cellIs" dxfId="956" priority="3" stopIfTrue="1" operator="equal">
      <formula>0</formula>
    </cfRule>
  </conditionalFormatting>
  <conditionalFormatting sqref="BH70">
    <cfRule type="cellIs" dxfId="955" priority="2" stopIfTrue="1" operator="equal">
      <formula>0</formula>
    </cfRule>
  </conditionalFormatting>
  <conditionalFormatting sqref="BI70">
    <cfRule type="cellIs" dxfId="954" priority="1" stopIfTrue="1" operator="equal">
      <formula>0</formula>
    </cfRule>
  </conditionalFormatting>
  <hyperlinks>
    <hyperlink ref="M4" location="MENU!A1" display="MENU!A1" xr:uid="{00000000-0004-0000-0400-000000000000}"/>
    <hyperlink ref="M10" location="OBJ!A1" display="OBJ!A1" xr:uid="{00000000-0004-0000-0400-000001000000}"/>
    <hyperlink ref="M9" location="suhrn!A1" display="suhrn!A1" xr:uid="{00000000-0004-0000-0400-000002000000}"/>
    <hyperlink ref="O2:S2" location="MENU!A5" display="MENU!A5" xr:uid="{00000000-0004-0000-0400-000003000000}"/>
  </hyperlinks>
  <printOptions horizontalCentered="1"/>
  <pageMargins left="0.19685039370078741" right="0.19685039370078741" top="0.19685039370078741" bottom="0.19685039370078741" header="0.31496062992125984" footer="0.31496062992125984"/>
  <pageSetup paperSize="9" orientation="landscape" r:id="rId1"/>
  <headerFooter>
    <oddHeader>&amp;R&amp;"Aptos"&amp;10&amp;K000000 Restricted&amp;1#_x000D_</oddHeader>
  </headerFooter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List5">
    <tabColor rgb="FFFFFF00"/>
  </sheetPr>
  <dimension ref="A1:BK135"/>
  <sheetViews>
    <sheetView showGridLines="0" showRowColHeaders="0" zoomScale="95" zoomScaleNormal="95" workbookViewId="0"/>
  </sheetViews>
  <sheetFormatPr defaultColWidth="9" defaultRowHeight="13.8"/>
  <cols>
    <col min="1" max="1" width="3.59765625" style="86" customWidth="1"/>
    <col min="2" max="4" width="3.09765625" style="86" customWidth="1"/>
    <col min="5" max="5" width="7.59765625" style="86" customWidth="1"/>
    <col min="6" max="44" width="3.09765625" style="86" customWidth="1"/>
    <col min="45" max="45" width="3.59765625" style="86" customWidth="1"/>
    <col min="46" max="46" width="9" style="86" customWidth="1"/>
    <col min="47" max="47" width="9" style="86" hidden="1" customWidth="1"/>
    <col min="48" max="48" width="32.5" style="86" hidden="1" customWidth="1"/>
    <col min="49" max="49" width="4.3984375" style="86" hidden="1" customWidth="1"/>
    <col min="50" max="50" width="2" style="86" hidden="1" customWidth="1"/>
    <col min="51" max="52" width="4.59765625" style="86" hidden="1" customWidth="1"/>
    <col min="53" max="54" width="9" style="86" hidden="1" customWidth="1"/>
    <col min="55" max="55" width="2.59765625" style="86" hidden="1" customWidth="1"/>
    <col min="56" max="56" width="9" style="86" hidden="1" customWidth="1"/>
    <col min="57" max="57" width="33.8984375" style="86" hidden="1" customWidth="1"/>
    <col min="58" max="58" width="4.3984375" style="86" hidden="1" customWidth="1"/>
    <col min="59" max="59" width="2" style="86" hidden="1" customWidth="1"/>
    <col min="60" max="61" width="4.59765625" style="86" hidden="1" customWidth="1"/>
    <col min="62" max="63" width="9" style="86" hidden="1" customWidth="1"/>
    <col min="64" max="75" width="9" style="86" customWidth="1"/>
    <col min="76" max="16384" width="9" style="86"/>
  </cols>
  <sheetData>
    <row r="1" spans="1:63" ht="12.9" customHeight="1" thickBot="1">
      <c r="AU1" s="140"/>
      <c r="AV1" s="279"/>
      <c r="AW1" s="279"/>
      <c r="AX1" s="140"/>
      <c r="AY1" s="140"/>
      <c r="AZ1" s="140"/>
      <c r="BA1" s="140"/>
      <c r="BB1" s="140"/>
      <c r="BC1" s="140"/>
      <c r="BD1" s="140"/>
      <c r="BE1" s="140"/>
      <c r="BF1" s="140"/>
      <c r="BG1" s="140"/>
      <c r="BH1" s="140"/>
      <c r="BI1" s="140"/>
      <c r="BJ1" s="140"/>
      <c r="BK1" s="140"/>
    </row>
    <row r="2" spans="1:63" ht="23.1" customHeight="1" thickBot="1">
      <c r="B2" s="475" t="str">
        <f>verze!E13</f>
        <v>&lt;&lt;  zpět</v>
      </c>
      <c r="C2" s="476"/>
      <c r="D2" s="476"/>
      <c r="E2" s="477"/>
      <c r="G2" s="513" t="str">
        <f>verze!E6</f>
        <v xml:space="preserve"> Úvod</v>
      </c>
      <c r="H2" s="514"/>
      <c r="I2" s="514"/>
      <c r="J2" s="514"/>
      <c r="K2" s="515"/>
      <c r="O2" s="500" t="str">
        <f>verze!E7</f>
        <v xml:space="preserve"> Výběr zásuvek</v>
      </c>
      <c r="P2" s="501"/>
      <c r="Q2" s="501"/>
      <c r="R2" s="501"/>
      <c r="S2" s="502"/>
      <c r="U2" s="513" t="str">
        <f>verze!E8</f>
        <v xml:space="preserve"> </v>
      </c>
      <c r="V2" s="514"/>
      <c r="W2" s="514"/>
      <c r="X2" s="514"/>
      <c r="Y2" s="515"/>
      <c r="AA2" s="513" t="str">
        <f>verze!E9</f>
        <v xml:space="preserve"> </v>
      </c>
      <c r="AB2" s="514"/>
      <c r="AC2" s="514"/>
      <c r="AD2" s="514"/>
      <c r="AE2" s="515"/>
      <c r="AI2" s="513" t="str">
        <f>verze!E10</f>
        <v xml:space="preserve"> Objednávka</v>
      </c>
      <c r="AJ2" s="514"/>
      <c r="AK2" s="514"/>
      <c r="AL2" s="514"/>
      <c r="AM2" s="515"/>
      <c r="AO2" s="475" t="str">
        <f>verze!E14</f>
        <v>vpřed  &gt;&gt;</v>
      </c>
      <c r="AP2" s="476"/>
      <c r="AQ2" s="476"/>
      <c r="AR2" s="477"/>
      <c r="AV2" s="143"/>
      <c r="AW2" s="143"/>
    </row>
    <row r="3" spans="1:63" ht="12.9" customHeight="1">
      <c r="AV3" s="143"/>
      <c r="AW3" s="143"/>
    </row>
    <row r="4" spans="1:63" ht="23.1" customHeight="1">
      <c r="A4" s="89"/>
      <c r="B4" s="93" t="str">
        <f>verze!E206&amp;" AVANTECH YOU  101"</f>
        <v>Zásuvka AVANTECH YOU  101</v>
      </c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U4" s="94" t="s">
        <v>33</v>
      </c>
      <c r="AW4" s="285">
        <f>IF(FORM!AU13=FORM!U18,1,0)</f>
        <v>1</v>
      </c>
      <c r="BB4" s="322">
        <f>SUM(BB5:BB990)</f>
        <v>0</v>
      </c>
      <c r="BD4" s="94" t="s">
        <v>34</v>
      </c>
      <c r="BK4" s="322">
        <f>SUM(BK5:BK985)</f>
        <v>0</v>
      </c>
    </row>
    <row r="5" spans="1:63" ht="14.4" customHeight="1">
      <c r="AU5" s="319">
        <f>OBJ!B39</f>
        <v>9353335</v>
      </c>
      <c r="AV5" s="21" t="str">
        <f>VLOOKUP(AU5,CENY!$B$11:$G$1054,2,FALSE)</f>
        <v>AvanY-sólo oceľ.boky-NW 101/400mm/strieb.</v>
      </c>
      <c r="AW5" s="22">
        <f>VLOOKUP(AU5,CENY!$B$11:$G$1054,3,FALSE)</f>
        <v>1</v>
      </c>
      <c r="AX5" s="362">
        <v>4</v>
      </c>
      <c r="AY5" s="23">
        <f>O19+O20+O27+O28+O30</f>
        <v>0</v>
      </c>
      <c r="AZ5" s="326">
        <f>IF(AY5="","",IF($AW$4=1,AY5,0))</f>
        <v>0</v>
      </c>
      <c r="BA5" s="95">
        <f>VLOOKUP(AU5,CENY!$B$11:$M$2025,12,FALSE)</f>
        <v>545.66444999999999</v>
      </c>
      <c r="BB5" s="95">
        <f t="shared" ref="BB5:BB66" si="0">IF(BA5="","",BA5*AY5)</f>
        <v>0</v>
      </c>
      <c r="BD5" s="319">
        <f>OBJ!B50</f>
        <v>9255008</v>
      </c>
      <c r="BE5" s="21" t="str">
        <f>VLOOKUP(BD5,CENY!$B$11:$G$1054,2,FALSE)</f>
        <v>AvanY-bok ľavý /v101/h270/ strieborná</v>
      </c>
      <c r="BF5" s="22">
        <f>VLOOKUP(BD5,CENY!$B$11:$G$1054,3,FALSE)</f>
        <v>20</v>
      </c>
      <c r="BG5" s="361"/>
      <c r="BH5" s="23">
        <f>AY5</f>
        <v>0</v>
      </c>
      <c r="BI5" s="326">
        <f>IF(BH5="","",IF($AW$4=0,BH5,0))</f>
        <v>0</v>
      </c>
      <c r="BJ5" s="95">
        <f>VLOOKUP(BD5,CENY!$B$11:$M$2025,12,FALSE)</f>
        <v>208.07782</v>
      </c>
      <c r="BK5" s="95">
        <f>IF(BJ5="","",BJ5*BH5)</f>
        <v>0</v>
      </c>
    </row>
    <row r="6" spans="1:63" ht="14.4" customHeight="1">
      <c r="B6" s="549" t="str">
        <f>" "&amp;verze!E90</f>
        <v xml:space="preserve"> bočnice:</v>
      </c>
      <c r="C6" s="549"/>
      <c r="D6" s="549"/>
      <c r="E6" s="549"/>
      <c r="F6" s="564" t="s">
        <v>283</v>
      </c>
      <c r="G6" s="564"/>
      <c r="H6" s="564"/>
      <c r="I6" s="564"/>
      <c r="J6" s="564"/>
      <c r="K6" s="564"/>
      <c r="AU6" s="319">
        <f>OBJ!B40</f>
        <v>9353336</v>
      </c>
      <c r="AV6" s="21" t="str">
        <f>VLOOKUP(AU6,CENY!$B$11:$G$1054,2,FALSE)</f>
        <v>AvanY-sólo oceľ.boky-NW 101/450mm/strieb.</v>
      </c>
      <c r="AW6" s="22">
        <f>VLOOKUP(AU6,CENY!$B$11:$G$1054,3,FALSE)</f>
        <v>1</v>
      </c>
      <c r="AX6" s="362">
        <v>4</v>
      </c>
      <c r="AY6" s="23">
        <f>Q19+Q20+Q27+Q28+Q30</f>
        <v>0</v>
      </c>
      <c r="AZ6" s="326">
        <f t="shared" ref="AZ6:AZ67" si="1">IF(AY6="","",IF($AW$4=1,AY6,0))</f>
        <v>0</v>
      </c>
      <c r="BA6" s="95">
        <f>VLOOKUP(AU6,CENY!$B$11:$M$2025,12,FALSE)</f>
        <v>550.21777999999995</v>
      </c>
      <c r="BB6" s="95">
        <f t="shared" si="0"/>
        <v>0</v>
      </c>
      <c r="BD6" s="319">
        <f>OBJ!B51</f>
        <v>9255009</v>
      </c>
      <c r="BE6" s="21" t="str">
        <f>VLOOKUP(BD6,CENY!$B$11:$G$1054,2,FALSE)</f>
        <v>AvanY-bok pravý /v101/h270/ strieborná</v>
      </c>
      <c r="BF6" s="22">
        <f>VLOOKUP(BD6,CENY!$B$11:$G$1054,3,FALSE)</f>
        <v>20</v>
      </c>
      <c r="BG6" s="361"/>
      <c r="BH6" s="23">
        <f>AY5</f>
        <v>0</v>
      </c>
      <c r="BI6" s="326">
        <f t="shared" ref="BI6:BI69" si="2">IF(BH6="","",IF($AW$4=0,BH6,0))</f>
        <v>0</v>
      </c>
      <c r="BJ6" s="95">
        <f>VLOOKUP(BD6,CENY!$B$11:$M$2025,12,FALSE)</f>
        <v>208.07782</v>
      </c>
      <c r="BK6" s="95">
        <f t="shared" ref="BK6:BK69" si="3">IF(BJ6="","",BJ6*BH6)</f>
        <v>0</v>
      </c>
    </row>
    <row r="7" spans="1:63" ht="14.4" customHeight="1">
      <c r="B7" s="549" t="str">
        <f>" "&amp;verze!E56</f>
        <v xml:space="preserve"> barva:</v>
      </c>
      <c r="C7" s="549"/>
      <c r="D7" s="549"/>
      <c r="E7" s="549"/>
      <c r="F7" s="564" t="str">
        <f>" "&amp;FORM!U8</f>
        <v xml:space="preserve"> stříbrná</v>
      </c>
      <c r="G7" s="564"/>
      <c r="H7" s="564"/>
      <c r="I7" s="564"/>
      <c r="J7" s="564"/>
      <c r="K7" s="564"/>
      <c r="AU7" s="319">
        <f>OBJ!B41</f>
        <v>9353337</v>
      </c>
      <c r="AV7" s="21" t="str">
        <f>VLOOKUP(AU7,CENY!$B$11:$G$1054,2,FALSE)</f>
        <v>AvanY-sólo oceľ.boky-NW 101/500mm/strieb.</v>
      </c>
      <c r="AW7" s="22">
        <f>VLOOKUP(AU7,CENY!$B$11:$G$1054,3,FALSE)</f>
        <v>1</v>
      </c>
      <c r="AX7" s="362">
        <v>6</v>
      </c>
      <c r="AY7" s="23">
        <f>S19+S20+S27+S28+S30</f>
        <v>0</v>
      </c>
      <c r="AZ7" s="326">
        <f t="shared" si="1"/>
        <v>0</v>
      </c>
      <c r="BA7" s="95">
        <f>VLOOKUP(AU7,CENY!$B$11:$M$2025,12,FALSE)</f>
        <v>557.82863999999995</v>
      </c>
      <c r="BB7" s="95">
        <f t="shared" si="0"/>
        <v>0</v>
      </c>
      <c r="BD7" s="319">
        <f>OBJ!B52</f>
        <v>9255010</v>
      </c>
      <c r="BE7" s="21" t="str">
        <f>VLOOKUP(BD7,CENY!$B$11:$G$1054,2,FALSE)</f>
        <v>AvanY-bok ľavý /v101/h300/ strieborná</v>
      </c>
      <c r="BF7" s="22">
        <f>VLOOKUP(BD7,CENY!$B$11:$G$1054,3,FALSE)</f>
        <v>20</v>
      </c>
      <c r="BG7" s="361"/>
      <c r="BH7" s="23">
        <f>AY6</f>
        <v>0</v>
      </c>
      <c r="BI7" s="326">
        <f t="shared" si="2"/>
        <v>0</v>
      </c>
      <c r="BJ7" s="95">
        <f>VLOOKUP(BD7,CENY!$B$11:$M$2025,12,FALSE)</f>
        <v>210.40101000000001</v>
      </c>
      <c r="BK7" s="95">
        <f t="shared" si="3"/>
        <v>0</v>
      </c>
    </row>
    <row r="8" spans="1:63" ht="14.4" customHeight="1">
      <c r="B8" s="549" t="str">
        <f>" "&amp;verze!E70</f>
        <v xml:space="preserve"> dekorativní profil:</v>
      </c>
      <c r="C8" s="549"/>
      <c r="D8" s="549"/>
      <c r="E8" s="549"/>
      <c r="F8" s="564" t="str">
        <f>" "&amp;FORM!AM18</f>
        <v xml:space="preserve"> v barvě bočnice</v>
      </c>
      <c r="G8" s="564"/>
      <c r="H8" s="564"/>
      <c r="I8" s="564"/>
      <c r="J8" s="564"/>
      <c r="K8" s="564"/>
      <c r="AU8" s="319">
        <f>OBJ!B42</f>
        <v>9353338</v>
      </c>
      <c r="AV8" s="21" t="str">
        <f>VLOOKUP(AU8,CENY!$B$11:$G$1054,2,FALSE)</f>
        <v>AvanY-sólo oceľ.boky-NW 101/550mm/strieb.</v>
      </c>
      <c r="AW8" s="22">
        <f>VLOOKUP(AU8,CENY!$B$11:$G$1054,3,FALSE)</f>
        <v>1</v>
      </c>
      <c r="AX8" s="362">
        <v>6</v>
      </c>
      <c r="AY8" s="23">
        <f>U20+U28+U30</f>
        <v>0</v>
      </c>
      <c r="AZ8" s="326">
        <f t="shared" si="1"/>
        <v>0</v>
      </c>
      <c r="BA8" s="95">
        <f>VLOOKUP(AU8,CENY!$B$11:$M$2025,12,FALSE)</f>
        <v>565.42625999999996</v>
      </c>
      <c r="BB8" s="95">
        <f t="shared" si="0"/>
        <v>0</v>
      </c>
      <c r="BD8" s="319">
        <f>OBJ!B53</f>
        <v>9255011</v>
      </c>
      <c r="BE8" s="21" t="str">
        <f>VLOOKUP(BD8,CENY!$B$11:$G$1054,2,FALSE)</f>
        <v>AvanY-bok pravý /v101/h300/ strieborná</v>
      </c>
      <c r="BF8" s="22">
        <f>VLOOKUP(BD8,CENY!$B$11:$G$1054,3,FALSE)</f>
        <v>20</v>
      </c>
      <c r="BG8" s="361"/>
      <c r="BH8" s="23">
        <f>AY6</f>
        <v>0</v>
      </c>
      <c r="BI8" s="326">
        <f t="shared" si="2"/>
        <v>0</v>
      </c>
      <c r="BJ8" s="95">
        <f>VLOOKUP(BD8,CENY!$B$11:$M$2025,12,FALSE)</f>
        <v>210.40101000000001</v>
      </c>
      <c r="BK8" s="95">
        <f t="shared" si="3"/>
        <v>0</v>
      </c>
    </row>
    <row r="9" spans="1:63" ht="14.4" customHeight="1">
      <c r="B9" s="550"/>
      <c r="C9" s="558"/>
      <c r="D9" s="558"/>
      <c r="E9" s="559"/>
      <c r="F9" s="560"/>
      <c r="G9" s="561"/>
      <c r="H9" s="561"/>
      <c r="I9" s="561"/>
      <c r="J9" s="561"/>
      <c r="K9" s="562"/>
      <c r="AU9" s="319">
        <f>OBJ!B43</f>
        <v>9353339</v>
      </c>
      <c r="AV9" s="21" t="str">
        <f>VLOOKUP(AU9,CENY!$B$11:$G$1054,2,FALSE)</f>
        <v>AvanY-sólo oceľ.boky-NW 101/600mm/strieb.</v>
      </c>
      <c r="AW9" s="22">
        <f>VLOOKUP(AU9,CENY!$B$11:$G$1054,3,FALSE)</f>
        <v>1</v>
      </c>
      <c r="AX9" s="362">
        <v>6</v>
      </c>
      <c r="AY9" s="23">
        <f>W20+W22+W28+W30</f>
        <v>0</v>
      </c>
      <c r="AZ9" s="326">
        <f t="shared" si="1"/>
        <v>0</v>
      </c>
      <c r="BA9" s="95">
        <f>VLOOKUP(AU9,CENY!$B$11:$M$2025,12,FALSE)</f>
        <v>557.79244000000006</v>
      </c>
      <c r="BB9" s="95">
        <f t="shared" si="0"/>
        <v>0</v>
      </c>
      <c r="BD9" s="319">
        <f>OBJ!B54</f>
        <v>9255012</v>
      </c>
      <c r="BE9" s="21" t="str">
        <f>VLOOKUP(BD9,CENY!$B$11:$G$1054,2,FALSE)</f>
        <v>AvanY-bok ľavý /v101/h350/ strieborná</v>
      </c>
      <c r="BF9" s="22">
        <f>VLOOKUP(BD9,CENY!$B$11:$G$1054,3,FALSE)</f>
        <v>20</v>
      </c>
      <c r="BG9" s="361"/>
      <c r="BH9" s="23">
        <f>AY7</f>
        <v>0</v>
      </c>
      <c r="BI9" s="326">
        <f t="shared" si="2"/>
        <v>0</v>
      </c>
      <c r="BJ9" s="95">
        <f>VLOOKUP(BD9,CENY!$B$11:$M$2025,12,FALSE)</f>
        <v>214.27737999999999</v>
      </c>
      <c r="BK9" s="95">
        <f t="shared" si="3"/>
        <v>0</v>
      </c>
    </row>
    <row r="10" spans="1:63" ht="14.4" customHeight="1">
      <c r="B10" s="549" t="str">
        <f>" "&amp;verze!E57</f>
        <v xml:space="preserve"> čelní kování:</v>
      </c>
      <c r="C10" s="549"/>
      <c r="D10" s="549"/>
      <c r="E10" s="549"/>
      <c r="F10" s="563" t="str">
        <f>" "&amp;FORM!AM8</f>
        <v xml:space="preserve"> na vruty</v>
      </c>
      <c r="G10" s="563"/>
      <c r="H10" s="563"/>
      <c r="I10" s="563"/>
      <c r="J10" s="563"/>
      <c r="K10" s="563"/>
      <c r="AU10" s="319">
        <f>OBJ!B44</f>
        <v>9353340</v>
      </c>
      <c r="AV10" s="21" t="str">
        <f>VLOOKUP(AU10,CENY!$B$11:$G$1054,2,FALSE)</f>
        <v>AvanY-sólo oceľ.boky-NW 101/650mm/strieb.</v>
      </c>
      <c r="AW10" s="22">
        <f>VLOOKUP(AU10,CENY!$B$11:$G$1054,3,FALSE)</f>
        <v>1</v>
      </c>
      <c r="AX10" s="362">
        <v>8</v>
      </c>
      <c r="AY10" s="23">
        <f>Y20+Y22+Y28+Y30</f>
        <v>0</v>
      </c>
      <c r="AZ10" s="326">
        <f t="shared" si="1"/>
        <v>0</v>
      </c>
      <c r="BA10" s="95">
        <f>VLOOKUP(AU10,CENY!$B$11:$M$2025,12,FALSE)</f>
        <v>565.19020999999998</v>
      </c>
      <c r="BB10" s="95">
        <f t="shared" si="0"/>
        <v>0</v>
      </c>
      <c r="BD10" s="319">
        <f>OBJ!B55</f>
        <v>9255013</v>
      </c>
      <c r="BE10" s="21" t="str">
        <f>VLOOKUP(BD10,CENY!$B$11:$G$1054,2,FALSE)</f>
        <v>AvanY-bok pravý /v101/h350/ strieborná</v>
      </c>
      <c r="BF10" s="22">
        <f>VLOOKUP(BD10,CENY!$B$11:$G$1054,3,FALSE)</f>
        <v>20</v>
      </c>
      <c r="BG10" s="361"/>
      <c r="BH10" s="23">
        <f>AY7</f>
        <v>0</v>
      </c>
      <c r="BI10" s="326">
        <f t="shared" si="2"/>
        <v>0</v>
      </c>
      <c r="BJ10" s="95">
        <f>VLOOKUP(BD10,CENY!$B$11:$M$2025,12,FALSE)</f>
        <v>214.27737999999999</v>
      </c>
      <c r="BK10" s="95">
        <f t="shared" si="3"/>
        <v>0</v>
      </c>
    </row>
    <row r="11" spans="1:63" ht="14.4" customHeight="1">
      <c r="B11" s="549" t="str">
        <f>" "&amp;verze!E76</f>
        <v xml:space="preserve"> krytka:</v>
      </c>
      <c r="C11" s="549"/>
      <c r="D11" s="549"/>
      <c r="E11" s="549"/>
      <c r="F11" s="563" t="str">
        <f>" "&amp;FORM!AM21</f>
        <v xml:space="preserve"> žádná</v>
      </c>
      <c r="G11" s="563"/>
      <c r="H11" s="563"/>
      <c r="I11" s="563"/>
      <c r="J11" s="563"/>
      <c r="K11" s="563"/>
      <c r="AU11" s="319">
        <f>OBJ!B45</f>
        <v>9353341</v>
      </c>
      <c r="AV11" s="21" t="str">
        <f>VLOOKUP(AU11,CENY!$B$11:$G$1054,2,FALSE)</f>
        <v>AvanY-sólo oceľ.boky-NW 101/270mm/biela</v>
      </c>
      <c r="AW11" s="22">
        <f>VLOOKUP(AU11,CENY!$B$11:$G$1054,3,FALSE)</f>
        <v>1</v>
      </c>
      <c r="AX11" s="362">
        <v>8</v>
      </c>
      <c r="AY11" s="23">
        <f>AA20+AA22+AA28+AA30</f>
        <v>0</v>
      </c>
      <c r="AZ11" s="326">
        <f t="shared" si="1"/>
        <v>0</v>
      </c>
      <c r="BA11" s="95">
        <f>VLOOKUP(AU11,CENY!$B$11:$M$2025,12,FALSE)</f>
        <v>588.23680999999999</v>
      </c>
      <c r="BB11" s="95">
        <f t="shared" si="0"/>
        <v>0</v>
      </c>
      <c r="BD11" s="319">
        <f>OBJ!B56</f>
        <v>9255014</v>
      </c>
      <c r="BE11" s="21" t="str">
        <f>VLOOKUP(BD11,CENY!$B$11:$G$1054,2,FALSE)</f>
        <v>AvanY-bok ľavý /v101/h400/ strieborná</v>
      </c>
      <c r="BF11" s="22">
        <f>VLOOKUP(BD11,CENY!$B$11:$G$1054,3,FALSE)</f>
        <v>20</v>
      </c>
      <c r="BG11" s="361"/>
      <c r="BH11" s="23">
        <f>AY8</f>
        <v>0</v>
      </c>
      <c r="BI11" s="326">
        <f t="shared" si="2"/>
        <v>0</v>
      </c>
      <c r="BJ11" s="95">
        <f>VLOOKUP(BD11,CENY!$B$11:$M$2025,12,FALSE)</f>
        <v>218.14608000000001</v>
      </c>
      <c r="BK11" s="95">
        <f t="shared" si="3"/>
        <v>0</v>
      </c>
    </row>
    <row r="12" spans="1:63" ht="14.4" customHeight="1" thickBot="1">
      <c r="B12" s="549"/>
      <c r="C12" s="549"/>
      <c r="D12" s="549"/>
      <c r="E12" s="550"/>
      <c r="F12" s="551"/>
      <c r="G12" s="552"/>
      <c r="H12" s="552"/>
      <c r="I12" s="552"/>
      <c r="J12" s="553"/>
      <c r="K12" s="554"/>
      <c r="AU12" s="319">
        <f>OBJ!B46</f>
        <v>9353342</v>
      </c>
      <c r="AV12" s="21" t="str">
        <f>VLOOKUP(AU12,CENY!$B$11:$G$1054,2,FALSE)</f>
        <v>AvanY-sólo oceľ.boky-NW 101/300mm/biela</v>
      </c>
      <c r="AW12" s="22">
        <f>VLOOKUP(AU12,CENY!$B$11:$G$1054,3,FALSE)</f>
        <v>1</v>
      </c>
      <c r="AX12" s="362">
        <v>8</v>
      </c>
      <c r="AY12" s="23">
        <f>AC20+AC22+AC28+AC30</f>
        <v>0</v>
      </c>
      <c r="AZ12" s="326">
        <f t="shared" si="1"/>
        <v>0</v>
      </c>
      <c r="BA12" s="95">
        <f>VLOOKUP(AU12,CENY!$B$11:$M$2025,12,FALSE)</f>
        <v>600.62784999999997</v>
      </c>
      <c r="BB12" s="95">
        <f t="shared" si="0"/>
        <v>0</v>
      </c>
      <c r="BD12" s="319">
        <f>OBJ!B57</f>
        <v>9255015</v>
      </c>
      <c r="BE12" s="21" t="str">
        <f>VLOOKUP(BD12,CENY!$B$11:$G$1054,2,FALSE)</f>
        <v>AvanY-bok pravý /v101/h400/ strieborná</v>
      </c>
      <c r="BF12" s="22">
        <f>VLOOKUP(BD12,CENY!$B$11:$G$1054,3,FALSE)</f>
        <v>20</v>
      </c>
      <c r="BG12" s="361"/>
      <c r="BH12" s="23">
        <f>AY8</f>
        <v>0</v>
      </c>
      <c r="BI12" s="326">
        <f t="shared" si="2"/>
        <v>0</v>
      </c>
      <c r="BJ12" s="95">
        <f>VLOOKUP(BD12,CENY!$B$11:$M$2025,12,FALSE)</f>
        <v>218.14608000000001</v>
      </c>
      <c r="BK12" s="95">
        <f t="shared" si="3"/>
        <v>0</v>
      </c>
    </row>
    <row r="13" spans="1:63" ht="14.4" customHeight="1">
      <c r="B13" s="549" t="str">
        <f>" "&amp;verze!E92</f>
        <v xml:space="preserve"> cena kování:</v>
      </c>
      <c r="C13" s="549"/>
      <c r="D13" s="549"/>
      <c r="E13" s="550"/>
      <c r="F13" s="555">
        <f>IF(AW4=1,BB4,BK4)</f>
        <v>0</v>
      </c>
      <c r="G13" s="555"/>
      <c r="H13" s="555"/>
      <c r="I13" s="555"/>
      <c r="J13" s="556" t="str">
        <f>IF(verze!E1="CZK","CZK","EUR")</f>
        <v>CZK</v>
      </c>
      <c r="K13" s="557"/>
      <c r="AU13" s="319">
        <f>OBJ!B47</f>
        <v>9353343</v>
      </c>
      <c r="AV13" s="21" t="str">
        <f>VLOOKUP(AU13,CENY!$B$11:$G$1054,2,FALSE)</f>
        <v>AvanY-sólo oceľ.boky-NW 101/350mm/biela</v>
      </c>
      <c r="AW13" s="22">
        <f>VLOOKUP(AU13,CENY!$B$11:$G$1054,3,FALSE)</f>
        <v>1</v>
      </c>
      <c r="AX13" s="362">
        <v>10</v>
      </c>
      <c r="AY13" s="23">
        <f>AE22</f>
        <v>0</v>
      </c>
      <c r="AZ13" s="326">
        <f t="shared" si="1"/>
        <v>0</v>
      </c>
      <c r="BA13" s="95">
        <f>VLOOKUP(AU13,CENY!$B$11:$M$2025,12,FALSE)</f>
        <v>618.65596000000005</v>
      </c>
      <c r="BB13" s="95">
        <f t="shared" si="0"/>
        <v>0</v>
      </c>
      <c r="BD13" s="319">
        <f>OBJ!B58</f>
        <v>9255016</v>
      </c>
      <c r="BE13" s="21" t="str">
        <f>VLOOKUP(BD13,CENY!$B$11:$G$1054,2,FALSE)</f>
        <v>AvanY-bok ľavý /v101/h450/ strieborná</v>
      </c>
      <c r="BF13" s="22">
        <f>VLOOKUP(BD13,CENY!$B$11:$G$1054,3,FALSE)</f>
        <v>20</v>
      </c>
      <c r="BG13" s="361"/>
      <c r="BH13" s="23">
        <f>AY9</f>
        <v>0</v>
      </c>
      <c r="BI13" s="326">
        <f t="shared" si="2"/>
        <v>0</v>
      </c>
      <c r="BJ13" s="95">
        <f>VLOOKUP(BD13,CENY!$B$11:$M$2025,12,FALSE)</f>
        <v>222.02244999999999</v>
      </c>
      <c r="BK13" s="95">
        <f t="shared" si="3"/>
        <v>0</v>
      </c>
    </row>
    <row r="14" spans="1:63" ht="14.4" customHeight="1">
      <c r="AU14" s="319"/>
      <c r="AV14" s="21"/>
      <c r="AW14" s="22"/>
      <c r="AX14" s="22"/>
      <c r="AY14" s="23"/>
      <c r="AZ14" s="326" t="str">
        <f t="shared" si="1"/>
        <v/>
      </c>
      <c r="BA14" s="95"/>
      <c r="BB14" s="95" t="str">
        <f t="shared" si="0"/>
        <v/>
      </c>
      <c r="BD14" s="319">
        <f>OBJ!B59</f>
        <v>9255017</v>
      </c>
      <c r="BE14" s="21" t="str">
        <f>VLOOKUP(BD14,CENY!$B$11:$G$1054,2,FALSE)</f>
        <v>AvanY-bok pravý /v101/h450/ strieborná</v>
      </c>
      <c r="BF14" s="22">
        <f>VLOOKUP(BD14,CENY!$B$11:$G$1054,3,FALSE)</f>
        <v>20</v>
      </c>
      <c r="BG14" s="361"/>
      <c r="BH14" s="23">
        <f>AY9</f>
        <v>0</v>
      </c>
      <c r="BI14" s="326">
        <f t="shared" si="2"/>
        <v>0</v>
      </c>
      <c r="BJ14" s="95">
        <f>VLOOKUP(BD14,CENY!$B$11:$M$2025,12,FALSE)</f>
        <v>222.02244999999999</v>
      </c>
      <c r="BK14" s="95">
        <f t="shared" si="3"/>
        <v>0</v>
      </c>
    </row>
    <row r="15" spans="1:63" ht="14.4" customHeight="1">
      <c r="AU15" s="319">
        <f>OBJ!B71</f>
        <v>9347502</v>
      </c>
      <c r="AV15" s="21" t="str">
        <f>VLOOKUP(AU15,CENY!$B$11:$G$1054,2,FALSE)</f>
        <v>AvanY-design ALprofil Hybrid na bok 270/ strieb.</v>
      </c>
      <c r="AW15" s="22">
        <f>VLOOKUP(AU15,CENY!$B$11:$G$1054,3,FALSE)</f>
        <v>200</v>
      </c>
      <c r="AX15" s="22"/>
      <c r="AY15" s="23">
        <f>IF(FORM!AM18=FORM!AU16,0,2*(O19+O20+O27+O28+O30))</f>
        <v>0</v>
      </c>
      <c r="AZ15" s="326">
        <f t="shared" si="1"/>
        <v>0</v>
      </c>
      <c r="BA15" s="95">
        <f>VLOOKUP(AU15,CENY!$B$11:$M$2025,12,FALSE)</f>
        <v>19.78839</v>
      </c>
      <c r="BB15" s="95">
        <f t="shared" si="0"/>
        <v>0</v>
      </c>
      <c r="BD15" s="319">
        <f>OBJ!B60</f>
        <v>9255018</v>
      </c>
      <c r="BE15" s="21" t="str">
        <f>VLOOKUP(BD15,CENY!$B$11:$G$1054,2,FALSE)</f>
        <v>AvanY-bok ľavý /v101/h500/ strieborná</v>
      </c>
      <c r="BF15" s="22">
        <f>VLOOKUP(BD15,CENY!$B$11:$G$1054,3,FALSE)</f>
        <v>20</v>
      </c>
      <c r="BG15" s="361"/>
      <c r="BH15" s="23">
        <f>AY10</f>
        <v>0</v>
      </c>
      <c r="BI15" s="326">
        <f t="shared" si="2"/>
        <v>0</v>
      </c>
      <c r="BJ15" s="95">
        <f>VLOOKUP(BD15,CENY!$B$11:$M$2025,12,FALSE)</f>
        <v>219.88341</v>
      </c>
      <c r="BK15" s="95">
        <f t="shared" si="3"/>
        <v>0</v>
      </c>
    </row>
    <row r="16" spans="1:63" ht="14.4" customHeight="1">
      <c r="AU16" s="319">
        <f>OBJ!B72</f>
        <v>9347503</v>
      </c>
      <c r="AV16" s="21" t="str">
        <f>VLOOKUP(AU16,CENY!$B$11:$G$1054,2,FALSE)</f>
        <v>AvanY-design ALprofil Hybrid na bok 300/ strieb.</v>
      </c>
      <c r="AW16" s="22">
        <f>VLOOKUP(AU16,CENY!$B$11:$G$1054,3,FALSE)</f>
        <v>200</v>
      </c>
      <c r="AX16" s="22"/>
      <c r="AY16" s="23">
        <f>IF(FORM!AM18=FORM!AU16,0,2*(Q19+Q20+Q27+Q28+Q30))</f>
        <v>0</v>
      </c>
      <c r="AZ16" s="326">
        <f t="shared" si="1"/>
        <v>0</v>
      </c>
      <c r="BA16" s="95">
        <f>VLOOKUP(AU16,CENY!$B$11:$M$2025,12,FALSE)</f>
        <v>20.006769999999999</v>
      </c>
      <c r="BB16" s="95">
        <f t="shared" si="0"/>
        <v>0</v>
      </c>
      <c r="BD16" s="319">
        <f>OBJ!B61</f>
        <v>9255019</v>
      </c>
      <c r="BE16" s="21" t="str">
        <f>VLOOKUP(BD16,CENY!$B$11:$G$1054,2,FALSE)</f>
        <v>AvanY-bok pravý /v101/h500/ strieborná</v>
      </c>
      <c r="BF16" s="22">
        <f>VLOOKUP(BD16,CENY!$B$11:$G$1054,3,FALSE)</f>
        <v>20</v>
      </c>
      <c r="BG16" s="361"/>
      <c r="BH16" s="23">
        <f>AY10</f>
        <v>0</v>
      </c>
      <c r="BI16" s="326">
        <f t="shared" si="2"/>
        <v>0</v>
      </c>
      <c r="BJ16" s="95">
        <f>VLOOKUP(BD16,CENY!$B$11:$M$2025,12,FALSE)</f>
        <v>219.88341</v>
      </c>
      <c r="BK16" s="95">
        <f t="shared" si="3"/>
        <v>0</v>
      </c>
    </row>
    <row r="17" spans="2:63" ht="14.4" customHeight="1" thickBot="1">
      <c r="B17" s="1" t="s">
        <v>284</v>
      </c>
      <c r="O17" s="547" t="str">
        <f>FORM!U18</f>
        <v>flexibilní sety</v>
      </c>
      <c r="P17" s="548"/>
      <c r="Q17" s="548"/>
      <c r="R17" s="548"/>
      <c r="S17" s="548"/>
      <c r="T17" s="548"/>
      <c r="U17" s="548"/>
      <c r="V17" s="548"/>
      <c r="W17" s="548"/>
      <c r="X17" s="548"/>
      <c r="Y17" s="548"/>
      <c r="Z17" s="548"/>
      <c r="AA17" s="548"/>
      <c r="AB17" s="548"/>
      <c r="AC17" s="548"/>
      <c r="AD17" s="548"/>
      <c r="AE17" s="548"/>
      <c r="AF17" s="548"/>
      <c r="AI17" s="540" t="str">
        <f>verze!E198</f>
        <v>P2O Silent pro Actro</v>
      </c>
      <c r="AJ17" s="541"/>
      <c r="AK17" s="541"/>
      <c r="AL17" s="541"/>
      <c r="AM17" s="541"/>
      <c r="AN17" s="541"/>
      <c r="AO17" s="541"/>
      <c r="AU17" s="319">
        <f>OBJ!B73</f>
        <v>9347504</v>
      </c>
      <c r="AV17" s="21" t="str">
        <f>VLOOKUP(AU17,CENY!$B$11:$G$1054,2,FALSE)</f>
        <v>AvanY-design ALprofil Hybrid na bok 350/ strieb.</v>
      </c>
      <c r="AW17" s="22">
        <f>VLOOKUP(AU17,CENY!$B$11:$G$1054,3,FALSE)</f>
        <v>200</v>
      </c>
      <c r="AX17" s="22"/>
      <c r="AY17" s="23">
        <f>IF(FORM!AM18=FORM!AU16,0,2*(S19+S20+S27+S28+S30))</f>
        <v>0</v>
      </c>
      <c r="AZ17" s="326">
        <f t="shared" si="1"/>
        <v>0</v>
      </c>
      <c r="BA17" s="95">
        <f>VLOOKUP(AU17,CENY!$B$11:$M$2025,12,FALSE)</f>
        <v>20.37642</v>
      </c>
      <c r="BB17" s="95">
        <f t="shared" si="0"/>
        <v>0</v>
      </c>
      <c r="BD17" s="319">
        <f>OBJ!B62</f>
        <v>9255020</v>
      </c>
      <c r="BE17" s="21" t="str">
        <f>VLOOKUP(BD17,CENY!$B$11:$G$1054,2,FALSE)</f>
        <v>AvanY-bok ľavý /v101/h550/ strieborná</v>
      </c>
      <c r="BF17" s="22">
        <f>VLOOKUP(BD17,CENY!$B$11:$G$1054,3,FALSE)</f>
        <v>20</v>
      </c>
      <c r="BG17" s="361"/>
      <c r="BH17" s="23">
        <f>AY11</f>
        <v>0</v>
      </c>
      <c r="BI17" s="326">
        <f t="shared" si="2"/>
        <v>0</v>
      </c>
      <c r="BJ17" s="95">
        <f>VLOOKUP(BD17,CENY!$B$11:$M$2025,12,FALSE)</f>
        <v>229.76492999999999</v>
      </c>
      <c r="BK17" s="95">
        <f t="shared" si="3"/>
        <v>0</v>
      </c>
    </row>
    <row r="18" spans="2:63" ht="14.4" customHeight="1" thickBot="1">
      <c r="B18" s="96"/>
      <c r="C18" s="96"/>
      <c r="D18" s="96"/>
      <c r="E18" s="96"/>
      <c r="F18" s="96"/>
      <c r="G18" s="96"/>
      <c r="H18" s="72"/>
      <c r="I18" s="72"/>
      <c r="J18" s="72"/>
      <c r="K18" s="72"/>
      <c r="L18" s="72"/>
      <c r="M18" s="72"/>
      <c r="N18" s="72" t="str">
        <f>verze!$E$20&amp;" "</f>
        <v xml:space="preserve">Jmenovitá délka: </v>
      </c>
      <c r="O18" s="535">
        <v>270</v>
      </c>
      <c r="P18" s="536"/>
      <c r="Q18" s="535">
        <v>300</v>
      </c>
      <c r="R18" s="536"/>
      <c r="S18" s="535">
        <v>350</v>
      </c>
      <c r="T18" s="536"/>
      <c r="U18" s="535">
        <v>400</v>
      </c>
      <c r="V18" s="536"/>
      <c r="W18" s="535">
        <v>450</v>
      </c>
      <c r="X18" s="536"/>
      <c r="Y18" s="537">
        <v>500</v>
      </c>
      <c r="Z18" s="538"/>
      <c r="AA18" s="535">
        <v>550</v>
      </c>
      <c r="AB18" s="536"/>
      <c r="AC18" s="535">
        <v>600</v>
      </c>
      <c r="AD18" s="536"/>
      <c r="AE18" s="535">
        <v>650</v>
      </c>
      <c r="AF18" s="536"/>
      <c r="AI18" s="543" t="s">
        <v>299</v>
      </c>
      <c r="AJ18" s="543"/>
      <c r="AK18" s="543"/>
      <c r="AL18" s="543"/>
      <c r="AM18" s="543"/>
      <c r="AN18" s="543"/>
      <c r="AO18" s="543"/>
      <c r="AU18" s="319">
        <f>OBJ!B74</f>
        <v>9347505</v>
      </c>
      <c r="AV18" s="21" t="str">
        <f>VLOOKUP(AU18,CENY!$B$11:$G$1054,2,FALSE)</f>
        <v>AvanY-design ALprofil Hybrid na bok 400/ strieb.</v>
      </c>
      <c r="AW18" s="22">
        <f>VLOOKUP(AU18,CENY!$B$11:$G$1054,3,FALSE)</f>
        <v>200</v>
      </c>
      <c r="AX18" s="22"/>
      <c r="AY18" s="23">
        <f>IF(FORM!AM18=FORM!AU16,0,2*(U20+U28+U30))</f>
        <v>0</v>
      </c>
      <c r="AZ18" s="326">
        <f t="shared" si="1"/>
        <v>0</v>
      </c>
      <c r="BA18" s="95">
        <f>VLOOKUP(AU18,CENY!$B$11:$M$2025,12,FALSE)</f>
        <v>20.742249999999999</v>
      </c>
      <c r="BB18" s="95">
        <f t="shared" si="0"/>
        <v>0</v>
      </c>
      <c r="BD18" s="319">
        <f>OBJ!B63</f>
        <v>9255021</v>
      </c>
      <c r="BE18" s="21" t="str">
        <f>VLOOKUP(BD18,CENY!$B$11:$G$1054,2,FALSE)</f>
        <v>AvanY-bok pravý /v101/h550/ strieborná</v>
      </c>
      <c r="BF18" s="22">
        <f>VLOOKUP(BD18,CENY!$B$11:$G$1054,3,FALSE)</f>
        <v>20</v>
      </c>
      <c r="BG18" s="361"/>
      <c r="BH18" s="23">
        <f>AY11</f>
        <v>0</v>
      </c>
      <c r="BI18" s="326">
        <f t="shared" si="2"/>
        <v>0</v>
      </c>
      <c r="BJ18" s="95">
        <f>VLOOKUP(BD18,CENY!$B$11:$M$2025,12,FALSE)</f>
        <v>229.76492999999999</v>
      </c>
      <c r="BK18" s="95">
        <f t="shared" si="3"/>
        <v>0</v>
      </c>
    </row>
    <row r="19" spans="2:63" ht="14.4" customHeight="1" thickBot="1">
      <c r="B19" s="530" t="s">
        <v>289</v>
      </c>
      <c r="C19" s="530"/>
      <c r="D19" s="530"/>
      <c r="E19" s="530"/>
      <c r="F19" s="530"/>
      <c r="G19" s="530"/>
      <c r="H19" s="531" t="str">
        <f>verze!E18</f>
        <v>plnovýsuv</v>
      </c>
      <c r="I19" s="531"/>
      <c r="J19" s="531"/>
      <c r="K19" s="531"/>
      <c r="L19" s="531"/>
      <c r="M19" s="532" t="s">
        <v>286</v>
      </c>
      <c r="N19" s="533"/>
      <c r="O19" s="567"/>
      <c r="P19" s="568"/>
      <c r="Q19" s="567"/>
      <c r="R19" s="568"/>
      <c r="S19" s="567"/>
      <c r="T19" s="568"/>
      <c r="U19" s="283"/>
      <c r="V19" s="284"/>
      <c r="W19" s="283"/>
      <c r="X19" s="284"/>
      <c r="Y19" s="283"/>
      <c r="Z19" s="284"/>
      <c r="AA19" s="283"/>
      <c r="AB19" s="284"/>
      <c r="AC19" s="283"/>
      <c r="AD19" s="284"/>
      <c r="AE19" s="280"/>
      <c r="AF19" s="281"/>
      <c r="AI19" s="289"/>
      <c r="AJ19" s="290"/>
      <c r="AK19" s="289"/>
      <c r="AL19" s="290"/>
      <c r="AM19" s="291" t="s">
        <v>295</v>
      </c>
      <c r="AN19" s="534"/>
      <c r="AO19" s="534"/>
      <c r="AU19" s="319">
        <f>OBJ!B75</f>
        <v>9347506</v>
      </c>
      <c r="AV19" s="21" t="str">
        <f>VLOOKUP(AU19,CENY!$B$11:$G$1054,2,FALSE)</f>
        <v>AvanY-design ALprofil Hybrid na bok 450/ strieb.</v>
      </c>
      <c r="AW19" s="22">
        <f>VLOOKUP(AU19,CENY!$B$11:$G$1054,3,FALSE)</f>
        <v>200</v>
      </c>
      <c r="AX19" s="22"/>
      <c r="AY19" s="23">
        <f>IF(FORM!AM18=FORM!AU16,0,2*(W20+W22+W28+W30))</f>
        <v>0</v>
      </c>
      <c r="AZ19" s="326">
        <f t="shared" si="1"/>
        <v>0</v>
      </c>
      <c r="BA19" s="95">
        <f>VLOOKUP(AU19,CENY!$B$11:$M$2025,12,FALSE)</f>
        <v>21.111910000000002</v>
      </c>
      <c r="BB19" s="95">
        <f t="shared" si="0"/>
        <v>0</v>
      </c>
      <c r="BD19" s="319">
        <f>OBJ!B64</f>
        <v>9255022</v>
      </c>
      <c r="BE19" s="21" t="str">
        <f>VLOOKUP(BD19,CENY!$B$11:$G$1054,2,FALSE)</f>
        <v>AvanY-bok ľavý /v101/h600/ strieborná</v>
      </c>
      <c r="BF19" s="22">
        <f>VLOOKUP(BD19,CENY!$B$11:$G$1054,3,FALSE)</f>
        <v>20</v>
      </c>
      <c r="BG19" s="361"/>
      <c r="BH19" s="23">
        <f>AY12</f>
        <v>0</v>
      </c>
      <c r="BI19" s="326">
        <f t="shared" si="2"/>
        <v>0</v>
      </c>
      <c r="BJ19" s="95">
        <f>VLOOKUP(BD19,CENY!$B$11:$M$2025,12,FALSE)</f>
        <v>235.60476</v>
      </c>
      <c r="BK19" s="95">
        <f t="shared" si="3"/>
        <v>0</v>
      </c>
    </row>
    <row r="20" spans="2:63" ht="14.4" customHeight="1" thickBot="1">
      <c r="B20" s="521" t="s">
        <v>290</v>
      </c>
      <c r="C20" s="521"/>
      <c r="D20" s="521"/>
      <c r="E20" s="521"/>
      <c r="F20" s="521"/>
      <c r="G20" s="521"/>
      <c r="H20" s="522" t="str">
        <f>verze!E18</f>
        <v>plnovýsuv</v>
      </c>
      <c r="I20" s="522"/>
      <c r="J20" s="522"/>
      <c r="K20" s="522"/>
      <c r="L20" s="522"/>
      <c r="M20" s="523" t="s">
        <v>287</v>
      </c>
      <c r="N20" s="546"/>
      <c r="O20" s="516"/>
      <c r="P20" s="517"/>
      <c r="Q20" s="516"/>
      <c r="R20" s="517"/>
      <c r="S20" s="516"/>
      <c r="T20" s="517"/>
      <c r="U20" s="516"/>
      <c r="V20" s="517"/>
      <c r="W20" s="516"/>
      <c r="X20" s="517"/>
      <c r="Y20" s="516"/>
      <c r="Z20" s="517"/>
      <c r="AA20" s="516"/>
      <c r="AB20" s="517"/>
      <c r="AC20" s="565"/>
      <c r="AD20" s="566"/>
      <c r="AE20" s="518"/>
      <c r="AF20" s="519"/>
      <c r="AI20" s="287"/>
      <c r="AJ20" s="288"/>
      <c r="AK20" s="287"/>
      <c r="AL20" s="288"/>
      <c r="AM20" s="286" t="s">
        <v>294</v>
      </c>
      <c r="AN20" s="520"/>
      <c r="AO20" s="520"/>
      <c r="AU20" s="319">
        <f>OBJ!B76</f>
        <v>9347507</v>
      </c>
      <c r="AV20" s="21" t="str">
        <f>VLOOKUP(AU20,CENY!$B$11:$G$1054,2,FALSE)</f>
        <v>AvanY-design ALprofil Hybrid na bok 500/ strieb.</v>
      </c>
      <c r="AW20" s="22">
        <f>VLOOKUP(AU20,CENY!$B$11:$G$1054,3,FALSE)</f>
        <v>200</v>
      </c>
      <c r="AX20" s="22"/>
      <c r="AY20" s="23">
        <f>IF(FORM!AM18=FORM!AU16,0,2*(Y20+Y22+Y28+Y30))</f>
        <v>0</v>
      </c>
      <c r="AZ20" s="326">
        <f t="shared" si="1"/>
        <v>0</v>
      </c>
      <c r="BA20" s="95">
        <f>VLOOKUP(AU20,CENY!$B$11:$M$2025,12,FALSE)</f>
        <v>21.479700000000001</v>
      </c>
      <c r="BB20" s="95">
        <f t="shared" si="0"/>
        <v>0</v>
      </c>
      <c r="BD20" s="319">
        <f>OBJ!B65</f>
        <v>9255023</v>
      </c>
      <c r="BE20" s="21" t="str">
        <f>VLOOKUP(BD20,CENY!$B$11:$G$1054,2,FALSE)</f>
        <v>AvanY-bok pravý /v101/h600/ strieborná</v>
      </c>
      <c r="BF20" s="22">
        <f>VLOOKUP(BD20,CENY!$B$11:$G$1054,3,FALSE)</f>
        <v>20</v>
      </c>
      <c r="BG20" s="361"/>
      <c r="BH20" s="23">
        <f>AY12</f>
        <v>0</v>
      </c>
      <c r="BI20" s="326">
        <f t="shared" si="2"/>
        <v>0</v>
      </c>
      <c r="BJ20" s="95">
        <f>VLOOKUP(BD20,CENY!$B$11:$M$2025,12,FALSE)</f>
        <v>235.60476</v>
      </c>
      <c r="BK20" s="95">
        <f t="shared" si="3"/>
        <v>0</v>
      </c>
    </row>
    <row r="21" spans="2:63" ht="14.4" customHeight="1" thickBot="1">
      <c r="O21" s="283"/>
      <c r="P21" s="284"/>
      <c r="Q21" s="283"/>
      <c r="R21" s="284"/>
      <c r="S21" s="283"/>
      <c r="T21" s="284"/>
      <c r="U21" s="283"/>
      <c r="V21" s="284"/>
      <c r="W21" s="283"/>
      <c r="X21" s="284"/>
      <c r="Y21" s="283"/>
      <c r="Z21" s="284"/>
      <c r="AA21" s="283"/>
      <c r="AB21" s="284"/>
      <c r="AC21" s="283"/>
      <c r="AD21" s="284"/>
      <c r="AE21" s="283"/>
      <c r="AF21" s="284"/>
      <c r="AI21" s="287"/>
      <c r="AJ21" s="288"/>
      <c r="AK21" s="287"/>
      <c r="AL21" s="288"/>
      <c r="AM21" s="286" t="s">
        <v>296</v>
      </c>
      <c r="AN21" s="542"/>
      <c r="AO21" s="542"/>
      <c r="AU21" s="319">
        <f>OBJ!B77</f>
        <v>9347508</v>
      </c>
      <c r="AV21" s="21" t="str">
        <f>VLOOKUP(AU21,CENY!$B$11:$G$1054,2,FALSE)</f>
        <v>AvanY-design ALprofil Hybrid na bok 550/ strieb.</v>
      </c>
      <c r="AW21" s="22">
        <f>VLOOKUP(AU21,CENY!$B$11:$G$1054,3,FALSE)</f>
        <v>200</v>
      </c>
      <c r="AX21" s="22"/>
      <c r="AY21" s="23">
        <f>IF(FORM!AM18=FORM!AU16,0,2*(AA20+AA22+AA28+AA30))</f>
        <v>0</v>
      </c>
      <c r="AZ21" s="326">
        <f t="shared" si="1"/>
        <v>0</v>
      </c>
      <c r="BA21" s="95">
        <f>VLOOKUP(AU21,CENY!$B$11:$M$2025,12,FALSE)</f>
        <v>21.84564</v>
      </c>
      <c r="BB21" s="95">
        <f t="shared" si="0"/>
        <v>0</v>
      </c>
      <c r="BD21" s="319">
        <f>OBJ!B66</f>
        <v>9255024</v>
      </c>
      <c r="BE21" s="21" t="str">
        <f>VLOOKUP(BD21,CENY!$B$11:$G$1054,2,FALSE)</f>
        <v>AvanY-bok ľavý /v101/h650/ strieborná</v>
      </c>
      <c r="BF21" s="22">
        <f>VLOOKUP(BD21,CENY!$B$11:$G$1054,3,FALSE)</f>
        <v>20</v>
      </c>
      <c r="BG21" s="361"/>
      <c r="BH21" s="23">
        <f>AY13</f>
        <v>0</v>
      </c>
      <c r="BI21" s="326">
        <f t="shared" si="2"/>
        <v>0</v>
      </c>
      <c r="BJ21" s="95">
        <f>VLOOKUP(BD21,CENY!$B$11:$M$2025,12,FALSE)</f>
        <v>243.54496</v>
      </c>
      <c r="BK21" s="95">
        <f t="shared" si="3"/>
        <v>0</v>
      </c>
    </row>
    <row r="22" spans="2:63" ht="14.4" customHeight="1" thickBot="1">
      <c r="B22" s="544" t="s">
        <v>291</v>
      </c>
      <c r="C22" s="544"/>
      <c r="D22" s="544"/>
      <c r="E22" s="544"/>
      <c r="F22" s="544"/>
      <c r="G22" s="544"/>
      <c r="H22" s="545" t="str">
        <f>verze!E18</f>
        <v>plnovýsuv</v>
      </c>
      <c r="I22" s="545"/>
      <c r="J22" s="545"/>
      <c r="K22" s="545"/>
      <c r="L22" s="545"/>
      <c r="M22" s="523" t="s">
        <v>288</v>
      </c>
      <c r="N22" s="524"/>
      <c r="O22" s="518"/>
      <c r="P22" s="519"/>
      <c r="Q22" s="518"/>
      <c r="R22" s="519"/>
      <c r="S22" s="518"/>
      <c r="T22" s="519"/>
      <c r="U22" s="518"/>
      <c r="V22" s="519"/>
      <c r="W22" s="516"/>
      <c r="X22" s="517"/>
      <c r="Y22" s="516"/>
      <c r="Z22" s="517"/>
      <c r="AA22" s="516"/>
      <c r="AB22" s="517"/>
      <c r="AC22" s="516"/>
      <c r="AD22" s="517"/>
      <c r="AE22" s="565"/>
      <c r="AF22" s="566"/>
      <c r="AI22" s="287"/>
      <c r="AJ22" s="288"/>
      <c r="AK22" s="287"/>
      <c r="AL22" s="288"/>
      <c r="AM22" s="286" t="s">
        <v>297</v>
      </c>
      <c r="AN22" s="539"/>
      <c r="AO22" s="539"/>
      <c r="AU22" s="319">
        <f>OBJ!B78</f>
        <v>9347509</v>
      </c>
      <c r="AV22" s="21" t="str">
        <f>VLOOKUP(AU22,CENY!$B$11:$G$1054,2,FALSE)</f>
        <v>AvanY-design ALprofil Hybrid na bok 600/ strieb.</v>
      </c>
      <c r="AW22" s="22">
        <f>VLOOKUP(AU22,CENY!$B$11:$G$1054,3,FALSE)</f>
        <v>200</v>
      </c>
      <c r="AX22" s="22"/>
      <c r="AY22" s="23">
        <f>IF(FORM!AM18=FORM!AU16,0,2*(AC20+AC22+AC28+AC30))</f>
        <v>0</v>
      </c>
      <c r="AZ22" s="326">
        <f t="shared" si="1"/>
        <v>0</v>
      </c>
      <c r="BA22" s="95">
        <f>VLOOKUP(AU22,CENY!$B$11:$M$2025,12,FALSE)</f>
        <v>22.79205</v>
      </c>
      <c r="BB22" s="95">
        <f t="shared" si="0"/>
        <v>0</v>
      </c>
      <c r="BD22" s="319">
        <f>OBJ!B67</f>
        <v>9255025</v>
      </c>
      <c r="BE22" s="21" t="str">
        <f>VLOOKUP(BD22,CENY!$B$11:$G$1054,2,FALSE)</f>
        <v>AvanY-bok pravý /v101/h650/ strieborná</v>
      </c>
      <c r="BF22" s="22">
        <f>VLOOKUP(BD22,CENY!$B$11:$G$1054,3,FALSE)</f>
        <v>20</v>
      </c>
      <c r="BG22" s="361"/>
      <c r="BH22" s="23">
        <f>AY13</f>
        <v>0</v>
      </c>
      <c r="BI22" s="326">
        <f t="shared" si="2"/>
        <v>0</v>
      </c>
      <c r="BJ22" s="95">
        <f>VLOOKUP(BD22,CENY!$B$11:$M$2025,12,FALSE)</f>
        <v>243.54496</v>
      </c>
      <c r="BK22" s="95">
        <f t="shared" si="3"/>
        <v>0</v>
      </c>
    </row>
    <row r="23" spans="2:63" ht="14.4" customHeight="1">
      <c r="O23" s="4"/>
      <c r="P23" s="4"/>
      <c r="AU23" s="319">
        <f>OBJ!B79</f>
        <v>9347510</v>
      </c>
      <c r="AV23" s="21" t="str">
        <f>VLOOKUP(AU23,CENY!$B$11:$G$1054,2,FALSE)</f>
        <v>AvanY-design ALprofil Hybrid na bok 650/ strieb.</v>
      </c>
      <c r="AW23" s="22">
        <f>VLOOKUP(AU23,CENY!$B$11:$G$1054,3,FALSE)</f>
        <v>200</v>
      </c>
      <c r="AX23" s="22"/>
      <c r="AY23" s="23">
        <f>IF(FORM!AM18=FORM!AU16,0,2*AE22)</f>
        <v>0</v>
      </c>
      <c r="AZ23" s="326">
        <f t="shared" si="1"/>
        <v>0</v>
      </c>
      <c r="BA23" s="95">
        <f>VLOOKUP(AU23,CENY!$B$11:$M$2025,12,FALSE)</f>
        <v>24.580449999999999</v>
      </c>
      <c r="BB23" s="95">
        <f t="shared" si="0"/>
        <v>0</v>
      </c>
      <c r="BD23" s="319"/>
      <c r="BE23" s="21"/>
      <c r="BF23" s="22"/>
      <c r="BG23" s="22"/>
      <c r="BH23" s="23"/>
      <c r="BI23" s="326" t="str">
        <f t="shared" si="2"/>
        <v/>
      </c>
      <c r="BJ23" s="95"/>
      <c r="BK23" s="95" t="str">
        <f t="shared" si="3"/>
        <v/>
      </c>
    </row>
    <row r="24" spans="2:63" ht="14.4" customHeight="1">
      <c r="AU24" s="319"/>
      <c r="AV24" s="21"/>
      <c r="AW24" s="22"/>
      <c r="AX24" s="22"/>
      <c r="AY24" s="23"/>
      <c r="AZ24" s="326" t="str">
        <f t="shared" si="1"/>
        <v/>
      </c>
      <c r="BA24" s="95"/>
      <c r="BB24" s="95" t="str">
        <f t="shared" si="0"/>
        <v/>
      </c>
      <c r="BD24" s="319">
        <f>OBJ!B69</f>
        <v>9255835</v>
      </c>
      <c r="BE24" s="21" t="str">
        <f>VLOOKUP(BD24,CENY!$B$11:$G$1054,2,FALSE)</f>
        <v>AvanY-príchytka čela k naskrutk./ v101</v>
      </c>
      <c r="BF24" s="22">
        <f>VLOOKUP(BD24,CENY!$B$11:$G$1054,3,FALSE)</f>
        <v>200</v>
      </c>
      <c r="BG24" s="22"/>
      <c r="BH24" s="23">
        <f>2*(SUM(O19:T19)+SUM(O20:AD20)+SUM(W22:AF22)+SUM(O27:T27)+SUM(O28:AD28)+SUM(O30:AD30))</f>
        <v>0</v>
      </c>
      <c r="BI24" s="326">
        <f t="shared" si="2"/>
        <v>0</v>
      </c>
      <c r="BJ24" s="95">
        <f>VLOOKUP(BD24,CENY!$B$11:$M$2025,12,FALSE)</f>
        <v>24.69378</v>
      </c>
      <c r="BK24" s="95">
        <f t="shared" si="3"/>
        <v>0</v>
      </c>
    </row>
    <row r="25" spans="2:63" ht="14.4" customHeight="1" thickBot="1">
      <c r="B25" s="2" t="s">
        <v>285</v>
      </c>
      <c r="AI25" s="540" t="str">
        <f>verze!E199</f>
        <v>P2O Silent pro Quadro</v>
      </c>
      <c r="AJ25" s="541"/>
      <c r="AK25" s="541"/>
      <c r="AL25" s="541"/>
      <c r="AM25" s="541"/>
      <c r="AN25" s="541"/>
      <c r="AO25" s="541"/>
      <c r="AU25" s="319">
        <f>OBJ!B233</f>
        <v>9318154</v>
      </c>
      <c r="AV25" s="21" t="str">
        <f>VLOOKUP(AU25,CENY!$B$11:$G$1054,2,FALSE)</f>
        <v>Actro You(S) 270/SiSy 10kg; EB21</v>
      </c>
      <c r="AW25" s="22">
        <f>VLOOKUP(AU25,CENY!$B$11:$G$1054,3,FALSE)</f>
        <v>1</v>
      </c>
      <c r="AX25" s="362">
        <v>4</v>
      </c>
      <c r="AY25" s="23">
        <f>O19</f>
        <v>0</v>
      </c>
      <c r="AZ25" s="326">
        <f t="shared" si="1"/>
        <v>0</v>
      </c>
      <c r="BA25" s="95">
        <f>VLOOKUP(AU25,CENY!$B$11:$M$2025,12,FALSE)</f>
        <v>657.45060999999998</v>
      </c>
      <c r="BB25" s="95">
        <f t="shared" si="0"/>
        <v>0</v>
      </c>
      <c r="BD25" s="319">
        <f>OBJ!B48</f>
        <v>9257702</v>
      </c>
      <c r="BE25" s="21" t="str">
        <f>VLOOKUP(BD25,CENY!$B$11:$G$1054,2,FALSE)</f>
        <v>AvanY-stabilizátor chrbáta</v>
      </c>
      <c r="BF25" s="22">
        <f>VLOOKUP(BD25,CENY!$B$11:$G$1054,3,FALSE)</f>
        <v>200</v>
      </c>
      <c r="BG25" s="22"/>
      <c r="BH25" s="23">
        <f>2*(SUM(O19:T19)+SUM(O20:AD20)+SUM(W22:AF22)+SUM(O27:T27)+SUM(O28:AD28)+SUM(O30:AD30))</f>
        <v>0</v>
      </c>
      <c r="BI25" s="326">
        <f t="shared" si="2"/>
        <v>0</v>
      </c>
      <c r="BJ25" s="95">
        <f>VLOOKUP(BD25,CENY!$B$11:$M$2025,12,FALSE)</f>
        <v>15.54837</v>
      </c>
      <c r="BK25" s="95">
        <f t="shared" si="3"/>
        <v>0</v>
      </c>
    </row>
    <row r="26" spans="2:63" ht="14.4" customHeight="1" thickBot="1">
      <c r="B26" s="96"/>
      <c r="C26" s="96"/>
      <c r="D26" s="96"/>
      <c r="E26" s="96"/>
      <c r="F26" s="96"/>
      <c r="G26" s="96"/>
      <c r="H26" s="72"/>
      <c r="I26" s="72"/>
      <c r="J26" s="72"/>
      <c r="K26" s="72"/>
      <c r="L26" s="72"/>
      <c r="M26" s="72"/>
      <c r="N26" s="72" t="str">
        <f>verze!$E$20&amp;" "</f>
        <v xml:space="preserve">Jmenovitá délka: </v>
      </c>
      <c r="O26" s="535">
        <v>270</v>
      </c>
      <c r="P26" s="536"/>
      <c r="Q26" s="535">
        <v>300</v>
      </c>
      <c r="R26" s="536"/>
      <c r="S26" s="535">
        <v>350</v>
      </c>
      <c r="T26" s="536"/>
      <c r="U26" s="535">
        <v>400</v>
      </c>
      <c r="V26" s="536"/>
      <c r="W26" s="535">
        <v>450</v>
      </c>
      <c r="X26" s="536"/>
      <c r="Y26" s="537">
        <v>500</v>
      </c>
      <c r="Z26" s="538"/>
      <c r="AA26" s="535">
        <v>550</v>
      </c>
      <c r="AB26" s="536"/>
      <c r="AC26" s="535">
        <v>600</v>
      </c>
      <c r="AD26" s="536"/>
      <c r="AI26" s="543" t="s">
        <v>299</v>
      </c>
      <c r="AJ26" s="543"/>
      <c r="AK26" s="543"/>
      <c r="AL26" s="543"/>
      <c r="AM26" s="543"/>
      <c r="AN26" s="543"/>
      <c r="AO26" s="543"/>
      <c r="AU26" s="319">
        <f>OBJ!B234</f>
        <v>9318156</v>
      </c>
      <c r="AV26" s="21" t="str">
        <f>VLOOKUP(AU26,CENY!$B$11:$G$1054,2,FALSE)</f>
        <v>Actro You(S) 300/SiSy 10kg; EB21</v>
      </c>
      <c r="AW26" s="22">
        <f>VLOOKUP(AU26,CENY!$B$11:$G$1054,3,FALSE)</f>
        <v>1</v>
      </c>
      <c r="AX26" s="362">
        <v>4</v>
      </c>
      <c r="AY26" s="23">
        <f>Q19</f>
        <v>0</v>
      </c>
      <c r="AZ26" s="326">
        <f t="shared" si="1"/>
        <v>0</v>
      </c>
      <c r="BA26" s="95">
        <f>VLOOKUP(AU26,CENY!$B$11:$M$2025,12,FALSE)</f>
        <v>657.45060999999998</v>
      </c>
      <c r="BB26" s="95">
        <f t="shared" si="0"/>
        <v>0</v>
      </c>
      <c r="BD26" s="20"/>
      <c r="BE26" s="21"/>
      <c r="BF26" s="22"/>
      <c r="BG26" s="22"/>
      <c r="BH26" s="23"/>
      <c r="BI26" s="326" t="str">
        <f t="shared" si="2"/>
        <v/>
      </c>
      <c r="BJ26" s="95"/>
      <c r="BK26" s="95" t="str">
        <f t="shared" si="3"/>
        <v/>
      </c>
    </row>
    <row r="27" spans="2:63" ht="14.4" customHeight="1" thickBot="1">
      <c r="B27" s="530" t="s">
        <v>292</v>
      </c>
      <c r="C27" s="530"/>
      <c r="D27" s="530"/>
      <c r="E27" s="530"/>
      <c r="F27" s="530"/>
      <c r="G27" s="530"/>
      <c r="H27" s="531" t="str">
        <f>verze!E18</f>
        <v>plnovýsuv</v>
      </c>
      <c r="I27" s="531"/>
      <c r="J27" s="531"/>
      <c r="K27" s="531"/>
      <c r="L27" s="531"/>
      <c r="M27" s="532" t="s">
        <v>286</v>
      </c>
      <c r="N27" s="533"/>
      <c r="O27" s="567"/>
      <c r="P27" s="568"/>
      <c r="Q27" s="567"/>
      <c r="R27" s="568"/>
      <c r="S27" s="567"/>
      <c r="T27" s="568"/>
      <c r="U27" s="283"/>
      <c r="V27" s="284"/>
      <c r="W27" s="283"/>
      <c r="X27" s="284"/>
      <c r="Y27" s="283"/>
      <c r="Z27" s="284"/>
      <c r="AA27" s="283"/>
      <c r="AB27" s="284"/>
      <c r="AC27" s="283"/>
      <c r="AD27" s="284"/>
      <c r="AI27" s="289"/>
      <c r="AJ27" s="290"/>
      <c r="AK27" s="289"/>
      <c r="AL27" s="290"/>
      <c r="AM27" s="291" t="s">
        <v>295</v>
      </c>
      <c r="AN27" s="534"/>
      <c r="AO27" s="534"/>
      <c r="AU27" s="319">
        <f>OBJ!B235</f>
        <v>9318160</v>
      </c>
      <c r="AV27" s="21" t="str">
        <f>VLOOKUP(AU27,CENY!$B$11:$G$1054,2,FALSE)</f>
        <v>Actro You(S) 350/SiSy 10kg; EB21</v>
      </c>
      <c r="AW27" s="22">
        <f>VLOOKUP(AU27,CENY!$B$11:$G$1054,3,FALSE)</f>
        <v>1</v>
      </c>
      <c r="AX27" s="362">
        <v>4</v>
      </c>
      <c r="AY27" s="23">
        <f>S19</f>
        <v>0</v>
      </c>
      <c r="AZ27" s="326">
        <f t="shared" si="1"/>
        <v>0</v>
      </c>
      <c r="BA27" s="95">
        <f>VLOOKUP(AU27,CENY!$B$11:$M$2025,12,FALSE)</f>
        <v>657.45060999999998</v>
      </c>
      <c r="BB27" s="95">
        <f t="shared" si="0"/>
        <v>0</v>
      </c>
      <c r="BD27" s="319">
        <f>OBJ!B71</f>
        <v>9347502</v>
      </c>
      <c r="BE27" s="21" t="str">
        <f>VLOOKUP(BD27,CENY!$B$11:$G$1054,2,FALSE)</f>
        <v>AvanY-design ALprofil Hybrid na bok 270/ strieb.</v>
      </c>
      <c r="BF27" s="22">
        <f>VLOOKUP(BD27,CENY!$B$11:$G$1054,3,FALSE)</f>
        <v>200</v>
      </c>
      <c r="BG27" s="22"/>
      <c r="BH27" s="23">
        <f>2*(O19+O20+O27+O28+O30)</f>
        <v>0</v>
      </c>
      <c r="BI27" s="326">
        <f t="shared" si="2"/>
        <v>0</v>
      </c>
      <c r="BJ27" s="95">
        <f>VLOOKUP(BD27,CENY!$B$11:$M$2025,12,FALSE)</f>
        <v>19.78839</v>
      </c>
      <c r="BK27" s="95">
        <f t="shared" si="3"/>
        <v>0</v>
      </c>
    </row>
    <row r="28" spans="2:63" ht="14.4" customHeight="1" thickBot="1">
      <c r="B28" s="521" t="s">
        <v>372</v>
      </c>
      <c r="C28" s="521"/>
      <c r="D28" s="521"/>
      <c r="E28" s="521"/>
      <c r="F28" s="521"/>
      <c r="G28" s="521"/>
      <c r="H28" s="522" t="str">
        <f>verze!E18</f>
        <v>plnovýsuv</v>
      </c>
      <c r="I28" s="522"/>
      <c r="J28" s="522"/>
      <c r="K28" s="522"/>
      <c r="L28" s="522"/>
      <c r="M28" s="523" t="s">
        <v>1</v>
      </c>
      <c r="N28" s="524"/>
      <c r="O28" s="516"/>
      <c r="P28" s="517"/>
      <c r="Q28" s="516"/>
      <c r="R28" s="517"/>
      <c r="S28" s="516"/>
      <c r="T28" s="517"/>
      <c r="U28" s="516"/>
      <c r="V28" s="517"/>
      <c r="W28" s="516"/>
      <c r="X28" s="517"/>
      <c r="Y28" s="516"/>
      <c r="Z28" s="517"/>
      <c r="AA28" s="516"/>
      <c r="AB28" s="517"/>
      <c r="AC28" s="516"/>
      <c r="AD28" s="517"/>
      <c r="AI28" s="287"/>
      <c r="AJ28" s="288"/>
      <c r="AK28" s="287"/>
      <c r="AL28" s="288"/>
      <c r="AM28" s="286" t="s">
        <v>294</v>
      </c>
      <c r="AN28" s="520"/>
      <c r="AO28" s="520"/>
      <c r="AU28" s="20"/>
      <c r="AV28" s="21"/>
      <c r="AW28" s="22"/>
      <c r="AX28" s="22"/>
      <c r="AY28" s="23"/>
      <c r="AZ28" s="326" t="str">
        <f t="shared" si="1"/>
        <v/>
      </c>
      <c r="BA28" s="95"/>
      <c r="BB28" s="95" t="str">
        <f t="shared" si="0"/>
        <v/>
      </c>
      <c r="BD28" s="319">
        <f>OBJ!B72</f>
        <v>9347503</v>
      </c>
      <c r="BE28" s="21" t="str">
        <f>VLOOKUP(BD28,CENY!$B$11:$G$1054,2,FALSE)</f>
        <v>AvanY-design ALprofil Hybrid na bok 300/ strieb.</v>
      </c>
      <c r="BF28" s="22">
        <f>VLOOKUP(BD28,CENY!$B$11:$G$1054,3,FALSE)</f>
        <v>200</v>
      </c>
      <c r="BG28" s="22"/>
      <c r="BH28" s="23">
        <f>2*(Q19+Q20+Q27+Q28+Q30)</f>
        <v>0</v>
      </c>
      <c r="BI28" s="326">
        <f t="shared" si="2"/>
        <v>0</v>
      </c>
      <c r="BJ28" s="95">
        <f>VLOOKUP(BD28,CENY!$B$11:$M$2025,12,FALSE)</f>
        <v>20.006769999999999</v>
      </c>
      <c r="BK28" s="95">
        <f t="shared" si="3"/>
        <v>0</v>
      </c>
    </row>
    <row r="29" spans="2:63" ht="14.4" customHeight="1" thickBot="1">
      <c r="O29" s="283"/>
      <c r="P29" s="284"/>
      <c r="Q29" s="283"/>
      <c r="R29" s="284"/>
      <c r="S29" s="283"/>
      <c r="T29" s="284"/>
      <c r="U29" s="283"/>
      <c r="V29" s="284"/>
      <c r="W29" s="283"/>
      <c r="X29" s="284"/>
      <c r="Y29" s="283"/>
      <c r="Z29" s="284"/>
      <c r="AA29" s="283"/>
      <c r="AB29" s="284"/>
      <c r="AC29" s="283"/>
      <c r="AD29" s="284"/>
      <c r="AI29" s="287"/>
      <c r="AJ29" s="288"/>
      <c r="AK29" s="287"/>
      <c r="AL29" s="288"/>
      <c r="AM29" s="286" t="s">
        <v>298</v>
      </c>
      <c r="AN29" s="527"/>
      <c r="AO29" s="527"/>
      <c r="AU29" s="319">
        <f>OBJ!B243</f>
        <v>9318186</v>
      </c>
      <c r="AV29" s="21" t="str">
        <f>VLOOKUP(AU29,CENY!$B$11:$G$1054,2,FALSE)</f>
        <v>Actro You(L) 270/SiSy 40kg; EB21</v>
      </c>
      <c r="AW29" s="22">
        <f>VLOOKUP(AU29,CENY!$B$11:$G$1054,3,FALSE)</f>
        <v>1</v>
      </c>
      <c r="AX29" s="362">
        <v>8</v>
      </c>
      <c r="AY29" s="23">
        <f>O20</f>
        <v>0</v>
      </c>
      <c r="AZ29" s="326">
        <f t="shared" si="1"/>
        <v>0</v>
      </c>
      <c r="BA29" s="95">
        <f>VLOOKUP(AU29,CENY!$B$11:$M$2025,12,FALSE)</f>
        <v>657.45060999999998</v>
      </c>
      <c r="BB29" s="95">
        <f t="shared" si="0"/>
        <v>0</v>
      </c>
      <c r="BD29" s="319">
        <f>OBJ!B73</f>
        <v>9347504</v>
      </c>
      <c r="BE29" s="21" t="str">
        <f>VLOOKUP(BD29,CENY!$B$11:$G$1054,2,FALSE)</f>
        <v>AvanY-design ALprofil Hybrid na bok 350/ strieb.</v>
      </c>
      <c r="BF29" s="22">
        <f>VLOOKUP(BD29,CENY!$B$11:$G$1054,3,FALSE)</f>
        <v>200</v>
      </c>
      <c r="BG29" s="22"/>
      <c r="BH29" s="23">
        <f>2*(S19+S20+S27+S28+S30)</f>
        <v>0</v>
      </c>
      <c r="BI29" s="326">
        <f t="shared" si="2"/>
        <v>0</v>
      </c>
      <c r="BJ29" s="95">
        <f>VLOOKUP(BD29,CENY!$B$11:$M$2025,12,FALSE)</f>
        <v>20.37642</v>
      </c>
      <c r="BK29" s="95">
        <f t="shared" si="3"/>
        <v>0</v>
      </c>
    </row>
    <row r="30" spans="2:63" ht="14.4" customHeight="1" thickBot="1">
      <c r="B30" s="528" t="s">
        <v>373</v>
      </c>
      <c r="C30" s="528"/>
      <c r="D30" s="528"/>
      <c r="E30" s="528"/>
      <c r="F30" s="528"/>
      <c r="G30" s="528"/>
      <c r="H30" s="529" t="str">
        <f>verze!E18</f>
        <v>plnovýsuv</v>
      </c>
      <c r="I30" s="529"/>
      <c r="J30" s="529"/>
      <c r="K30" s="529"/>
      <c r="L30" s="529"/>
      <c r="M30" s="523" t="s">
        <v>1</v>
      </c>
      <c r="N30" s="524"/>
      <c r="O30" s="516"/>
      <c r="P30" s="517"/>
      <c r="Q30" s="516"/>
      <c r="R30" s="517"/>
      <c r="S30" s="516"/>
      <c r="T30" s="517"/>
      <c r="U30" s="516"/>
      <c r="V30" s="517"/>
      <c r="W30" s="516"/>
      <c r="X30" s="517"/>
      <c r="Y30" s="516"/>
      <c r="Z30" s="517"/>
      <c r="AA30" s="516"/>
      <c r="AB30" s="517"/>
      <c r="AC30" s="565"/>
      <c r="AD30" s="566"/>
      <c r="AU30" s="319">
        <f>OBJ!B244</f>
        <v>9318187</v>
      </c>
      <c r="AV30" s="21" t="str">
        <f>VLOOKUP(AU30,CENY!$B$11:$G$1054,2,FALSE)</f>
        <v>Actro You(L) 300/SiSy 40kg; EB21</v>
      </c>
      <c r="AW30" s="22">
        <f>VLOOKUP(AU30,CENY!$B$11:$G$1054,3,FALSE)</f>
        <v>1</v>
      </c>
      <c r="AX30" s="362">
        <v>8</v>
      </c>
      <c r="AY30" s="23">
        <f>Q20</f>
        <v>0</v>
      </c>
      <c r="AZ30" s="326">
        <f t="shared" si="1"/>
        <v>0</v>
      </c>
      <c r="BA30" s="95">
        <f>VLOOKUP(AU30,CENY!$B$11:$M$2025,12,FALSE)</f>
        <v>657.45060999999998</v>
      </c>
      <c r="BB30" s="95">
        <f t="shared" si="0"/>
        <v>0</v>
      </c>
      <c r="BD30" s="319">
        <f>OBJ!B74</f>
        <v>9347505</v>
      </c>
      <c r="BE30" s="21" t="str">
        <f>VLOOKUP(BD30,CENY!$B$11:$G$1054,2,FALSE)</f>
        <v>AvanY-design ALprofil Hybrid na bok 400/ strieb.</v>
      </c>
      <c r="BF30" s="22">
        <f>VLOOKUP(BD30,CENY!$B$11:$G$1054,3,FALSE)</f>
        <v>200</v>
      </c>
      <c r="BG30" s="22"/>
      <c r="BH30" s="23">
        <f>2*(U20+U28+U30)</f>
        <v>0</v>
      </c>
      <c r="BI30" s="326">
        <f t="shared" si="2"/>
        <v>0</v>
      </c>
      <c r="BJ30" s="95">
        <f>VLOOKUP(BD30,CENY!$B$11:$M$2025,12,FALSE)</f>
        <v>20.742249999999999</v>
      </c>
      <c r="BK30" s="95">
        <f t="shared" si="3"/>
        <v>0</v>
      </c>
    </row>
    <row r="31" spans="2:63" ht="14.4" customHeight="1">
      <c r="AU31" s="319">
        <f>OBJ!B245</f>
        <v>9318188</v>
      </c>
      <c r="AV31" s="21" t="str">
        <f>VLOOKUP(AU31,CENY!$B$11:$G$1054,2,FALSE)</f>
        <v>Actro You(L) 350/SiSy 40kg; EB21</v>
      </c>
      <c r="AW31" s="22">
        <f>VLOOKUP(AU31,CENY!$B$11:$G$1054,3,FALSE)</f>
        <v>1</v>
      </c>
      <c r="AX31" s="362">
        <v>8</v>
      </c>
      <c r="AY31" s="23">
        <f>S20</f>
        <v>0</v>
      </c>
      <c r="AZ31" s="326">
        <f t="shared" si="1"/>
        <v>0</v>
      </c>
      <c r="BA31" s="95">
        <f>VLOOKUP(AU31,CENY!$B$11:$M$2025,12,FALSE)</f>
        <v>657.45060999999998</v>
      </c>
      <c r="BB31" s="95">
        <f t="shared" si="0"/>
        <v>0</v>
      </c>
      <c r="BD31" s="319">
        <f>OBJ!B75</f>
        <v>9347506</v>
      </c>
      <c r="BE31" s="21" t="str">
        <f>VLOOKUP(BD31,CENY!$B$11:$G$1054,2,FALSE)</f>
        <v>AvanY-design ALprofil Hybrid na bok 450/ strieb.</v>
      </c>
      <c r="BF31" s="22">
        <f>VLOOKUP(BD31,CENY!$B$11:$G$1054,3,FALSE)</f>
        <v>200</v>
      </c>
      <c r="BG31" s="22"/>
      <c r="BH31" s="23">
        <f>2*(W20+W22+W28+W30)</f>
        <v>0</v>
      </c>
      <c r="BI31" s="326">
        <f t="shared" si="2"/>
        <v>0</v>
      </c>
      <c r="BJ31" s="95">
        <f>VLOOKUP(BD31,CENY!$B$11:$M$2025,12,FALSE)</f>
        <v>21.111910000000002</v>
      </c>
      <c r="BK31" s="95">
        <f t="shared" si="3"/>
        <v>0</v>
      </c>
    </row>
    <row r="32" spans="2:63" ht="14.4" customHeight="1">
      <c r="B32" s="366" t="str">
        <f>verze!E201</f>
        <v>SiSy = tlumení Silent System</v>
      </c>
      <c r="AU32" s="319">
        <f>OBJ!B246</f>
        <v>9318190</v>
      </c>
      <c r="AV32" s="21" t="str">
        <f>VLOOKUP(AU32,CENY!$B$11:$G$1054,2,FALSE)</f>
        <v>Actro You(L) 400/SiSy 40kg; EB21</v>
      </c>
      <c r="AW32" s="22">
        <f>VLOOKUP(AU32,CENY!$B$11:$G$1054,3,FALSE)</f>
        <v>1</v>
      </c>
      <c r="AX32" s="362">
        <v>8</v>
      </c>
      <c r="AY32" s="23">
        <f>U20</f>
        <v>0</v>
      </c>
      <c r="AZ32" s="326">
        <f t="shared" si="1"/>
        <v>0</v>
      </c>
      <c r="BA32" s="95">
        <f>VLOOKUP(AU32,CENY!$B$11:$M$2025,12,FALSE)</f>
        <v>664.73978</v>
      </c>
      <c r="BB32" s="95">
        <f t="shared" si="0"/>
        <v>0</v>
      </c>
      <c r="BD32" s="319">
        <f>OBJ!B76</f>
        <v>9347507</v>
      </c>
      <c r="BE32" s="21" t="str">
        <f>VLOOKUP(BD32,CENY!$B$11:$G$1054,2,FALSE)</f>
        <v>AvanY-design ALprofil Hybrid na bok 500/ strieb.</v>
      </c>
      <c r="BF32" s="22">
        <f>VLOOKUP(BD32,CENY!$B$11:$G$1054,3,FALSE)</f>
        <v>200</v>
      </c>
      <c r="BG32" s="22"/>
      <c r="BH32" s="23">
        <f>2*(Y20+Y22+Y28+Y30)</f>
        <v>0</v>
      </c>
      <c r="BI32" s="326">
        <f t="shared" si="2"/>
        <v>0</v>
      </c>
      <c r="BJ32" s="95">
        <f>VLOOKUP(BD32,CENY!$B$11:$M$2025,12,FALSE)</f>
        <v>21.479700000000001</v>
      </c>
      <c r="BK32" s="95">
        <f t="shared" si="3"/>
        <v>0</v>
      </c>
    </row>
    <row r="33" spans="2:63" ht="14.4" customHeight="1">
      <c r="B33" s="366" t="str">
        <f>verze!E204</f>
        <v>P2O = otvírání bez úchytky Push to open</v>
      </c>
      <c r="AU33" s="319">
        <f>OBJ!B247</f>
        <v>9318191</v>
      </c>
      <c r="AV33" s="21" t="str">
        <f>VLOOKUP(AU33,CENY!$B$11:$G$1054,2,FALSE)</f>
        <v>Actro You(L) 450/SiSy 40kg; EB21</v>
      </c>
      <c r="AW33" s="22">
        <f>VLOOKUP(AU33,CENY!$B$11:$G$1054,3,FALSE)</f>
        <v>1</v>
      </c>
      <c r="AX33" s="362">
        <v>10</v>
      </c>
      <c r="AY33" s="23">
        <f>W20</f>
        <v>0</v>
      </c>
      <c r="AZ33" s="326">
        <f t="shared" si="1"/>
        <v>0</v>
      </c>
      <c r="BA33" s="95">
        <f>VLOOKUP(AU33,CENY!$B$11:$M$2025,12,FALSE)</f>
        <v>671.97520999999995</v>
      </c>
      <c r="BB33" s="95">
        <f t="shared" si="0"/>
        <v>0</v>
      </c>
      <c r="BD33" s="319">
        <f>OBJ!B77</f>
        <v>9347508</v>
      </c>
      <c r="BE33" s="21" t="str">
        <f>VLOOKUP(BD33,CENY!$B$11:$G$1054,2,FALSE)</f>
        <v>AvanY-design ALprofil Hybrid na bok 550/ strieb.</v>
      </c>
      <c r="BF33" s="22">
        <f>VLOOKUP(BD33,CENY!$B$11:$G$1054,3,FALSE)</f>
        <v>200</v>
      </c>
      <c r="BG33" s="22"/>
      <c r="BH33" s="23">
        <f>2*(AA20+AA22+AA28+AA30)</f>
        <v>0</v>
      </c>
      <c r="BI33" s="326">
        <f t="shared" si="2"/>
        <v>0</v>
      </c>
      <c r="BJ33" s="95">
        <f>VLOOKUP(BD33,CENY!$B$11:$M$2025,12,FALSE)</f>
        <v>21.84564</v>
      </c>
      <c r="BK33" s="95">
        <f t="shared" si="3"/>
        <v>0</v>
      </c>
    </row>
    <row r="34" spans="2:63" ht="14.4" customHeight="1">
      <c r="B34" s="366" t="str">
        <f>verze!E203</f>
        <v>P2O Silent = tlumení s otvíráním bez úchytky Push to open Silent</v>
      </c>
      <c r="AU34" s="319">
        <f>OBJ!B248</f>
        <v>9318192</v>
      </c>
      <c r="AV34" s="21" t="str">
        <f>VLOOKUP(AU34,CENY!$B$11:$G$1054,2,FALSE)</f>
        <v>Actro You(L) 500/SiSy 40kg; EB21</v>
      </c>
      <c r="AW34" s="22">
        <f>VLOOKUP(AU34,CENY!$B$11:$G$1054,3,FALSE)</f>
        <v>1</v>
      </c>
      <c r="AX34" s="362">
        <v>10</v>
      </c>
      <c r="AY34" s="23">
        <f>Y20</f>
        <v>0</v>
      </c>
      <c r="AZ34" s="326">
        <f t="shared" si="1"/>
        <v>0</v>
      </c>
      <c r="BA34" s="95">
        <f>VLOOKUP(AU34,CENY!$B$11:$M$2025,12,FALSE)</f>
        <v>164.23333</v>
      </c>
      <c r="BB34" s="95">
        <f t="shared" si="0"/>
        <v>0</v>
      </c>
      <c r="BD34" s="319">
        <f>OBJ!B78</f>
        <v>9347509</v>
      </c>
      <c r="BE34" s="21" t="str">
        <f>VLOOKUP(BD34,CENY!$B$11:$G$1054,2,FALSE)</f>
        <v>AvanY-design ALprofil Hybrid na bok 600/ strieb.</v>
      </c>
      <c r="BF34" s="22">
        <f>VLOOKUP(BD34,CENY!$B$11:$G$1054,3,FALSE)</f>
        <v>200</v>
      </c>
      <c r="BG34" s="22"/>
      <c r="BH34" s="23">
        <f>2*(AC20+AC22+AC28+AC30)</f>
        <v>0</v>
      </c>
      <c r="BI34" s="326">
        <f t="shared" si="2"/>
        <v>0</v>
      </c>
      <c r="BJ34" s="95">
        <f>VLOOKUP(BD34,CENY!$B$11:$M$2025,12,FALSE)</f>
        <v>22.79205</v>
      </c>
      <c r="BK34" s="95">
        <f t="shared" si="3"/>
        <v>0</v>
      </c>
    </row>
    <row r="35" spans="2:63" ht="14.4" customHeight="1">
      <c r="AU35" s="319">
        <f>OBJ!B249</f>
        <v>9318194</v>
      </c>
      <c r="AV35" s="21" t="str">
        <f>VLOOKUP(AU35,CENY!$B$11:$G$1054,2,FALSE)</f>
        <v>Actro You(L) 550/SiSy 40kg; EB21</v>
      </c>
      <c r="AW35" s="22">
        <f>VLOOKUP(AU35,CENY!$B$11:$G$1054,3,FALSE)</f>
        <v>1</v>
      </c>
      <c r="AX35" s="362">
        <v>10</v>
      </c>
      <c r="AY35" s="23">
        <f>AA20</f>
        <v>0</v>
      </c>
      <c r="AZ35" s="326">
        <f t="shared" si="1"/>
        <v>0</v>
      </c>
      <c r="BA35" s="95">
        <f>VLOOKUP(AU35,CENY!$B$11:$M$2025,12,FALSE)</f>
        <v>173.62268</v>
      </c>
      <c r="BB35" s="95">
        <f t="shared" si="0"/>
        <v>0</v>
      </c>
      <c r="BD35" s="319">
        <f>OBJ!B79</f>
        <v>9347510</v>
      </c>
      <c r="BE35" s="21" t="str">
        <f>VLOOKUP(BD35,CENY!$B$11:$G$1054,2,FALSE)</f>
        <v>AvanY-design ALprofil Hybrid na bok 650/ strieb.</v>
      </c>
      <c r="BF35" s="22">
        <f>VLOOKUP(BD35,CENY!$B$11:$G$1054,3,FALSE)</f>
        <v>200</v>
      </c>
      <c r="BG35" s="22"/>
      <c r="BH35" s="23">
        <f>2*AE22</f>
        <v>0</v>
      </c>
      <c r="BI35" s="326">
        <f t="shared" si="2"/>
        <v>0</v>
      </c>
      <c r="BJ35" s="95">
        <f>VLOOKUP(BD35,CENY!$B$11:$M$2025,12,FALSE)</f>
        <v>24.580449999999999</v>
      </c>
      <c r="BK35" s="95">
        <f t="shared" si="3"/>
        <v>0</v>
      </c>
    </row>
    <row r="36" spans="2:63" ht="14.4" customHeight="1">
      <c r="AU36" s="319">
        <f>OBJ!B250</f>
        <v>9318196</v>
      </c>
      <c r="AV36" s="21" t="str">
        <f>VLOOKUP(AU36,CENY!$B$11:$G$1054,2,FALSE)</f>
        <v>Actro You(L) 600/SiSy 40kg; EB21</v>
      </c>
      <c r="AW36" s="22">
        <f>VLOOKUP(AU36,CENY!$B$11:$G$1054,3,FALSE)</f>
        <v>1</v>
      </c>
      <c r="AX36" s="362">
        <v>10</v>
      </c>
      <c r="AY36" s="23">
        <f>AC20</f>
        <v>0</v>
      </c>
      <c r="AZ36" s="326">
        <f t="shared" si="1"/>
        <v>0</v>
      </c>
      <c r="BA36" s="95">
        <f>VLOOKUP(AU36,CENY!$B$11:$M$2025,12,FALSE)</f>
        <v>726.70140000000004</v>
      </c>
      <c r="BB36" s="95">
        <f t="shared" si="0"/>
        <v>0</v>
      </c>
      <c r="BD36" s="319"/>
      <c r="BE36" s="21"/>
      <c r="BF36" s="22"/>
      <c r="BG36" s="22"/>
      <c r="BH36" s="23"/>
      <c r="BI36" s="326" t="str">
        <f t="shared" si="2"/>
        <v/>
      </c>
      <c r="BJ36" s="95"/>
      <c r="BK36" s="95" t="str">
        <f t="shared" si="3"/>
        <v/>
      </c>
    </row>
    <row r="37" spans="2:63" ht="14.4" customHeight="1">
      <c r="AU37" s="319"/>
      <c r="AV37" s="21"/>
      <c r="AW37" s="22"/>
      <c r="AX37" s="22"/>
      <c r="AY37" s="23"/>
      <c r="AZ37" s="326" t="str">
        <f t="shared" si="1"/>
        <v/>
      </c>
      <c r="BA37" s="95"/>
      <c r="BB37" s="95" t="str">
        <f t="shared" si="0"/>
        <v/>
      </c>
      <c r="BD37" s="319">
        <f>OBJ!B236</f>
        <v>9318145</v>
      </c>
      <c r="BE37" s="21" t="str">
        <f>VLOOKUP(BD37,CENY!$B$11:$G$1054,2,FALSE)</f>
        <v>Actro You(S) 270/SiSy 10kg; EB21; ľavý</v>
      </c>
      <c r="BF37" s="22">
        <f>VLOOKUP(BD37,CENY!$B$11:$G$1054,3,FALSE)</f>
        <v>10</v>
      </c>
      <c r="BG37" s="22"/>
      <c r="BH37" s="23">
        <f>AY25</f>
        <v>0</v>
      </c>
      <c r="BI37" s="326">
        <f t="shared" si="2"/>
        <v>0</v>
      </c>
      <c r="BJ37" s="95">
        <f>VLOOKUP(BD37,CENY!$B$11:$M$2025,12,FALSE)</f>
        <v>298.88173999999998</v>
      </c>
      <c r="BK37" s="95">
        <f t="shared" si="3"/>
        <v>0</v>
      </c>
    </row>
    <row r="38" spans="2:63" ht="14.4" customHeight="1">
      <c r="AU38" s="319">
        <f>OBJ!B268</f>
        <v>9318215</v>
      </c>
      <c r="AV38" s="21" t="str">
        <f>VLOOKUP(AU38,CENY!$B$11:$G$1054,2,FALSE)</f>
        <v>Actro You(XL) 450/SiSy 70kg; EB21</v>
      </c>
      <c r="AW38" s="22">
        <f>VLOOKUP(AU38,CENY!$B$11:$G$1054,3,FALSE)</f>
        <v>1</v>
      </c>
      <c r="AX38" s="362">
        <v>10</v>
      </c>
      <c r="AY38" s="23">
        <f>W22</f>
        <v>0</v>
      </c>
      <c r="AZ38" s="326">
        <f t="shared" si="1"/>
        <v>0</v>
      </c>
      <c r="BA38" s="95">
        <f>VLOOKUP(AU38,CENY!$B$11:$M$2025,12,FALSE)</f>
        <v>197.37184999999999</v>
      </c>
      <c r="BB38" s="95">
        <f t="shared" si="0"/>
        <v>0</v>
      </c>
      <c r="BD38" s="319">
        <f>OBJ!B237</f>
        <v>9318146</v>
      </c>
      <c r="BE38" s="21" t="str">
        <f>VLOOKUP(BD38,CENY!$B$11:$G$1054,2,FALSE)</f>
        <v>Actro You(S) 270/SiSy 10kg; EB21; pravý</v>
      </c>
      <c r="BF38" s="22">
        <f>VLOOKUP(BD38,CENY!$B$11:$G$1054,3,FALSE)</f>
        <v>10</v>
      </c>
      <c r="BG38" s="22"/>
      <c r="BH38" s="23">
        <f>AY25</f>
        <v>0</v>
      </c>
      <c r="BI38" s="326">
        <f t="shared" si="2"/>
        <v>0</v>
      </c>
      <c r="BJ38" s="95">
        <f>VLOOKUP(BD38,CENY!$B$11:$M$2025,12,FALSE)</f>
        <v>298.88173999999998</v>
      </c>
      <c r="BK38" s="95">
        <f t="shared" si="3"/>
        <v>0</v>
      </c>
    </row>
    <row r="39" spans="2:63" ht="14.4" customHeight="1">
      <c r="AU39" s="319">
        <f>OBJ!B269</f>
        <v>9318216</v>
      </c>
      <c r="AV39" s="21" t="str">
        <f>VLOOKUP(AU39,CENY!$B$11:$G$1054,2,FALSE)</f>
        <v>Actro You(XL) 500/SiSy 70kg; EB21</v>
      </c>
      <c r="AW39" s="22">
        <f>VLOOKUP(AU39,CENY!$B$11:$G$1054,3,FALSE)</f>
        <v>1</v>
      </c>
      <c r="AX39" s="362">
        <v>10</v>
      </c>
      <c r="AY39" s="23">
        <f>Y22</f>
        <v>0</v>
      </c>
      <c r="AZ39" s="326">
        <f t="shared" si="1"/>
        <v>0</v>
      </c>
      <c r="BA39" s="95">
        <f>VLOOKUP(AU39,CENY!$B$11:$M$2025,12,FALSE)</f>
        <v>823.68502000000001</v>
      </c>
      <c r="BB39" s="95">
        <f t="shared" si="0"/>
        <v>0</v>
      </c>
      <c r="BD39" s="319">
        <f>OBJ!B238</f>
        <v>9318147</v>
      </c>
      <c r="BE39" s="21" t="str">
        <f>VLOOKUP(BD39,CENY!$B$11:$G$1054,2,FALSE)</f>
        <v>Actro You(S) 300/SiSy 10kg; EB21; ľavý</v>
      </c>
      <c r="BF39" s="22">
        <f>VLOOKUP(BD39,CENY!$B$11:$G$1054,3,FALSE)</f>
        <v>10</v>
      </c>
      <c r="BG39" s="22"/>
      <c r="BH39" s="23">
        <f>AY26</f>
        <v>0</v>
      </c>
      <c r="BI39" s="326">
        <f t="shared" si="2"/>
        <v>0</v>
      </c>
      <c r="BJ39" s="95">
        <f>VLOOKUP(BD39,CENY!$B$11:$M$2025,12,FALSE)</f>
        <v>298.88173999999998</v>
      </c>
      <c r="BK39" s="95">
        <f t="shared" si="3"/>
        <v>0</v>
      </c>
    </row>
    <row r="40" spans="2:63" ht="14.4" customHeight="1">
      <c r="AU40" s="319">
        <f>OBJ!B270</f>
        <v>9318217</v>
      </c>
      <c r="AV40" s="21" t="str">
        <f>VLOOKUP(AU40,CENY!$B$11:$G$1054,2,FALSE)</f>
        <v>Actro You(XL) 550/SiSy 70kg; EB21</v>
      </c>
      <c r="AW40" s="22">
        <f>VLOOKUP(AU40,CENY!$B$11:$G$1054,3,FALSE)</f>
        <v>1</v>
      </c>
      <c r="AX40" s="362">
        <v>10</v>
      </c>
      <c r="AY40" s="23">
        <f>AA22</f>
        <v>0</v>
      </c>
      <c r="AZ40" s="326">
        <f t="shared" si="1"/>
        <v>0</v>
      </c>
      <c r="BA40" s="95">
        <f>VLOOKUP(AU40,CENY!$B$11:$M$2025,12,FALSE)</f>
        <v>862.82307000000003</v>
      </c>
      <c r="BB40" s="95">
        <f t="shared" si="0"/>
        <v>0</v>
      </c>
      <c r="BD40" s="319">
        <f>OBJ!B239</f>
        <v>9318148</v>
      </c>
      <c r="BE40" s="21" t="str">
        <f>VLOOKUP(BD40,CENY!$B$11:$G$1054,2,FALSE)</f>
        <v>Actro You(S) 300/SiSy 10kg; EB21; pravý</v>
      </c>
      <c r="BF40" s="22">
        <f>VLOOKUP(BD40,CENY!$B$11:$G$1054,3,FALSE)</f>
        <v>10</v>
      </c>
      <c r="BG40" s="22"/>
      <c r="BH40" s="23">
        <f>AY26</f>
        <v>0</v>
      </c>
      <c r="BI40" s="326">
        <f t="shared" si="2"/>
        <v>0</v>
      </c>
      <c r="BJ40" s="95">
        <f>VLOOKUP(BD40,CENY!$B$11:$M$2025,12,FALSE)</f>
        <v>298.88173999999998</v>
      </c>
      <c r="BK40" s="95">
        <f t="shared" si="3"/>
        <v>0</v>
      </c>
    </row>
    <row r="41" spans="2:63" ht="14.4" customHeight="1">
      <c r="AU41" s="319">
        <f>OBJ!B271</f>
        <v>9318218</v>
      </c>
      <c r="AV41" s="21" t="str">
        <f>VLOOKUP(AU41,CENY!$B$11:$G$1054,2,FALSE)</f>
        <v>Actro You(XL) 600/SiSy 70kg; EB21</v>
      </c>
      <c r="AW41" s="22">
        <f>VLOOKUP(AU41,CENY!$B$11:$G$1054,3,FALSE)</f>
        <v>1</v>
      </c>
      <c r="AX41" s="362">
        <v>10</v>
      </c>
      <c r="AY41" s="23">
        <f>AC22</f>
        <v>0</v>
      </c>
      <c r="AZ41" s="326">
        <f t="shared" si="1"/>
        <v>0</v>
      </c>
      <c r="BA41" s="95">
        <f>VLOOKUP(AU41,CENY!$B$11:$M$2025,12,FALSE)</f>
        <v>941.88580999999999</v>
      </c>
      <c r="BB41" s="95">
        <f t="shared" si="0"/>
        <v>0</v>
      </c>
      <c r="BD41" s="319">
        <f>OBJ!B240</f>
        <v>9318149</v>
      </c>
      <c r="BE41" s="21" t="str">
        <f>VLOOKUP(BD41,CENY!$B$11:$G$1054,2,FALSE)</f>
        <v>Actro You(S) 350/SiSy 10kg; EB21; ľavý</v>
      </c>
      <c r="BF41" s="22">
        <f>VLOOKUP(BD41,CENY!$B$11:$G$1054,3,FALSE)</f>
        <v>10</v>
      </c>
      <c r="BG41" s="22"/>
      <c r="BH41" s="23">
        <f>AY27</f>
        <v>0</v>
      </c>
      <c r="BI41" s="326">
        <f t="shared" si="2"/>
        <v>0</v>
      </c>
      <c r="BJ41" s="95">
        <f>VLOOKUP(BD41,CENY!$B$11:$M$2025,12,FALSE)</f>
        <v>298.88173999999998</v>
      </c>
      <c r="BK41" s="95">
        <f t="shared" si="3"/>
        <v>0</v>
      </c>
    </row>
    <row r="42" spans="2:63" ht="14.4" customHeight="1">
      <c r="AU42" s="319">
        <f>OBJ!B272</f>
        <v>9318219</v>
      </c>
      <c r="AV42" s="21" t="str">
        <f>VLOOKUP(AU42,CENY!$B$11:$G$1054,2,FALSE)</f>
        <v>Actro You(XL) 650/SiSy 70kg; EB21</v>
      </c>
      <c r="AW42" s="22">
        <f>VLOOKUP(AU42,CENY!$B$11:$G$1054,3,FALSE)</f>
        <v>1</v>
      </c>
      <c r="AX42" s="362">
        <v>10</v>
      </c>
      <c r="AY42" s="23">
        <f>AE22</f>
        <v>0</v>
      </c>
      <c r="AZ42" s="326">
        <f t="shared" si="1"/>
        <v>0</v>
      </c>
      <c r="BA42" s="95">
        <f>VLOOKUP(AU42,CENY!$B$11:$M$2025,12,FALSE)</f>
        <v>977.56314999999995</v>
      </c>
      <c r="BB42" s="95">
        <f t="shared" si="0"/>
        <v>0</v>
      </c>
      <c r="BD42" s="319">
        <f>OBJ!B241</f>
        <v>9318150</v>
      </c>
      <c r="BE42" s="21" t="str">
        <f>VLOOKUP(BD42,CENY!$B$11:$G$1054,2,FALSE)</f>
        <v>Actro You(S) 350/SiSy 10kg; EB21; pravý</v>
      </c>
      <c r="BF42" s="22">
        <f>VLOOKUP(BD42,CENY!$B$11:$G$1054,3,FALSE)</f>
        <v>10</v>
      </c>
      <c r="BG42" s="22"/>
      <c r="BH42" s="23">
        <f>AY27</f>
        <v>0</v>
      </c>
      <c r="BI42" s="326">
        <f t="shared" si="2"/>
        <v>0</v>
      </c>
      <c r="BJ42" s="95">
        <f>VLOOKUP(BD42,CENY!$B$11:$M$2025,12,FALSE)</f>
        <v>298.88173999999998</v>
      </c>
      <c r="BK42" s="95">
        <f t="shared" si="3"/>
        <v>0</v>
      </c>
    </row>
    <row r="43" spans="2:63" ht="14.4" customHeight="1">
      <c r="AU43" s="319"/>
      <c r="AV43" s="21"/>
      <c r="AW43" s="22"/>
      <c r="AX43" s="22"/>
      <c r="AY43" s="23"/>
      <c r="AZ43" s="326" t="str">
        <f t="shared" si="1"/>
        <v/>
      </c>
      <c r="BA43" s="95"/>
      <c r="BB43" s="95" t="str">
        <f t="shared" si="0"/>
        <v/>
      </c>
      <c r="BD43" s="319"/>
      <c r="BE43" s="21"/>
      <c r="BF43" s="22"/>
      <c r="BG43" s="22"/>
      <c r="BH43" s="23"/>
      <c r="BI43" s="326" t="str">
        <f t="shared" si="2"/>
        <v/>
      </c>
      <c r="BJ43" s="95"/>
      <c r="BK43" s="95" t="str">
        <f t="shared" si="3"/>
        <v/>
      </c>
    </row>
    <row r="44" spans="2:63" ht="14.4" customHeight="1">
      <c r="AU44" s="319">
        <f>OBJ!B284</f>
        <v>9257890</v>
      </c>
      <c r="AV44" s="21" t="str">
        <f>VLOOKUP(AU44,CENY!$B$11:$G$1054,2,FALSE)</f>
        <v>Actro You - Push to open Silent; &lt;10kg</v>
      </c>
      <c r="AW44" s="22">
        <f>VLOOKUP(AU44,CENY!$B$11:$G$1054,3,FALSE)</f>
        <v>1</v>
      </c>
      <c r="AX44" s="22"/>
      <c r="AY44" s="23">
        <f>AN19</f>
        <v>0</v>
      </c>
      <c r="AZ44" s="326">
        <f t="shared" si="1"/>
        <v>0</v>
      </c>
      <c r="BA44" s="95">
        <f>VLOOKUP(AU44,CENY!$B$11:$M$2025,12,FALSE)</f>
        <v>481.81412999999998</v>
      </c>
      <c r="BB44" s="95">
        <f t="shared" si="0"/>
        <v>0</v>
      </c>
      <c r="BD44" s="319">
        <f>OBJ!B251</f>
        <v>9318167</v>
      </c>
      <c r="BE44" s="21" t="str">
        <f>VLOOKUP(BD44,CENY!$B$11:$G$1054,2,FALSE)</f>
        <v>Actro You(L) 270/SiSy 40kg; EB21; ľavý</v>
      </c>
      <c r="BF44" s="22">
        <f>VLOOKUP(BD44,CENY!$B$11:$G$1054,3,FALSE)</f>
        <v>10</v>
      </c>
      <c r="BG44" s="22"/>
      <c r="BH44" s="23">
        <f>AY29</f>
        <v>0</v>
      </c>
      <c r="BI44" s="326">
        <f t="shared" si="2"/>
        <v>0</v>
      </c>
      <c r="BJ44" s="95">
        <f>VLOOKUP(BD44,CENY!$B$11:$M$2025,12,FALSE)</f>
        <v>298.88173999999998</v>
      </c>
      <c r="BK44" s="95">
        <f t="shared" si="3"/>
        <v>0</v>
      </c>
    </row>
    <row r="45" spans="2:63" ht="14.4" customHeight="1">
      <c r="AU45" s="319">
        <f>OBJ!B285</f>
        <v>9257891</v>
      </c>
      <c r="AV45" s="21" t="str">
        <f>VLOOKUP(AU45,CENY!$B$11:$G$1054,2,FALSE)</f>
        <v>Actro You - Push to open Silent; 8-20kg</v>
      </c>
      <c r="AW45" s="22">
        <f>VLOOKUP(AU45,CENY!$B$11:$G$1054,3,FALSE)</f>
        <v>1</v>
      </c>
      <c r="AX45" s="22"/>
      <c r="AY45" s="23">
        <f>AN20</f>
        <v>0</v>
      </c>
      <c r="AZ45" s="326">
        <f t="shared" si="1"/>
        <v>0</v>
      </c>
      <c r="BA45" s="95">
        <f>VLOOKUP(AU45,CENY!$B$11:$M$2025,12,FALSE)</f>
        <v>481.81412999999998</v>
      </c>
      <c r="BB45" s="95">
        <f t="shared" si="0"/>
        <v>0</v>
      </c>
      <c r="BD45" s="319">
        <f>OBJ!B252</f>
        <v>9318170</v>
      </c>
      <c r="BE45" s="21" t="str">
        <f>VLOOKUP(BD45,CENY!$B$11:$G$1054,2,FALSE)</f>
        <v>Actro You(L) 270/SiSy 40kg; EB21; pravý</v>
      </c>
      <c r="BF45" s="22">
        <f>VLOOKUP(BD45,CENY!$B$11:$G$1054,3,FALSE)</f>
        <v>10</v>
      </c>
      <c r="BG45" s="22"/>
      <c r="BH45" s="23">
        <f>AY29</f>
        <v>0</v>
      </c>
      <c r="BI45" s="326">
        <f t="shared" si="2"/>
        <v>0</v>
      </c>
      <c r="BJ45" s="95">
        <f>VLOOKUP(BD45,CENY!$B$11:$M$2025,12,FALSE)</f>
        <v>298.88173999999998</v>
      </c>
      <c r="BK45" s="95">
        <f t="shared" si="3"/>
        <v>0</v>
      </c>
    </row>
    <row r="46" spans="2:63" ht="14.4" customHeight="1">
      <c r="AU46" s="319">
        <f>OBJ!B286</f>
        <v>9257892</v>
      </c>
      <c r="AV46" s="21" t="str">
        <f>VLOOKUP(AU46,CENY!$B$11:$G$1054,2,FALSE)</f>
        <v>Actro You - Push to open Silent; 10-40kg</v>
      </c>
      <c r="AW46" s="22">
        <f>VLOOKUP(AU46,CENY!$B$11:$G$1054,3,FALSE)</f>
        <v>1</v>
      </c>
      <c r="AX46" s="22"/>
      <c r="AY46" s="23">
        <f>AN21</f>
        <v>0</v>
      </c>
      <c r="AZ46" s="326">
        <f t="shared" si="1"/>
        <v>0</v>
      </c>
      <c r="BA46" s="95">
        <f>VLOOKUP(AU46,CENY!$B$11:$M$2025,12,FALSE)</f>
        <v>481.81412999999998</v>
      </c>
      <c r="BB46" s="95">
        <f t="shared" si="0"/>
        <v>0</v>
      </c>
      <c r="BD46" s="319">
        <f>OBJ!B253</f>
        <v>9318171</v>
      </c>
      <c r="BE46" s="21" t="str">
        <f>VLOOKUP(BD46,CENY!$B$11:$G$1054,2,FALSE)</f>
        <v>Actro You(L) 300/SiSy 40kg; EB21; ľavý</v>
      </c>
      <c r="BF46" s="22">
        <f>VLOOKUP(BD46,CENY!$B$11:$G$1054,3,FALSE)</f>
        <v>10</v>
      </c>
      <c r="BG46" s="22"/>
      <c r="BH46" s="23">
        <f>AY30</f>
        <v>0</v>
      </c>
      <c r="BI46" s="326">
        <f t="shared" si="2"/>
        <v>0</v>
      </c>
      <c r="BJ46" s="95">
        <f>VLOOKUP(BD46,CENY!$B$11:$M$2025,12,FALSE)</f>
        <v>298.88173999999998</v>
      </c>
      <c r="BK46" s="95">
        <f t="shared" si="3"/>
        <v>0</v>
      </c>
    </row>
    <row r="47" spans="2:63" ht="14.4" customHeight="1">
      <c r="AU47" s="319">
        <f>OBJ!B287</f>
        <v>9257893</v>
      </c>
      <c r="AV47" s="21" t="str">
        <f>VLOOKUP(AU47,CENY!$B$11:$G$1054,2,FALSE)</f>
        <v>Actro You - Push to open Silent; 20-70kg</v>
      </c>
      <c r="AW47" s="22">
        <f>VLOOKUP(AU47,CENY!$B$11:$G$1054,3,FALSE)</f>
        <v>1</v>
      </c>
      <c r="AX47" s="22"/>
      <c r="AY47" s="23">
        <f>AN22</f>
        <v>0</v>
      </c>
      <c r="AZ47" s="326">
        <f t="shared" si="1"/>
        <v>0</v>
      </c>
      <c r="BA47" s="95">
        <f>VLOOKUP(AU47,CENY!$B$11:$M$2025,12,FALSE)</f>
        <v>481.81412999999998</v>
      </c>
      <c r="BB47" s="95">
        <f t="shared" si="0"/>
        <v>0</v>
      </c>
      <c r="BD47" s="319">
        <f>OBJ!B254</f>
        <v>9318172</v>
      </c>
      <c r="BE47" s="21" t="str">
        <f>VLOOKUP(BD47,CENY!$B$11:$G$1054,2,FALSE)</f>
        <v>Actro You(L) 300/SiSy 40kg; EB21; pravý</v>
      </c>
      <c r="BF47" s="22">
        <f>VLOOKUP(BD47,CENY!$B$11:$G$1054,3,FALSE)</f>
        <v>10</v>
      </c>
      <c r="BG47" s="22"/>
      <c r="BH47" s="23">
        <f>AY30</f>
        <v>0</v>
      </c>
      <c r="BI47" s="326">
        <f t="shared" si="2"/>
        <v>0</v>
      </c>
      <c r="BJ47" s="95">
        <f>VLOOKUP(BD47,CENY!$B$11:$M$2025,12,FALSE)</f>
        <v>298.88173999999998</v>
      </c>
      <c r="BK47" s="95">
        <f t="shared" si="3"/>
        <v>0</v>
      </c>
    </row>
    <row r="48" spans="2:63" ht="14.4" customHeight="1">
      <c r="AU48" s="319">
        <f>OBJ!B288</f>
        <v>9236718</v>
      </c>
      <c r="AV48" s="21" t="str">
        <f>VLOOKUP(AU48,CENY!$B$11:$G$1054,2,FALSE)</f>
        <v>Push to open Synchro / tyč 2.000 mm</v>
      </c>
      <c r="AW48" s="22">
        <f>VLOOKUP(AU48,CENY!$B$11:$G$1054,3,FALSE)</f>
        <v>100</v>
      </c>
      <c r="AX48" s="22"/>
      <c r="AY48" s="23">
        <f>SUM(AN19:AO22)+SUM(AN27:AO29)+SUM(O30:AD30)</f>
        <v>0</v>
      </c>
      <c r="AZ48" s="326">
        <f t="shared" si="1"/>
        <v>0</v>
      </c>
      <c r="BA48" s="95">
        <f>VLOOKUP(AU48,CENY!$B$11:$M$2025,12,FALSE)</f>
        <v>182.03933000000001</v>
      </c>
      <c r="BB48" s="95">
        <f t="shared" si="0"/>
        <v>0</v>
      </c>
      <c r="BD48" s="319">
        <f>OBJ!B255</f>
        <v>9318173</v>
      </c>
      <c r="BE48" s="21" t="str">
        <f>VLOOKUP(BD48,CENY!$B$11:$G$1054,2,FALSE)</f>
        <v>Actro You(L) 350/SiSy 40kg; EB21; ľavý</v>
      </c>
      <c r="BF48" s="22">
        <f>VLOOKUP(BD48,CENY!$B$11:$G$1054,3,FALSE)</f>
        <v>10</v>
      </c>
      <c r="BG48" s="22"/>
      <c r="BH48" s="23">
        <f>AY31</f>
        <v>0</v>
      </c>
      <c r="BI48" s="326">
        <f t="shared" si="2"/>
        <v>0</v>
      </c>
      <c r="BJ48" s="95">
        <f>VLOOKUP(BD48,CENY!$B$11:$M$2025,12,FALSE)</f>
        <v>298.88173999999998</v>
      </c>
      <c r="BK48" s="95">
        <f t="shared" si="3"/>
        <v>0</v>
      </c>
    </row>
    <row r="49" spans="47:63" ht="14.4" customHeight="1">
      <c r="AU49" s="319"/>
      <c r="AV49" s="21"/>
      <c r="AW49" s="22"/>
      <c r="AX49" s="22"/>
      <c r="AY49" s="23"/>
      <c r="AZ49" s="326" t="str">
        <f t="shared" si="1"/>
        <v/>
      </c>
      <c r="BA49" s="95"/>
      <c r="BB49" s="95" t="str">
        <f t="shared" si="0"/>
        <v/>
      </c>
      <c r="BD49" s="319">
        <f>OBJ!B256</f>
        <v>9318174</v>
      </c>
      <c r="BE49" s="21" t="str">
        <f>VLOOKUP(BD49,CENY!$B$11:$G$1054,2,FALSE)</f>
        <v>Actro You(L) 350/SiSy 40kg; EB21; pravý</v>
      </c>
      <c r="BF49" s="22">
        <f>VLOOKUP(BD49,CENY!$B$11:$G$1054,3,FALSE)</f>
        <v>10</v>
      </c>
      <c r="BG49" s="22"/>
      <c r="BH49" s="23">
        <f>AY31</f>
        <v>0</v>
      </c>
      <c r="BI49" s="326">
        <f t="shared" si="2"/>
        <v>0</v>
      </c>
      <c r="BJ49" s="95">
        <f>VLOOKUP(BD49,CENY!$B$11:$M$2025,12,FALSE)</f>
        <v>298.88173999999998</v>
      </c>
      <c r="BK49" s="95">
        <f t="shared" si="3"/>
        <v>0</v>
      </c>
    </row>
    <row r="50" spans="47:63" ht="14.4" customHeight="1">
      <c r="AU50" s="319">
        <f>OBJ!B294</f>
        <v>9256953</v>
      </c>
      <c r="AV50" s="21" t="str">
        <f>VLOOKUP(AU50,CENY!$B$11:$G$1054,2,FALSE)</f>
        <v>Quadro You(S) 270/SiSy 10kg; EB21</v>
      </c>
      <c r="AW50" s="22">
        <f>VLOOKUP(AU50,CENY!$B$11:$G$1054,3,FALSE)</f>
        <v>1</v>
      </c>
      <c r="AX50" s="362">
        <v>4</v>
      </c>
      <c r="AY50" s="23">
        <f>O27</f>
        <v>0</v>
      </c>
      <c r="AZ50" s="326">
        <f t="shared" si="1"/>
        <v>0</v>
      </c>
      <c r="BA50" s="95">
        <f>VLOOKUP(AU50,CENY!$B$11:$M$2025,12,FALSE)</f>
        <v>478.60127999999997</v>
      </c>
      <c r="BB50" s="95">
        <f t="shared" si="0"/>
        <v>0</v>
      </c>
      <c r="BD50" s="319">
        <f>OBJ!B257</f>
        <v>9318175</v>
      </c>
      <c r="BE50" s="21" t="str">
        <f>VLOOKUP(BD50,CENY!$B$11:$G$1054,2,FALSE)</f>
        <v>Actro You(L) 400/SiSy 40kg; EB21; ľavý</v>
      </c>
      <c r="BF50" s="22">
        <f>VLOOKUP(BD50,CENY!$B$11:$G$1054,3,FALSE)</f>
        <v>10</v>
      </c>
      <c r="BG50" s="22"/>
      <c r="BH50" s="23">
        <f>AY32</f>
        <v>0</v>
      </c>
      <c r="BI50" s="326">
        <f t="shared" si="2"/>
        <v>0</v>
      </c>
      <c r="BJ50" s="95">
        <f>VLOOKUP(BD50,CENY!$B$11:$M$2025,12,FALSE)</f>
        <v>302.69770999999997</v>
      </c>
      <c r="BK50" s="95">
        <f t="shared" si="3"/>
        <v>0</v>
      </c>
    </row>
    <row r="51" spans="47:63" ht="14.4" customHeight="1">
      <c r="AU51" s="319">
        <f>OBJ!B295</f>
        <v>9256954</v>
      </c>
      <c r="AV51" s="21" t="str">
        <f>VLOOKUP(AU51,CENY!$B$11:$G$1054,2,FALSE)</f>
        <v>Quadro You(S) 300/SiSy 10kg; EB21</v>
      </c>
      <c r="AW51" s="22">
        <f>VLOOKUP(AU51,CENY!$B$11:$G$1054,3,FALSE)</f>
        <v>1</v>
      </c>
      <c r="AX51" s="362">
        <v>4</v>
      </c>
      <c r="AY51" s="23">
        <f>Q27</f>
        <v>0</v>
      </c>
      <c r="AZ51" s="326">
        <f t="shared" si="1"/>
        <v>0</v>
      </c>
      <c r="BA51" s="95">
        <f>VLOOKUP(AU51,CENY!$B$11:$M$2025,12,FALSE)</f>
        <v>479.57344999999998</v>
      </c>
      <c r="BB51" s="95">
        <f t="shared" si="0"/>
        <v>0</v>
      </c>
      <c r="BD51" s="319">
        <f>OBJ!B258</f>
        <v>9318176</v>
      </c>
      <c r="BE51" s="21" t="str">
        <f>VLOOKUP(BD51,CENY!$B$11:$G$1054,2,FALSE)</f>
        <v>Actro You(L) 400/SiSy 40kg; EB21; pravý</v>
      </c>
      <c r="BF51" s="22">
        <f>VLOOKUP(BD51,CENY!$B$11:$G$1054,3,FALSE)</f>
        <v>10</v>
      </c>
      <c r="BG51" s="22"/>
      <c r="BH51" s="23">
        <f>AY32</f>
        <v>0</v>
      </c>
      <c r="BI51" s="326">
        <f t="shared" si="2"/>
        <v>0</v>
      </c>
      <c r="BJ51" s="95">
        <f>VLOOKUP(BD51,CENY!$B$11:$M$2025,12,FALSE)</f>
        <v>302.69770999999997</v>
      </c>
      <c r="BK51" s="95">
        <f t="shared" si="3"/>
        <v>0</v>
      </c>
    </row>
    <row r="52" spans="47:63" ht="14.4" customHeight="1">
      <c r="AU52" s="319">
        <f>OBJ!B296</f>
        <v>9256956</v>
      </c>
      <c r="AV52" s="21" t="str">
        <f>VLOOKUP(AU52,CENY!$B$11:$G$1054,2,FALSE)</f>
        <v>Quadro You(S) 350/SiSy 10kg; EB21</v>
      </c>
      <c r="AW52" s="22">
        <f>VLOOKUP(AU52,CENY!$B$11:$G$1054,3,FALSE)</f>
        <v>1</v>
      </c>
      <c r="AX52" s="362">
        <v>4</v>
      </c>
      <c r="AY52" s="23">
        <f>S27</f>
        <v>0</v>
      </c>
      <c r="AZ52" s="326">
        <f t="shared" si="1"/>
        <v>0</v>
      </c>
      <c r="BA52" s="95">
        <f>VLOOKUP(AU52,CENY!$B$11:$M$2025,12,FALSE)</f>
        <v>489.27857</v>
      </c>
      <c r="BB52" s="95">
        <f t="shared" si="0"/>
        <v>0</v>
      </c>
      <c r="BD52" s="319">
        <f>OBJ!B259</f>
        <v>9318177</v>
      </c>
      <c r="BE52" s="21" t="str">
        <f>VLOOKUP(BD52,CENY!$B$11:$G$1054,2,FALSE)</f>
        <v>Actro You(L) 450/SiSy 40kg; EB21; ľavý</v>
      </c>
      <c r="BF52" s="22">
        <f>VLOOKUP(BD52,CENY!$B$11:$G$1054,3,FALSE)</f>
        <v>10</v>
      </c>
      <c r="BG52" s="22"/>
      <c r="BH52" s="23">
        <f>AY33</f>
        <v>0</v>
      </c>
      <c r="BI52" s="326">
        <f t="shared" si="2"/>
        <v>0</v>
      </c>
      <c r="BJ52" s="95">
        <f>VLOOKUP(BD52,CENY!$B$11:$M$2025,12,FALSE)</f>
        <v>298.33073999999999</v>
      </c>
      <c r="BK52" s="95">
        <f t="shared" si="3"/>
        <v>0</v>
      </c>
    </row>
    <row r="53" spans="47:63" ht="14.4" customHeight="1">
      <c r="AU53" s="319"/>
      <c r="AV53" s="21"/>
      <c r="AW53" s="22"/>
      <c r="AX53" s="22"/>
      <c r="AY53" s="23"/>
      <c r="AZ53" s="326" t="str">
        <f t="shared" si="1"/>
        <v/>
      </c>
      <c r="BA53" s="95"/>
      <c r="BB53" s="95" t="str">
        <f t="shared" si="0"/>
        <v/>
      </c>
      <c r="BD53" s="319">
        <f>OBJ!B260</f>
        <v>9318178</v>
      </c>
      <c r="BE53" s="21" t="str">
        <f>VLOOKUP(BD53,CENY!$B$11:$G$1054,2,FALSE)</f>
        <v>Actro You(L) 450/SiSy 40kg; EB21; pravý</v>
      </c>
      <c r="BF53" s="22">
        <f>VLOOKUP(BD53,CENY!$B$11:$G$1054,3,FALSE)</f>
        <v>10</v>
      </c>
      <c r="BG53" s="22"/>
      <c r="BH53" s="23">
        <f>AY33</f>
        <v>0</v>
      </c>
      <c r="BI53" s="326">
        <f t="shared" si="2"/>
        <v>0</v>
      </c>
      <c r="BJ53" s="95">
        <f>VLOOKUP(BD53,CENY!$B$11:$M$2025,12,FALSE)</f>
        <v>298.33073999999999</v>
      </c>
      <c r="BK53" s="95">
        <f t="shared" si="3"/>
        <v>0</v>
      </c>
    </row>
    <row r="54" spans="47:63" ht="14.4" customHeight="1">
      <c r="AU54" s="319">
        <f>OBJ!B304</f>
        <v>9256883</v>
      </c>
      <c r="AV54" s="21" t="str">
        <f>VLOOKUP(AU54,CENY!$B$11:$G$1054,2,FALSE)</f>
        <v>Quadro You(M) 270/SiSy 20kg; EB21</v>
      </c>
      <c r="AW54" s="22">
        <f>VLOOKUP(AU54,CENY!$B$11:$G$1054,3,FALSE)</f>
        <v>1</v>
      </c>
      <c r="AX54" s="362">
        <v>8</v>
      </c>
      <c r="AY54" s="23">
        <f>O28</f>
        <v>0</v>
      </c>
      <c r="AZ54" s="326">
        <f t="shared" si="1"/>
        <v>0</v>
      </c>
      <c r="BA54" s="95">
        <f>VLOOKUP(AU54,CENY!$B$11:$M$2025,12,FALSE)</f>
        <v>478.60127999999997</v>
      </c>
      <c r="BB54" s="95">
        <f t="shared" si="0"/>
        <v>0</v>
      </c>
      <c r="BD54" s="319">
        <f>OBJ!B261</f>
        <v>9318179</v>
      </c>
      <c r="BE54" s="21" t="str">
        <f>VLOOKUP(BD54,CENY!$B$11:$G$1054,2,FALSE)</f>
        <v>Actro You(L) 500/SiSy 40kg; EB21; ľavý</v>
      </c>
      <c r="BF54" s="22">
        <f>VLOOKUP(BD54,CENY!$B$11:$G$1054,3,FALSE)</f>
        <v>10</v>
      </c>
      <c r="BG54" s="22"/>
      <c r="BH54" s="23">
        <f>AY34</f>
        <v>0</v>
      </c>
      <c r="BI54" s="326">
        <f t="shared" si="2"/>
        <v>0</v>
      </c>
      <c r="BJ54" s="95">
        <f>VLOOKUP(BD54,CENY!$B$11:$M$2025,12,FALSE)</f>
        <v>296.00905</v>
      </c>
      <c r="BK54" s="95">
        <f t="shared" si="3"/>
        <v>0</v>
      </c>
    </row>
    <row r="55" spans="47:63" ht="14.4" customHeight="1">
      <c r="AU55" s="319">
        <f>OBJ!B305</f>
        <v>9256884</v>
      </c>
      <c r="AV55" s="21" t="str">
        <f>VLOOKUP(AU55,CENY!$B$11:$G$1054,2,FALSE)</f>
        <v>Quadro You(M) 300/SiSy 20kg; EB21</v>
      </c>
      <c r="AW55" s="22">
        <f>VLOOKUP(AU55,CENY!$B$11:$G$1054,3,FALSE)</f>
        <v>1</v>
      </c>
      <c r="AX55" s="362">
        <v>8</v>
      </c>
      <c r="AY55" s="23">
        <f>Q28</f>
        <v>0</v>
      </c>
      <c r="AZ55" s="326">
        <f t="shared" si="1"/>
        <v>0</v>
      </c>
      <c r="BA55" s="95">
        <f>VLOOKUP(AU55,CENY!$B$11:$M$2025,12,FALSE)</f>
        <v>479.57344999999998</v>
      </c>
      <c r="BB55" s="95">
        <f t="shared" si="0"/>
        <v>0</v>
      </c>
      <c r="BD55" s="319">
        <f>OBJ!B262</f>
        <v>9318180</v>
      </c>
      <c r="BE55" s="21" t="str">
        <f>VLOOKUP(BD55,CENY!$B$11:$G$1054,2,FALSE)</f>
        <v>Actro You(L) 500/SiSy 40kg; EB21; pravý</v>
      </c>
      <c r="BF55" s="22">
        <f>VLOOKUP(BD55,CENY!$B$11:$G$1054,3,FALSE)</f>
        <v>10</v>
      </c>
      <c r="BG55" s="22"/>
      <c r="BH55" s="23">
        <f>AY34</f>
        <v>0</v>
      </c>
      <c r="BI55" s="326">
        <f t="shared" si="2"/>
        <v>0</v>
      </c>
      <c r="BJ55" s="95">
        <f>VLOOKUP(BD55,CENY!$B$11:$M$2025,12,FALSE)</f>
        <v>296.00905</v>
      </c>
      <c r="BK55" s="95">
        <f t="shared" si="3"/>
        <v>0</v>
      </c>
    </row>
    <row r="56" spans="47:63" ht="14.4" customHeight="1">
      <c r="AU56" s="319">
        <f>OBJ!B306</f>
        <v>9256886</v>
      </c>
      <c r="AV56" s="21" t="str">
        <f>VLOOKUP(AU56,CENY!$B$11:$G$1054,2,FALSE)</f>
        <v>Quadro You(M) 350/SiSy 25kg; EB21</v>
      </c>
      <c r="AW56" s="22">
        <f>VLOOKUP(AU56,CENY!$B$11:$G$1054,3,FALSE)</f>
        <v>1</v>
      </c>
      <c r="AX56" s="362">
        <v>8</v>
      </c>
      <c r="AY56" s="23">
        <f>S28</f>
        <v>0</v>
      </c>
      <c r="AZ56" s="326">
        <f t="shared" si="1"/>
        <v>0</v>
      </c>
      <c r="BA56" s="95">
        <f>VLOOKUP(AU56,CENY!$B$11:$M$2025,12,FALSE)</f>
        <v>489.27857</v>
      </c>
      <c r="BB56" s="95">
        <f t="shared" si="0"/>
        <v>0</v>
      </c>
      <c r="BD56" s="319">
        <f>OBJ!B263</f>
        <v>9318181</v>
      </c>
      <c r="BE56" s="21" t="str">
        <f>VLOOKUP(BD56,CENY!$B$11:$G$1054,2,FALSE)</f>
        <v>Actro You(L) 550/SiSy 40kg; EB21; ľavý</v>
      </c>
      <c r="BF56" s="22">
        <f>VLOOKUP(BD56,CENY!$B$11:$G$1054,3,FALSE)</f>
        <v>10</v>
      </c>
      <c r="BG56" s="22"/>
      <c r="BH56" s="23">
        <f>AY35</f>
        <v>0</v>
      </c>
      <c r="BI56" s="326">
        <f t="shared" si="2"/>
        <v>0</v>
      </c>
      <c r="BJ56" s="95">
        <f>VLOOKUP(BD56,CENY!$B$11:$M$2025,12,FALSE)</f>
        <v>321.83461999999997</v>
      </c>
      <c r="BK56" s="95">
        <f t="shared" si="3"/>
        <v>0</v>
      </c>
    </row>
    <row r="57" spans="47:63" ht="14.4" customHeight="1">
      <c r="AU57" s="319">
        <f>OBJ!B307</f>
        <v>9256888</v>
      </c>
      <c r="AV57" s="21" t="str">
        <f>VLOOKUP(AU57,CENY!$B$11:$G$1054,2,FALSE)</f>
        <v>Quadro You(M) 400/SiSy 30kg; EB21</v>
      </c>
      <c r="AW57" s="22">
        <f>VLOOKUP(AU57,CENY!$B$11:$G$1054,3,FALSE)</f>
        <v>1</v>
      </c>
      <c r="AX57" s="362">
        <v>8</v>
      </c>
      <c r="AY57" s="23">
        <f>U28</f>
        <v>0</v>
      </c>
      <c r="AZ57" s="326">
        <f t="shared" si="1"/>
        <v>0</v>
      </c>
      <c r="BA57" s="95">
        <f>VLOOKUP(AU57,CENY!$B$11:$M$2025,12,FALSE)</f>
        <v>498.97861999999998</v>
      </c>
      <c r="BB57" s="95">
        <f t="shared" si="0"/>
        <v>0</v>
      </c>
      <c r="BD57" s="319">
        <f>OBJ!B264</f>
        <v>9318182</v>
      </c>
      <c r="BE57" s="21" t="str">
        <f>VLOOKUP(BD57,CENY!$B$11:$G$1054,2,FALSE)</f>
        <v>Actro You(L) 550/SiSy 40kg; EB21; pravý</v>
      </c>
      <c r="BF57" s="22">
        <f>VLOOKUP(BD57,CENY!$B$11:$G$1054,3,FALSE)</f>
        <v>10</v>
      </c>
      <c r="BG57" s="22"/>
      <c r="BH57" s="23">
        <f>AY35</f>
        <v>0</v>
      </c>
      <c r="BI57" s="326">
        <f t="shared" si="2"/>
        <v>0</v>
      </c>
      <c r="BJ57" s="95">
        <f>VLOOKUP(BD57,CENY!$B$11:$M$2025,12,FALSE)</f>
        <v>321.83461999999997</v>
      </c>
      <c r="BK57" s="95">
        <f t="shared" si="3"/>
        <v>0</v>
      </c>
    </row>
    <row r="58" spans="47:63" ht="14.4" customHeight="1">
      <c r="AU58" s="319">
        <f>OBJ!B308</f>
        <v>9256890</v>
      </c>
      <c r="AV58" s="21" t="str">
        <f>VLOOKUP(AU58,CENY!$B$11:$G$1054,2,FALSE)</f>
        <v>Quadro You(M) 450/SiSy 30kg; EB21</v>
      </c>
      <c r="AW58" s="22">
        <f>VLOOKUP(AU58,CENY!$B$11:$G$1054,3,FALSE)</f>
        <v>1</v>
      </c>
      <c r="AX58" s="362">
        <v>8</v>
      </c>
      <c r="AY58" s="23">
        <f>W28</f>
        <v>0</v>
      </c>
      <c r="AZ58" s="326">
        <f t="shared" si="1"/>
        <v>0</v>
      </c>
      <c r="BA58" s="95">
        <f>VLOOKUP(AU58,CENY!$B$11:$M$2025,12,FALSE)</f>
        <v>122.98869999999999</v>
      </c>
      <c r="BB58" s="95">
        <f t="shared" si="0"/>
        <v>0</v>
      </c>
      <c r="BD58" s="319">
        <f>OBJ!B265</f>
        <v>9318183</v>
      </c>
      <c r="BE58" s="21" t="str">
        <f>VLOOKUP(BD58,CENY!$B$11:$G$1054,2,FALSE)</f>
        <v>Actro You(L) 600/SiSy 40kg; EB21; ľavý</v>
      </c>
      <c r="BF58" s="22">
        <f>VLOOKUP(BD58,CENY!$B$11:$G$1054,3,FALSE)</f>
        <v>10</v>
      </c>
      <c r="BG58" s="22"/>
      <c r="BH58" s="23">
        <f>AY36</f>
        <v>0</v>
      </c>
      <c r="BI58" s="326">
        <f t="shared" si="2"/>
        <v>0</v>
      </c>
      <c r="BJ58" s="95">
        <f>VLOOKUP(BD58,CENY!$B$11:$M$2025,12,FALSE)</f>
        <v>326.21229</v>
      </c>
      <c r="BK58" s="95">
        <f t="shared" si="3"/>
        <v>0</v>
      </c>
    </row>
    <row r="59" spans="47:63" ht="14.4" customHeight="1">
      <c r="AU59" s="319">
        <f>OBJ!B309</f>
        <v>9256892</v>
      </c>
      <c r="AV59" s="21" t="str">
        <f>VLOOKUP(AU59,CENY!$B$11:$G$1054,2,FALSE)</f>
        <v>Quadro You(M) 500/SiSy 30kg; EB21</v>
      </c>
      <c r="AW59" s="22">
        <f>VLOOKUP(AU59,CENY!$B$11:$G$1054,3,FALSE)</f>
        <v>1</v>
      </c>
      <c r="AX59" s="362">
        <v>8</v>
      </c>
      <c r="AY59" s="23">
        <f>Y28</f>
        <v>0</v>
      </c>
      <c r="AZ59" s="326">
        <f t="shared" si="1"/>
        <v>0</v>
      </c>
      <c r="BA59" s="95">
        <f>VLOOKUP(AU59,CENY!$B$11:$M$2025,12,FALSE)</f>
        <v>504.59701000000001</v>
      </c>
      <c r="BB59" s="95">
        <f t="shared" si="0"/>
        <v>0</v>
      </c>
      <c r="BD59" s="319">
        <f>OBJ!B266</f>
        <v>9318184</v>
      </c>
      <c r="BE59" s="21" t="str">
        <f>VLOOKUP(BD59,CENY!$B$11:$G$1054,2,FALSE)</f>
        <v>Actro You(L) 600/SiSy 40kg; EB21; pravý</v>
      </c>
      <c r="BF59" s="22">
        <f>VLOOKUP(BD59,CENY!$B$11:$G$1054,3,FALSE)</f>
        <v>10</v>
      </c>
      <c r="BG59" s="22"/>
      <c r="BH59" s="23">
        <f>AY36</f>
        <v>0</v>
      </c>
      <c r="BI59" s="326">
        <f t="shared" si="2"/>
        <v>0</v>
      </c>
      <c r="BJ59" s="95">
        <f>VLOOKUP(BD59,CENY!$B$11:$M$2025,12,FALSE)</f>
        <v>326.21229</v>
      </c>
      <c r="BK59" s="95">
        <f t="shared" si="3"/>
        <v>0</v>
      </c>
    </row>
    <row r="60" spans="47:63" ht="14.4" customHeight="1">
      <c r="AU60" s="319">
        <f>OBJ!B310</f>
        <v>9256894</v>
      </c>
      <c r="AV60" s="21" t="str">
        <f>VLOOKUP(AU60,CENY!$B$11:$G$1054,2,FALSE)</f>
        <v>Quadro You(M) 550/SiSy 30kg; EB21</v>
      </c>
      <c r="AW60" s="22">
        <f>VLOOKUP(AU60,CENY!$B$11:$G$1054,3,FALSE)</f>
        <v>1</v>
      </c>
      <c r="AX60" s="362">
        <v>8</v>
      </c>
      <c r="AY60" s="23">
        <f>AA28</f>
        <v>0</v>
      </c>
      <c r="AZ60" s="326">
        <f t="shared" si="1"/>
        <v>0</v>
      </c>
      <c r="BA60" s="95">
        <f>VLOOKUP(AU60,CENY!$B$11:$M$2025,12,FALSE)</f>
        <v>127.68105</v>
      </c>
      <c r="BB60" s="95">
        <f t="shared" si="0"/>
        <v>0</v>
      </c>
      <c r="BD60" s="319"/>
      <c r="BE60" s="21"/>
      <c r="BF60" s="22"/>
      <c r="BG60" s="22"/>
      <c r="BH60" s="23"/>
      <c r="BI60" s="326" t="str">
        <f t="shared" si="2"/>
        <v/>
      </c>
      <c r="BJ60" s="95"/>
      <c r="BK60" s="95" t="str">
        <f t="shared" si="3"/>
        <v/>
      </c>
    </row>
    <row r="61" spans="47:63" ht="14.4" customHeight="1">
      <c r="AU61" s="319">
        <f>OBJ!B311</f>
        <v>9256896</v>
      </c>
      <c r="AV61" s="21" t="str">
        <f>VLOOKUP(AU61,CENY!$B$11:$G$1054,2,FALSE)</f>
        <v>Quadro You(M) 600/SiSy 25kg; EB21</v>
      </c>
      <c r="AW61" s="22">
        <f>VLOOKUP(AU61,CENY!$B$11:$G$1054,3,FALSE)</f>
        <v>1</v>
      </c>
      <c r="AX61" s="362">
        <v>8</v>
      </c>
      <c r="AY61" s="23">
        <f>AC28</f>
        <v>0</v>
      </c>
      <c r="AZ61" s="326">
        <f t="shared" si="1"/>
        <v>0</v>
      </c>
      <c r="BA61" s="95">
        <f>VLOOKUP(AU61,CENY!$B$11:$M$2025,12,FALSE)</f>
        <v>537.79395</v>
      </c>
      <c r="BB61" s="95">
        <f t="shared" si="0"/>
        <v>0</v>
      </c>
      <c r="BD61" s="319">
        <f>OBJ!B273</f>
        <v>9318198</v>
      </c>
      <c r="BE61" s="21" t="str">
        <f>VLOOKUP(BD61,CENY!$B$11:$G$1054,2,FALSE)</f>
        <v>Actro You(XL) 450/SiSy 70kg; EB21; ľavý</v>
      </c>
      <c r="BF61" s="22">
        <f>VLOOKUP(BD61,CENY!$B$11:$G$1054,3,FALSE)</f>
        <v>10</v>
      </c>
      <c r="BG61" s="22"/>
      <c r="BH61" s="23">
        <f>AY38</f>
        <v>0</v>
      </c>
      <c r="BI61" s="326">
        <f t="shared" si="2"/>
        <v>0</v>
      </c>
      <c r="BJ61" s="95">
        <f>VLOOKUP(BD61,CENY!$B$11:$M$2025,12,FALSE)</f>
        <v>368.62277</v>
      </c>
      <c r="BK61" s="95">
        <f t="shared" si="3"/>
        <v>0</v>
      </c>
    </row>
    <row r="62" spans="47:63" ht="14.4" customHeight="1">
      <c r="AU62" s="319"/>
      <c r="AV62" s="21"/>
      <c r="AW62" s="22"/>
      <c r="AX62" s="22"/>
      <c r="AY62" s="23"/>
      <c r="AZ62" s="326" t="str">
        <f t="shared" si="1"/>
        <v/>
      </c>
      <c r="BA62" s="95"/>
      <c r="BB62" s="95" t="str">
        <f t="shared" si="0"/>
        <v/>
      </c>
      <c r="BD62" s="319">
        <f>OBJ!B274</f>
        <v>9318199</v>
      </c>
      <c r="BE62" s="21" t="str">
        <f>VLOOKUP(BD62,CENY!$B$11:$G$1054,2,FALSE)</f>
        <v>Actro You(XL) 450/SiSy 70kg; EB21; pravý</v>
      </c>
      <c r="BF62" s="22">
        <f>VLOOKUP(BD62,CENY!$B$11:$G$1054,3,FALSE)</f>
        <v>10</v>
      </c>
      <c r="BG62" s="22"/>
      <c r="BH62" s="23">
        <f>AY38</f>
        <v>0</v>
      </c>
      <c r="BI62" s="326">
        <f t="shared" si="2"/>
        <v>0</v>
      </c>
      <c r="BJ62" s="95">
        <f>VLOOKUP(BD62,CENY!$B$11:$M$2025,12,FALSE)</f>
        <v>368.62277</v>
      </c>
      <c r="BK62" s="95">
        <f t="shared" si="3"/>
        <v>0</v>
      </c>
    </row>
    <row r="63" spans="47:63" ht="14.4" customHeight="1">
      <c r="AU63" s="319">
        <f>OBJ!B329</f>
        <v>9257894</v>
      </c>
      <c r="AV63" s="21" t="str">
        <f>VLOOKUP(AU63,CENY!$B$11:$G$1054,2,FALSE)</f>
        <v>Quadro You - Push to open Silent; &lt;10kg</v>
      </c>
      <c r="AW63" s="22">
        <f>VLOOKUP(AU63,CENY!$B$11:$G$1054,3,FALSE)</f>
        <v>1</v>
      </c>
      <c r="AX63" s="22"/>
      <c r="AY63" s="23">
        <f>AN27</f>
        <v>0</v>
      </c>
      <c r="AZ63" s="326">
        <f t="shared" si="1"/>
        <v>0</v>
      </c>
      <c r="BA63" s="95">
        <f>VLOOKUP(AU63,CENY!$B$11:$M$2025,12,FALSE)</f>
        <v>480.50922000000003</v>
      </c>
      <c r="BB63" s="95">
        <f t="shared" si="0"/>
        <v>0</v>
      </c>
      <c r="BD63" s="319">
        <f>OBJ!B275</f>
        <v>9318201</v>
      </c>
      <c r="BE63" s="21" t="str">
        <f>VLOOKUP(BD63,CENY!$B$11:$G$1054,2,FALSE)</f>
        <v>Actro You(XL) 500/SiSy 70kg; EB21; ľavý</v>
      </c>
      <c r="BF63" s="22">
        <f>VLOOKUP(BD63,CENY!$B$11:$G$1054,3,FALSE)</f>
        <v>10</v>
      </c>
      <c r="BG63" s="22"/>
      <c r="BH63" s="23">
        <f>AY39</f>
        <v>0</v>
      </c>
      <c r="BI63" s="326">
        <f t="shared" si="2"/>
        <v>0</v>
      </c>
      <c r="BJ63" s="95">
        <f>VLOOKUP(BD63,CENY!$B$11:$M$2025,12,FALSE)</f>
        <v>372.33726999999999</v>
      </c>
      <c r="BK63" s="95">
        <f t="shared" si="3"/>
        <v>0</v>
      </c>
    </row>
    <row r="64" spans="47:63" ht="14.4" customHeight="1">
      <c r="AU64" s="319">
        <f>OBJ!B330</f>
        <v>9257895</v>
      </c>
      <c r="AV64" s="21" t="str">
        <f>VLOOKUP(AU64,CENY!$B$11:$G$1054,2,FALSE)</f>
        <v>Quadro You - Push to open Silent; 8-20kg</v>
      </c>
      <c r="AW64" s="22">
        <f>VLOOKUP(AU64,CENY!$B$11:$G$1054,3,FALSE)</f>
        <v>1</v>
      </c>
      <c r="AX64" s="22"/>
      <c r="AY64" s="23">
        <f>AN28</f>
        <v>0</v>
      </c>
      <c r="AZ64" s="326">
        <f t="shared" si="1"/>
        <v>0</v>
      </c>
      <c r="BA64" s="95">
        <f>VLOOKUP(AU64,CENY!$B$11:$M$2025,12,FALSE)</f>
        <v>480.50922000000003</v>
      </c>
      <c r="BB64" s="95">
        <f t="shared" si="0"/>
        <v>0</v>
      </c>
      <c r="BD64" s="319">
        <f>OBJ!B276</f>
        <v>9318203</v>
      </c>
      <c r="BE64" s="21" t="str">
        <f>VLOOKUP(BD64,CENY!$B$11:$G$1054,2,FALSE)</f>
        <v>Actro You(XL) 500/SiSy 70kg; EB21; pravý</v>
      </c>
      <c r="BF64" s="22">
        <f>VLOOKUP(BD64,CENY!$B$11:$G$1054,3,FALSE)</f>
        <v>10</v>
      </c>
      <c r="BG64" s="22"/>
      <c r="BH64" s="23">
        <f>AY39</f>
        <v>0</v>
      </c>
      <c r="BI64" s="326">
        <f t="shared" si="2"/>
        <v>0</v>
      </c>
      <c r="BJ64" s="95">
        <f>VLOOKUP(BD64,CENY!$B$11:$M$2025,12,FALSE)</f>
        <v>372.33726999999999</v>
      </c>
      <c r="BK64" s="95">
        <f t="shared" si="3"/>
        <v>0</v>
      </c>
    </row>
    <row r="65" spans="47:63" ht="14.4" customHeight="1">
      <c r="AU65" s="319">
        <f>OBJ!B331</f>
        <v>9257896</v>
      </c>
      <c r="AV65" s="21" t="str">
        <f>VLOOKUP(AU65,CENY!$B$11:$G$1054,2,FALSE)</f>
        <v>Quadro You - Push to open Silent; 10-30kg</v>
      </c>
      <c r="AW65" s="22">
        <f>VLOOKUP(AU65,CENY!$B$11:$G$1054,3,FALSE)</f>
        <v>1</v>
      </c>
      <c r="AX65" s="22"/>
      <c r="AY65" s="23">
        <f>AN29</f>
        <v>0</v>
      </c>
      <c r="AZ65" s="326">
        <f t="shared" si="1"/>
        <v>0</v>
      </c>
      <c r="BA65" s="95">
        <f>VLOOKUP(AU65,CENY!$B$11:$M$2025,12,FALSE)</f>
        <v>480.50922000000003</v>
      </c>
      <c r="BB65" s="95">
        <f t="shared" si="0"/>
        <v>0</v>
      </c>
      <c r="BD65" s="319">
        <f>OBJ!B277</f>
        <v>9318208</v>
      </c>
      <c r="BE65" s="21" t="str">
        <f>VLOOKUP(BD65,CENY!$B$11:$G$1054,2,FALSE)</f>
        <v>Actro You(XL) 550/SiSy 70kg; EB21; ľavý</v>
      </c>
      <c r="BF65" s="22">
        <f>VLOOKUP(BD65,CENY!$B$11:$G$1054,3,FALSE)</f>
        <v>10</v>
      </c>
      <c r="BG65" s="22"/>
      <c r="BH65" s="23">
        <f>AY40</f>
        <v>0</v>
      </c>
      <c r="BI65" s="326">
        <f t="shared" si="2"/>
        <v>0</v>
      </c>
      <c r="BJ65" s="95">
        <f>VLOOKUP(BD65,CENY!$B$11:$M$2025,12,FALSE)</f>
        <v>392.11943000000002</v>
      </c>
      <c r="BK65" s="95">
        <f t="shared" si="3"/>
        <v>0</v>
      </c>
    </row>
    <row r="66" spans="47:63" ht="14.4" customHeight="1">
      <c r="AU66" s="319"/>
      <c r="AV66" s="21"/>
      <c r="AW66" s="22"/>
      <c r="AX66" s="22"/>
      <c r="AY66" s="23"/>
      <c r="AZ66" s="326" t="str">
        <f t="shared" si="1"/>
        <v/>
      </c>
      <c r="BA66" s="95"/>
      <c r="BB66" s="95" t="str">
        <f t="shared" si="0"/>
        <v/>
      </c>
      <c r="BD66" s="319">
        <f>OBJ!B278</f>
        <v>9318209</v>
      </c>
      <c r="BE66" s="21" t="str">
        <f>VLOOKUP(BD66,CENY!$B$11:$G$1054,2,FALSE)</f>
        <v>Actro You(XL) 550/SiSy 70kg; EB21; pravý</v>
      </c>
      <c r="BF66" s="22">
        <f>VLOOKUP(BD66,CENY!$B$11:$G$1054,3,FALSE)</f>
        <v>10</v>
      </c>
      <c r="BG66" s="22"/>
      <c r="BH66" s="23">
        <f>AY40</f>
        <v>0</v>
      </c>
      <c r="BI66" s="326">
        <f t="shared" si="2"/>
        <v>0</v>
      </c>
      <c r="BJ66" s="95">
        <f>VLOOKUP(BD66,CENY!$B$11:$M$2025,12,FALSE)</f>
        <v>392.11943000000002</v>
      </c>
      <c r="BK66" s="95">
        <f t="shared" si="3"/>
        <v>0</v>
      </c>
    </row>
    <row r="67" spans="47:63" ht="14.4" customHeight="1">
      <c r="AU67" s="319">
        <f>OBJ!B333</f>
        <v>9256928</v>
      </c>
      <c r="AV67" s="21" t="str">
        <f>VLOOKUP(AU67,CENY!$B$11:$G$1054,2,FALSE)</f>
        <v>Quadro You(M) 270/P2O 20kg; EB21</v>
      </c>
      <c r="AW67" s="22">
        <f>VLOOKUP(AU67,CENY!$B$11:$G$1054,3,FALSE)</f>
        <v>1</v>
      </c>
      <c r="AX67" s="362">
        <v>8</v>
      </c>
      <c r="AY67" s="23">
        <f>O30</f>
        <v>0</v>
      </c>
      <c r="AZ67" s="326">
        <f t="shared" si="1"/>
        <v>0</v>
      </c>
      <c r="BA67" s="95">
        <f>VLOOKUP(AU67,CENY!$B$11:$M$2025,12,FALSE)</f>
        <v>536.84897999999998</v>
      </c>
      <c r="BB67" s="95">
        <f t="shared" ref="BB67:BB88" si="4">IF(BA67="","",BA67*AY67)</f>
        <v>0</v>
      </c>
      <c r="BD67" s="319">
        <f>OBJ!B279</f>
        <v>9318211</v>
      </c>
      <c r="BE67" s="21" t="str">
        <f>VLOOKUP(BD67,CENY!$B$11:$G$1054,2,FALSE)</f>
        <v>Actro You(XL) 600/SiSy 70kg; EB21; ľavý</v>
      </c>
      <c r="BF67" s="22">
        <f>VLOOKUP(BD67,CENY!$B$11:$G$1054,3,FALSE)</f>
        <v>10</v>
      </c>
      <c r="BG67" s="22"/>
      <c r="BH67" s="23">
        <f>AY41</f>
        <v>0</v>
      </c>
      <c r="BI67" s="326">
        <f t="shared" si="2"/>
        <v>0</v>
      </c>
      <c r="BJ67" s="95">
        <f>VLOOKUP(BD67,CENY!$B$11:$M$2025,12,FALSE)</f>
        <v>443.89010999999999</v>
      </c>
      <c r="BK67" s="95">
        <f t="shared" si="3"/>
        <v>0</v>
      </c>
    </row>
    <row r="68" spans="47:63" ht="14.4" customHeight="1">
      <c r="AU68" s="319">
        <f>OBJ!B334</f>
        <v>9256929</v>
      </c>
      <c r="AV68" s="21" t="str">
        <f>VLOOKUP(AU68,CENY!$B$11:$G$1054,2,FALSE)</f>
        <v>Quadro You(M) 300/P2O 20kg; EB21</v>
      </c>
      <c r="AW68" s="22">
        <f>VLOOKUP(AU68,CENY!$B$11:$G$1054,3,FALSE)</f>
        <v>1</v>
      </c>
      <c r="AX68" s="362">
        <v>8</v>
      </c>
      <c r="AY68" s="23">
        <f>Q30</f>
        <v>0</v>
      </c>
      <c r="AZ68" s="326">
        <f t="shared" ref="AZ68:AZ126" si="5">IF(AY68="","",IF($AW$4=1,AY68,0))</f>
        <v>0</v>
      </c>
      <c r="BA68" s="95">
        <f>VLOOKUP(AU68,CENY!$B$11:$M$2025,12,FALSE)</f>
        <v>537.79395</v>
      </c>
      <c r="BB68" s="95">
        <f t="shared" si="4"/>
        <v>0</v>
      </c>
      <c r="BD68" s="319">
        <f>OBJ!B280</f>
        <v>9318212</v>
      </c>
      <c r="BE68" s="21" t="str">
        <f>VLOOKUP(BD68,CENY!$B$11:$G$1054,2,FALSE)</f>
        <v>Actro You(XL) 600/SiSy 70kg; EB21; pravý</v>
      </c>
      <c r="BF68" s="22">
        <f>VLOOKUP(BD68,CENY!$B$11:$G$1054,3,FALSE)</f>
        <v>10</v>
      </c>
      <c r="BG68" s="22"/>
      <c r="BH68" s="23">
        <f>AY41</f>
        <v>0</v>
      </c>
      <c r="BI68" s="326">
        <f t="shared" si="2"/>
        <v>0</v>
      </c>
      <c r="BJ68" s="95">
        <f>VLOOKUP(BD68,CENY!$B$11:$M$2025,12,FALSE)</f>
        <v>443.89010999999999</v>
      </c>
      <c r="BK68" s="95">
        <f t="shared" si="3"/>
        <v>0</v>
      </c>
    </row>
    <row r="69" spans="47:63" ht="14.4" customHeight="1">
      <c r="AU69" s="319">
        <f>OBJ!B335</f>
        <v>9256931</v>
      </c>
      <c r="AV69" s="21" t="str">
        <f>VLOOKUP(AU69,CENY!$B$11:$G$1054,2,FALSE)</f>
        <v>Quadro You(M) 350/P2O 25kg; EB21</v>
      </c>
      <c r="AW69" s="22">
        <f>VLOOKUP(AU69,CENY!$B$11:$G$1054,3,FALSE)</f>
        <v>1</v>
      </c>
      <c r="AX69" s="362">
        <v>8</v>
      </c>
      <c r="AY69" s="23">
        <f>S30</f>
        <v>0</v>
      </c>
      <c r="AZ69" s="326">
        <f t="shared" si="5"/>
        <v>0</v>
      </c>
      <c r="BA69" s="95">
        <f>VLOOKUP(AU69,CENY!$B$11:$M$2025,12,FALSE)</f>
        <v>547.49897999999996</v>
      </c>
      <c r="BB69" s="95">
        <f t="shared" si="4"/>
        <v>0</v>
      </c>
      <c r="BD69" s="319">
        <f>OBJ!B281</f>
        <v>9318213</v>
      </c>
      <c r="BE69" s="21" t="str">
        <f>VLOOKUP(BD69,CENY!$B$11:$G$1054,2,FALSE)</f>
        <v>Actro You(XL) 650/SiSy 70kg; EB21; ľavý</v>
      </c>
      <c r="BF69" s="22">
        <f>VLOOKUP(BD69,CENY!$B$11:$G$1054,3,FALSE)</f>
        <v>5</v>
      </c>
      <c r="BG69" s="22"/>
      <c r="BH69" s="23">
        <f>AY42</f>
        <v>0</v>
      </c>
      <c r="BI69" s="326">
        <f t="shared" si="2"/>
        <v>0</v>
      </c>
      <c r="BJ69" s="95">
        <f>VLOOKUP(BD69,CENY!$B$11:$M$2025,12,FALSE)</f>
        <v>462.41142000000002</v>
      </c>
      <c r="BK69" s="95">
        <f t="shared" si="3"/>
        <v>0</v>
      </c>
    </row>
    <row r="70" spans="47:63" ht="14.4" customHeight="1">
      <c r="AU70" s="319">
        <f>OBJ!B336</f>
        <v>9256933</v>
      </c>
      <c r="AV70" s="21" t="str">
        <f>VLOOKUP(AU70,CENY!$B$11:$G$1054,2,FALSE)</f>
        <v>Quadro You(M) 400/P2O 30kg; EB21</v>
      </c>
      <c r="AW70" s="22">
        <f>VLOOKUP(AU70,CENY!$B$11:$G$1054,3,FALSE)</f>
        <v>1</v>
      </c>
      <c r="AX70" s="362">
        <v>8</v>
      </c>
      <c r="AY70" s="23">
        <f>U30</f>
        <v>0</v>
      </c>
      <c r="AZ70" s="326">
        <f t="shared" si="5"/>
        <v>0</v>
      </c>
      <c r="BA70" s="95">
        <f>VLOOKUP(AU70,CENY!$B$11:$M$2025,12,FALSE)</f>
        <v>557.20162000000005</v>
      </c>
      <c r="BB70" s="95">
        <f t="shared" si="4"/>
        <v>0</v>
      </c>
      <c r="BD70" s="319">
        <f>OBJ!B282</f>
        <v>9318214</v>
      </c>
      <c r="BE70" s="21" t="str">
        <f>VLOOKUP(BD70,CENY!$B$11:$G$1054,2,FALSE)</f>
        <v>Actro You(XL) 650/SiSy 70kg; EB21; pravý</v>
      </c>
      <c r="BF70" s="22">
        <f>VLOOKUP(BD70,CENY!$B$11:$G$1054,3,FALSE)</f>
        <v>5</v>
      </c>
      <c r="BG70" s="22"/>
      <c r="BH70" s="23">
        <f>AY42</f>
        <v>0</v>
      </c>
      <c r="BI70" s="326">
        <f t="shared" ref="BI70:BI133" si="6">IF(BH70="","",IF($AW$4=0,BH70,0))</f>
        <v>0</v>
      </c>
      <c r="BJ70" s="95">
        <f>VLOOKUP(BD70,CENY!$B$11:$M$2025,12,FALSE)</f>
        <v>462.41142000000002</v>
      </c>
      <c r="BK70" s="95">
        <f t="shared" ref="BK70:BK133" si="7">IF(BJ70="","",BJ70*BH70)</f>
        <v>0</v>
      </c>
    </row>
    <row r="71" spans="47:63" ht="14.4" customHeight="1">
      <c r="AU71" s="319">
        <f>OBJ!B337</f>
        <v>9256935</v>
      </c>
      <c r="AV71" s="21" t="str">
        <f>VLOOKUP(AU71,CENY!$B$11:$G$1054,2,FALSE)</f>
        <v>Quadro You(M) 450/P2O 30kg; EB21</v>
      </c>
      <c r="AW71" s="22">
        <f>VLOOKUP(AU71,CENY!$B$11:$G$1054,3,FALSE)</f>
        <v>1</v>
      </c>
      <c r="AX71" s="362">
        <v>8</v>
      </c>
      <c r="AY71" s="23">
        <f>W30</f>
        <v>0</v>
      </c>
      <c r="AZ71" s="326">
        <f t="shared" si="5"/>
        <v>0</v>
      </c>
      <c r="BA71" s="95">
        <f>VLOOKUP(AU71,CENY!$B$11:$M$2025,12,FALSE)</f>
        <v>566.90911000000006</v>
      </c>
      <c r="BB71" s="95">
        <f t="shared" si="4"/>
        <v>0</v>
      </c>
      <c r="BD71" s="319"/>
      <c r="BE71" s="21"/>
      <c r="BF71" s="22"/>
      <c r="BG71" s="22"/>
      <c r="BH71" s="23"/>
      <c r="BI71" s="326" t="str">
        <f t="shared" si="6"/>
        <v/>
      </c>
      <c r="BJ71" s="95"/>
      <c r="BK71" s="95" t="str">
        <f t="shared" si="7"/>
        <v/>
      </c>
    </row>
    <row r="72" spans="47:63" ht="14.4" customHeight="1">
      <c r="AU72" s="319">
        <f>OBJ!B338</f>
        <v>9256937</v>
      </c>
      <c r="AV72" s="21" t="str">
        <f>VLOOKUP(AU72,CENY!$B$11:$G$1054,2,FALSE)</f>
        <v>Quadro You(M) 500/P2O 30kg; EB21</v>
      </c>
      <c r="AW72" s="22">
        <f>VLOOKUP(AU72,CENY!$B$11:$G$1054,3,FALSE)</f>
        <v>1</v>
      </c>
      <c r="AX72" s="362">
        <v>8</v>
      </c>
      <c r="AY72" s="23">
        <f>Y30</f>
        <v>0</v>
      </c>
      <c r="AZ72" s="326">
        <f t="shared" si="5"/>
        <v>0</v>
      </c>
      <c r="BA72" s="95">
        <f>VLOOKUP(AU72,CENY!$B$11:$M$2025,12,FALSE)</f>
        <v>139.41228000000001</v>
      </c>
      <c r="BB72" s="95">
        <f t="shared" si="4"/>
        <v>0</v>
      </c>
      <c r="BD72" s="319">
        <f>OBJ!B284</f>
        <v>9257890</v>
      </c>
      <c r="BE72" s="21" t="str">
        <f>VLOOKUP(BD72,CENY!$B$11:$G$1054,2,FALSE)</f>
        <v>Actro You - Push to open Silent; &lt;10kg</v>
      </c>
      <c r="BF72" s="22">
        <f>VLOOKUP(BD72,CENY!$B$11:$G$1054,3,FALSE)</f>
        <v>1</v>
      </c>
      <c r="BG72" s="22"/>
      <c r="BH72" s="23">
        <f>AY44</f>
        <v>0</v>
      </c>
      <c r="BI72" s="326">
        <f t="shared" si="6"/>
        <v>0</v>
      </c>
      <c r="BJ72" s="95">
        <f>VLOOKUP(BD72,CENY!$B$11:$M$2025,12,FALSE)</f>
        <v>481.81412999999998</v>
      </c>
      <c r="BK72" s="95">
        <f t="shared" si="7"/>
        <v>0</v>
      </c>
    </row>
    <row r="73" spans="47:63" ht="14.4" customHeight="1">
      <c r="AU73" s="319">
        <f>OBJ!B339</f>
        <v>9256939</v>
      </c>
      <c r="AV73" s="21" t="str">
        <f>VLOOKUP(AU73,CENY!$B$11:$G$1054,2,FALSE)</f>
        <v>Quadro You(M) 550/P2O 30kg; EB21</v>
      </c>
      <c r="AW73" s="22">
        <f>VLOOKUP(AU73,CENY!$B$11:$G$1054,3,FALSE)</f>
        <v>1</v>
      </c>
      <c r="AX73" s="362">
        <v>8</v>
      </c>
      <c r="AY73" s="23">
        <f>AA30</f>
        <v>0</v>
      </c>
      <c r="AZ73" s="326">
        <f t="shared" si="5"/>
        <v>0</v>
      </c>
      <c r="BA73" s="95">
        <f>VLOOKUP(AU73,CENY!$B$11:$M$2025,12,FALSE)</f>
        <v>586.3143</v>
      </c>
      <c r="BB73" s="95">
        <f t="shared" si="4"/>
        <v>0</v>
      </c>
      <c r="BD73" s="319">
        <f>OBJ!B285</f>
        <v>9257891</v>
      </c>
      <c r="BE73" s="21" t="str">
        <f>VLOOKUP(BD73,CENY!$B$11:$G$1054,2,FALSE)</f>
        <v>Actro You - Push to open Silent; 8-20kg</v>
      </c>
      <c r="BF73" s="22">
        <f>VLOOKUP(BD73,CENY!$B$11:$G$1054,3,FALSE)</f>
        <v>1</v>
      </c>
      <c r="BG73" s="22"/>
      <c r="BH73" s="23">
        <f>AY45</f>
        <v>0</v>
      </c>
      <c r="BI73" s="326">
        <f t="shared" si="6"/>
        <v>0</v>
      </c>
      <c r="BJ73" s="95">
        <f>VLOOKUP(BD73,CENY!$B$11:$M$2025,12,FALSE)</f>
        <v>481.81412999999998</v>
      </c>
      <c r="BK73" s="95">
        <f t="shared" si="7"/>
        <v>0</v>
      </c>
    </row>
    <row r="74" spans="47:63" ht="14.4" customHeight="1">
      <c r="AU74" s="319">
        <f>OBJ!B340</f>
        <v>9256941</v>
      </c>
      <c r="AV74" s="21" t="str">
        <f>VLOOKUP(AU74,CENY!$B$11:$G$1054,2,FALSE)</f>
        <v>Quadro You(M) 600/P2O 25kg; EB21</v>
      </c>
      <c r="AW74" s="22">
        <f>VLOOKUP(AU74,CENY!$B$11:$G$1054,3,FALSE)</f>
        <v>1</v>
      </c>
      <c r="AX74" s="362">
        <v>8</v>
      </c>
      <c r="AY74" s="23">
        <f>AC30</f>
        <v>0</v>
      </c>
      <c r="AZ74" s="326">
        <f t="shared" si="5"/>
        <v>0</v>
      </c>
      <c r="BA74" s="95">
        <f>VLOOKUP(AU74,CENY!$B$11:$M$2025,12,FALSE)</f>
        <v>596.01683000000003</v>
      </c>
      <c r="BB74" s="95">
        <f t="shared" si="4"/>
        <v>0</v>
      </c>
      <c r="BD74" s="319">
        <f>OBJ!B286</f>
        <v>9257892</v>
      </c>
      <c r="BE74" s="21" t="str">
        <f>VLOOKUP(BD74,CENY!$B$11:$G$1054,2,FALSE)</f>
        <v>Actro You - Push to open Silent; 10-40kg</v>
      </c>
      <c r="BF74" s="22">
        <f>VLOOKUP(BD74,CENY!$B$11:$G$1054,3,FALSE)</f>
        <v>1</v>
      </c>
      <c r="BG74" s="22"/>
      <c r="BH74" s="23">
        <f>AY46</f>
        <v>0</v>
      </c>
      <c r="BI74" s="326">
        <f t="shared" si="6"/>
        <v>0</v>
      </c>
      <c r="BJ74" s="95">
        <f>VLOOKUP(BD74,CENY!$B$11:$M$2025,12,FALSE)</f>
        <v>481.81412999999998</v>
      </c>
      <c r="BK74" s="95">
        <f t="shared" si="7"/>
        <v>0</v>
      </c>
    </row>
    <row r="75" spans="47:63" ht="14.4" customHeight="1">
      <c r="AU75" s="319"/>
      <c r="AV75" s="21"/>
      <c r="AW75" s="22"/>
      <c r="AX75" s="22"/>
      <c r="AY75" s="23"/>
      <c r="AZ75" s="326" t="str">
        <f t="shared" si="5"/>
        <v/>
      </c>
      <c r="BA75" s="95"/>
      <c r="BB75" s="95" t="str">
        <f t="shared" si="4"/>
        <v/>
      </c>
      <c r="BD75" s="319">
        <f>OBJ!B287</f>
        <v>9257893</v>
      </c>
      <c r="BE75" s="21" t="str">
        <f>VLOOKUP(BD75,CENY!$B$11:$G$1054,2,FALSE)</f>
        <v>Actro You - Push to open Silent; 20-70kg</v>
      </c>
      <c r="BF75" s="22">
        <f>VLOOKUP(BD75,CENY!$B$11:$G$1054,3,FALSE)</f>
        <v>1</v>
      </c>
      <c r="BG75" s="22"/>
      <c r="BH75" s="23">
        <f>AY47</f>
        <v>0</v>
      </c>
      <c r="BI75" s="326">
        <f t="shared" si="6"/>
        <v>0</v>
      </c>
      <c r="BJ75" s="95">
        <f>VLOOKUP(BD75,CENY!$B$11:$M$2025,12,FALSE)</f>
        <v>481.81412999999998</v>
      </c>
      <c r="BK75" s="95">
        <f t="shared" si="7"/>
        <v>0</v>
      </c>
    </row>
    <row r="76" spans="47:63" ht="14.4" customHeight="1">
      <c r="AU76" s="319">
        <f>OBJ!B358</f>
        <v>9219966</v>
      </c>
      <c r="AV76" s="21" t="str">
        <f>VLOOKUP(AU76,CENY!$B$11:$G$1054,2,FALSE)</f>
        <v>Push to open Synchro / adaptér typ A</v>
      </c>
      <c r="AW76" s="22">
        <f>VLOOKUP(AU76,CENY!$B$11:$G$1054,3,FALSE)</f>
        <v>200</v>
      </c>
      <c r="AX76" s="22"/>
      <c r="AY76" s="23">
        <f>2*SUM(O30:AD30)</f>
        <v>0</v>
      </c>
      <c r="AZ76" s="326">
        <f t="shared" si="5"/>
        <v>0</v>
      </c>
      <c r="BA76" s="95">
        <f>VLOOKUP(AU76,CENY!$B$11:$M$2025,12,FALSE)</f>
        <v>16.488900000000001</v>
      </c>
      <c r="BB76" s="95">
        <f t="shared" si="4"/>
        <v>0</v>
      </c>
      <c r="BD76" s="319">
        <f>OBJ!B288</f>
        <v>9236718</v>
      </c>
      <c r="BE76" s="21" t="str">
        <f>VLOOKUP(BD76,CENY!$B$11:$G$1054,2,FALSE)</f>
        <v>Push to open Synchro / tyč 2.000 mm</v>
      </c>
      <c r="BF76" s="22">
        <f>VLOOKUP(BD76,CENY!$B$11:$G$1054,3,FALSE)</f>
        <v>100</v>
      </c>
      <c r="BG76" s="22"/>
      <c r="BH76" s="23">
        <f>AY48</f>
        <v>0</v>
      </c>
      <c r="BI76" s="326">
        <f t="shared" si="6"/>
        <v>0</v>
      </c>
      <c r="BJ76" s="95">
        <f>VLOOKUP(BD76,CENY!$B$11:$M$2025,12,FALSE)</f>
        <v>182.03933000000001</v>
      </c>
      <c r="BK76" s="95">
        <f t="shared" si="7"/>
        <v>0</v>
      </c>
    </row>
    <row r="77" spans="47:63" ht="14.4" customHeight="1">
      <c r="AU77" s="319"/>
      <c r="AV77" s="21"/>
      <c r="AW77" s="22"/>
      <c r="AX77" s="22"/>
      <c r="AY77" s="23"/>
      <c r="AZ77" s="326" t="str">
        <f t="shared" si="5"/>
        <v/>
      </c>
      <c r="BA77" s="95"/>
      <c r="BB77" s="95" t="str">
        <f t="shared" si="4"/>
        <v/>
      </c>
      <c r="BD77" s="319"/>
      <c r="BE77" s="21"/>
      <c r="BF77" s="22"/>
      <c r="BG77" s="22"/>
      <c r="BH77" s="23"/>
      <c r="BI77" s="326" t="str">
        <f t="shared" si="6"/>
        <v/>
      </c>
      <c r="BJ77" s="95"/>
      <c r="BK77" s="95" t="str">
        <f t="shared" si="7"/>
        <v/>
      </c>
    </row>
    <row r="78" spans="47:63" ht="14.4" customHeight="1">
      <c r="AU78" s="442">
        <f>OBJ!B69</f>
        <v>9255835</v>
      </c>
      <c r="AV78" s="443" t="str">
        <f>VLOOKUP(AU78,CENY!$B$11:$G$1054,2,FALSE)</f>
        <v>AvanY-príchytka čela k naskrutk./ v101</v>
      </c>
      <c r="AW78" s="22">
        <f>VLOOKUP(AU78,CENY!$B$11:$G$1054,3,FALSE)</f>
        <v>200</v>
      </c>
      <c r="AX78" s="22"/>
      <c r="AY78" s="68">
        <f>2*(SUM(O19:T19)+SUM(O20:AD20)+SUM(W22:AF22)+SUM(O27:T27)+SUM(O28:AD28)+SUM(O30:AD30))</f>
        <v>0</v>
      </c>
      <c r="AZ78" s="326">
        <f t="shared" si="5"/>
        <v>0</v>
      </c>
      <c r="BA78" s="95">
        <f>VLOOKUP(AU78,CENY!$B$11:$M$2025,12,FALSE)</f>
        <v>24.69378</v>
      </c>
      <c r="BB78" s="95">
        <f t="shared" si="4"/>
        <v>0</v>
      </c>
      <c r="BD78" s="319">
        <f>OBJ!B297</f>
        <v>9256944</v>
      </c>
      <c r="BE78" s="21" t="str">
        <f>VLOOKUP(BD78,CENY!$B$11:$G$1054,2,FALSE)</f>
        <v>Quadro You(S) 270/SiSy 10kg; EB21; ľavý</v>
      </c>
      <c r="BF78" s="22">
        <f>VLOOKUP(BD78,CENY!$B$11:$G$1054,3,FALSE)</f>
        <v>20</v>
      </c>
      <c r="BG78" s="22"/>
      <c r="BH78" s="23">
        <f>AY50</f>
        <v>0</v>
      </c>
      <c r="BI78" s="326">
        <f t="shared" si="6"/>
        <v>0</v>
      </c>
      <c r="BJ78" s="95">
        <f>VLOOKUP(BD78,CENY!$B$11:$M$2025,12,FALSE)</f>
        <v>223.77942999999999</v>
      </c>
      <c r="BK78" s="95">
        <f t="shared" si="7"/>
        <v>0</v>
      </c>
    </row>
    <row r="79" spans="47:63" ht="14.4" customHeight="1">
      <c r="AU79" s="319"/>
      <c r="AV79" s="21"/>
      <c r="AW79" s="22"/>
      <c r="AX79" s="22"/>
      <c r="AY79" s="23"/>
      <c r="AZ79" s="326" t="str">
        <f t="shared" si="5"/>
        <v/>
      </c>
      <c r="BA79" s="95"/>
      <c r="BB79" s="95" t="str">
        <f t="shared" si="4"/>
        <v/>
      </c>
      <c r="BD79" s="319">
        <f>OBJ!B298</f>
        <v>9256945</v>
      </c>
      <c r="BE79" s="21" t="str">
        <f>VLOOKUP(BD79,CENY!$B$11:$G$1054,2,FALSE)</f>
        <v>Quadro You(S) 270/SiSy 10kg; EB21; pravý</v>
      </c>
      <c r="BF79" s="22">
        <f>VLOOKUP(BD79,CENY!$B$11:$G$1054,3,FALSE)</f>
        <v>20</v>
      </c>
      <c r="BG79" s="22"/>
      <c r="BH79" s="23">
        <f>AY50</f>
        <v>0</v>
      </c>
      <c r="BI79" s="326">
        <f t="shared" si="6"/>
        <v>0</v>
      </c>
      <c r="BJ79" s="95">
        <f>VLOOKUP(BD79,CENY!$B$11:$M$2025,12,FALSE)</f>
        <v>223.77942999999999</v>
      </c>
      <c r="BK79" s="95">
        <f t="shared" si="7"/>
        <v>0</v>
      </c>
    </row>
    <row r="80" spans="47:63" ht="14.4" customHeight="1">
      <c r="AU80" s="320">
        <f>OBJ!B214</f>
        <v>0</v>
      </c>
      <c r="AV80" s="321" t="e">
        <f>VLOOKUP(AU80,CENY!$B$11:$G$1054,2,FALSE)</f>
        <v>#N/A</v>
      </c>
      <c r="AW80" s="22" t="e">
        <f>VLOOKUP(AU80,CENY!$B$11:$G$1054,3,FALSE)</f>
        <v>#N/A</v>
      </c>
      <c r="AX80" s="22"/>
      <c r="AY80" s="68">
        <f>IF(FORM!AM21&lt;&gt;FORM!AW16,(2*(+SUM(O19:T19)+SUM(O20:AD20)+SUM(W22:AF22)+SUM(O27:T27)+SUM(O28:AD28)+SUM(O30:AD30))),0)</f>
        <v>0</v>
      </c>
      <c r="AZ80" s="326">
        <f t="shared" si="5"/>
        <v>0</v>
      </c>
      <c r="BA80" s="324" t="str">
        <f>IF(AU80=0,"",VLOOKUP(AU80,CENY!$B$11:$M$2025,12,FALSE))</f>
        <v/>
      </c>
      <c r="BB80" s="95" t="str">
        <f>IF(BA80="","",BA80*AY80)</f>
        <v/>
      </c>
      <c r="BD80" s="319">
        <f>OBJ!B299</f>
        <v>9256946</v>
      </c>
      <c r="BE80" s="21" t="str">
        <f>VLOOKUP(BD80,CENY!$B$11:$G$1054,2,FALSE)</f>
        <v>Quadro You(S) 300/SiSy 10kg; EB21; ľavý</v>
      </c>
      <c r="BF80" s="22">
        <f>VLOOKUP(BD80,CENY!$B$11:$G$1054,3,FALSE)</f>
        <v>20</v>
      </c>
      <c r="BG80" s="22"/>
      <c r="BH80" s="23">
        <f>AY51</f>
        <v>0</v>
      </c>
      <c r="BI80" s="326">
        <f t="shared" si="6"/>
        <v>0</v>
      </c>
      <c r="BJ80" s="95">
        <f>VLOOKUP(BD80,CENY!$B$11:$M$2025,12,FALSE)</f>
        <v>224.26065</v>
      </c>
      <c r="BK80" s="95">
        <f t="shared" si="7"/>
        <v>0</v>
      </c>
    </row>
    <row r="81" spans="47:63" ht="14.4" customHeight="1">
      <c r="AU81" s="319"/>
      <c r="AV81" s="21"/>
      <c r="AW81" s="22"/>
      <c r="AX81" s="22"/>
      <c r="AY81" s="23"/>
      <c r="AZ81" s="326" t="str">
        <f t="shared" si="5"/>
        <v/>
      </c>
      <c r="BA81" s="95"/>
      <c r="BB81" s="95" t="str">
        <f t="shared" si="4"/>
        <v/>
      </c>
      <c r="BD81" s="319">
        <f>OBJ!B300</f>
        <v>9256947</v>
      </c>
      <c r="BE81" s="21" t="str">
        <f>VLOOKUP(BD81,CENY!$B$11:$G$1054,2,FALSE)</f>
        <v>Quadro You(S) 300/SiSy 10kg; EB21; pravý</v>
      </c>
      <c r="BF81" s="22">
        <f>VLOOKUP(BD81,CENY!$B$11:$G$1054,3,FALSE)</f>
        <v>20</v>
      </c>
      <c r="BG81" s="22"/>
      <c r="BH81" s="23">
        <f>AY51</f>
        <v>0</v>
      </c>
      <c r="BI81" s="326">
        <f t="shared" si="6"/>
        <v>0</v>
      </c>
      <c r="BJ81" s="95">
        <f>VLOOKUP(BD81,CENY!$B$11:$M$2025,12,FALSE)</f>
        <v>224.26065</v>
      </c>
      <c r="BK81" s="95">
        <f t="shared" si="7"/>
        <v>0</v>
      </c>
    </row>
    <row r="82" spans="47:63" ht="14.4" customHeight="1">
      <c r="AU82" s="319"/>
      <c r="AV82" s="21"/>
      <c r="AW82" s="22"/>
      <c r="AX82" s="22"/>
      <c r="AY82" s="23"/>
      <c r="AZ82" s="326" t="str">
        <f t="shared" si="5"/>
        <v/>
      </c>
      <c r="BA82" s="95"/>
      <c r="BB82" s="95" t="str">
        <f t="shared" si="4"/>
        <v/>
      </c>
      <c r="BD82" s="319">
        <f>OBJ!B301</f>
        <v>9256950</v>
      </c>
      <c r="BE82" s="21" t="str">
        <f>VLOOKUP(BD82,CENY!$B$11:$G$1054,2,FALSE)</f>
        <v>Quadro You(S) 350/SiSy 10kg; EB21; ľavý</v>
      </c>
      <c r="BF82" s="22">
        <f>VLOOKUP(BD82,CENY!$B$11:$G$1054,3,FALSE)</f>
        <v>20</v>
      </c>
      <c r="BG82" s="22"/>
      <c r="BH82" s="23">
        <f>AY52</f>
        <v>0</v>
      </c>
      <c r="BI82" s="326">
        <f t="shared" si="6"/>
        <v>0</v>
      </c>
      <c r="BJ82" s="95">
        <f>VLOOKUP(BD82,CENY!$B$11:$M$2025,12,FALSE)</f>
        <v>229.11434</v>
      </c>
      <c r="BK82" s="95">
        <f t="shared" si="7"/>
        <v>0</v>
      </c>
    </row>
    <row r="83" spans="47:63" ht="14.4" customHeight="1">
      <c r="AU83" s="319"/>
      <c r="AV83" s="21"/>
      <c r="AW83" s="22"/>
      <c r="AX83" s="22"/>
      <c r="AY83" s="23"/>
      <c r="AZ83" s="326" t="str">
        <f t="shared" si="5"/>
        <v/>
      </c>
      <c r="BA83" s="95"/>
      <c r="BB83" s="95" t="str">
        <f t="shared" si="4"/>
        <v/>
      </c>
      <c r="BD83" s="319">
        <f>OBJ!B302</f>
        <v>9256951</v>
      </c>
      <c r="BE83" s="21" t="str">
        <f>VLOOKUP(BD83,CENY!$B$11:$G$1054,2,FALSE)</f>
        <v>Quadro You(S) 350/SiSy 10kg; EB21; pravý</v>
      </c>
      <c r="BF83" s="22">
        <f>VLOOKUP(BD83,CENY!$B$11:$G$1054,3,FALSE)</f>
        <v>20</v>
      </c>
      <c r="BG83" s="22"/>
      <c r="BH83" s="23">
        <f>AY52</f>
        <v>0</v>
      </c>
      <c r="BI83" s="326">
        <f t="shared" si="6"/>
        <v>0</v>
      </c>
      <c r="BJ83" s="95">
        <f>VLOOKUP(BD83,CENY!$B$11:$M$2025,12,FALSE)</f>
        <v>229.11434</v>
      </c>
      <c r="BK83" s="95">
        <f t="shared" si="7"/>
        <v>0</v>
      </c>
    </row>
    <row r="84" spans="47:63" ht="14.4" customHeight="1">
      <c r="AU84" s="319"/>
      <c r="AV84" s="21"/>
      <c r="AW84" s="22"/>
      <c r="AX84" s="22"/>
      <c r="AY84" s="23"/>
      <c r="AZ84" s="326" t="str">
        <f t="shared" si="5"/>
        <v/>
      </c>
      <c r="BA84" s="95"/>
      <c r="BB84" s="95" t="str">
        <f t="shared" si="4"/>
        <v/>
      </c>
      <c r="BD84" s="319"/>
      <c r="BE84" s="21"/>
      <c r="BF84" s="22"/>
      <c r="BG84" s="22"/>
      <c r="BH84" s="23"/>
      <c r="BI84" s="326" t="str">
        <f t="shared" si="6"/>
        <v/>
      </c>
      <c r="BJ84" s="95"/>
      <c r="BK84" s="95" t="str">
        <f t="shared" si="7"/>
        <v/>
      </c>
    </row>
    <row r="85" spans="47:63" ht="14.4" customHeight="1">
      <c r="AU85" s="319"/>
      <c r="AV85" s="21"/>
      <c r="AW85" s="22"/>
      <c r="AX85" s="22"/>
      <c r="AY85" s="23"/>
      <c r="AZ85" s="326" t="str">
        <f t="shared" si="5"/>
        <v/>
      </c>
      <c r="BA85" s="95"/>
      <c r="BB85" s="95" t="str">
        <f t="shared" si="4"/>
        <v/>
      </c>
      <c r="BD85" s="319">
        <f>OBJ!B312</f>
        <v>9256854</v>
      </c>
      <c r="BE85" s="21" t="str">
        <f>VLOOKUP(BD85,CENY!$B$11:$G$1054,2,FALSE)</f>
        <v>Quadro You(M) 270/SiSy 20kg; EB21; ľavý</v>
      </c>
      <c r="BF85" s="22">
        <f>VLOOKUP(BD85,CENY!$B$11:$G$1054,3,FALSE)</f>
        <v>20</v>
      </c>
      <c r="BG85" s="22"/>
      <c r="BH85" s="23">
        <f>AY54</f>
        <v>0</v>
      </c>
      <c r="BI85" s="326">
        <f t="shared" si="6"/>
        <v>0</v>
      </c>
      <c r="BJ85" s="95">
        <f>VLOOKUP(BD85,CENY!$B$11:$M$2025,12,FALSE)</f>
        <v>223.77942999999999</v>
      </c>
      <c r="BK85" s="95">
        <f t="shared" si="7"/>
        <v>0</v>
      </c>
    </row>
    <row r="86" spans="47:63" ht="14.4" customHeight="1">
      <c r="AU86" s="319"/>
      <c r="AV86" s="21"/>
      <c r="AW86" s="22"/>
      <c r="AX86" s="22"/>
      <c r="AY86" s="23"/>
      <c r="AZ86" s="326" t="str">
        <f t="shared" si="5"/>
        <v/>
      </c>
      <c r="BA86" s="95"/>
      <c r="BB86" s="95" t="str">
        <f t="shared" si="4"/>
        <v/>
      </c>
      <c r="BD86" s="319">
        <f>OBJ!B313</f>
        <v>9256855</v>
      </c>
      <c r="BE86" s="21" t="str">
        <f>VLOOKUP(BD86,CENY!$B$11:$G$1054,2,FALSE)</f>
        <v>Quadro You(M) 270/SiSy 20kg; EB21; pravý</v>
      </c>
      <c r="BF86" s="22">
        <f>VLOOKUP(BD86,CENY!$B$11:$G$1054,3,FALSE)</f>
        <v>20</v>
      </c>
      <c r="BG86" s="22"/>
      <c r="BH86" s="23">
        <f>AY54</f>
        <v>0</v>
      </c>
      <c r="BI86" s="326">
        <f t="shared" si="6"/>
        <v>0</v>
      </c>
      <c r="BJ86" s="95">
        <f>VLOOKUP(BD86,CENY!$B$11:$M$2025,12,FALSE)</f>
        <v>223.77942999999999</v>
      </c>
      <c r="BK86" s="95">
        <f t="shared" si="7"/>
        <v>0</v>
      </c>
    </row>
    <row r="87" spans="47:63" ht="14.4" customHeight="1">
      <c r="AU87" s="319"/>
      <c r="AV87" s="21"/>
      <c r="AW87" s="22"/>
      <c r="AX87" s="22"/>
      <c r="AY87" s="23"/>
      <c r="AZ87" s="326" t="str">
        <f t="shared" si="5"/>
        <v/>
      </c>
      <c r="BA87" s="95"/>
      <c r="BB87" s="95" t="str">
        <f t="shared" si="4"/>
        <v/>
      </c>
      <c r="BD87" s="319">
        <f>OBJ!B314</f>
        <v>9256856</v>
      </c>
      <c r="BE87" s="21" t="str">
        <f>VLOOKUP(BD87,CENY!$B$11:$G$1054,2,FALSE)</f>
        <v>Quadro You(M) 300/SiSy 20kg; EB21; ľavý</v>
      </c>
      <c r="BF87" s="22">
        <f>VLOOKUP(BD87,CENY!$B$11:$G$1054,3,FALSE)</f>
        <v>20</v>
      </c>
      <c r="BG87" s="22"/>
      <c r="BH87" s="23">
        <f>AY55</f>
        <v>0</v>
      </c>
      <c r="BI87" s="326">
        <f t="shared" si="6"/>
        <v>0</v>
      </c>
      <c r="BJ87" s="95">
        <f>VLOOKUP(BD87,CENY!$B$11:$M$2025,12,FALSE)</f>
        <v>224.26065</v>
      </c>
      <c r="BK87" s="95">
        <f t="shared" si="7"/>
        <v>0</v>
      </c>
    </row>
    <row r="88" spans="47:63" ht="14.4" customHeight="1">
      <c r="AU88" s="20"/>
      <c r="AV88" s="21"/>
      <c r="AW88" s="22"/>
      <c r="AX88" s="22"/>
      <c r="AY88" s="23"/>
      <c r="AZ88" s="326" t="str">
        <f t="shared" si="5"/>
        <v/>
      </c>
      <c r="BA88" s="95"/>
      <c r="BB88" s="95" t="str">
        <f t="shared" si="4"/>
        <v/>
      </c>
      <c r="BD88" s="319">
        <f>OBJ!B315</f>
        <v>9256857</v>
      </c>
      <c r="BE88" s="21" t="str">
        <f>VLOOKUP(BD88,CENY!$B$11:$G$1054,2,FALSE)</f>
        <v>Quadro You(M) 300/SiSy 20kg; EB21; pravý</v>
      </c>
      <c r="BF88" s="22">
        <f>VLOOKUP(BD88,CENY!$B$11:$G$1054,3,FALSE)</f>
        <v>20</v>
      </c>
      <c r="BG88" s="22"/>
      <c r="BH88" s="23">
        <f>AY55</f>
        <v>0</v>
      </c>
      <c r="BI88" s="326">
        <f t="shared" si="6"/>
        <v>0</v>
      </c>
      <c r="BJ88" s="95">
        <f>VLOOKUP(BD88,CENY!$B$11:$M$2025,12,FALSE)</f>
        <v>224.26065</v>
      </c>
      <c r="BK88" s="95">
        <f t="shared" si="7"/>
        <v>0</v>
      </c>
    </row>
    <row r="89" spans="47:63" ht="14.4" customHeight="1">
      <c r="AU89" s="20"/>
      <c r="AV89" s="21"/>
      <c r="AW89" s="22"/>
      <c r="AX89" s="22"/>
      <c r="AY89" s="23"/>
      <c r="AZ89" s="326" t="str">
        <f t="shared" si="5"/>
        <v/>
      </c>
      <c r="BA89" s="95"/>
      <c r="BB89" s="95" t="str">
        <f t="shared" ref="BB89:BB97" si="8">IF(BA89="","",BA89*AY89)</f>
        <v/>
      </c>
      <c r="BD89" s="319">
        <f>OBJ!B316</f>
        <v>9256860</v>
      </c>
      <c r="BE89" s="21" t="str">
        <f>VLOOKUP(BD89,CENY!$B$11:$G$1054,2,FALSE)</f>
        <v>Quadro You(M) 350/SiSy 25kg; EB21; ľavý</v>
      </c>
      <c r="BF89" s="22">
        <f>VLOOKUP(BD89,CENY!$B$11:$G$1054,3,FALSE)</f>
        <v>20</v>
      </c>
      <c r="BG89" s="22"/>
      <c r="BH89" s="23">
        <f>AY56</f>
        <v>0</v>
      </c>
      <c r="BI89" s="326">
        <f t="shared" si="6"/>
        <v>0</v>
      </c>
      <c r="BJ89" s="95">
        <f>VLOOKUP(BD89,CENY!$B$11:$M$2025,12,FALSE)</f>
        <v>229.11434</v>
      </c>
      <c r="BK89" s="95">
        <f t="shared" si="7"/>
        <v>0</v>
      </c>
    </row>
    <row r="90" spans="47:63" ht="14.4" customHeight="1">
      <c r="AU90" s="20"/>
      <c r="AV90" s="21"/>
      <c r="AW90" s="22"/>
      <c r="AX90" s="22"/>
      <c r="AY90" s="23"/>
      <c r="AZ90" s="326" t="str">
        <f t="shared" si="5"/>
        <v/>
      </c>
      <c r="BA90" s="95"/>
      <c r="BB90" s="95" t="str">
        <f t="shared" si="8"/>
        <v/>
      </c>
      <c r="BD90" s="319">
        <f>OBJ!B317</f>
        <v>9256861</v>
      </c>
      <c r="BE90" s="21" t="str">
        <f>VLOOKUP(BD90,CENY!$B$11:$G$1054,2,FALSE)</f>
        <v>Quadro You(M) 350/SiSy 25kg; EB21; pravý</v>
      </c>
      <c r="BF90" s="22">
        <f>VLOOKUP(BD90,CENY!$B$11:$G$1054,3,FALSE)</f>
        <v>20</v>
      </c>
      <c r="BG90" s="22"/>
      <c r="BH90" s="23">
        <f>AY56</f>
        <v>0</v>
      </c>
      <c r="BI90" s="326">
        <f t="shared" si="6"/>
        <v>0</v>
      </c>
      <c r="BJ90" s="95">
        <f>VLOOKUP(BD90,CENY!$B$11:$M$2025,12,FALSE)</f>
        <v>229.11434</v>
      </c>
      <c r="BK90" s="95">
        <f t="shared" si="7"/>
        <v>0</v>
      </c>
    </row>
    <row r="91" spans="47:63" ht="14.4" customHeight="1">
      <c r="AU91" s="20"/>
      <c r="AV91" s="21"/>
      <c r="AW91" s="22"/>
      <c r="AX91" s="22"/>
      <c r="AY91" s="23"/>
      <c r="AZ91" s="326" t="str">
        <f t="shared" si="5"/>
        <v/>
      </c>
      <c r="BA91" s="95"/>
      <c r="BB91" s="95" t="str">
        <f t="shared" si="8"/>
        <v/>
      </c>
      <c r="BD91" s="319">
        <f>OBJ!B318</f>
        <v>9256864</v>
      </c>
      <c r="BE91" s="21" t="str">
        <f>VLOOKUP(BD91,CENY!$B$11:$G$1054,2,FALSE)</f>
        <v>Quadro You(M) 400/SiSy 30kg; EB21; ľavý</v>
      </c>
      <c r="BF91" s="22">
        <f>VLOOKUP(BD91,CENY!$B$11:$G$1054,3,FALSE)</f>
        <v>20</v>
      </c>
      <c r="BG91" s="22"/>
      <c r="BH91" s="23">
        <f>AY57</f>
        <v>0</v>
      </c>
      <c r="BI91" s="326">
        <f t="shared" si="6"/>
        <v>0</v>
      </c>
      <c r="BJ91" s="95">
        <f>VLOOKUP(BD91,CENY!$B$11:$M$2025,12,FALSE)</f>
        <v>233.96566000000001</v>
      </c>
      <c r="BK91" s="95">
        <f t="shared" si="7"/>
        <v>0</v>
      </c>
    </row>
    <row r="92" spans="47:63" ht="14.4" customHeight="1">
      <c r="AU92" s="20"/>
      <c r="AV92" s="21"/>
      <c r="AW92" s="22"/>
      <c r="AX92" s="22"/>
      <c r="AY92" s="23"/>
      <c r="AZ92" s="326" t="str">
        <f t="shared" si="5"/>
        <v/>
      </c>
      <c r="BA92" s="95"/>
      <c r="BB92" s="95" t="str">
        <f t="shared" si="8"/>
        <v/>
      </c>
      <c r="BD92" s="319">
        <f>OBJ!B319</f>
        <v>9256865</v>
      </c>
      <c r="BE92" s="21" t="str">
        <f>VLOOKUP(BD92,CENY!$B$11:$G$1054,2,FALSE)</f>
        <v>Quadro You(M) 400/SiSy 30kg; EB21; pravý</v>
      </c>
      <c r="BF92" s="22">
        <f>VLOOKUP(BD92,CENY!$B$11:$G$1054,3,FALSE)</f>
        <v>20</v>
      </c>
      <c r="BG92" s="22"/>
      <c r="BH92" s="23">
        <f>AY57</f>
        <v>0</v>
      </c>
      <c r="BI92" s="326">
        <f t="shared" si="6"/>
        <v>0</v>
      </c>
      <c r="BJ92" s="95">
        <f>VLOOKUP(BD92,CENY!$B$11:$M$2025,12,FALSE)</f>
        <v>233.96566000000001</v>
      </c>
      <c r="BK92" s="95">
        <f t="shared" si="7"/>
        <v>0</v>
      </c>
    </row>
    <row r="93" spans="47:63" ht="14.4" customHeight="1">
      <c r="AU93" s="20"/>
      <c r="AV93" s="21"/>
      <c r="AW93" s="22"/>
      <c r="AX93" s="22"/>
      <c r="AY93" s="23"/>
      <c r="AZ93" s="326" t="str">
        <f t="shared" si="5"/>
        <v/>
      </c>
      <c r="BA93" s="95"/>
      <c r="BB93" s="95" t="str">
        <f t="shared" si="8"/>
        <v/>
      </c>
      <c r="BD93" s="319">
        <f>OBJ!B320</f>
        <v>9256868</v>
      </c>
      <c r="BE93" s="21" t="str">
        <f>VLOOKUP(BD93,CENY!$B$11:$G$1054,2,FALSE)</f>
        <v>Quadro You(M) 450/SiSy 30kg; EB21; ľavý</v>
      </c>
      <c r="BF93" s="22">
        <f>VLOOKUP(BD93,CENY!$B$11:$G$1054,3,FALSE)</f>
        <v>20</v>
      </c>
      <c r="BG93" s="22"/>
      <c r="BH93" s="23">
        <f>AY58</f>
        <v>0</v>
      </c>
      <c r="BI93" s="326">
        <f t="shared" si="6"/>
        <v>0</v>
      </c>
      <c r="BJ93" s="95">
        <f>VLOOKUP(BD93,CENY!$B$11:$M$2025,12,FALSE)</f>
        <v>238.81201999999999</v>
      </c>
      <c r="BK93" s="95">
        <f t="shared" si="7"/>
        <v>0</v>
      </c>
    </row>
    <row r="94" spans="47:63" ht="14.4" customHeight="1">
      <c r="AU94" s="20"/>
      <c r="AV94" s="21"/>
      <c r="AW94" s="22"/>
      <c r="AX94" s="22"/>
      <c r="AY94" s="23"/>
      <c r="AZ94" s="326" t="str">
        <f t="shared" si="5"/>
        <v/>
      </c>
      <c r="BA94" s="95"/>
      <c r="BB94" s="95" t="str">
        <f t="shared" si="8"/>
        <v/>
      </c>
      <c r="BD94" s="319">
        <f>OBJ!B321</f>
        <v>9256869</v>
      </c>
      <c r="BE94" s="21" t="str">
        <f>VLOOKUP(BD94,CENY!$B$11:$G$1054,2,FALSE)</f>
        <v>Quadro You(M) 450/SiSy 30kg; EB21; pravý</v>
      </c>
      <c r="BF94" s="22">
        <f>VLOOKUP(BD94,CENY!$B$11:$G$1054,3,FALSE)</f>
        <v>20</v>
      </c>
      <c r="BG94" s="22"/>
      <c r="BH94" s="23">
        <f>AY58</f>
        <v>0</v>
      </c>
      <c r="BI94" s="326">
        <f t="shared" si="6"/>
        <v>0</v>
      </c>
      <c r="BJ94" s="95">
        <f>VLOOKUP(BD94,CENY!$B$11:$M$2025,12,FALSE)</f>
        <v>238.81201999999999</v>
      </c>
      <c r="BK94" s="95">
        <f t="shared" si="7"/>
        <v>0</v>
      </c>
    </row>
    <row r="95" spans="47:63" ht="14.4" customHeight="1">
      <c r="AU95" s="20"/>
      <c r="AV95" s="21"/>
      <c r="AW95" s="22"/>
      <c r="AX95" s="22"/>
      <c r="AY95" s="23"/>
      <c r="AZ95" s="326" t="str">
        <f t="shared" si="5"/>
        <v/>
      </c>
      <c r="BA95" s="95"/>
      <c r="BB95" s="95" t="str">
        <f t="shared" si="8"/>
        <v/>
      </c>
      <c r="BD95" s="319">
        <f>OBJ!B322</f>
        <v>9256872</v>
      </c>
      <c r="BE95" s="21" t="str">
        <f>VLOOKUP(BD95,CENY!$B$11:$G$1054,2,FALSE)</f>
        <v>Quadro You(M) 500/SiSy 30kg; EB21; ľavý</v>
      </c>
      <c r="BF95" s="22">
        <f>VLOOKUP(BD95,CENY!$B$11:$G$1054,3,FALSE)</f>
        <v>20</v>
      </c>
      <c r="BG95" s="22"/>
      <c r="BH95" s="23">
        <f>AY59</f>
        <v>0</v>
      </c>
      <c r="BI95" s="326">
        <f t="shared" si="6"/>
        <v>0</v>
      </c>
      <c r="BJ95" s="95">
        <f>VLOOKUP(BD95,CENY!$B$11:$M$2025,12,FALSE)</f>
        <v>237.18776</v>
      </c>
      <c r="BK95" s="95">
        <f t="shared" si="7"/>
        <v>0</v>
      </c>
    </row>
    <row r="96" spans="47:63" ht="14.4" customHeight="1">
      <c r="AU96" s="20"/>
      <c r="AV96" s="21"/>
      <c r="AW96" s="22"/>
      <c r="AX96" s="22"/>
      <c r="AY96" s="23"/>
      <c r="AZ96" s="326" t="str">
        <f t="shared" si="5"/>
        <v/>
      </c>
      <c r="BA96" s="95"/>
      <c r="BB96" s="95" t="str">
        <f t="shared" si="8"/>
        <v/>
      </c>
      <c r="BD96" s="319">
        <f>OBJ!B323</f>
        <v>9256873</v>
      </c>
      <c r="BE96" s="21" t="str">
        <f>VLOOKUP(BD96,CENY!$B$11:$G$1054,2,FALSE)</f>
        <v>Quadro You(M) 500/SiSy 30kg; EB21; pravý</v>
      </c>
      <c r="BF96" s="22">
        <f>VLOOKUP(BD96,CENY!$B$11:$G$1054,3,FALSE)</f>
        <v>20</v>
      </c>
      <c r="BG96" s="22"/>
      <c r="BH96" s="23">
        <f>AY59</f>
        <v>0</v>
      </c>
      <c r="BI96" s="326">
        <f t="shared" si="6"/>
        <v>0</v>
      </c>
      <c r="BJ96" s="95">
        <f>VLOOKUP(BD96,CENY!$B$11:$M$2025,12,FALSE)</f>
        <v>237.18776</v>
      </c>
      <c r="BK96" s="95">
        <f t="shared" si="7"/>
        <v>0</v>
      </c>
    </row>
    <row r="97" spans="47:63" ht="14.4" customHeight="1">
      <c r="AU97" s="20"/>
      <c r="AV97" s="21"/>
      <c r="AW97" s="22"/>
      <c r="AX97" s="22"/>
      <c r="AY97" s="23"/>
      <c r="AZ97" s="326" t="str">
        <f t="shared" si="5"/>
        <v/>
      </c>
      <c r="BA97" s="95"/>
      <c r="BB97" s="95" t="str">
        <f t="shared" si="8"/>
        <v/>
      </c>
      <c r="BD97" s="319">
        <f>OBJ!B324</f>
        <v>9256876</v>
      </c>
      <c r="BE97" s="21" t="str">
        <f>VLOOKUP(BD97,CENY!$B$11:$G$1054,2,FALSE)</f>
        <v>Quadro You(M) 550/SiSy 30kg; EB21; ľavý</v>
      </c>
      <c r="BF97" s="22">
        <f>VLOOKUP(BD97,CENY!$B$11:$G$1054,3,FALSE)</f>
        <v>20</v>
      </c>
      <c r="BG97" s="22"/>
      <c r="BH97" s="23">
        <f>AY60</f>
        <v>0</v>
      </c>
      <c r="BI97" s="326">
        <f t="shared" si="6"/>
        <v>0</v>
      </c>
      <c r="BJ97" s="95">
        <f>VLOOKUP(BD97,CENY!$B$11:$M$2025,12,FALSE)</f>
        <v>241.90996999999999</v>
      </c>
      <c r="BK97" s="95">
        <f t="shared" si="7"/>
        <v>0</v>
      </c>
    </row>
    <row r="98" spans="47:63" ht="14.4" customHeight="1">
      <c r="AU98" s="20"/>
      <c r="AV98" s="21"/>
      <c r="AW98" s="22"/>
      <c r="AX98" s="22"/>
      <c r="AY98" s="23"/>
      <c r="AZ98" s="326" t="str">
        <f t="shared" si="5"/>
        <v/>
      </c>
      <c r="BA98" s="95"/>
      <c r="BB98" s="95" t="str">
        <f t="shared" ref="BB98:BB133" si="9">IF(BA98="","",BA98*AY98)</f>
        <v/>
      </c>
      <c r="BD98" s="319">
        <f>OBJ!B325</f>
        <v>9256877</v>
      </c>
      <c r="BE98" s="21" t="str">
        <f>VLOOKUP(BD98,CENY!$B$11:$G$1054,2,FALSE)</f>
        <v>Quadro You(M) 550/SiSy 30kg; EB21; pravý</v>
      </c>
      <c r="BF98" s="22">
        <f>VLOOKUP(BD98,CENY!$B$11:$G$1054,3,FALSE)</f>
        <v>20</v>
      </c>
      <c r="BG98" s="22"/>
      <c r="BH98" s="23">
        <f>AY60</f>
        <v>0</v>
      </c>
      <c r="BI98" s="326">
        <f t="shared" si="6"/>
        <v>0</v>
      </c>
      <c r="BJ98" s="95">
        <f>VLOOKUP(BD98,CENY!$B$11:$M$2025,12,FALSE)</f>
        <v>248.51953</v>
      </c>
      <c r="BK98" s="95">
        <f t="shared" si="7"/>
        <v>0</v>
      </c>
    </row>
    <row r="99" spans="47:63" ht="14.4" customHeight="1">
      <c r="AU99" s="20"/>
      <c r="AV99" s="21"/>
      <c r="AW99" s="22"/>
      <c r="AX99" s="22"/>
      <c r="AY99" s="23"/>
      <c r="AZ99" s="326" t="str">
        <f t="shared" si="5"/>
        <v/>
      </c>
      <c r="BA99" s="95"/>
      <c r="BB99" s="95" t="str">
        <f t="shared" si="9"/>
        <v/>
      </c>
      <c r="BD99" s="319">
        <f>OBJ!B326</f>
        <v>9256880</v>
      </c>
      <c r="BE99" s="21" t="str">
        <f>VLOOKUP(BD99,CENY!$B$11:$G$1054,2,FALSE)</f>
        <v>Quadro You(M) 600/SiSy 25kg; EB21; ľavý</v>
      </c>
      <c r="BF99" s="22">
        <f>VLOOKUP(BD99,CENY!$B$11:$G$1054,3,FALSE)</f>
        <v>20</v>
      </c>
      <c r="BG99" s="22"/>
      <c r="BH99" s="23">
        <f>AY61</f>
        <v>0</v>
      </c>
      <c r="BI99" s="326">
        <f t="shared" si="6"/>
        <v>0</v>
      </c>
      <c r="BJ99" s="95">
        <f>VLOOKUP(BD99,CENY!$B$11:$M$2025,12,FALSE)</f>
        <v>253.36837</v>
      </c>
      <c r="BK99" s="95">
        <f t="shared" si="7"/>
        <v>0</v>
      </c>
    </row>
    <row r="100" spans="47:63" ht="14.4" customHeight="1">
      <c r="AU100" s="20"/>
      <c r="AV100" s="21"/>
      <c r="AW100" s="22"/>
      <c r="AX100" s="22"/>
      <c r="AY100" s="23"/>
      <c r="AZ100" s="326" t="str">
        <f t="shared" si="5"/>
        <v/>
      </c>
      <c r="BA100" s="95"/>
      <c r="BB100" s="95" t="str">
        <f t="shared" si="9"/>
        <v/>
      </c>
      <c r="BD100" s="319">
        <f>OBJ!B327</f>
        <v>9256881</v>
      </c>
      <c r="BE100" s="21" t="str">
        <f>VLOOKUP(BD100,CENY!$B$11:$G$1054,2,FALSE)</f>
        <v>Quadro You(M) 600/SiSy 25kg; EB21; pravý</v>
      </c>
      <c r="BF100" s="22">
        <f>VLOOKUP(BD100,CENY!$B$11:$G$1054,3,FALSE)</f>
        <v>20</v>
      </c>
      <c r="BG100" s="22"/>
      <c r="BH100" s="23">
        <f>AY61</f>
        <v>0</v>
      </c>
      <c r="BI100" s="326">
        <f t="shared" si="6"/>
        <v>0</v>
      </c>
      <c r="BJ100" s="95">
        <f>VLOOKUP(BD100,CENY!$B$11:$M$2025,12,FALSE)</f>
        <v>253.36837</v>
      </c>
      <c r="BK100" s="95">
        <f t="shared" si="7"/>
        <v>0</v>
      </c>
    </row>
    <row r="101" spans="47:63">
      <c r="AU101" s="20"/>
      <c r="AV101" s="21"/>
      <c r="AW101" s="22"/>
      <c r="AX101" s="22"/>
      <c r="AY101" s="23"/>
      <c r="AZ101" s="326" t="str">
        <f t="shared" si="5"/>
        <v/>
      </c>
      <c r="BA101" s="95"/>
      <c r="BB101" s="95" t="str">
        <f t="shared" si="9"/>
        <v/>
      </c>
      <c r="BD101" s="319"/>
      <c r="BE101" s="21"/>
      <c r="BF101" s="22"/>
      <c r="BG101" s="22"/>
      <c r="BH101" s="23"/>
      <c r="BI101" s="326" t="str">
        <f t="shared" si="6"/>
        <v/>
      </c>
      <c r="BJ101" s="95"/>
      <c r="BK101" s="95" t="str">
        <f t="shared" si="7"/>
        <v/>
      </c>
    </row>
    <row r="102" spans="47:63">
      <c r="AU102" s="20"/>
      <c r="AV102" s="21"/>
      <c r="AW102" s="22"/>
      <c r="AX102" s="22"/>
      <c r="AY102" s="23"/>
      <c r="AZ102" s="326" t="str">
        <f t="shared" si="5"/>
        <v/>
      </c>
      <c r="BA102" s="95"/>
      <c r="BB102" s="95" t="str">
        <f t="shared" si="9"/>
        <v/>
      </c>
      <c r="BD102" s="319">
        <f>OBJ!B329</f>
        <v>9257894</v>
      </c>
      <c r="BE102" s="21" t="str">
        <f>VLOOKUP(BD102,CENY!$B$11:$G$1054,2,FALSE)</f>
        <v>Quadro You - Push to open Silent; &lt;10kg</v>
      </c>
      <c r="BF102" s="22">
        <f>VLOOKUP(BD102,CENY!$B$11:$G$1054,3,FALSE)</f>
        <v>1</v>
      </c>
      <c r="BG102" s="22"/>
      <c r="BH102" s="23">
        <f>AY63</f>
        <v>0</v>
      </c>
      <c r="BI102" s="326">
        <f t="shared" si="6"/>
        <v>0</v>
      </c>
      <c r="BJ102" s="95">
        <f>VLOOKUP(BD102,CENY!$B$11:$M$2025,12,FALSE)</f>
        <v>480.50922000000003</v>
      </c>
      <c r="BK102" s="95">
        <f t="shared" si="7"/>
        <v>0</v>
      </c>
    </row>
    <row r="103" spans="47:63">
      <c r="AU103" s="20"/>
      <c r="AV103" s="21"/>
      <c r="AW103" s="22"/>
      <c r="AX103" s="22"/>
      <c r="AY103" s="23"/>
      <c r="AZ103" s="326" t="str">
        <f t="shared" si="5"/>
        <v/>
      </c>
      <c r="BA103" s="95"/>
      <c r="BB103" s="95" t="str">
        <f t="shared" si="9"/>
        <v/>
      </c>
      <c r="BD103" s="319">
        <f>OBJ!B330</f>
        <v>9257895</v>
      </c>
      <c r="BE103" s="21" t="str">
        <f>VLOOKUP(BD103,CENY!$B$11:$G$1054,2,FALSE)</f>
        <v>Quadro You - Push to open Silent; 8-20kg</v>
      </c>
      <c r="BF103" s="22">
        <f>VLOOKUP(BD103,CENY!$B$11:$G$1054,3,FALSE)</f>
        <v>1</v>
      </c>
      <c r="BG103" s="22"/>
      <c r="BH103" s="23">
        <f>AY64</f>
        <v>0</v>
      </c>
      <c r="BI103" s="326">
        <f t="shared" si="6"/>
        <v>0</v>
      </c>
      <c r="BJ103" s="95">
        <f>VLOOKUP(BD103,CENY!$B$11:$M$2025,12,FALSE)</f>
        <v>480.50922000000003</v>
      </c>
      <c r="BK103" s="95">
        <f t="shared" si="7"/>
        <v>0</v>
      </c>
    </row>
    <row r="104" spans="47:63">
      <c r="AU104" s="20"/>
      <c r="AV104" s="21"/>
      <c r="AW104" s="22"/>
      <c r="AX104" s="22"/>
      <c r="AY104" s="23"/>
      <c r="AZ104" s="326" t="str">
        <f t="shared" si="5"/>
        <v/>
      </c>
      <c r="BA104" s="95"/>
      <c r="BB104" s="95" t="str">
        <f t="shared" si="9"/>
        <v/>
      </c>
      <c r="BD104" s="319">
        <f>OBJ!B331</f>
        <v>9257896</v>
      </c>
      <c r="BE104" s="21" t="str">
        <f>VLOOKUP(BD104,CENY!$B$11:$G$1054,2,FALSE)</f>
        <v>Quadro You - Push to open Silent; 10-30kg</v>
      </c>
      <c r="BF104" s="22">
        <f>VLOOKUP(BD104,CENY!$B$11:$G$1054,3,FALSE)</f>
        <v>1</v>
      </c>
      <c r="BG104" s="22"/>
      <c r="BH104" s="23">
        <f>AY65</f>
        <v>0</v>
      </c>
      <c r="BI104" s="326">
        <f t="shared" si="6"/>
        <v>0</v>
      </c>
      <c r="BJ104" s="95">
        <f>VLOOKUP(BD104,CENY!$B$11:$M$2025,12,FALSE)</f>
        <v>480.50922000000003</v>
      </c>
      <c r="BK104" s="95">
        <f t="shared" si="7"/>
        <v>0</v>
      </c>
    </row>
    <row r="105" spans="47:63">
      <c r="AU105" s="20"/>
      <c r="AV105" s="21"/>
      <c r="AW105" s="22"/>
      <c r="AX105" s="22"/>
      <c r="AY105" s="23"/>
      <c r="AZ105" s="326" t="str">
        <f t="shared" si="5"/>
        <v/>
      </c>
      <c r="BA105" s="95"/>
      <c r="BB105" s="95" t="str">
        <f t="shared" si="9"/>
        <v/>
      </c>
      <c r="BD105" s="319"/>
      <c r="BE105" s="21"/>
      <c r="BF105" s="22"/>
      <c r="BG105" s="22"/>
      <c r="BH105" s="23"/>
      <c r="BI105" s="326" t="str">
        <f t="shared" si="6"/>
        <v/>
      </c>
      <c r="BJ105" s="95"/>
      <c r="BK105" s="95" t="str">
        <f t="shared" si="7"/>
        <v/>
      </c>
    </row>
    <row r="106" spans="47:63">
      <c r="AU106" s="20"/>
      <c r="AV106" s="21"/>
      <c r="AW106" s="22"/>
      <c r="AX106" s="22"/>
      <c r="AY106" s="23"/>
      <c r="AZ106" s="326" t="str">
        <f t="shared" si="5"/>
        <v/>
      </c>
      <c r="BA106" s="95"/>
      <c r="BB106" s="95" t="str">
        <f t="shared" si="9"/>
        <v/>
      </c>
      <c r="BD106" s="319">
        <f>OBJ!B341</f>
        <v>9256899</v>
      </c>
      <c r="BE106" s="21" t="str">
        <f>VLOOKUP(BD106,CENY!$B$11:$G$1054,2,FALSE)</f>
        <v>Quadro You(M) 270/P2O 20kg; EB21; ľavý</v>
      </c>
      <c r="BF106" s="22">
        <f>VLOOKUP(BD106,CENY!$B$11:$G$1054,3,FALSE)</f>
        <v>20</v>
      </c>
      <c r="BG106" s="22"/>
      <c r="BH106" s="23">
        <f>AY67</f>
        <v>0</v>
      </c>
      <c r="BI106" s="326">
        <f t="shared" si="6"/>
        <v>0</v>
      </c>
      <c r="BJ106" s="95">
        <f>VLOOKUP(BD106,CENY!$B$11:$M$2025,12,FALSE)</f>
        <v>252.8922</v>
      </c>
      <c r="BK106" s="95">
        <f t="shared" si="7"/>
        <v>0</v>
      </c>
    </row>
    <row r="107" spans="47:63">
      <c r="AU107" s="20"/>
      <c r="AV107" s="21"/>
      <c r="AW107" s="22"/>
      <c r="AX107" s="22"/>
      <c r="AY107" s="23"/>
      <c r="AZ107" s="326" t="str">
        <f t="shared" si="5"/>
        <v/>
      </c>
      <c r="BA107" s="95"/>
      <c r="BB107" s="95" t="str">
        <f t="shared" si="9"/>
        <v/>
      </c>
      <c r="BD107" s="319">
        <f>OBJ!B342</f>
        <v>9256900</v>
      </c>
      <c r="BE107" s="21" t="str">
        <f>VLOOKUP(BD107,CENY!$B$11:$G$1054,2,FALSE)</f>
        <v>Quadro You(M) 270/P2O 20kg; EB21; pravý</v>
      </c>
      <c r="BF107" s="22">
        <f>VLOOKUP(BD107,CENY!$B$11:$G$1054,3,FALSE)</f>
        <v>20</v>
      </c>
      <c r="BG107" s="22"/>
      <c r="BH107" s="23">
        <f>AY67</f>
        <v>0</v>
      </c>
      <c r="BI107" s="326">
        <f t="shared" si="6"/>
        <v>0</v>
      </c>
      <c r="BJ107" s="95">
        <f>VLOOKUP(BD107,CENY!$B$11:$M$2025,12,FALSE)</f>
        <v>252.8922</v>
      </c>
      <c r="BK107" s="95">
        <f t="shared" si="7"/>
        <v>0</v>
      </c>
    </row>
    <row r="108" spans="47:63">
      <c r="AU108" s="20"/>
      <c r="AV108" s="21"/>
      <c r="AW108" s="22"/>
      <c r="AX108" s="22"/>
      <c r="AY108" s="23"/>
      <c r="AZ108" s="326" t="str">
        <f t="shared" si="5"/>
        <v/>
      </c>
      <c r="BA108" s="95"/>
      <c r="BB108" s="95" t="str">
        <f t="shared" si="9"/>
        <v/>
      </c>
      <c r="BD108" s="319">
        <f>OBJ!B343</f>
        <v>9256901</v>
      </c>
      <c r="BE108" s="21" t="str">
        <f>VLOOKUP(BD108,CENY!$B$11:$G$1054,2,FALSE)</f>
        <v>Quadro You(M) 300/P2O 20kg; EB21; ľavý</v>
      </c>
      <c r="BF108" s="22">
        <f>VLOOKUP(BD108,CENY!$B$11:$G$1054,3,FALSE)</f>
        <v>20</v>
      </c>
      <c r="BG108" s="22"/>
      <c r="BH108" s="23">
        <f>AY68</f>
        <v>0</v>
      </c>
      <c r="BI108" s="326">
        <f t="shared" si="6"/>
        <v>0</v>
      </c>
      <c r="BJ108" s="95">
        <f>VLOOKUP(BD108,CENY!$B$11:$M$2025,12,FALSE)</f>
        <v>253.36837</v>
      </c>
      <c r="BK108" s="95">
        <f t="shared" si="7"/>
        <v>0</v>
      </c>
    </row>
    <row r="109" spans="47:63">
      <c r="AU109" s="20"/>
      <c r="AV109" s="21"/>
      <c r="AW109" s="22"/>
      <c r="AX109" s="22"/>
      <c r="AY109" s="23"/>
      <c r="AZ109" s="326" t="str">
        <f t="shared" si="5"/>
        <v/>
      </c>
      <c r="BA109" s="95"/>
      <c r="BB109" s="95" t="str">
        <f t="shared" si="9"/>
        <v/>
      </c>
      <c r="BD109" s="319">
        <f>OBJ!B344</f>
        <v>9256902</v>
      </c>
      <c r="BE109" s="21" t="str">
        <f>VLOOKUP(BD109,CENY!$B$11:$G$1054,2,FALSE)</f>
        <v>Quadro You(M) 300/P2O 20kg; EB21; pravý</v>
      </c>
      <c r="BF109" s="22">
        <f>VLOOKUP(BD109,CENY!$B$11:$G$1054,3,FALSE)</f>
        <v>20</v>
      </c>
      <c r="BG109" s="22"/>
      <c r="BH109" s="23">
        <f>AY68</f>
        <v>0</v>
      </c>
      <c r="BI109" s="326">
        <f t="shared" si="6"/>
        <v>0</v>
      </c>
      <c r="BJ109" s="95">
        <f>VLOOKUP(BD109,CENY!$B$11:$M$2025,12,FALSE)</f>
        <v>253.36837</v>
      </c>
      <c r="BK109" s="95">
        <f t="shared" si="7"/>
        <v>0</v>
      </c>
    </row>
    <row r="110" spans="47:63">
      <c r="AU110" s="20"/>
      <c r="AV110" s="21"/>
      <c r="AW110" s="22"/>
      <c r="AX110" s="22"/>
      <c r="AY110" s="23"/>
      <c r="AZ110" s="326" t="str">
        <f t="shared" si="5"/>
        <v/>
      </c>
      <c r="BA110" s="95"/>
      <c r="BB110" s="95" t="str">
        <f t="shared" si="9"/>
        <v/>
      </c>
      <c r="BD110" s="319">
        <f>OBJ!B345</f>
        <v>9256905</v>
      </c>
      <c r="BE110" s="21" t="str">
        <f>VLOOKUP(BD110,CENY!$B$11:$G$1054,2,FALSE)</f>
        <v>Quadro You(M) 350/P2O 25kg; EB21; ľavý</v>
      </c>
      <c r="BF110" s="22">
        <f>VLOOKUP(BD110,CENY!$B$11:$G$1054,3,FALSE)</f>
        <v>20</v>
      </c>
      <c r="BG110" s="22"/>
      <c r="BH110" s="23">
        <f>AY69</f>
        <v>0</v>
      </c>
      <c r="BI110" s="326">
        <f t="shared" si="6"/>
        <v>0</v>
      </c>
      <c r="BJ110" s="95">
        <f>VLOOKUP(BD110,CENY!$B$11:$M$2025,12,FALSE)</f>
        <v>258.22465999999997</v>
      </c>
      <c r="BK110" s="95">
        <f t="shared" si="7"/>
        <v>0</v>
      </c>
    </row>
    <row r="111" spans="47:63">
      <c r="AU111" s="20"/>
      <c r="AV111" s="21"/>
      <c r="AW111" s="22"/>
      <c r="AX111" s="22"/>
      <c r="AY111" s="23"/>
      <c r="AZ111" s="326" t="str">
        <f t="shared" si="5"/>
        <v/>
      </c>
      <c r="BA111" s="95"/>
      <c r="BB111" s="95" t="str">
        <f t="shared" si="9"/>
        <v/>
      </c>
      <c r="BD111" s="319">
        <f>OBJ!B346</f>
        <v>9256906</v>
      </c>
      <c r="BE111" s="21" t="str">
        <f>VLOOKUP(BD111,CENY!$B$11:$G$1054,2,FALSE)</f>
        <v>Quadro You(M) 350/P2O 25kg; EB21; pravý</v>
      </c>
      <c r="BF111" s="22">
        <f>VLOOKUP(BD111,CENY!$B$11:$G$1054,3,FALSE)</f>
        <v>20</v>
      </c>
      <c r="BG111" s="22"/>
      <c r="BH111" s="23">
        <f>AY69</f>
        <v>0</v>
      </c>
      <c r="BI111" s="326">
        <f t="shared" si="6"/>
        <v>0</v>
      </c>
      <c r="BJ111" s="95">
        <f>VLOOKUP(BD111,CENY!$B$11:$M$2025,12,FALSE)</f>
        <v>258.22465999999997</v>
      </c>
      <c r="BK111" s="95">
        <f t="shared" si="7"/>
        <v>0</v>
      </c>
    </row>
    <row r="112" spans="47:63">
      <c r="AU112" s="20"/>
      <c r="AV112" s="21"/>
      <c r="AW112" s="22"/>
      <c r="AX112" s="22"/>
      <c r="AY112" s="23"/>
      <c r="AZ112" s="326" t="str">
        <f t="shared" si="5"/>
        <v/>
      </c>
      <c r="BA112" s="95"/>
      <c r="BB112" s="95" t="str">
        <f t="shared" si="9"/>
        <v/>
      </c>
      <c r="BD112" s="319">
        <f>OBJ!B347</f>
        <v>9256909</v>
      </c>
      <c r="BE112" s="21" t="str">
        <f>VLOOKUP(BD112,CENY!$B$11:$G$1054,2,FALSE)</f>
        <v>Quadro You(M) 400/P2O 30kg; EB21; ľavý</v>
      </c>
      <c r="BF112" s="22">
        <f>VLOOKUP(BD112,CENY!$B$11:$G$1054,3,FALSE)</f>
        <v>20</v>
      </c>
      <c r="BG112" s="22"/>
      <c r="BH112" s="23">
        <f>AY70</f>
        <v>0</v>
      </c>
      <c r="BI112" s="326">
        <f t="shared" si="6"/>
        <v>0</v>
      </c>
      <c r="BJ112" s="95">
        <f>VLOOKUP(BD112,CENY!$B$11:$M$2025,12,FALSE)</f>
        <v>263.07337999999999</v>
      </c>
      <c r="BK112" s="95">
        <f t="shared" si="7"/>
        <v>0</v>
      </c>
    </row>
    <row r="113" spans="46:63">
      <c r="AU113" s="20"/>
      <c r="AV113" s="21"/>
      <c r="AW113" s="22"/>
      <c r="AX113" s="22"/>
      <c r="AY113" s="23"/>
      <c r="AZ113" s="326" t="str">
        <f t="shared" si="5"/>
        <v/>
      </c>
      <c r="BA113" s="95"/>
      <c r="BB113" s="95" t="str">
        <f t="shared" si="9"/>
        <v/>
      </c>
      <c r="BD113" s="319">
        <f>OBJ!B348</f>
        <v>9256910</v>
      </c>
      <c r="BE113" s="21" t="str">
        <f>VLOOKUP(BD113,CENY!$B$11:$G$1054,2,FALSE)</f>
        <v>Quadro You(M) 400/P2O 30kg; EB21; pravý</v>
      </c>
      <c r="BF113" s="22">
        <f>VLOOKUP(BD113,CENY!$B$11:$G$1054,3,FALSE)</f>
        <v>20</v>
      </c>
      <c r="BG113" s="22"/>
      <c r="BH113" s="23">
        <f>AY70</f>
        <v>0</v>
      </c>
      <c r="BI113" s="326">
        <f t="shared" si="6"/>
        <v>0</v>
      </c>
      <c r="BJ113" s="95">
        <f>VLOOKUP(BD113,CENY!$B$11:$M$2025,12,FALSE)</f>
        <v>263.07337999999999</v>
      </c>
      <c r="BK113" s="95">
        <f t="shared" si="7"/>
        <v>0</v>
      </c>
    </row>
    <row r="114" spans="46:63">
      <c r="AU114" s="20"/>
      <c r="AV114" s="21"/>
      <c r="AW114" s="22"/>
      <c r="AX114" s="22"/>
      <c r="AY114" s="23"/>
      <c r="AZ114" s="326" t="str">
        <f t="shared" si="5"/>
        <v/>
      </c>
      <c r="BA114" s="95"/>
      <c r="BB114" s="95" t="str">
        <f t="shared" si="9"/>
        <v/>
      </c>
      <c r="BD114" s="319">
        <f>OBJ!B349</f>
        <v>9256913</v>
      </c>
      <c r="BE114" s="21" t="str">
        <f>VLOOKUP(BD114,CENY!$B$11:$G$1054,2,FALSE)</f>
        <v>Quadro You(M) 450/P2O 30kg; EB21; ľavý</v>
      </c>
      <c r="BF114" s="22">
        <f>VLOOKUP(BD114,CENY!$B$11:$G$1054,3,FALSE)</f>
        <v>20</v>
      </c>
      <c r="BG114" s="22"/>
      <c r="BH114" s="23">
        <f>AY71</f>
        <v>0</v>
      </c>
      <c r="BI114" s="326">
        <f t="shared" si="6"/>
        <v>0</v>
      </c>
      <c r="BJ114" s="95">
        <f>VLOOKUP(BD114,CENY!$B$11:$M$2025,12,FALSE)</f>
        <v>267.92221999999998</v>
      </c>
      <c r="BK114" s="95">
        <f t="shared" si="7"/>
        <v>0</v>
      </c>
    </row>
    <row r="115" spans="46:63">
      <c r="AU115" s="20"/>
      <c r="AV115" s="21"/>
      <c r="AW115" s="22"/>
      <c r="AX115" s="22"/>
      <c r="AY115" s="23"/>
      <c r="AZ115" s="326" t="str">
        <f t="shared" si="5"/>
        <v/>
      </c>
      <c r="BA115" s="95"/>
      <c r="BB115" s="95" t="str">
        <f t="shared" si="9"/>
        <v/>
      </c>
      <c r="BD115" s="319">
        <f>OBJ!B350</f>
        <v>9256914</v>
      </c>
      <c r="BE115" s="21" t="str">
        <f>VLOOKUP(BD115,CENY!$B$11:$G$1054,2,FALSE)</f>
        <v>Quadro You(M) 450/P2O 30kg; EB21; pravý</v>
      </c>
      <c r="BF115" s="22">
        <f>VLOOKUP(BD115,CENY!$B$11:$G$1054,3,FALSE)</f>
        <v>20</v>
      </c>
      <c r="BG115" s="22"/>
      <c r="BH115" s="23">
        <f>AY71</f>
        <v>0</v>
      </c>
      <c r="BI115" s="326">
        <f t="shared" si="6"/>
        <v>0</v>
      </c>
      <c r="BJ115" s="95">
        <f>VLOOKUP(BD115,CENY!$B$11:$M$2025,12,FALSE)</f>
        <v>267.92221999999998</v>
      </c>
      <c r="BK115" s="95">
        <f t="shared" si="7"/>
        <v>0</v>
      </c>
    </row>
    <row r="116" spans="46:63">
      <c r="AU116" s="20"/>
      <c r="AV116" s="21"/>
      <c r="AW116" s="22"/>
      <c r="AX116" s="22"/>
      <c r="AY116" s="23"/>
      <c r="AZ116" s="326" t="str">
        <f t="shared" si="5"/>
        <v/>
      </c>
      <c r="BA116" s="95"/>
      <c r="BB116" s="95" t="str">
        <f t="shared" si="9"/>
        <v/>
      </c>
      <c r="BD116" s="319">
        <f>OBJ!B351</f>
        <v>9256917</v>
      </c>
      <c r="BE116" s="21" t="str">
        <f>VLOOKUP(BD116,CENY!$B$11:$G$1054,2,FALSE)</f>
        <v>Quadro You(M) 500/P2O 30kg; EB21; ľavý</v>
      </c>
      <c r="BF116" s="22">
        <f>VLOOKUP(BD116,CENY!$B$11:$G$1054,3,FALSE)</f>
        <v>20</v>
      </c>
      <c r="BG116" s="22"/>
      <c r="BH116" s="23">
        <f>AY72</f>
        <v>0</v>
      </c>
      <c r="BI116" s="326">
        <f t="shared" si="6"/>
        <v>0</v>
      </c>
      <c r="BJ116" s="95">
        <f>VLOOKUP(BD116,CENY!$B$11:$M$2025,12,FALSE)</f>
        <v>265.52375999999998</v>
      </c>
      <c r="BK116" s="95">
        <f t="shared" si="7"/>
        <v>0</v>
      </c>
    </row>
    <row r="117" spans="46:63">
      <c r="AU117" s="20"/>
      <c r="AV117" s="21"/>
      <c r="AW117" s="22"/>
      <c r="AX117" s="22"/>
      <c r="AY117" s="23"/>
      <c r="AZ117" s="326" t="str">
        <f t="shared" si="5"/>
        <v/>
      </c>
      <c r="BA117" s="95"/>
      <c r="BB117" s="95" t="str">
        <f t="shared" si="9"/>
        <v/>
      </c>
      <c r="BD117" s="319">
        <f>OBJ!B352</f>
        <v>9256918</v>
      </c>
      <c r="BE117" s="21" t="str">
        <f>VLOOKUP(BD117,CENY!$B$11:$G$1054,2,FALSE)</f>
        <v>Quadro You(M) 500/P2O 30kg; EB21; pravý</v>
      </c>
      <c r="BF117" s="22">
        <f>VLOOKUP(BD117,CENY!$B$11:$G$1054,3,FALSE)</f>
        <v>20</v>
      </c>
      <c r="BG117" s="22"/>
      <c r="BH117" s="23">
        <f>AY72</f>
        <v>0</v>
      </c>
      <c r="BI117" s="326">
        <f t="shared" si="6"/>
        <v>0</v>
      </c>
      <c r="BJ117" s="95">
        <f>VLOOKUP(BD117,CENY!$B$11:$M$2025,12,FALSE)</f>
        <v>265.52375999999998</v>
      </c>
      <c r="BK117" s="95">
        <f t="shared" si="7"/>
        <v>0</v>
      </c>
    </row>
    <row r="118" spans="46:63">
      <c r="AU118" s="20"/>
      <c r="AV118" s="21"/>
      <c r="AW118" s="22"/>
      <c r="AX118" s="22"/>
      <c r="AY118" s="23"/>
      <c r="AZ118" s="326" t="str">
        <f t="shared" si="5"/>
        <v/>
      </c>
      <c r="BA118" s="95"/>
      <c r="BB118" s="95" t="str">
        <f t="shared" si="9"/>
        <v/>
      </c>
      <c r="BD118" s="319">
        <f>OBJ!B353</f>
        <v>9256921</v>
      </c>
      <c r="BE118" s="21" t="str">
        <f>VLOOKUP(BD118,CENY!$B$11:$G$1054,2,FALSE)</f>
        <v>Quadro You(M) 550/P2O 30kg; EB21; ľavý</v>
      </c>
      <c r="BF118" s="22">
        <f>VLOOKUP(BD118,CENY!$B$11:$G$1054,3,FALSE)</f>
        <v>20</v>
      </c>
      <c r="BG118" s="22"/>
      <c r="BH118" s="23">
        <f>AY73</f>
        <v>0</v>
      </c>
      <c r="BI118" s="326">
        <f t="shared" si="6"/>
        <v>0</v>
      </c>
      <c r="BJ118" s="95">
        <f>VLOOKUP(BD118,CENY!$B$11:$M$2025,12,FALSE)</f>
        <v>270.22431</v>
      </c>
      <c r="BK118" s="95">
        <f t="shared" si="7"/>
        <v>0</v>
      </c>
    </row>
    <row r="119" spans="46:63">
      <c r="AU119" s="20"/>
      <c r="AV119" s="21"/>
      <c r="AW119" s="22"/>
      <c r="AX119" s="22"/>
      <c r="AY119" s="23"/>
      <c r="AZ119" s="326" t="str">
        <f t="shared" si="5"/>
        <v/>
      </c>
      <c r="BA119" s="95"/>
      <c r="BB119" s="95" t="str">
        <f t="shared" si="9"/>
        <v/>
      </c>
      <c r="BD119" s="319">
        <f>OBJ!B354</f>
        <v>9256922</v>
      </c>
      <c r="BE119" s="21" t="str">
        <f>VLOOKUP(BD119,CENY!$B$11:$G$1054,2,FALSE)</f>
        <v>Quadro You(M) 550/P2O 30kg; EB21; pravý</v>
      </c>
      <c r="BF119" s="22">
        <f>VLOOKUP(BD119,CENY!$B$11:$G$1054,3,FALSE)</f>
        <v>20</v>
      </c>
      <c r="BG119" s="22"/>
      <c r="BH119" s="23">
        <f>AY73</f>
        <v>0</v>
      </c>
      <c r="BI119" s="326">
        <f t="shared" si="6"/>
        <v>0</v>
      </c>
      <c r="BJ119" s="95">
        <f>VLOOKUP(BD119,CENY!$B$11:$M$2025,12,FALSE)</f>
        <v>277.60748999999998</v>
      </c>
      <c r="BK119" s="95">
        <f t="shared" si="7"/>
        <v>0</v>
      </c>
    </row>
    <row r="120" spans="46:63">
      <c r="AU120" s="20"/>
      <c r="AV120" s="21"/>
      <c r="AW120" s="22"/>
      <c r="AX120" s="22"/>
      <c r="AY120" s="23"/>
      <c r="AZ120" s="326" t="str">
        <f t="shared" si="5"/>
        <v/>
      </c>
      <c r="BA120" s="95"/>
      <c r="BB120" s="95" t="str">
        <f t="shared" si="9"/>
        <v/>
      </c>
      <c r="BD120" s="319">
        <f>OBJ!B355</f>
        <v>9256925</v>
      </c>
      <c r="BE120" s="21" t="str">
        <f>VLOOKUP(BD120,CENY!$B$11:$G$1054,2,FALSE)</f>
        <v>Quadro You(M) 600/P2O 25kg; EB21; ľavý</v>
      </c>
      <c r="BF120" s="22">
        <f>VLOOKUP(BD120,CENY!$B$11:$G$1054,3,FALSE)</f>
        <v>20</v>
      </c>
      <c r="BG120" s="22"/>
      <c r="BH120" s="23">
        <f>AY74</f>
        <v>0</v>
      </c>
      <c r="BI120" s="326">
        <f t="shared" si="6"/>
        <v>0</v>
      </c>
      <c r="BJ120" s="95">
        <f>VLOOKUP(BD120,CENY!$B$11:$M$2025,12,FALSE)</f>
        <v>282.45375999999999</v>
      </c>
      <c r="BK120" s="95">
        <f t="shared" si="7"/>
        <v>0</v>
      </c>
    </row>
    <row r="121" spans="46:63">
      <c r="AU121" s="20"/>
      <c r="AV121" s="21"/>
      <c r="AW121" s="22"/>
      <c r="AX121" s="22"/>
      <c r="AY121" s="23"/>
      <c r="AZ121" s="326" t="str">
        <f t="shared" si="5"/>
        <v/>
      </c>
      <c r="BA121" s="95"/>
      <c r="BB121" s="95" t="str">
        <f t="shared" si="9"/>
        <v/>
      </c>
      <c r="BD121" s="319">
        <f>OBJ!B356</f>
        <v>9256926</v>
      </c>
      <c r="BE121" s="21" t="str">
        <f>VLOOKUP(BD121,CENY!$B$11:$G$1054,2,FALSE)</f>
        <v>Quadro You(M) 600/P2O 25kg; EB21; pravý</v>
      </c>
      <c r="BF121" s="22">
        <f>VLOOKUP(BD121,CENY!$B$11:$G$1054,3,FALSE)</f>
        <v>20</v>
      </c>
      <c r="BG121" s="22"/>
      <c r="BH121" s="23">
        <f>AY74</f>
        <v>0</v>
      </c>
      <c r="BI121" s="326">
        <f t="shared" si="6"/>
        <v>0</v>
      </c>
      <c r="BJ121" s="95">
        <f>VLOOKUP(BD121,CENY!$B$11:$M$2025,12,FALSE)</f>
        <v>282.45375999999999</v>
      </c>
      <c r="BK121" s="95">
        <f t="shared" si="7"/>
        <v>0</v>
      </c>
    </row>
    <row r="122" spans="46:63">
      <c r="AU122" s="20"/>
      <c r="AV122" s="21"/>
      <c r="AW122" s="22"/>
      <c r="AX122" s="22"/>
      <c r="AY122" s="23"/>
      <c r="AZ122" s="326" t="str">
        <f t="shared" si="5"/>
        <v/>
      </c>
      <c r="BA122" s="95"/>
      <c r="BB122" s="95" t="str">
        <f t="shared" si="9"/>
        <v/>
      </c>
      <c r="BD122" s="319"/>
      <c r="BE122" s="21"/>
      <c r="BF122" s="22"/>
      <c r="BG122" s="22"/>
      <c r="BH122" s="23"/>
      <c r="BI122" s="326" t="str">
        <f t="shared" si="6"/>
        <v/>
      </c>
      <c r="BJ122" s="95"/>
      <c r="BK122" s="95" t="str">
        <f t="shared" si="7"/>
        <v/>
      </c>
    </row>
    <row r="123" spans="46:63">
      <c r="AU123" s="20"/>
      <c r="AV123" s="21"/>
      <c r="AW123" s="22"/>
      <c r="AX123" s="22"/>
      <c r="AY123" s="23"/>
      <c r="AZ123" s="326" t="str">
        <f t="shared" si="5"/>
        <v/>
      </c>
      <c r="BA123" s="95"/>
      <c r="BB123" s="95" t="str">
        <f t="shared" si="9"/>
        <v/>
      </c>
      <c r="BD123" s="319">
        <f>OBJ!B358</f>
        <v>9219966</v>
      </c>
      <c r="BE123" s="21" t="str">
        <f>VLOOKUP(BD123,CENY!$B$11:$G$1054,2,FALSE)</f>
        <v>Push to open Synchro / adaptér typ A</v>
      </c>
      <c r="BF123" s="22">
        <f>VLOOKUP(BD123,CENY!$B$11:$G$1054,3,FALSE)</f>
        <v>200</v>
      </c>
      <c r="BG123" s="22"/>
      <c r="BH123" s="23">
        <f>AY76</f>
        <v>0</v>
      </c>
      <c r="BI123" s="326">
        <f t="shared" si="6"/>
        <v>0</v>
      </c>
      <c r="BJ123" s="95">
        <f>VLOOKUP(BD123,CENY!$B$11:$M$2025,12,FALSE)</f>
        <v>16.488900000000001</v>
      </c>
      <c r="BK123" s="95">
        <f t="shared" si="7"/>
        <v>0</v>
      </c>
    </row>
    <row r="124" spans="46:63">
      <c r="AU124" s="20"/>
      <c r="AV124" s="21"/>
      <c r="AW124" s="22"/>
      <c r="AX124" s="22"/>
      <c r="AY124" s="23"/>
      <c r="AZ124" s="326" t="str">
        <f t="shared" si="5"/>
        <v/>
      </c>
      <c r="BA124" s="95"/>
      <c r="BB124" s="95" t="str">
        <f t="shared" si="9"/>
        <v/>
      </c>
      <c r="BD124" s="319"/>
      <c r="BE124" s="21"/>
      <c r="BF124" s="22"/>
      <c r="BG124" s="22"/>
      <c r="BH124" s="23"/>
      <c r="BI124" s="326" t="str">
        <f t="shared" si="6"/>
        <v/>
      </c>
      <c r="BJ124" s="95"/>
      <c r="BK124" s="95" t="str">
        <f t="shared" si="7"/>
        <v/>
      </c>
    </row>
    <row r="125" spans="46:63">
      <c r="AU125" s="20"/>
      <c r="AV125" s="21"/>
      <c r="AW125" s="22"/>
      <c r="AX125" s="22"/>
      <c r="AY125" s="23"/>
      <c r="AZ125" s="326" t="str">
        <f t="shared" si="5"/>
        <v/>
      </c>
      <c r="BA125" s="95"/>
      <c r="BB125" s="95" t="str">
        <f t="shared" si="9"/>
        <v/>
      </c>
      <c r="BD125" s="319">
        <f>OBJ!B214</f>
        <v>0</v>
      </c>
      <c r="BE125" s="21" t="e">
        <f>VLOOKUP(BD125,CENY!$B$11:$G$1054,2,FALSE)</f>
        <v>#N/A</v>
      </c>
      <c r="BF125" s="22" t="e">
        <f>VLOOKUP(BD125,CENY!$B$11:$G$1054,3,FALSE)</f>
        <v>#N/A</v>
      </c>
      <c r="BG125" s="22"/>
      <c r="BH125" s="23">
        <f>AY80</f>
        <v>0</v>
      </c>
      <c r="BI125" s="326">
        <f t="shared" si="6"/>
        <v>0</v>
      </c>
      <c r="BJ125" s="324" t="str">
        <f>IF(BD125=0,"",VLOOKUP(BD125,CENY!$B$11:$M$2025,12,FALSE))</f>
        <v/>
      </c>
      <c r="BK125" s="95" t="str">
        <f>IF(BJ125="","",BJ125*BH125)</f>
        <v/>
      </c>
    </row>
    <row r="126" spans="46:63">
      <c r="AU126" s="20"/>
      <c r="AV126" s="21"/>
      <c r="AW126" s="22"/>
      <c r="AX126" s="22"/>
      <c r="AY126" s="23"/>
      <c r="AZ126" s="326" t="str">
        <f t="shared" si="5"/>
        <v/>
      </c>
      <c r="BA126" s="95"/>
      <c r="BB126" s="95" t="str">
        <f t="shared" si="9"/>
        <v/>
      </c>
      <c r="BD126" s="319"/>
      <c r="BE126" s="21"/>
      <c r="BF126" s="22"/>
      <c r="BG126" s="22"/>
      <c r="BH126" s="23"/>
      <c r="BI126" s="326" t="str">
        <f t="shared" si="6"/>
        <v/>
      </c>
      <c r="BJ126" s="95"/>
      <c r="BK126" s="95" t="str">
        <f t="shared" si="7"/>
        <v/>
      </c>
    </row>
    <row r="127" spans="46:63">
      <c r="AT127" s="233"/>
      <c r="AU127" s="319">
        <f>OBJ!B361</f>
        <v>45167</v>
      </c>
      <c r="AV127" s="21" t="str">
        <f>VLOOKUP(AU127,CENY!$B$11:$G$1054,2,FALSE)</f>
        <v>Skrutka s polgul.hlavou 3,5x12mm</v>
      </c>
      <c r="AW127" s="22">
        <f>VLOOKUP(AU127,CENY!$B$11:$G$1054,3,FALSE)</f>
        <v>200</v>
      </c>
      <c r="AX127" s="22"/>
      <c r="AY127" s="23">
        <f>SUMPRODUCT(AX5:AX13,AY5:AY13)</f>
        <v>0</v>
      </c>
      <c r="AZ127" s="326">
        <f t="shared" ref="AZ127:AZ133" si="10">IF(AY127="","",IF($AW$4=1,AY127,0))</f>
        <v>0</v>
      </c>
      <c r="BA127" s="95">
        <f>VLOOKUP(AU127,CENY!$B$11:$M$2025,12,FALSE)</f>
        <v>0.84719999999999995</v>
      </c>
      <c r="BB127" s="95">
        <f t="shared" si="9"/>
        <v>0</v>
      </c>
      <c r="BC127" s="86" t="s">
        <v>396</v>
      </c>
      <c r="BD127" s="319">
        <f>OBJ!B361</f>
        <v>45167</v>
      </c>
      <c r="BE127" s="21" t="str">
        <f>VLOOKUP(BD127,CENY!$B$11:$G$1054,2,FALSE)</f>
        <v>Skrutka s polgul.hlavou 3,5x12mm</v>
      </c>
      <c r="BF127" s="22">
        <f>VLOOKUP(BD127,CENY!$B$11:$G$1054,3,FALSE)</f>
        <v>200</v>
      </c>
      <c r="BG127" s="22"/>
      <c r="BH127" s="23">
        <f>AY127+BH25*2</f>
        <v>0</v>
      </c>
      <c r="BI127" s="326">
        <f>IF(BH127="","",IF($AW$4=0,BH127,0))</f>
        <v>0</v>
      </c>
      <c r="BJ127" s="95">
        <f>VLOOKUP(BD127,CENY!$B$11:$M$2025,12,FALSE)</f>
        <v>0.84719999999999995</v>
      </c>
      <c r="BK127" s="95">
        <f>IF(BJ127="","",BJ127*BH127)</f>
        <v>0</v>
      </c>
    </row>
    <row r="128" spans="46:63">
      <c r="AT128" s="233"/>
      <c r="AU128" s="319">
        <f>OBJ!B362</f>
        <v>45168</v>
      </c>
      <c r="AV128" s="21" t="str">
        <f>VLOOKUP(AU128,CENY!$B$11:$G$1054,2,FALSE)</f>
        <v>Skrutka s polgul.hlavou 3,5x20mm</v>
      </c>
      <c r="AW128" s="22">
        <f>VLOOKUP(AU128,CENY!$B$11:$G$1054,3,FALSE)</f>
        <v>200</v>
      </c>
      <c r="AX128" s="22"/>
      <c r="AY128" s="360">
        <v>0</v>
      </c>
      <c r="AZ128" s="326">
        <f t="shared" si="10"/>
        <v>0</v>
      </c>
      <c r="BA128" s="95">
        <f>VLOOKUP(AU128,CENY!$B$11:$M$2025,12,FALSE)</f>
        <v>1.2154199999999999</v>
      </c>
      <c r="BB128" s="95">
        <f t="shared" si="9"/>
        <v>0</v>
      </c>
      <c r="BC128" s="86" t="s">
        <v>397</v>
      </c>
      <c r="BD128" s="319">
        <f>OBJ!B362</f>
        <v>45168</v>
      </c>
      <c r="BE128" s="21" t="str">
        <f>VLOOKUP(BD128,CENY!$B$11:$G$1054,2,FALSE)</f>
        <v>Skrutka s polgul.hlavou 3,5x20mm</v>
      </c>
      <c r="BF128" s="22">
        <f>VLOOKUP(BD128,CENY!$B$11:$G$1054,3,FALSE)</f>
        <v>200</v>
      </c>
      <c r="BG128" s="22"/>
      <c r="BH128" s="360">
        <f>IF(FORM!$AM$8=FORM!$AU$10,BH24*2,0)</f>
        <v>0</v>
      </c>
      <c r="BI128" s="326">
        <f>IF(BH128="","",IF($AW$4=0,BH128,0))</f>
        <v>0</v>
      </c>
      <c r="BJ128" s="95">
        <f>VLOOKUP(BD128,CENY!$B$11:$M$2025,12,FALSE)</f>
        <v>1.2154199999999999</v>
      </c>
      <c r="BK128" s="95">
        <f>IF(BJ128="","",BJ128*BH128)</f>
        <v>0</v>
      </c>
    </row>
    <row r="129" spans="46:63">
      <c r="AT129" s="233"/>
      <c r="AU129" s="319">
        <f>OBJ!B363</f>
        <v>9278224</v>
      </c>
      <c r="AV129" s="21" t="str">
        <f>VLOOKUP(AU129,CENY!$B$11:$G$1054,2,FALSE)</f>
        <v>Skrutka s polgul.hlavou 3,5x30mm</v>
      </c>
      <c r="AW129" s="22">
        <f>VLOOKUP(AU129,CENY!$B$11:$G$1054,3,FALSE)</f>
        <v>200</v>
      </c>
      <c r="AX129" s="22"/>
      <c r="AY129" s="360">
        <v>0</v>
      </c>
      <c r="AZ129" s="326">
        <f t="shared" si="10"/>
        <v>0</v>
      </c>
      <c r="BA129" s="95">
        <f>VLOOKUP(AU129,CENY!$B$11:$M$2025,12,FALSE)</f>
        <v>0.89337999999999995</v>
      </c>
      <c r="BB129" s="95">
        <f t="shared" si="9"/>
        <v>0</v>
      </c>
      <c r="BC129" s="86" t="s">
        <v>398</v>
      </c>
      <c r="BD129" s="319">
        <f>OBJ!B363</f>
        <v>9278224</v>
      </c>
      <c r="BE129" s="21" t="str">
        <f>VLOOKUP(BD129,CENY!$B$11:$G$1054,2,FALSE)</f>
        <v>Skrutka s polgul.hlavou 3,5x30mm</v>
      </c>
      <c r="BF129" s="22">
        <f>VLOOKUP(BD129,CENY!$B$11:$G$1054,3,FALSE)</f>
        <v>200</v>
      </c>
      <c r="BG129" s="22"/>
      <c r="BH129" s="360">
        <f>SUM(BH5:BH22)</f>
        <v>0</v>
      </c>
      <c r="BI129" s="326">
        <f>IF(BH129="","",IF($AW$4=0,BH129,0))</f>
        <v>0</v>
      </c>
      <c r="BJ129" s="95">
        <f>VLOOKUP(BD129,CENY!$B$11:$M$2025,12,FALSE)</f>
        <v>0.89337999999999995</v>
      </c>
      <c r="BK129" s="95">
        <f>IF(BJ129="","",BJ129*BH129)</f>
        <v>0</v>
      </c>
    </row>
    <row r="130" spans="46:63">
      <c r="AT130" s="233"/>
      <c r="AU130" s="319">
        <f>OBJ!B364</f>
        <v>9279197</v>
      </c>
      <c r="AV130" s="21" t="str">
        <f>VLOOKUP(AU130,CENY!$B$11:$G$1054,2,FALSE)</f>
        <v>Skrutka s polgul.hlavou M3,5x12mm</v>
      </c>
      <c r="AW130" s="22">
        <f>VLOOKUP(AU130,CENY!$B$11:$G$1054,3,FALSE)</f>
        <v>1000</v>
      </c>
      <c r="AX130" s="22"/>
      <c r="AY130" s="68">
        <v>0</v>
      </c>
      <c r="AZ130" s="326">
        <f t="shared" si="10"/>
        <v>0</v>
      </c>
      <c r="BA130" s="95">
        <f>VLOOKUP(AU130,CENY!$B$11:$M$2025,12,FALSE)</f>
        <v>0</v>
      </c>
      <c r="BB130" s="95">
        <f t="shared" si="9"/>
        <v>0</v>
      </c>
      <c r="BC130" s="86" t="s">
        <v>399</v>
      </c>
      <c r="BD130" s="319">
        <f>OBJ!B364</f>
        <v>9279197</v>
      </c>
      <c r="BE130" s="21" t="str">
        <f>VLOOKUP(BD130,CENY!$B$11:$G$1054,2,FALSE)</f>
        <v>Skrutka s polgul.hlavou M3,5x12mm</v>
      </c>
      <c r="BF130" s="22">
        <f>VLOOKUP(BD130,CENY!$B$11:$G$1054,3,FALSE)</f>
        <v>1000</v>
      </c>
      <c r="BG130" s="22"/>
      <c r="BH130" s="68">
        <f>AY130</f>
        <v>0</v>
      </c>
      <c r="BI130" s="326">
        <f>IF(BH130="","",IF($AW$4=0,BH130,0))</f>
        <v>0</v>
      </c>
      <c r="BJ130" s="95">
        <f>VLOOKUP(BD130,CENY!$B$11:$M$2025,12,FALSE)</f>
        <v>0</v>
      </c>
      <c r="BK130" s="95">
        <f>IF(BJ130="","",BJ130*BH130)</f>
        <v>0</v>
      </c>
    </row>
    <row r="131" spans="46:63">
      <c r="AT131" s="233"/>
      <c r="AU131" s="319">
        <f>OBJ!B365</f>
        <v>9137114</v>
      </c>
      <c r="AV131" s="21" t="str">
        <f>VLOOKUP(AU131,CENY!$B$11:$G$1054,2,FALSE)</f>
        <v>EURO-skrutka  6,0x14mm / niklovaná</v>
      </c>
      <c r="AW131" s="22">
        <f>VLOOKUP(AU131,CENY!$B$11:$G$1054,3,FALSE)</f>
        <v>200</v>
      </c>
      <c r="AX131" s="22"/>
      <c r="AY131" s="23">
        <f>SUMPRODUCT(AX25:AX74,AY25:AY74)</f>
        <v>0</v>
      </c>
      <c r="AZ131" s="326">
        <f t="shared" si="10"/>
        <v>0</v>
      </c>
      <c r="BA131" s="95">
        <f>VLOOKUP(AU131,CENY!$B$11:$M$2025,12,FALSE)</f>
        <v>1.8839300000000001</v>
      </c>
      <c r="BB131" s="95">
        <f t="shared" si="9"/>
        <v>0</v>
      </c>
      <c r="BC131" s="86" t="s">
        <v>400</v>
      </c>
      <c r="BD131" s="319">
        <f>OBJ!B365</f>
        <v>9137114</v>
      </c>
      <c r="BE131" s="21" t="str">
        <f>VLOOKUP(BD131,CENY!$B$11:$G$1054,2,FALSE)</f>
        <v>EURO-skrutka  6,0x14mm / niklovaná</v>
      </c>
      <c r="BF131" s="22">
        <f>VLOOKUP(BD131,CENY!$B$11:$G$1054,3,FALSE)</f>
        <v>200</v>
      </c>
      <c r="BG131" s="22"/>
      <c r="BH131" s="23">
        <f>AY131</f>
        <v>0</v>
      </c>
      <c r="BI131" s="326">
        <f>IF(BH131="","",IF($AW$4=0,BH131,0))</f>
        <v>0</v>
      </c>
      <c r="BJ131" s="95">
        <f>VLOOKUP(BD131,CENY!$B$11:$M$2025,12,FALSE)</f>
        <v>1.8839300000000001</v>
      </c>
      <c r="BK131" s="95">
        <f>IF(BJ131="","",BJ131*BH131)</f>
        <v>0</v>
      </c>
    </row>
    <row r="132" spans="46:63">
      <c r="AU132" s="20"/>
      <c r="AV132" s="21"/>
      <c r="AW132" s="22"/>
      <c r="AX132" s="22"/>
      <c r="AY132" s="23"/>
      <c r="AZ132" s="326" t="str">
        <f t="shared" si="10"/>
        <v/>
      </c>
      <c r="BA132" s="95"/>
      <c r="BB132" s="95" t="str">
        <f t="shared" si="9"/>
        <v/>
      </c>
      <c r="BD132" s="319"/>
      <c r="BE132" s="21"/>
      <c r="BF132" s="22"/>
      <c r="BG132" s="22"/>
      <c r="BH132" s="23"/>
      <c r="BI132" s="326" t="str">
        <f t="shared" si="6"/>
        <v/>
      </c>
      <c r="BJ132" s="95"/>
      <c r="BK132" s="95" t="str">
        <f t="shared" si="7"/>
        <v/>
      </c>
    </row>
    <row r="133" spans="46:63">
      <c r="AU133" s="20"/>
      <c r="AV133" s="21"/>
      <c r="AW133" s="22"/>
      <c r="AX133" s="22"/>
      <c r="AY133" s="23"/>
      <c r="AZ133" s="326" t="str">
        <f t="shared" si="10"/>
        <v/>
      </c>
      <c r="BA133" s="95"/>
      <c r="BB133" s="95" t="str">
        <f t="shared" si="9"/>
        <v/>
      </c>
      <c r="BD133" s="319"/>
      <c r="BE133" s="21"/>
      <c r="BF133" s="22"/>
      <c r="BG133" s="22"/>
      <c r="BH133" s="23"/>
      <c r="BI133" s="326" t="str">
        <f t="shared" si="6"/>
        <v/>
      </c>
      <c r="BJ133" s="95"/>
      <c r="BK133" s="95" t="str">
        <f t="shared" si="7"/>
        <v/>
      </c>
    </row>
    <row r="134" spans="46:63">
      <c r="BD134" s="319"/>
      <c r="BE134" s="21"/>
      <c r="BF134" s="22"/>
      <c r="BG134" s="22"/>
      <c r="BH134" s="23"/>
      <c r="BI134" s="326" t="str">
        <f>IF(BH134="","",IF($AW$4=0,BH134,0))</f>
        <v/>
      </c>
      <c r="BJ134" s="95"/>
      <c r="BK134" s="95" t="str">
        <f>IF(BJ134="","",BJ134*BH134)</f>
        <v/>
      </c>
    </row>
    <row r="135" spans="46:63">
      <c r="BD135" s="319"/>
      <c r="BE135" s="21"/>
      <c r="BF135" s="22"/>
      <c r="BG135" s="22"/>
      <c r="BH135" s="23"/>
      <c r="BI135" s="326" t="str">
        <f>IF(BH135="","",IF($AW$4=0,BH135,0))</f>
        <v/>
      </c>
      <c r="BJ135" s="95"/>
      <c r="BK135" s="95" t="str">
        <f>IF(BJ135="","",BJ135*BH135)</f>
        <v/>
      </c>
    </row>
  </sheetData>
  <sheetProtection algorithmName="SHA-512" hashValue="JQjizPkNzTo2zrGgtUBVKHVFt2Lrxi/jBuoV0TpZzoQmG5IOTY69q0a0Dp6zcaBqWlT69YnwIQ1WcMC459Fa8Q==" saltValue="nLvVwtkkIQXi9iAH377fTA==" spinCount="100000" sheet="1" objects="1" scenarios="1"/>
  <mergeCells count="112">
    <mergeCell ref="M30:N30"/>
    <mergeCell ref="O30:P30"/>
    <mergeCell ref="Q30:R30"/>
    <mergeCell ref="S30:T30"/>
    <mergeCell ref="U30:V30"/>
    <mergeCell ref="W30:X30"/>
    <mergeCell ref="B13:E13"/>
    <mergeCell ref="F13:I13"/>
    <mergeCell ref="J13:K13"/>
    <mergeCell ref="B30:G30"/>
    <mergeCell ref="H30:L30"/>
    <mergeCell ref="M19:N19"/>
    <mergeCell ref="O19:P19"/>
    <mergeCell ref="Q19:R19"/>
    <mergeCell ref="S19:T19"/>
    <mergeCell ref="O18:P18"/>
    <mergeCell ref="Q18:R18"/>
    <mergeCell ref="S18:T18"/>
    <mergeCell ref="B22:G22"/>
    <mergeCell ref="H22:L22"/>
    <mergeCell ref="M22:N22"/>
    <mergeCell ref="O22:P22"/>
    <mergeCell ref="Q22:R22"/>
    <mergeCell ref="B20:G20"/>
    <mergeCell ref="Y30:Z30"/>
    <mergeCell ref="U2:Y2"/>
    <mergeCell ref="AA2:AE2"/>
    <mergeCell ref="AI2:AM2"/>
    <mergeCell ref="AA18:AB18"/>
    <mergeCell ref="AE18:AF18"/>
    <mergeCell ref="AC18:AD18"/>
    <mergeCell ref="AA20:AB20"/>
    <mergeCell ref="W20:X20"/>
    <mergeCell ref="Y20:Z20"/>
    <mergeCell ref="AA30:AB30"/>
    <mergeCell ref="AC22:AD22"/>
    <mergeCell ref="AC20:AD20"/>
    <mergeCell ref="AC28:AD28"/>
    <mergeCell ref="U18:V18"/>
    <mergeCell ref="W18:X18"/>
    <mergeCell ref="Y18:Z18"/>
    <mergeCell ref="Y26:Z26"/>
    <mergeCell ref="AA26:AB26"/>
    <mergeCell ref="AC30:AD30"/>
    <mergeCell ref="AI26:AO26"/>
    <mergeCell ref="AI18:AO18"/>
    <mergeCell ref="AN27:AO27"/>
    <mergeCell ref="AN28:AO28"/>
    <mergeCell ref="B8:E8"/>
    <mergeCell ref="F8:K8"/>
    <mergeCell ref="B2:E2"/>
    <mergeCell ref="G2:K2"/>
    <mergeCell ref="B9:E9"/>
    <mergeCell ref="F9:K9"/>
    <mergeCell ref="AO2:AR2"/>
    <mergeCell ref="B6:E6"/>
    <mergeCell ref="F6:K6"/>
    <mergeCell ref="O2:S2"/>
    <mergeCell ref="B7:E7"/>
    <mergeCell ref="F7:K7"/>
    <mergeCell ref="B10:E10"/>
    <mergeCell ref="F10:K10"/>
    <mergeCell ref="B11:E11"/>
    <mergeCell ref="B12:E12"/>
    <mergeCell ref="F12:I12"/>
    <mergeCell ref="J12:K12"/>
    <mergeCell ref="F11:K11"/>
    <mergeCell ref="B19:G19"/>
    <mergeCell ref="H19:L19"/>
    <mergeCell ref="H20:L20"/>
    <mergeCell ref="M20:N20"/>
    <mergeCell ref="O20:P20"/>
    <mergeCell ref="Q20:R20"/>
    <mergeCell ref="O26:P26"/>
    <mergeCell ref="Q26:R26"/>
    <mergeCell ref="S26:T26"/>
    <mergeCell ref="U26:V26"/>
    <mergeCell ref="W26:X26"/>
    <mergeCell ref="S22:T22"/>
    <mergeCell ref="U20:V20"/>
    <mergeCell ref="S20:T20"/>
    <mergeCell ref="B28:G28"/>
    <mergeCell ref="H28:L28"/>
    <mergeCell ref="M28:N28"/>
    <mergeCell ref="O28:P28"/>
    <mergeCell ref="Q28:R28"/>
    <mergeCell ref="S28:T28"/>
    <mergeCell ref="B27:G27"/>
    <mergeCell ref="H27:L27"/>
    <mergeCell ref="M27:N27"/>
    <mergeCell ref="O27:P27"/>
    <mergeCell ref="Q27:R27"/>
    <mergeCell ref="S27:T27"/>
    <mergeCell ref="AN29:AO29"/>
    <mergeCell ref="AI25:AO25"/>
    <mergeCell ref="AC26:AD26"/>
    <mergeCell ref="O17:AF17"/>
    <mergeCell ref="AN20:AO20"/>
    <mergeCell ref="AN22:AO22"/>
    <mergeCell ref="AN19:AO19"/>
    <mergeCell ref="AN21:AO21"/>
    <mergeCell ref="AI17:AO17"/>
    <mergeCell ref="AE22:AF22"/>
    <mergeCell ref="AE20:AF20"/>
    <mergeCell ref="U22:V22"/>
    <mergeCell ref="W22:X22"/>
    <mergeCell ref="U28:V28"/>
    <mergeCell ref="W28:X28"/>
    <mergeCell ref="Y28:Z28"/>
    <mergeCell ref="AA28:AB28"/>
    <mergeCell ref="Y22:Z22"/>
    <mergeCell ref="AA22:AB22"/>
  </mergeCells>
  <conditionalFormatting sqref="BH26:BH85 AY5:AZ5 AY6:AY42 BH5:BI5 BH6:BH24 AZ6:AZ126 AZ132:AZ133">
    <cfRule type="cellIs" dxfId="953" priority="49" stopIfTrue="1" operator="equal">
      <formula>0</formula>
    </cfRule>
  </conditionalFormatting>
  <conditionalFormatting sqref="AY53:AY56 AY66:AY69 AY43:AY50">
    <cfRule type="cellIs" dxfId="952" priority="42" stopIfTrue="1" operator="equal">
      <formula>0</formula>
    </cfRule>
  </conditionalFormatting>
  <conditionalFormatting sqref="O17:AF17 O19:T19 O20:AD20 W22:AF22 O27:T27 O28:AD28 O30:AD30">
    <cfRule type="expression" dxfId="951" priority="44" stopIfTrue="1">
      <formula>$AW$4=0</formula>
    </cfRule>
  </conditionalFormatting>
  <conditionalFormatting sqref="AY76:AY77 AY79 AY81:AY83">
    <cfRule type="cellIs" dxfId="950" priority="39" stopIfTrue="1" operator="equal">
      <formula>0</formula>
    </cfRule>
  </conditionalFormatting>
  <conditionalFormatting sqref="AY84">
    <cfRule type="cellIs" dxfId="949" priority="38" stopIfTrue="1" operator="equal">
      <formula>0</formula>
    </cfRule>
  </conditionalFormatting>
  <conditionalFormatting sqref="AY88:AY97">
    <cfRule type="cellIs" dxfId="948" priority="36" stopIfTrue="1" operator="equal">
      <formula>0</formula>
    </cfRule>
  </conditionalFormatting>
  <conditionalFormatting sqref="BH25">
    <cfRule type="cellIs" dxfId="947" priority="34" stopIfTrue="1" operator="equal">
      <formula>0</formula>
    </cfRule>
  </conditionalFormatting>
  <conditionalFormatting sqref="AY51:AY52">
    <cfRule type="cellIs" dxfId="946" priority="33" stopIfTrue="1" operator="equal">
      <formula>0</formula>
    </cfRule>
  </conditionalFormatting>
  <conditionalFormatting sqref="AY57:AY63">
    <cfRule type="cellIs" dxfId="945" priority="32" stopIfTrue="1" operator="equal">
      <formula>0</formula>
    </cfRule>
  </conditionalFormatting>
  <conditionalFormatting sqref="AY70:AY73">
    <cfRule type="cellIs" dxfId="944" priority="31" stopIfTrue="1" operator="equal">
      <formula>0</formula>
    </cfRule>
  </conditionalFormatting>
  <conditionalFormatting sqref="AY74">
    <cfRule type="cellIs" dxfId="943" priority="30" stopIfTrue="1" operator="equal">
      <formula>0</formula>
    </cfRule>
  </conditionalFormatting>
  <conditionalFormatting sqref="AY75">
    <cfRule type="cellIs" dxfId="942" priority="29" stopIfTrue="1" operator="equal">
      <formula>0</formula>
    </cfRule>
  </conditionalFormatting>
  <conditionalFormatting sqref="AY78">
    <cfRule type="cellIs" dxfId="941" priority="28" stopIfTrue="1" operator="equal">
      <formula>0</formula>
    </cfRule>
  </conditionalFormatting>
  <conditionalFormatting sqref="AY85:AY87">
    <cfRule type="cellIs" dxfId="940" priority="27" stopIfTrue="1" operator="equal">
      <formula>0</formula>
    </cfRule>
  </conditionalFormatting>
  <conditionalFormatting sqref="BH101:BH106">
    <cfRule type="cellIs" dxfId="939" priority="25" stopIfTrue="1" operator="equal">
      <formula>0</formula>
    </cfRule>
  </conditionalFormatting>
  <conditionalFormatting sqref="BH122:BH124 BH126 BH132:BH135">
    <cfRule type="cellIs" dxfId="938" priority="24" stopIfTrue="1" operator="equal">
      <formula>0</formula>
    </cfRule>
  </conditionalFormatting>
  <conditionalFormatting sqref="AY98:AY126 AY132:AY133">
    <cfRule type="cellIs" dxfId="937" priority="23" stopIfTrue="1" operator="equal">
      <formula>0</formula>
    </cfRule>
  </conditionalFormatting>
  <conditionalFormatting sqref="AY64:AY65">
    <cfRule type="cellIs" dxfId="936" priority="22" stopIfTrue="1" operator="equal">
      <formula>0</formula>
    </cfRule>
  </conditionalFormatting>
  <conditionalFormatting sqref="BH86:BH100">
    <cfRule type="cellIs" dxfId="935" priority="21" stopIfTrue="1" operator="equal">
      <formula>0</formula>
    </cfRule>
  </conditionalFormatting>
  <conditionalFormatting sqref="BH107:BH121">
    <cfRule type="cellIs" dxfId="934" priority="20" stopIfTrue="1" operator="equal">
      <formula>0</formula>
    </cfRule>
  </conditionalFormatting>
  <conditionalFormatting sqref="AY80">
    <cfRule type="cellIs" dxfId="933" priority="18" stopIfTrue="1" operator="equal">
      <formula>0</formula>
    </cfRule>
  </conditionalFormatting>
  <conditionalFormatting sqref="BH125">
    <cfRule type="cellIs" dxfId="932" priority="17" stopIfTrue="1" operator="equal">
      <formula>0</formula>
    </cfRule>
  </conditionalFormatting>
  <conditionalFormatting sqref="F13:K13">
    <cfRule type="expression" dxfId="931" priority="16" stopIfTrue="1">
      <formula>$AW$4=1</formula>
    </cfRule>
  </conditionalFormatting>
  <conditionalFormatting sqref="BI6:BI126 BI132:BI135">
    <cfRule type="cellIs" dxfId="930" priority="9" stopIfTrue="1" operator="equal">
      <formula>0</formula>
    </cfRule>
  </conditionalFormatting>
  <conditionalFormatting sqref="AZ127:AZ131">
    <cfRule type="cellIs" dxfId="929" priority="8" stopIfTrue="1" operator="equal">
      <formula>0</formula>
    </cfRule>
  </conditionalFormatting>
  <conditionalFormatting sqref="AY127:AY131">
    <cfRule type="cellIs" dxfId="928" priority="7" stopIfTrue="1" operator="equal">
      <formula>0</formula>
    </cfRule>
  </conditionalFormatting>
  <conditionalFormatting sqref="BH127 BH130:BH131">
    <cfRule type="cellIs" dxfId="927" priority="6" stopIfTrue="1" operator="equal">
      <formula>0</formula>
    </cfRule>
  </conditionalFormatting>
  <conditionalFormatting sqref="BI127:BI131">
    <cfRule type="cellIs" dxfId="926" priority="5" stopIfTrue="1" operator="equal">
      <formula>0</formula>
    </cfRule>
  </conditionalFormatting>
  <conditionalFormatting sqref="BH128:BH129">
    <cfRule type="cellIs" dxfId="925" priority="4" stopIfTrue="1" operator="equal">
      <formula>0</formula>
    </cfRule>
  </conditionalFormatting>
  <conditionalFormatting sqref="AI17:AO17">
    <cfRule type="expression" dxfId="924" priority="3" stopIfTrue="1">
      <formula>$AW$4=0</formula>
    </cfRule>
  </conditionalFormatting>
  <conditionalFormatting sqref="AI25:AO25">
    <cfRule type="expression" dxfId="923" priority="1" stopIfTrue="1">
      <formula>$AW$4=0</formula>
    </cfRule>
  </conditionalFormatting>
  <hyperlinks>
    <hyperlink ref="M4" location="MENU!A1" display="MENU!A1" xr:uid="{00000000-0004-0000-0500-000000000000}"/>
    <hyperlink ref="M10" location="OBJ!A1" display="OBJ!A1" xr:uid="{00000000-0004-0000-0500-000001000000}"/>
    <hyperlink ref="M9" location="suhrn!A1" display="suhrn!A1" xr:uid="{00000000-0004-0000-0500-000002000000}"/>
    <hyperlink ref="O2:S2" location="MENU!A5" display="MENU!A5" xr:uid="{00000000-0004-0000-0500-000003000000}"/>
  </hyperlinks>
  <printOptions horizontalCentered="1"/>
  <pageMargins left="0.19685039370078741" right="0.19685039370078741" top="0.19685039370078741" bottom="0.19685039370078741" header="0.31496062992125984" footer="0.31496062992125984"/>
  <pageSetup paperSize="9" orientation="landscape" r:id="rId1"/>
  <headerFooter>
    <oddHeader>&amp;R&amp;"Aptos"&amp;10&amp;K000000 Restricted&amp;1#_x000D_</oddHeader>
  </headerFooter>
  <ignoredErrors>
    <ignoredError sqref="F13:K13" unlockedFormula="1"/>
  </ignoredErrors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List49">
    <tabColor rgb="FFFFFF00"/>
  </sheetPr>
  <dimension ref="A1:BK135"/>
  <sheetViews>
    <sheetView showGridLines="0" showRowColHeaders="0" zoomScale="95" zoomScaleNormal="95" workbookViewId="0"/>
  </sheetViews>
  <sheetFormatPr defaultColWidth="9" defaultRowHeight="13.8"/>
  <cols>
    <col min="1" max="1" width="3.59765625" style="86" customWidth="1"/>
    <col min="2" max="4" width="3.09765625" style="86" customWidth="1"/>
    <col min="5" max="5" width="7.59765625" style="86" customWidth="1"/>
    <col min="6" max="44" width="3.09765625" style="86" customWidth="1"/>
    <col min="45" max="45" width="3.59765625" style="86" customWidth="1"/>
    <col min="46" max="46" width="9" style="86" customWidth="1"/>
    <col min="47" max="47" width="9" style="86" hidden="1" customWidth="1"/>
    <col min="48" max="48" width="32.5" style="86" hidden="1" customWidth="1"/>
    <col min="49" max="49" width="4.3984375" style="86" hidden="1" customWidth="1"/>
    <col min="50" max="50" width="2" style="86" hidden="1" customWidth="1"/>
    <col min="51" max="52" width="4.59765625" style="86" hidden="1" customWidth="1"/>
    <col min="53" max="54" width="9" style="86" hidden="1" customWidth="1"/>
    <col min="55" max="55" width="2.59765625" style="86" hidden="1" customWidth="1"/>
    <col min="56" max="56" width="9" style="86" hidden="1" customWidth="1"/>
    <col min="57" max="57" width="33.8984375" style="86" hidden="1" customWidth="1"/>
    <col min="58" max="58" width="4.3984375" style="86" hidden="1" customWidth="1"/>
    <col min="59" max="59" width="2" style="86" hidden="1" customWidth="1"/>
    <col min="60" max="61" width="4.59765625" style="86" hidden="1" customWidth="1"/>
    <col min="62" max="63" width="9" style="86" hidden="1" customWidth="1"/>
    <col min="64" max="75" width="9" style="86" customWidth="1"/>
    <col min="76" max="16384" width="9" style="86"/>
  </cols>
  <sheetData>
    <row r="1" spans="1:63" ht="12.9" customHeight="1" thickBot="1">
      <c r="AT1" s="86" t="s">
        <v>1301</v>
      </c>
      <c r="AU1" s="140"/>
      <c r="AV1" s="279"/>
      <c r="AW1" s="279"/>
      <c r="AX1" s="140"/>
      <c r="AY1" s="140"/>
      <c r="AZ1" s="140"/>
      <c r="BA1" s="140"/>
      <c r="BB1" s="140"/>
      <c r="BC1" s="140"/>
      <c r="BD1" s="140"/>
      <c r="BE1" s="140"/>
      <c r="BF1" s="140"/>
      <c r="BG1" s="140"/>
      <c r="BH1" s="140"/>
      <c r="BI1" s="140"/>
      <c r="BJ1" s="140"/>
      <c r="BK1" s="140"/>
    </row>
    <row r="2" spans="1:63" ht="23.1" customHeight="1" thickBot="1">
      <c r="B2" s="475" t="str">
        <f>verze!E13</f>
        <v>&lt;&lt;  zpět</v>
      </c>
      <c r="C2" s="476"/>
      <c r="D2" s="476"/>
      <c r="E2" s="477"/>
      <c r="G2" s="513" t="str">
        <f>verze!E6</f>
        <v xml:space="preserve"> Úvod</v>
      </c>
      <c r="H2" s="514"/>
      <c r="I2" s="514"/>
      <c r="J2" s="514"/>
      <c r="K2" s="515"/>
      <c r="O2" s="500" t="str">
        <f>verze!E7</f>
        <v xml:space="preserve"> Výběr zásuvek</v>
      </c>
      <c r="P2" s="501"/>
      <c r="Q2" s="501"/>
      <c r="R2" s="501"/>
      <c r="S2" s="502"/>
      <c r="U2" s="513" t="str">
        <f>verze!E8</f>
        <v xml:space="preserve"> </v>
      </c>
      <c r="V2" s="514"/>
      <c r="W2" s="514"/>
      <c r="X2" s="514"/>
      <c r="Y2" s="515"/>
      <c r="AA2" s="513" t="str">
        <f>verze!E9</f>
        <v xml:space="preserve"> </v>
      </c>
      <c r="AB2" s="514"/>
      <c r="AC2" s="514"/>
      <c r="AD2" s="514"/>
      <c r="AE2" s="515"/>
      <c r="AI2" s="513" t="str">
        <f>verze!E10</f>
        <v xml:space="preserve"> Objednávka</v>
      </c>
      <c r="AJ2" s="514"/>
      <c r="AK2" s="514"/>
      <c r="AL2" s="514"/>
      <c r="AM2" s="515"/>
      <c r="AO2" s="475" t="str">
        <f>verze!E14</f>
        <v>vpřed  &gt;&gt;</v>
      </c>
      <c r="AP2" s="476"/>
      <c r="AQ2" s="476"/>
      <c r="AR2" s="477"/>
      <c r="AV2" s="143"/>
      <c r="AW2" s="143"/>
    </row>
    <row r="3" spans="1:63" ht="12.9" customHeight="1">
      <c r="AV3" s="143"/>
      <c r="AW3" s="143"/>
    </row>
    <row r="4" spans="1:63" ht="23.1" customHeight="1">
      <c r="A4" s="89"/>
      <c r="B4" s="93" t="str">
        <f>verze!E206&amp;" AVANTECH YOU  139"</f>
        <v>Zásuvka AVANTECH YOU  139</v>
      </c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U4" s="94" t="s">
        <v>33</v>
      </c>
      <c r="AW4" s="285">
        <f>IF(FORM!AU13=FORM!U18,1,0)</f>
        <v>1</v>
      </c>
      <c r="BB4" s="322">
        <f>SUM(BB6:BB982)</f>
        <v>0</v>
      </c>
      <c r="BD4" s="94" t="s">
        <v>34</v>
      </c>
      <c r="BK4" s="322">
        <f>SUM(BK7:BK985)</f>
        <v>0</v>
      </c>
    </row>
    <row r="5" spans="1:63" ht="14.4" customHeight="1">
      <c r="AU5" s="319">
        <f>OBJ!B81</f>
        <v>9353344</v>
      </c>
      <c r="AV5" s="21" t="str">
        <f>VLOOKUP(AU5,CENY!$B$11:$G$1054,2,FALSE)</f>
        <v>AvanY-sólo oceľ.boky-NW 139/270mm/strieb.</v>
      </c>
      <c r="AW5" s="22">
        <f>VLOOKUP(AU5,CENY!$B$11:$G$1054,3,FALSE)</f>
        <v>1</v>
      </c>
      <c r="AX5" s="362">
        <v>4</v>
      </c>
      <c r="AY5" s="23">
        <f>O19+O20+O27+O28+O30</f>
        <v>0</v>
      </c>
      <c r="AZ5" s="326">
        <f>IF(AY5="","",IF($AW$4=1,AY5,0))</f>
        <v>0</v>
      </c>
      <c r="BA5" s="95">
        <f>VLOOKUP(AU5,CENY!$B$11:$M$2025,12,FALSE)</f>
        <v>645.97351000000003</v>
      </c>
      <c r="BB5" s="95">
        <f t="shared" ref="BB5" si="0">IF(BA5="","",BA5*AY5)</f>
        <v>0</v>
      </c>
      <c r="BD5" s="319">
        <f>OBJ!B91</f>
        <v>9255026</v>
      </c>
      <c r="BE5" s="21" t="str">
        <f>VLOOKUP(BD5,CENY!$B$11:$G$1054,2,FALSE)</f>
        <v>AvanY-bok ľavý /v139/h270/ strieborná</v>
      </c>
      <c r="BF5" s="22">
        <f>VLOOKUP(BD5,CENY!$B$11:$G$1054,3,FALSE)</f>
        <v>20</v>
      </c>
      <c r="BG5" s="22"/>
      <c r="BH5" s="23">
        <f>AY5</f>
        <v>0</v>
      </c>
      <c r="BI5" s="326">
        <f>IF(BH5="","",IF($AW$4=0,BH5,0))</f>
        <v>0</v>
      </c>
      <c r="BJ5" s="95">
        <f>VLOOKUP(BD5,CENY!$B$11:$M$2025,12,FALSE)</f>
        <v>0</v>
      </c>
      <c r="BK5" s="95">
        <f>IF(BJ5="","",BJ5*BH5)</f>
        <v>0</v>
      </c>
    </row>
    <row r="6" spans="1:63" ht="14.4" customHeight="1">
      <c r="B6" s="549" t="str">
        <f>" "&amp;verze!E90</f>
        <v xml:space="preserve"> bočnice:</v>
      </c>
      <c r="C6" s="549"/>
      <c r="D6" s="549"/>
      <c r="E6" s="549"/>
      <c r="F6" s="564" t="s">
        <v>327</v>
      </c>
      <c r="G6" s="564"/>
      <c r="H6" s="564"/>
      <c r="I6" s="564"/>
      <c r="J6" s="564"/>
      <c r="K6" s="564"/>
      <c r="AU6" s="319">
        <f>OBJ!B82</f>
        <v>9353345</v>
      </c>
      <c r="AV6" s="21" t="str">
        <f>VLOOKUP(AU6,CENY!$B$11:$G$1054,2,FALSE)</f>
        <v>AvanY-sólo oceľ.boky-NW 139/300mm/strieb.</v>
      </c>
      <c r="AW6" s="22">
        <f>VLOOKUP(AU6,CENY!$B$11:$G$1054,3,FALSE)</f>
        <v>1</v>
      </c>
      <c r="AX6" s="362">
        <v>4</v>
      </c>
      <c r="AY6" s="23">
        <f>Q19+Q20+Q27+Q28+Q30</f>
        <v>0</v>
      </c>
      <c r="AZ6" s="326">
        <f>IF(AY6="","",IF($AW$4=1,AY6,0))</f>
        <v>0</v>
      </c>
      <c r="BA6" s="95">
        <f>VLOOKUP(AU6,CENY!$B$11:$M$2025,12,FALSE)</f>
        <v>650.52683000000002</v>
      </c>
      <c r="BB6" s="95">
        <f t="shared" ref="BB6:BB76" si="1">IF(BA6="","",BA6*AY6)</f>
        <v>0</v>
      </c>
      <c r="BD6" s="319">
        <f>OBJ!B92</f>
        <v>9255027</v>
      </c>
      <c r="BE6" s="21" t="str">
        <f>VLOOKUP(BD6,CENY!$B$11:$G$1054,2,FALSE)</f>
        <v>AvanY-bok pravý /v139/h270/ strieborná</v>
      </c>
      <c r="BF6" s="22">
        <f>VLOOKUP(BD6,CENY!$B$11:$G$1054,3,FALSE)</f>
        <v>20</v>
      </c>
      <c r="BG6" s="22"/>
      <c r="BH6" s="23">
        <f>AY5</f>
        <v>0</v>
      </c>
      <c r="BI6" s="326">
        <f t="shared" ref="BI6" si="2">IF(BH6="","",IF($AW$4=0,BH6,0))</f>
        <v>0</v>
      </c>
      <c r="BJ6" s="95">
        <f>VLOOKUP(BD6,CENY!$B$11:$M$2025,12,FALSE)</f>
        <v>0</v>
      </c>
      <c r="BK6" s="95">
        <f t="shared" ref="BK6" si="3">IF(BJ6="","",BJ6*BH6)</f>
        <v>0</v>
      </c>
    </row>
    <row r="7" spans="1:63" ht="14.4" customHeight="1">
      <c r="B7" s="549" t="str">
        <f>" "&amp;verze!E56</f>
        <v xml:space="preserve"> barva:</v>
      </c>
      <c r="C7" s="549"/>
      <c r="D7" s="549"/>
      <c r="E7" s="549"/>
      <c r="F7" s="564" t="str">
        <f>" "&amp;FORM!U8</f>
        <v xml:space="preserve"> stříbrná</v>
      </c>
      <c r="G7" s="564"/>
      <c r="H7" s="564"/>
      <c r="I7" s="564"/>
      <c r="J7" s="564"/>
      <c r="K7" s="564"/>
      <c r="AU7" s="319">
        <f>OBJ!B83</f>
        <v>9353346</v>
      </c>
      <c r="AV7" s="21" t="str">
        <f>VLOOKUP(AU7,CENY!$B$11:$G$1054,2,FALSE)</f>
        <v>AvanY-sólo oceľ.boky-NW 139/350mm/strieb.</v>
      </c>
      <c r="AW7" s="22">
        <f>VLOOKUP(AU7,CENY!$B$11:$G$1054,3,FALSE)</f>
        <v>1</v>
      </c>
      <c r="AX7" s="362">
        <v>6</v>
      </c>
      <c r="AY7" s="23">
        <f>S19+S20+S27+S28+S30</f>
        <v>0</v>
      </c>
      <c r="AZ7" s="326">
        <f t="shared" ref="AZ7:AZ77" si="4">IF(AY7="","",IF($AW$4=1,AY7,0))</f>
        <v>0</v>
      </c>
      <c r="BA7" s="95">
        <f>VLOOKUP(AU7,CENY!$B$11:$M$2025,12,FALSE)</f>
        <v>659.97708</v>
      </c>
      <c r="BB7" s="95">
        <f t="shared" si="1"/>
        <v>0</v>
      </c>
      <c r="BD7" s="319">
        <f>OBJ!B93</f>
        <v>9255028</v>
      </c>
      <c r="BE7" s="21" t="str">
        <f>VLOOKUP(BD7,CENY!$B$11:$G$1054,2,FALSE)</f>
        <v>AvanY-bok ľavý /v139/h300/ strieborná</v>
      </c>
      <c r="BF7" s="22">
        <f>VLOOKUP(BD7,CENY!$B$11:$G$1054,3,FALSE)</f>
        <v>20</v>
      </c>
      <c r="BG7" s="22"/>
      <c r="BH7" s="23">
        <f>AY6</f>
        <v>0</v>
      </c>
      <c r="BI7" s="326">
        <f>IF(BH7="","",IF($AW$4=0,BH7,0))</f>
        <v>0</v>
      </c>
      <c r="BJ7" s="95">
        <f>VLOOKUP(BD7,CENY!$B$11:$M$2025,12,FALSE)</f>
        <v>268.07722999999999</v>
      </c>
      <c r="BK7" s="95">
        <f>IF(BJ7="","",BJ7*BH7)</f>
        <v>0</v>
      </c>
    </row>
    <row r="8" spans="1:63" ht="14.4" customHeight="1">
      <c r="B8" s="549" t="str">
        <f>" "&amp;verze!E70</f>
        <v xml:space="preserve"> dekorativní profil:</v>
      </c>
      <c r="C8" s="549"/>
      <c r="D8" s="549"/>
      <c r="E8" s="549"/>
      <c r="F8" s="564" t="str">
        <f>" "&amp;FORM!AM18</f>
        <v xml:space="preserve"> v barvě bočnice</v>
      </c>
      <c r="G8" s="564"/>
      <c r="H8" s="564"/>
      <c r="I8" s="564"/>
      <c r="J8" s="564"/>
      <c r="K8" s="564"/>
      <c r="AU8" s="319">
        <f>OBJ!B84</f>
        <v>9353347</v>
      </c>
      <c r="AV8" s="21" t="str">
        <f>VLOOKUP(AU8,CENY!$B$11:$G$1054,2,FALSE)</f>
        <v>AvanY-sólo oceľ.boky-NW 139/400mm/strieb.</v>
      </c>
      <c r="AW8" s="22">
        <f>VLOOKUP(AU8,CENY!$B$11:$G$1054,3,FALSE)</f>
        <v>1</v>
      </c>
      <c r="AX8" s="362">
        <v>6</v>
      </c>
      <c r="AY8" s="23">
        <f>U20+U28+U30</f>
        <v>0</v>
      </c>
      <c r="AZ8" s="326">
        <f t="shared" si="4"/>
        <v>0</v>
      </c>
      <c r="BA8" s="95">
        <f>VLOOKUP(AU8,CENY!$B$11:$M$2025,12,FALSE)</f>
        <v>669.42296999999996</v>
      </c>
      <c r="BB8" s="95">
        <f t="shared" si="1"/>
        <v>0</v>
      </c>
      <c r="BD8" s="319">
        <f>OBJ!B94</f>
        <v>9255029</v>
      </c>
      <c r="BE8" s="21" t="str">
        <f>VLOOKUP(BD8,CENY!$B$11:$G$1054,2,FALSE)</f>
        <v>AvanY-bok pravý /v139/h300/ strieborná</v>
      </c>
      <c r="BF8" s="22">
        <f>VLOOKUP(BD8,CENY!$B$11:$G$1054,3,FALSE)</f>
        <v>20</v>
      </c>
      <c r="BG8" s="22"/>
      <c r="BH8" s="23">
        <f>AY6</f>
        <v>0</v>
      </c>
      <c r="BI8" s="326">
        <f t="shared" ref="BI8:BI83" si="5">IF(BH8="","",IF($AW$4=0,BH8,0))</f>
        <v>0</v>
      </c>
      <c r="BJ8" s="95">
        <f>VLOOKUP(BD8,CENY!$B$11:$M$2025,12,FALSE)</f>
        <v>268.07722999999999</v>
      </c>
      <c r="BK8" s="95">
        <f t="shared" ref="BK8:BK83" si="6">IF(BJ8="","",BJ8*BH8)</f>
        <v>0</v>
      </c>
    </row>
    <row r="9" spans="1:63" ht="14.4" customHeight="1">
      <c r="B9" s="549"/>
      <c r="C9" s="549"/>
      <c r="D9" s="549"/>
      <c r="E9" s="549"/>
      <c r="F9" s="564"/>
      <c r="G9" s="564"/>
      <c r="H9" s="564"/>
      <c r="I9" s="564"/>
      <c r="J9" s="564"/>
      <c r="K9" s="564"/>
      <c r="AU9" s="319">
        <f>OBJ!B85</f>
        <v>9353348</v>
      </c>
      <c r="AV9" s="21" t="str">
        <f>VLOOKUP(AU9,CENY!$B$11:$G$1054,2,FALSE)</f>
        <v>AvanY-sólo oceľ.boky-NW 139/450mm/strieb.</v>
      </c>
      <c r="AW9" s="22">
        <f>VLOOKUP(AU9,CENY!$B$11:$G$1054,3,FALSE)</f>
        <v>1</v>
      </c>
      <c r="AX9" s="362">
        <v>6</v>
      </c>
      <c r="AY9" s="23">
        <f>W20+W22+W28+W30</f>
        <v>0</v>
      </c>
      <c r="AZ9" s="326">
        <f t="shared" si="4"/>
        <v>0</v>
      </c>
      <c r="BA9" s="95">
        <f>VLOOKUP(AU9,CENY!$B$11:$M$2025,12,FALSE)</f>
        <v>660.82442000000003</v>
      </c>
      <c r="BB9" s="95">
        <f t="shared" si="1"/>
        <v>0</v>
      </c>
      <c r="BD9" s="319">
        <f>OBJ!B95</f>
        <v>9255030</v>
      </c>
      <c r="BE9" s="21" t="str">
        <f>VLOOKUP(BD9,CENY!$B$11:$G$1054,2,FALSE)</f>
        <v>AvanY-bok ľavý /v139/h350/ strieborná</v>
      </c>
      <c r="BF9" s="22">
        <f>VLOOKUP(BD9,CENY!$B$11:$G$1054,3,FALSE)</f>
        <v>20</v>
      </c>
      <c r="BG9" s="22"/>
      <c r="BH9" s="23">
        <f>AY7</f>
        <v>0</v>
      </c>
      <c r="BI9" s="326">
        <f t="shared" si="5"/>
        <v>0</v>
      </c>
      <c r="BJ9" s="95">
        <f>VLOOKUP(BD9,CENY!$B$11:$M$2025,12,FALSE)</f>
        <v>273.01260000000002</v>
      </c>
      <c r="BK9" s="95">
        <f t="shared" si="6"/>
        <v>0</v>
      </c>
    </row>
    <row r="10" spans="1:63" ht="14.4" customHeight="1">
      <c r="B10" s="549" t="str">
        <f>" "&amp;verze!E57</f>
        <v xml:space="preserve"> čelní kování:</v>
      </c>
      <c r="C10" s="549"/>
      <c r="D10" s="549"/>
      <c r="E10" s="549"/>
      <c r="F10" s="563" t="str">
        <f>" "&amp;FORM!AM8</f>
        <v xml:space="preserve"> na vruty</v>
      </c>
      <c r="G10" s="563"/>
      <c r="H10" s="563"/>
      <c r="I10" s="563"/>
      <c r="J10" s="563"/>
      <c r="K10" s="563"/>
      <c r="AU10" s="319">
        <f>OBJ!B86</f>
        <v>9353349</v>
      </c>
      <c r="AV10" s="21" t="str">
        <f>VLOOKUP(AU10,CENY!$B$11:$G$1054,2,FALSE)</f>
        <v>AvanY-sólo oceľ.boky-NW 139/500mm/strieb.</v>
      </c>
      <c r="AW10" s="22">
        <f>VLOOKUP(AU10,CENY!$B$11:$G$1054,3,FALSE)</f>
        <v>1</v>
      </c>
      <c r="AX10" s="362">
        <v>8</v>
      </c>
      <c r="AY10" s="23">
        <f>Y20+Y22+Y28+Y30</f>
        <v>0</v>
      </c>
      <c r="AZ10" s="326">
        <f t="shared" si="4"/>
        <v>0</v>
      </c>
      <c r="BA10" s="95">
        <f>VLOOKUP(AU10,CENY!$B$11:$M$2025,12,FALSE)</f>
        <v>670.01910999999996</v>
      </c>
      <c r="BB10" s="95">
        <f t="shared" si="1"/>
        <v>0</v>
      </c>
      <c r="BD10" s="319">
        <f>OBJ!B96</f>
        <v>9255031</v>
      </c>
      <c r="BE10" s="21" t="str">
        <f>VLOOKUP(BD10,CENY!$B$11:$G$1054,2,FALSE)</f>
        <v>AvanY-bok pravý /v139/h350/ strieborná</v>
      </c>
      <c r="BF10" s="22">
        <f>VLOOKUP(BD10,CENY!$B$11:$G$1054,3,FALSE)</f>
        <v>20</v>
      </c>
      <c r="BG10" s="22"/>
      <c r="BH10" s="23">
        <f>AY7</f>
        <v>0</v>
      </c>
      <c r="BI10" s="326">
        <f t="shared" si="5"/>
        <v>0</v>
      </c>
      <c r="BJ10" s="95">
        <f>VLOOKUP(BD10,CENY!$B$11:$M$2025,12,FALSE)</f>
        <v>273.01260000000002</v>
      </c>
      <c r="BK10" s="95">
        <f t="shared" si="6"/>
        <v>0</v>
      </c>
    </row>
    <row r="11" spans="1:63" ht="14.4" customHeight="1">
      <c r="B11" s="549" t="str">
        <f>" "&amp;verze!E76</f>
        <v xml:space="preserve"> krytka:</v>
      </c>
      <c r="C11" s="549"/>
      <c r="D11" s="549"/>
      <c r="E11" s="549"/>
      <c r="F11" s="563" t="str">
        <f>" "&amp;FORM!AM21</f>
        <v xml:space="preserve"> žádná</v>
      </c>
      <c r="G11" s="563"/>
      <c r="H11" s="563"/>
      <c r="I11" s="563"/>
      <c r="J11" s="563"/>
      <c r="K11" s="563"/>
      <c r="AU11" s="319">
        <f>OBJ!B87</f>
        <v>9353350</v>
      </c>
      <c r="AV11" s="21" t="str">
        <f>VLOOKUP(AU11,CENY!$B$11:$G$1054,2,FALSE)</f>
        <v>AvanY-sólo oceľ.boky-NW 139/550mm/strieb.</v>
      </c>
      <c r="AW11" s="22">
        <f>VLOOKUP(AU11,CENY!$B$11:$G$1054,3,FALSE)</f>
        <v>1</v>
      </c>
      <c r="AX11" s="362">
        <v>8</v>
      </c>
      <c r="AY11" s="23">
        <f>AA20+AA22+AA28+AA30</f>
        <v>0</v>
      </c>
      <c r="AZ11" s="326">
        <f t="shared" si="4"/>
        <v>0</v>
      </c>
      <c r="BA11" s="95">
        <f>VLOOKUP(AU11,CENY!$B$11:$M$2025,12,FALSE)</f>
        <v>697.76926000000003</v>
      </c>
      <c r="BB11" s="95">
        <f t="shared" si="1"/>
        <v>0</v>
      </c>
      <c r="BD11" s="319">
        <f>OBJ!B97</f>
        <v>9255032</v>
      </c>
      <c r="BE11" s="21" t="str">
        <f>VLOOKUP(BD11,CENY!$B$11:$G$1054,2,FALSE)</f>
        <v>AvanY-bok ľavý /v139/h400/ strieborná</v>
      </c>
      <c r="BF11" s="22">
        <f>VLOOKUP(BD11,CENY!$B$11:$G$1054,3,FALSE)</f>
        <v>20</v>
      </c>
      <c r="BG11" s="22"/>
      <c r="BH11" s="23">
        <f>AY8</f>
        <v>0</v>
      </c>
      <c r="BI11" s="326">
        <f t="shared" si="5"/>
        <v>0</v>
      </c>
      <c r="BJ11" s="95">
        <f>VLOOKUP(BD11,CENY!$B$11:$M$2025,12,FALSE)</f>
        <v>277.95048000000003</v>
      </c>
      <c r="BK11" s="95">
        <f t="shared" si="6"/>
        <v>0</v>
      </c>
    </row>
    <row r="12" spans="1:63" ht="14.4" customHeight="1" thickBot="1">
      <c r="B12" s="549"/>
      <c r="C12" s="549"/>
      <c r="D12" s="549"/>
      <c r="E12" s="550"/>
      <c r="F12" s="564"/>
      <c r="G12" s="564"/>
      <c r="H12" s="564"/>
      <c r="I12" s="564"/>
      <c r="J12" s="564"/>
      <c r="K12" s="564"/>
      <c r="AU12" s="319">
        <f>OBJ!B88</f>
        <v>9353351</v>
      </c>
      <c r="AV12" s="21" t="str">
        <f>VLOOKUP(AU12,CENY!$B$11:$G$1054,2,FALSE)</f>
        <v>AvanY-sólo oceľ.boky-NW 139/600mm/strieb.</v>
      </c>
      <c r="AW12" s="22">
        <f>VLOOKUP(AU12,CENY!$B$11:$G$1054,3,FALSE)</f>
        <v>1</v>
      </c>
      <c r="AX12" s="362">
        <v>8</v>
      </c>
      <c r="AY12" s="23">
        <f>AC20+AC22+AC28+AC30</f>
        <v>0</v>
      </c>
      <c r="AZ12" s="326">
        <f t="shared" si="4"/>
        <v>0</v>
      </c>
      <c r="BA12" s="95">
        <f>VLOOKUP(AU12,CENY!$B$11:$M$2025,12,FALSE)</f>
        <v>712.95127000000002</v>
      </c>
      <c r="BB12" s="95">
        <f t="shared" si="1"/>
        <v>0</v>
      </c>
      <c r="BD12" s="319">
        <f>OBJ!B98</f>
        <v>9255033</v>
      </c>
      <c r="BE12" s="21" t="str">
        <f>VLOOKUP(BD12,CENY!$B$11:$G$1054,2,FALSE)</f>
        <v>AvanY-bok pravý /v139/h400/ strieborná</v>
      </c>
      <c r="BF12" s="22">
        <f>VLOOKUP(BD12,CENY!$B$11:$G$1054,3,FALSE)</f>
        <v>20</v>
      </c>
      <c r="BG12" s="22"/>
      <c r="BH12" s="23">
        <f>AY8</f>
        <v>0</v>
      </c>
      <c r="BI12" s="326">
        <f t="shared" si="5"/>
        <v>0</v>
      </c>
      <c r="BJ12" s="95">
        <f>VLOOKUP(BD12,CENY!$B$11:$M$2025,12,FALSE)</f>
        <v>277.95048000000003</v>
      </c>
      <c r="BK12" s="95">
        <f t="shared" si="6"/>
        <v>0</v>
      </c>
    </row>
    <row r="13" spans="1:63" ht="14.4" customHeight="1">
      <c r="B13" s="549" t="str">
        <f>" "&amp;verze!E92</f>
        <v xml:space="preserve"> cena kování:</v>
      </c>
      <c r="C13" s="549"/>
      <c r="D13" s="549"/>
      <c r="E13" s="550"/>
      <c r="F13" s="555">
        <f>IF(AW4=1,BB4,BK4)</f>
        <v>0</v>
      </c>
      <c r="G13" s="555"/>
      <c r="H13" s="555"/>
      <c r="I13" s="555"/>
      <c r="J13" s="556" t="str">
        <f>IF(verze!E1="CZK","CZK","EUR")</f>
        <v>CZK</v>
      </c>
      <c r="K13" s="557"/>
      <c r="AU13" s="319">
        <f>OBJ!B89</f>
        <v>9353352</v>
      </c>
      <c r="AV13" s="21" t="str">
        <f>VLOOKUP(AU13,CENY!$B$11:$G$1054,2,FALSE)</f>
        <v>AvanY-sólo oceľ.boky-NW 139/650mm/strieb.</v>
      </c>
      <c r="AW13" s="22">
        <f>VLOOKUP(AU13,CENY!$B$11:$G$1054,3,FALSE)</f>
        <v>1</v>
      </c>
      <c r="AX13" s="362">
        <v>10</v>
      </c>
      <c r="AY13" s="23">
        <f>AE22</f>
        <v>0</v>
      </c>
      <c r="AZ13" s="326">
        <f t="shared" ref="AZ13" si="7">IF(AY13="","",IF($AW$4=1,AY13,0))</f>
        <v>0</v>
      </c>
      <c r="BA13" s="95">
        <f>VLOOKUP(AU13,CENY!$B$11:$M$2025,12,FALSE)</f>
        <v>730.98166000000003</v>
      </c>
      <c r="BB13" s="95">
        <f t="shared" ref="BB13" si="8">IF(BA13="","",BA13*AY13)</f>
        <v>0</v>
      </c>
      <c r="BD13" s="319">
        <f>OBJ!B99</f>
        <v>9255034</v>
      </c>
      <c r="BE13" s="21" t="str">
        <f>VLOOKUP(BD13,CENY!$B$11:$G$1054,2,FALSE)</f>
        <v>AvanY-bok ľavý /v139/h450/ strieborná</v>
      </c>
      <c r="BF13" s="22">
        <f>VLOOKUP(BD13,CENY!$B$11:$G$1054,3,FALSE)</f>
        <v>20</v>
      </c>
      <c r="BG13" s="22"/>
      <c r="BH13" s="23">
        <f>AY9</f>
        <v>0</v>
      </c>
      <c r="BI13" s="326">
        <f t="shared" si="5"/>
        <v>0</v>
      </c>
      <c r="BJ13" s="95">
        <f>VLOOKUP(BD13,CENY!$B$11:$M$2025,12,FALSE)</f>
        <v>282.88328000000001</v>
      </c>
      <c r="BK13" s="95">
        <f t="shared" si="6"/>
        <v>0</v>
      </c>
    </row>
    <row r="14" spans="1:63" ht="14.4" customHeight="1">
      <c r="AU14" s="319"/>
      <c r="AV14" s="21"/>
      <c r="AW14" s="22"/>
      <c r="AX14" s="22"/>
      <c r="AY14" s="23"/>
      <c r="AZ14" s="326"/>
      <c r="BA14" s="95"/>
      <c r="BB14" s="95"/>
      <c r="BD14" s="319">
        <f>OBJ!B100</f>
        <v>9255035</v>
      </c>
      <c r="BE14" s="21" t="str">
        <f>VLOOKUP(BD14,CENY!$B$11:$G$1054,2,FALSE)</f>
        <v>AvanY-bok pravý /v139/h450/ strieborná</v>
      </c>
      <c r="BF14" s="22">
        <f>VLOOKUP(BD14,CENY!$B$11:$G$1054,3,FALSE)</f>
        <v>20</v>
      </c>
      <c r="BG14" s="22"/>
      <c r="BH14" s="23">
        <f>AY9</f>
        <v>0</v>
      </c>
      <c r="BI14" s="326">
        <f t="shared" si="5"/>
        <v>0</v>
      </c>
      <c r="BJ14" s="95">
        <f>VLOOKUP(BD14,CENY!$B$11:$M$2025,12,FALSE)</f>
        <v>282.88328000000001</v>
      </c>
      <c r="BK14" s="95">
        <f t="shared" si="6"/>
        <v>0</v>
      </c>
    </row>
    <row r="15" spans="1:63" ht="14.4" customHeight="1">
      <c r="AU15" s="319">
        <f>OBJ!B71</f>
        <v>9347502</v>
      </c>
      <c r="AV15" s="21" t="str">
        <f>VLOOKUP(AU15,CENY!$B$11:$G$1054,2,FALSE)</f>
        <v>AvanY-design ALprofil Hybrid na bok 270/ strieb.</v>
      </c>
      <c r="AW15" s="22">
        <f>VLOOKUP(AU15,CENY!$B$11:$G$1054,3,FALSE)</f>
        <v>200</v>
      </c>
      <c r="AX15" s="22"/>
      <c r="AY15" s="23">
        <f>IF(FORM!AM18=FORM!AU16,0,2*(O19+O20+O27+O28+O30))</f>
        <v>0</v>
      </c>
      <c r="AZ15" s="326">
        <f t="shared" ref="AZ15" si="9">IF(AY15="","",IF($AW$4=1,AY15,0))</f>
        <v>0</v>
      </c>
      <c r="BA15" s="95">
        <f>VLOOKUP(AU15,CENY!$B$11:$M$2025,12,FALSE)</f>
        <v>19.78839</v>
      </c>
      <c r="BB15" s="95">
        <f t="shared" ref="BB15" si="10">IF(BA15="","",BA15*AY15)</f>
        <v>0</v>
      </c>
      <c r="BD15" s="319">
        <f>OBJ!B101</f>
        <v>9255036</v>
      </c>
      <c r="BE15" s="21" t="str">
        <f>VLOOKUP(BD15,CENY!$B$11:$G$1054,2,FALSE)</f>
        <v>AvanY-bok ľavý /v139/h500/ strieborná</v>
      </c>
      <c r="BF15" s="22">
        <f>VLOOKUP(BD15,CENY!$B$11:$G$1054,3,FALSE)</f>
        <v>20</v>
      </c>
      <c r="BG15" s="22"/>
      <c r="BH15" s="23">
        <f>AY10</f>
        <v>0</v>
      </c>
      <c r="BI15" s="326">
        <f t="shared" si="5"/>
        <v>0</v>
      </c>
      <c r="BJ15" s="95">
        <f>VLOOKUP(BD15,CENY!$B$11:$M$2025,12,FALSE)</f>
        <v>280.16149000000001</v>
      </c>
      <c r="BK15" s="95">
        <f t="shared" si="6"/>
        <v>0</v>
      </c>
    </row>
    <row r="16" spans="1:63" ht="14.4" customHeight="1">
      <c r="AU16" s="319">
        <f>OBJ!B72</f>
        <v>9347503</v>
      </c>
      <c r="AV16" s="21" t="str">
        <f>VLOOKUP(AU16,CENY!$B$11:$G$1054,2,FALSE)</f>
        <v>AvanY-design ALprofil Hybrid na bok 300/ strieb.</v>
      </c>
      <c r="AW16" s="22">
        <f>VLOOKUP(AU16,CENY!$B$11:$G$1054,3,FALSE)</f>
        <v>200</v>
      </c>
      <c r="AX16" s="22"/>
      <c r="AY16" s="23">
        <f>IF(FORM!AM18=FORM!AU16,0,2*(Q19+Q20+Q27+Q28+Q30))</f>
        <v>0</v>
      </c>
      <c r="AZ16" s="326">
        <f t="shared" si="4"/>
        <v>0</v>
      </c>
      <c r="BA16" s="95">
        <f>VLOOKUP(AU16,CENY!$B$11:$M$2025,12,FALSE)</f>
        <v>20.006769999999999</v>
      </c>
      <c r="BB16" s="95">
        <f t="shared" si="1"/>
        <v>0</v>
      </c>
      <c r="BD16" s="319">
        <f>OBJ!B102</f>
        <v>9255037</v>
      </c>
      <c r="BE16" s="21" t="str">
        <f>VLOOKUP(BD16,CENY!$B$11:$G$1054,2,FALSE)</f>
        <v>AvanY-bok pravý /v139/h500/ strieborná</v>
      </c>
      <c r="BF16" s="22">
        <f>VLOOKUP(BD16,CENY!$B$11:$G$1054,3,FALSE)</f>
        <v>20</v>
      </c>
      <c r="BG16" s="22"/>
      <c r="BH16" s="23">
        <f>AY10</f>
        <v>0</v>
      </c>
      <c r="BI16" s="326">
        <f t="shared" si="5"/>
        <v>0</v>
      </c>
      <c r="BJ16" s="95">
        <f>VLOOKUP(BD16,CENY!$B$11:$M$2025,12,FALSE)</f>
        <v>280.16149000000001</v>
      </c>
      <c r="BK16" s="95">
        <f t="shared" si="6"/>
        <v>0</v>
      </c>
    </row>
    <row r="17" spans="2:63" ht="14.4" customHeight="1" thickBot="1">
      <c r="B17" s="1" t="s">
        <v>284</v>
      </c>
      <c r="O17" s="547" t="str">
        <f>FORM!U18</f>
        <v>flexibilní sety</v>
      </c>
      <c r="P17" s="548"/>
      <c r="Q17" s="548"/>
      <c r="R17" s="548"/>
      <c r="S17" s="548"/>
      <c r="T17" s="548"/>
      <c r="U17" s="548"/>
      <c r="V17" s="548"/>
      <c r="W17" s="548"/>
      <c r="X17" s="548"/>
      <c r="Y17" s="548"/>
      <c r="Z17" s="548"/>
      <c r="AA17" s="548"/>
      <c r="AB17" s="548"/>
      <c r="AC17" s="548"/>
      <c r="AD17" s="548"/>
      <c r="AE17" s="548"/>
      <c r="AF17" s="548"/>
      <c r="AI17" s="540" t="str">
        <f>verze!E198</f>
        <v>P2O Silent pro Actro</v>
      </c>
      <c r="AJ17" s="541"/>
      <c r="AK17" s="541"/>
      <c r="AL17" s="541"/>
      <c r="AM17" s="541"/>
      <c r="AN17" s="541"/>
      <c r="AO17" s="541"/>
      <c r="AU17" s="319">
        <f>OBJ!B73</f>
        <v>9347504</v>
      </c>
      <c r="AV17" s="21" t="str">
        <f>VLOOKUP(AU17,CENY!$B$11:$G$1054,2,FALSE)</f>
        <v>AvanY-design ALprofil Hybrid na bok 350/ strieb.</v>
      </c>
      <c r="AW17" s="22">
        <f>VLOOKUP(AU17,CENY!$B$11:$G$1054,3,FALSE)</f>
        <v>200</v>
      </c>
      <c r="AX17" s="22"/>
      <c r="AY17" s="23">
        <f>IF(FORM!AM18=FORM!AU16,0,2*(S19+S20+S27+S28+S30))</f>
        <v>0</v>
      </c>
      <c r="AZ17" s="326">
        <f t="shared" si="4"/>
        <v>0</v>
      </c>
      <c r="BA17" s="95">
        <f>VLOOKUP(AU17,CENY!$B$11:$M$2025,12,FALSE)</f>
        <v>20.37642</v>
      </c>
      <c r="BB17" s="95">
        <f t="shared" si="1"/>
        <v>0</v>
      </c>
      <c r="BD17" s="319">
        <f>OBJ!B103</f>
        <v>9255038</v>
      </c>
      <c r="BE17" s="21" t="str">
        <f>VLOOKUP(BD17,CENY!$B$11:$G$1054,2,FALSE)</f>
        <v>AvanY-bok ľavý /v139/h550/ strieborná</v>
      </c>
      <c r="BF17" s="22">
        <f>VLOOKUP(BD17,CENY!$B$11:$G$1054,3,FALSE)</f>
        <v>20</v>
      </c>
      <c r="BG17" s="22"/>
      <c r="BH17" s="23">
        <f>AY11</f>
        <v>0</v>
      </c>
      <c r="BI17" s="326">
        <f t="shared" si="5"/>
        <v>0</v>
      </c>
      <c r="BJ17" s="95">
        <f>VLOOKUP(BD17,CENY!$B$11:$M$2025,12,FALSE)</f>
        <v>292.74898000000002</v>
      </c>
      <c r="BK17" s="95">
        <f t="shared" si="6"/>
        <v>0</v>
      </c>
    </row>
    <row r="18" spans="2:63" ht="14.4" customHeight="1" thickBot="1">
      <c r="B18" s="96"/>
      <c r="C18" s="96"/>
      <c r="D18" s="96"/>
      <c r="E18" s="96"/>
      <c r="F18" s="96"/>
      <c r="G18" s="96"/>
      <c r="H18" s="72"/>
      <c r="I18" s="72"/>
      <c r="J18" s="72"/>
      <c r="K18" s="72"/>
      <c r="L18" s="72"/>
      <c r="M18" s="72"/>
      <c r="N18" s="72" t="str">
        <f>verze!$E$20&amp;" "</f>
        <v xml:space="preserve">Jmenovitá délka: </v>
      </c>
      <c r="O18" s="535">
        <v>270</v>
      </c>
      <c r="P18" s="536"/>
      <c r="Q18" s="535">
        <v>300</v>
      </c>
      <c r="R18" s="536"/>
      <c r="S18" s="535">
        <v>350</v>
      </c>
      <c r="T18" s="536"/>
      <c r="U18" s="535">
        <v>400</v>
      </c>
      <c r="V18" s="536"/>
      <c r="W18" s="535">
        <v>450</v>
      </c>
      <c r="X18" s="536"/>
      <c r="Y18" s="537">
        <v>500</v>
      </c>
      <c r="Z18" s="538"/>
      <c r="AA18" s="535">
        <v>550</v>
      </c>
      <c r="AB18" s="536"/>
      <c r="AC18" s="535">
        <v>600</v>
      </c>
      <c r="AD18" s="536"/>
      <c r="AE18" s="535">
        <v>650</v>
      </c>
      <c r="AF18" s="536"/>
      <c r="AI18" s="543" t="s">
        <v>299</v>
      </c>
      <c r="AJ18" s="543"/>
      <c r="AK18" s="543"/>
      <c r="AL18" s="543"/>
      <c r="AM18" s="543"/>
      <c r="AN18" s="543"/>
      <c r="AO18" s="543"/>
      <c r="AU18" s="319">
        <f>OBJ!B74</f>
        <v>9347505</v>
      </c>
      <c r="AV18" s="21" t="str">
        <f>VLOOKUP(AU18,CENY!$B$11:$G$1054,2,FALSE)</f>
        <v>AvanY-design ALprofil Hybrid na bok 400/ strieb.</v>
      </c>
      <c r="AW18" s="22">
        <f>VLOOKUP(AU18,CENY!$B$11:$G$1054,3,FALSE)</f>
        <v>200</v>
      </c>
      <c r="AX18" s="22"/>
      <c r="AY18" s="23">
        <f>IF(FORM!AM18=FORM!AU16,0,2*(U20+U28+U30))</f>
        <v>0</v>
      </c>
      <c r="AZ18" s="326">
        <f t="shared" si="4"/>
        <v>0</v>
      </c>
      <c r="BA18" s="95">
        <f>VLOOKUP(AU18,CENY!$B$11:$M$2025,12,FALSE)</f>
        <v>20.742249999999999</v>
      </c>
      <c r="BB18" s="95">
        <f t="shared" si="1"/>
        <v>0</v>
      </c>
      <c r="BD18" s="319">
        <f>OBJ!B104</f>
        <v>9255039</v>
      </c>
      <c r="BE18" s="21" t="str">
        <f>VLOOKUP(BD18,CENY!$B$11:$G$1054,2,FALSE)</f>
        <v>AvanY-bok pravý /v139/h550/ strieborná</v>
      </c>
      <c r="BF18" s="22">
        <f>VLOOKUP(BD18,CENY!$B$11:$G$1054,3,FALSE)</f>
        <v>20</v>
      </c>
      <c r="BG18" s="22"/>
      <c r="BH18" s="23">
        <f>AY11</f>
        <v>0</v>
      </c>
      <c r="BI18" s="326">
        <f t="shared" si="5"/>
        <v>0</v>
      </c>
      <c r="BJ18" s="95">
        <f>VLOOKUP(BD18,CENY!$B$11:$M$2025,12,FALSE)</f>
        <v>292.74898000000002</v>
      </c>
      <c r="BK18" s="95">
        <f t="shared" si="6"/>
        <v>0</v>
      </c>
    </row>
    <row r="19" spans="2:63" ht="14.4" customHeight="1" thickBot="1">
      <c r="B19" s="530" t="s">
        <v>289</v>
      </c>
      <c r="C19" s="530"/>
      <c r="D19" s="530"/>
      <c r="E19" s="530"/>
      <c r="F19" s="530"/>
      <c r="G19" s="530"/>
      <c r="H19" s="531" t="str">
        <f>verze!E18</f>
        <v>plnovýsuv</v>
      </c>
      <c r="I19" s="531"/>
      <c r="J19" s="531"/>
      <c r="K19" s="531"/>
      <c r="L19" s="531"/>
      <c r="M19" s="532" t="s">
        <v>286</v>
      </c>
      <c r="N19" s="533"/>
      <c r="O19" s="567"/>
      <c r="P19" s="568"/>
      <c r="Q19" s="567"/>
      <c r="R19" s="568"/>
      <c r="S19" s="567"/>
      <c r="T19" s="568"/>
      <c r="U19" s="283"/>
      <c r="V19" s="284"/>
      <c r="W19" s="283"/>
      <c r="X19" s="284"/>
      <c r="Y19" s="283"/>
      <c r="Z19" s="284"/>
      <c r="AA19" s="283"/>
      <c r="AB19" s="284"/>
      <c r="AC19" s="283"/>
      <c r="AD19" s="284"/>
      <c r="AE19" s="280"/>
      <c r="AF19" s="281"/>
      <c r="AI19" s="289"/>
      <c r="AJ19" s="290"/>
      <c r="AK19" s="289"/>
      <c r="AL19" s="290"/>
      <c r="AM19" s="291" t="s">
        <v>295</v>
      </c>
      <c r="AN19" s="534"/>
      <c r="AO19" s="534"/>
      <c r="AU19" s="319">
        <f>OBJ!B75</f>
        <v>9347506</v>
      </c>
      <c r="AV19" s="21" t="str">
        <f>VLOOKUP(AU19,CENY!$B$11:$G$1054,2,FALSE)</f>
        <v>AvanY-design ALprofil Hybrid na bok 450/ strieb.</v>
      </c>
      <c r="AW19" s="22">
        <f>VLOOKUP(AU19,CENY!$B$11:$G$1054,3,FALSE)</f>
        <v>200</v>
      </c>
      <c r="AX19" s="22"/>
      <c r="AY19" s="23">
        <f>IF(FORM!AM18=FORM!AU16,0,2*(W20+W22+W28+W30))</f>
        <v>0</v>
      </c>
      <c r="AZ19" s="326">
        <f t="shared" si="4"/>
        <v>0</v>
      </c>
      <c r="BA19" s="95">
        <f>VLOOKUP(AU19,CENY!$B$11:$M$2025,12,FALSE)</f>
        <v>21.111910000000002</v>
      </c>
      <c r="BB19" s="95">
        <f t="shared" si="1"/>
        <v>0</v>
      </c>
      <c r="BD19" s="319">
        <f>OBJ!B105</f>
        <v>9255040</v>
      </c>
      <c r="BE19" s="21" t="str">
        <f>VLOOKUP(BD19,CENY!$B$11:$G$1054,2,FALSE)</f>
        <v>AvanY-bok ľavý /v139/h600/ strieborná</v>
      </c>
      <c r="BF19" s="22">
        <f>VLOOKUP(BD19,CENY!$B$11:$G$1054,3,FALSE)</f>
        <v>20</v>
      </c>
      <c r="BG19" s="22"/>
      <c r="BH19" s="23">
        <f>AY12</f>
        <v>0</v>
      </c>
      <c r="BI19" s="326">
        <f t="shared" si="5"/>
        <v>0</v>
      </c>
      <c r="BJ19" s="95">
        <f>VLOOKUP(BD19,CENY!$B$11:$M$2025,12,FALSE)</f>
        <v>300.18995999999999</v>
      </c>
      <c r="BK19" s="95">
        <f t="shared" si="6"/>
        <v>0</v>
      </c>
    </row>
    <row r="20" spans="2:63" ht="14.4" customHeight="1" thickBot="1">
      <c r="B20" s="521" t="s">
        <v>290</v>
      </c>
      <c r="C20" s="521"/>
      <c r="D20" s="521"/>
      <c r="E20" s="521"/>
      <c r="F20" s="521"/>
      <c r="G20" s="521"/>
      <c r="H20" s="522" t="str">
        <f>verze!E18</f>
        <v>plnovýsuv</v>
      </c>
      <c r="I20" s="522"/>
      <c r="J20" s="522"/>
      <c r="K20" s="522"/>
      <c r="L20" s="522"/>
      <c r="M20" s="523" t="s">
        <v>287</v>
      </c>
      <c r="N20" s="546"/>
      <c r="O20" s="516"/>
      <c r="P20" s="517"/>
      <c r="Q20" s="516"/>
      <c r="R20" s="517"/>
      <c r="S20" s="516"/>
      <c r="T20" s="517"/>
      <c r="U20" s="516"/>
      <c r="V20" s="517"/>
      <c r="W20" s="516"/>
      <c r="X20" s="517"/>
      <c r="Y20" s="516"/>
      <c r="Z20" s="517"/>
      <c r="AA20" s="516"/>
      <c r="AB20" s="517"/>
      <c r="AC20" s="565"/>
      <c r="AD20" s="566"/>
      <c r="AE20" s="518"/>
      <c r="AF20" s="519"/>
      <c r="AI20" s="287"/>
      <c r="AJ20" s="288"/>
      <c r="AK20" s="287"/>
      <c r="AL20" s="288"/>
      <c r="AM20" s="286" t="s">
        <v>294</v>
      </c>
      <c r="AN20" s="520"/>
      <c r="AO20" s="520"/>
      <c r="AU20" s="319">
        <f>OBJ!B76</f>
        <v>9347507</v>
      </c>
      <c r="AV20" s="21" t="str">
        <f>VLOOKUP(AU20,CENY!$B$11:$G$1054,2,FALSE)</f>
        <v>AvanY-design ALprofil Hybrid na bok 500/ strieb.</v>
      </c>
      <c r="AW20" s="22">
        <f>VLOOKUP(AU20,CENY!$B$11:$G$1054,3,FALSE)</f>
        <v>200</v>
      </c>
      <c r="AX20" s="22"/>
      <c r="AY20" s="23">
        <f>IF(FORM!AM18=FORM!AU16,0,2*(Y20+Y22+Y28+Y30))</f>
        <v>0</v>
      </c>
      <c r="AZ20" s="326">
        <f t="shared" si="4"/>
        <v>0</v>
      </c>
      <c r="BA20" s="95">
        <f>VLOOKUP(AU20,CENY!$B$11:$M$2025,12,FALSE)</f>
        <v>21.479700000000001</v>
      </c>
      <c r="BB20" s="95">
        <f t="shared" si="1"/>
        <v>0</v>
      </c>
      <c r="BD20" s="319">
        <f>OBJ!B106</f>
        <v>9255041</v>
      </c>
      <c r="BE20" s="21" t="str">
        <f>VLOOKUP(BD20,CENY!$B$11:$G$1054,2,FALSE)</f>
        <v>AvanY-bok pravý /v139/h600/ strieborná</v>
      </c>
      <c r="BF20" s="22">
        <f>VLOOKUP(BD20,CENY!$B$11:$G$1054,3,FALSE)</f>
        <v>20</v>
      </c>
      <c r="BG20" s="22"/>
      <c r="BH20" s="23">
        <f>AY12</f>
        <v>0</v>
      </c>
      <c r="BI20" s="326">
        <f t="shared" si="5"/>
        <v>0</v>
      </c>
      <c r="BJ20" s="95">
        <f>VLOOKUP(BD20,CENY!$B$11:$M$2025,12,FALSE)</f>
        <v>300.18995999999999</v>
      </c>
      <c r="BK20" s="95">
        <f t="shared" si="6"/>
        <v>0</v>
      </c>
    </row>
    <row r="21" spans="2:63" ht="14.4" customHeight="1" thickBot="1">
      <c r="O21" s="283"/>
      <c r="P21" s="284"/>
      <c r="Q21" s="283"/>
      <c r="R21" s="284"/>
      <c r="S21" s="283"/>
      <c r="T21" s="284"/>
      <c r="U21" s="283"/>
      <c r="V21" s="284"/>
      <c r="W21" s="283"/>
      <c r="X21" s="284"/>
      <c r="Y21" s="283"/>
      <c r="Z21" s="284"/>
      <c r="AA21" s="283"/>
      <c r="AB21" s="284"/>
      <c r="AC21" s="283"/>
      <c r="AD21" s="284"/>
      <c r="AE21" s="283"/>
      <c r="AF21" s="284"/>
      <c r="AI21" s="287"/>
      <c r="AJ21" s="288"/>
      <c r="AK21" s="287"/>
      <c r="AL21" s="288"/>
      <c r="AM21" s="286" t="s">
        <v>296</v>
      </c>
      <c r="AN21" s="542"/>
      <c r="AO21" s="542"/>
      <c r="AU21" s="319">
        <f>OBJ!B77</f>
        <v>9347508</v>
      </c>
      <c r="AV21" s="21" t="str">
        <f>VLOOKUP(AU21,CENY!$B$11:$G$1054,2,FALSE)</f>
        <v>AvanY-design ALprofil Hybrid na bok 550/ strieb.</v>
      </c>
      <c r="AW21" s="22">
        <f>VLOOKUP(AU21,CENY!$B$11:$G$1054,3,FALSE)</f>
        <v>200</v>
      </c>
      <c r="AX21" s="22"/>
      <c r="AY21" s="23">
        <f>IF(FORM!AM18=FORM!AU16,0,2*(AA20+AA22+AA28+AA30))</f>
        <v>0</v>
      </c>
      <c r="AZ21" s="326">
        <f t="shared" si="4"/>
        <v>0</v>
      </c>
      <c r="BA21" s="95">
        <f>VLOOKUP(AU21,CENY!$B$11:$M$2025,12,FALSE)</f>
        <v>21.84564</v>
      </c>
      <c r="BB21" s="95">
        <f t="shared" si="1"/>
        <v>0</v>
      </c>
      <c r="BD21" s="319">
        <f>OBJ!B107</f>
        <v>9255042</v>
      </c>
      <c r="BE21" s="21" t="str">
        <f>VLOOKUP(BD21,CENY!$B$11:$G$1054,2,FALSE)</f>
        <v>AvanY-bok ľavý /v139/h650/ strieborná</v>
      </c>
      <c r="BF21" s="22">
        <f>VLOOKUP(BD21,CENY!$B$11:$G$1054,3,FALSE)</f>
        <v>20</v>
      </c>
      <c r="BG21" s="22"/>
      <c r="BH21" s="23">
        <f>AY13</f>
        <v>0</v>
      </c>
      <c r="BI21" s="326">
        <f t="shared" ref="BI21:BI22" si="11">IF(BH21="","",IF($AW$4=0,BH21,0))</f>
        <v>0</v>
      </c>
      <c r="BJ21" s="95">
        <f>VLOOKUP(BD21,CENY!$B$11:$M$2025,12,FALSE)</f>
        <v>308.13261999999997</v>
      </c>
      <c r="BK21" s="95">
        <f t="shared" ref="BK21:BK22" si="12">IF(BJ21="","",BJ21*BH21)</f>
        <v>0</v>
      </c>
    </row>
    <row r="22" spans="2:63" ht="14.4" customHeight="1" thickBot="1">
      <c r="B22" s="544" t="s">
        <v>291</v>
      </c>
      <c r="C22" s="544"/>
      <c r="D22" s="544"/>
      <c r="E22" s="544"/>
      <c r="F22" s="544"/>
      <c r="G22" s="544"/>
      <c r="H22" s="545" t="str">
        <f>verze!E18</f>
        <v>plnovýsuv</v>
      </c>
      <c r="I22" s="545"/>
      <c r="J22" s="545"/>
      <c r="K22" s="545"/>
      <c r="L22" s="545"/>
      <c r="M22" s="523" t="s">
        <v>288</v>
      </c>
      <c r="N22" s="524"/>
      <c r="O22" s="518"/>
      <c r="P22" s="519"/>
      <c r="Q22" s="518"/>
      <c r="R22" s="519"/>
      <c r="S22" s="518"/>
      <c r="T22" s="519"/>
      <c r="U22" s="518"/>
      <c r="V22" s="519"/>
      <c r="W22" s="516"/>
      <c r="X22" s="517"/>
      <c r="Y22" s="516"/>
      <c r="Z22" s="517"/>
      <c r="AA22" s="516"/>
      <c r="AB22" s="517"/>
      <c r="AC22" s="516"/>
      <c r="AD22" s="517"/>
      <c r="AE22" s="516"/>
      <c r="AF22" s="517"/>
      <c r="AI22" s="287"/>
      <c r="AJ22" s="288"/>
      <c r="AK22" s="287"/>
      <c r="AL22" s="288"/>
      <c r="AM22" s="286" t="s">
        <v>297</v>
      </c>
      <c r="AN22" s="539"/>
      <c r="AO22" s="539"/>
      <c r="AU22" s="319">
        <f>OBJ!B78</f>
        <v>9347509</v>
      </c>
      <c r="AV22" s="21" t="str">
        <f>VLOOKUP(AU22,CENY!$B$11:$G$1054,2,FALSE)</f>
        <v>AvanY-design ALprofil Hybrid na bok 600/ strieb.</v>
      </c>
      <c r="AW22" s="22">
        <f>VLOOKUP(AU22,CENY!$B$11:$G$1054,3,FALSE)</f>
        <v>200</v>
      </c>
      <c r="AX22" s="22"/>
      <c r="AY22" s="23">
        <f>IF(FORM!AM18=FORM!AU16,0,2*(AC20+AC22+AC28+AC30))</f>
        <v>0</v>
      </c>
      <c r="AZ22" s="326">
        <f t="shared" si="4"/>
        <v>0</v>
      </c>
      <c r="BA22" s="95">
        <f>VLOOKUP(AU22,CENY!$B$11:$M$2025,12,FALSE)</f>
        <v>22.79205</v>
      </c>
      <c r="BB22" s="95">
        <f t="shared" si="1"/>
        <v>0</v>
      </c>
      <c r="BD22" s="319">
        <f>OBJ!B108</f>
        <v>9255043</v>
      </c>
      <c r="BE22" s="21" t="str">
        <f>VLOOKUP(BD22,CENY!$B$11:$G$1054,2,FALSE)</f>
        <v>AvanY-bok pravý /v139/h650/ strieborná</v>
      </c>
      <c r="BF22" s="22">
        <f>VLOOKUP(BD22,CENY!$B$11:$G$1054,3,FALSE)</f>
        <v>20</v>
      </c>
      <c r="BG22" s="22"/>
      <c r="BH22" s="23">
        <f>AY13</f>
        <v>0</v>
      </c>
      <c r="BI22" s="326">
        <f t="shared" si="11"/>
        <v>0</v>
      </c>
      <c r="BJ22" s="95">
        <f>VLOOKUP(BD22,CENY!$B$11:$M$2025,12,FALSE)</f>
        <v>308.13261999999997</v>
      </c>
      <c r="BK22" s="95">
        <f t="shared" si="12"/>
        <v>0</v>
      </c>
    </row>
    <row r="23" spans="2:63" ht="14.4" customHeight="1">
      <c r="O23" s="4"/>
      <c r="P23" s="4"/>
      <c r="AU23" s="319">
        <f>OBJ!B79</f>
        <v>9347510</v>
      </c>
      <c r="AV23" s="21" t="str">
        <f>VLOOKUP(AU23,CENY!$B$11:$G$1054,2,FALSE)</f>
        <v>AvanY-design ALprofil Hybrid na bok 650/ strieb.</v>
      </c>
      <c r="AW23" s="22">
        <f>VLOOKUP(AU23,CENY!$B$11:$G$1054,3,FALSE)</f>
        <v>200</v>
      </c>
      <c r="AX23" s="22"/>
      <c r="AY23" s="23">
        <f>IF(FORM!AM18=FORM!AU16,0,2*AE22)</f>
        <v>0</v>
      </c>
      <c r="AZ23" s="326">
        <f t="shared" ref="AZ23" si="13">IF(AY23="","",IF($AW$4=1,AY23,0))</f>
        <v>0</v>
      </c>
      <c r="BA23" s="95">
        <f>VLOOKUP(AU23,CENY!$B$11:$M$2025,12,FALSE)</f>
        <v>24.580449999999999</v>
      </c>
      <c r="BB23" s="95">
        <f t="shared" ref="BB23" si="14">IF(BA23="","",BA23*AY23)</f>
        <v>0</v>
      </c>
      <c r="BD23" s="319"/>
      <c r="BE23" s="21"/>
      <c r="BF23" s="22"/>
      <c r="BG23" s="22"/>
      <c r="BH23" s="23"/>
      <c r="BI23" s="326" t="str">
        <f t="shared" si="5"/>
        <v/>
      </c>
      <c r="BJ23" s="95"/>
      <c r="BK23" s="95" t="str">
        <f t="shared" si="6"/>
        <v/>
      </c>
    </row>
    <row r="24" spans="2:63" ht="14.4" customHeight="1">
      <c r="AU24" s="319"/>
      <c r="AV24" s="21"/>
      <c r="AW24" s="22"/>
      <c r="AX24" s="22"/>
      <c r="AY24" s="23"/>
      <c r="AZ24" s="326"/>
      <c r="BA24" s="95"/>
      <c r="BB24" s="95"/>
      <c r="BD24" s="319">
        <f>OBJ!B110</f>
        <v>9257884</v>
      </c>
      <c r="BE24" s="21" t="str">
        <f>VLOOKUP(BD24,CENY!$B$11:$G$1054,2,FALSE)</f>
        <v>AvanY-príchytka čela k naskrutk./ v139</v>
      </c>
      <c r="BF24" s="22">
        <f>VLOOKUP(BD24,CENY!$B$11:$G$1054,3,FALSE)</f>
        <v>200</v>
      </c>
      <c r="BG24" s="22"/>
      <c r="BH24" s="23">
        <f>2*(SUM(Q19:T19)+SUM(Q20:AD20)+SUM(W22:AD22)+SUM(Q27:T27)+SUM(Q28:AD28)+SUM(Q30:AD30))</f>
        <v>0</v>
      </c>
      <c r="BI24" s="326">
        <f t="shared" si="5"/>
        <v>0</v>
      </c>
      <c r="BJ24" s="95">
        <f>VLOOKUP(BD24,CENY!$B$11:$M$2025,12,FALSE)</f>
        <v>32.920310000000001</v>
      </c>
      <c r="BK24" s="95">
        <f t="shared" si="6"/>
        <v>0</v>
      </c>
    </row>
    <row r="25" spans="2:63" ht="14.4" customHeight="1" thickBot="1">
      <c r="B25" s="2" t="s">
        <v>285</v>
      </c>
      <c r="AI25" s="540" t="str">
        <f>verze!E199</f>
        <v>P2O Silent pro Quadro</v>
      </c>
      <c r="AJ25" s="541"/>
      <c r="AK25" s="541"/>
      <c r="AL25" s="541"/>
      <c r="AM25" s="541"/>
      <c r="AN25" s="541"/>
      <c r="AO25" s="541"/>
      <c r="AU25" s="319">
        <f>OBJ!B233</f>
        <v>9318154</v>
      </c>
      <c r="AV25" s="21" t="str">
        <f>VLOOKUP(AU25,CENY!$B$11:$G$1054,2,FALSE)</f>
        <v>Actro You(S) 270/SiSy 10kg; EB21</v>
      </c>
      <c r="AW25" s="22">
        <f>VLOOKUP(AU25,CENY!$B$11:$G$1054,3,FALSE)</f>
        <v>1</v>
      </c>
      <c r="AX25" s="362">
        <v>4</v>
      </c>
      <c r="AY25" s="23">
        <f>O19</f>
        <v>0</v>
      </c>
      <c r="AZ25" s="326">
        <f t="shared" si="4"/>
        <v>0</v>
      </c>
      <c r="BA25" s="95">
        <f>VLOOKUP(AU25,CENY!$B$11:$M$2025,12,FALSE)</f>
        <v>657.45060999999998</v>
      </c>
      <c r="BB25" s="95">
        <f t="shared" ref="BB25" si="15">IF(BA25="","",BA25*AY25)</f>
        <v>0</v>
      </c>
      <c r="BD25" s="319">
        <f>OBJ!B48</f>
        <v>9257702</v>
      </c>
      <c r="BE25" s="21" t="str">
        <f>VLOOKUP(BD25,CENY!$B$11:$G$1054,2,FALSE)</f>
        <v>AvanY-stabilizátor chrbáta</v>
      </c>
      <c r="BF25" s="22">
        <f>VLOOKUP(BD25,CENY!$B$11:$G$1054,3,FALSE)</f>
        <v>200</v>
      </c>
      <c r="BG25" s="22"/>
      <c r="BH25" s="23">
        <f>2*(SUM(Q19:T19)+SUM(Q20:AD20)+SUM(W22:AD22)+SUM(Q27:T27)+SUM(Q28:AD28)+SUM(Q30:AD30))</f>
        <v>0</v>
      </c>
      <c r="BI25" s="326">
        <f t="shared" si="5"/>
        <v>0</v>
      </c>
      <c r="BJ25" s="95">
        <f>VLOOKUP(BD25,CENY!$B$11:$M$2025,12,FALSE)</f>
        <v>15.54837</v>
      </c>
      <c r="BK25" s="95">
        <f t="shared" si="6"/>
        <v>0</v>
      </c>
    </row>
    <row r="26" spans="2:63" ht="14.4" customHeight="1" thickBot="1">
      <c r="B26" s="96"/>
      <c r="C26" s="96"/>
      <c r="D26" s="96"/>
      <c r="E26" s="96"/>
      <c r="F26" s="96"/>
      <c r="G26" s="96"/>
      <c r="H26" s="72"/>
      <c r="I26" s="72"/>
      <c r="J26" s="72"/>
      <c r="K26" s="72"/>
      <c r="L26" s="72"/>
      <c r="M26" s="72"/>
      <c r="N26" s="72" t="str">
        <f>verze!$E$20&amp;" "</f>
        <v xml:space="preserve">Jmenovitá délka: </v>
      </c>
      <c r="O26" s="535">
        <v>270</v>
      </c>
      <c r="P26" s="536"/>
      <c r="Q26" s="535">
        <v>300</v>
      </c>
      <c r="R26" s="536"/>
      <c r="S26" s="535">
        <v>350</v>
      </c>
      <c r="T26" s="536"/>
      <c r="U26" s="535">
        <v>400</v>
      </c>
      <c r="V26" s="536"/>
      <c r="W26" s="535">
        <v>450</v>
      </c>
      <c r="X26" s="536"/>
      <c r="Y26" s="537">
        <v>500</v>
      </c>
      <c r="Z26" s="538"/>
      <c r="AA26" s="535">
        <v>550</v>
      </c>
      <c r="AB26" s="536"/>
      <c r="AC26" s="535">
        <v>600</v>
      </c>
      <c r="AD26" s="536"/>
      <c r="AI26" s="543" t="s">
        <v>299</v>
      </c>
      <c r="AJ26" s="543"/>
      <c r="AK26" s="543"/>
      <c r="AL26" s="543"/>
      <c r="AM26" s="543"/>
      <c r="AN26" s="543"/>
      <c r="AO26" s="543"/>
      <c r="AU26" s="319">
        <f>OBJ!B234</f>
        <v>9318156</v>
      </c>
      <c r="AV26" s="21" t="str">
        <f>VLOOKUP(AU26,CENY!$B$11:$G$1054,2,FALSE)</f>
        <v>Actro You(S) 300/SiSy 10kg; EB21</v>
      </c>
      <c r="AW26" s="22">
        <f>VLOOKUP(AU26,CENY!$B$11:$G$1054,3,FALSE)</f>
        <v>1</v>
      </c>
      <c r="AX26" s="362">
        <v>4</v>
      </c>
      <c r="AY26" s="23">
        <f>Q19</f>
        <v>0</v>
      </c>
      <c r="AZ26" s="326">
        <f t="shared" si="4"/>
        <v>0</v>
      </c>
      <c r="BA26" s="95">
        <f>VLOOKUP(AU26,CENY!$B$11:$M$2025,12,FALSE)</f>
        <v>657.45060999999998</v>
      </c>
      <c r="BB26" s="95">
        <f t="shared" si="1"/>
        <v>0</v>
      </c>
      <c r="BD26" s="319"/>
      <c r="BE26" s="21"/>
      <c r="BF26" s="22"/>
      <c r="BG26" s="22"/>
      <c r="BH26" s="23"/>
      <c r="BI26" s="326" t="str">
        <f t="shared" si="5"/>
        <v/>
      </c>
      <c r="BJ26" s="95"/>
      <c r="BK26" s="95" t="str">
        <f t="shared" si="6"/>
        <v/>
      </c>
    </row>
    <row r="27" spans="2:63" ht="14.4" customHeight="1" thickBot="1">
      <c r="B27" s="530" t="s">
        <v>292</v>
      </c>
      <c r="C27" s="530"/>
      <c r="D27" s="530"/>
      <c r="E27" s="530"/>
      <c r="F27" s="530"/>
      <c r="G27" s="530"/>
      <c r="H27" s="531" t="str">
        <f>verze!E18</f>
        <v>plnovýsuv</v>
      </c>
      <c r="I27" s="531"/>
      <c r="J27" s="531"/>
      <c r="K27" s="531"/>
      <c r="L27" s="531"/>
      <c r="M27" s="532" t="s">
        <v>286</v>
      </c>
      <c r="N27" s="533"/>
      <c r="O27" s="567"/>
      <c r="P27" s="568"/>
      <c r="Q27" s="567"/>
      <c r="R27" s="568"/>
      <c r="S27" s="567"/>
      <c r="T27" s="568"/>
      <c r="U27" s="283"/>
      <c r="V27" s="284"/>
      <c r="W27" s="283"/>
      <c r="X27" s="284"/>
      <c r="Y27" s="283"/>
      <c r="Z27" s="284"/>
      <c r="AA27" s="283"/>
      <c r="AB27" s="284"/>
      <c r="AC27" s="283"/>
      <c r="AD27" s="284"/>
      <c r="AI27" s="289"/>
      <c r="AJ27" s="290"/>
      <c r="AK27" s="289"/>
      <c r="AL27" s="290"/>
      <c r="AM27" s="291" t="s">
        <v>295</v>
      </c>
      <c r="AN27" s="534"/>
      <c r="AO27" s="534"/>
      <c r="AU27" s="319">
        <f>OBJ!B235</f>
        <v>9318160</v>
      </c>
      <c r="AV27" s="21" t="str">
        <f>VLOOKUP(AU27,CENY!$B$11:$G$1054,2,FALSE)</f>
        <v>Actro You(S) 350/SiSy 10kg; EB21</v>
      </c>
      <c r="AW27" s="22">
        <f>VLOOKUP(AU27,CENY!$B$11:$G$1054,3,FALSE)</f>
        <v>1</v>
      </c>
      <c r="AX27" s="362">
        <v>4</v>
      </c>
      <c r="AY27" s="23">
        <f>S19</f>
        <v>0</v>
      </c>
      <c r="AZ27" s="326">
        <f t="shared" si="4"/>
        <v>0</v>
      </c>
      <c r="BA27" s="95">
        <f>VLOOKUP(AU27,CENY!$B$11:$M$2025,12,FALSE)</f>
        <v>657.45060999999998</v>
      </c>
      <c r="BB27" s="95">
        <f t="shared" si="1"/>
        <v>0</v>
      </c>
      <c r="BD27" s="319">
        <f>OBJ!B71</f>
        <v>9347502</v>
      </c>
      <c r="BE27" s="21" t="str">
        <f>VLOOKUP(BD27,CENY!$B$11:$G$1054,2,FALSE)</f>
        <v>AvanY-design ALprofil Hybrid na bok 270/ strieb.</v>
      </c>
      <c r="BF27" s="22">
        <f>VLOOKUP(BD27,CENY!$B$11:$G$1054,3,FALSE)</f>
        <v>200</v>
      </c>
      <c r="BG27" s="22"/>
      <c r="BH27" s="23">
        <f>2*(O19+O20+O27+O28+O30)</f>
        <v>0</v>
      </c>
      <c r="BI27" s="326">
        <f t="shared" ref="BI27" si="16">IF(BH27="","",IF($AW$4=0,BH27,0))</f>
        <v>0</v>
      </c>
      <c r="BJ27" s="95">
        <f>VLOOKUP(BD27,CENY!$B$11:$M$2025,12,FALSE)</f>
        <v>19.78839</v>
      </c>
      <c r="BK27" s="95">
        <f t="shared" ref="BK27" si="17">IF(BJ27="","",BJ27*BH27)</f>
        <v>0</v>
      </c>
    </row>
    <row r="28" spans="2:63" ht="14.4" customHeight="1" thickBot="1">
      <c r="B28" s="521" t="s">
        <v>372</v>
      </c>
      <c r="C28" s="521"/>
      <c r="D28" s="521"/>
      <c r="E28" s="521"/>
      <c r="F28" s="521"/>
      <c r="G28" s="521"/>
      <c r="H28" s="522" t="str">
        <f>verze!E18</f>
        <v>plnovýsuv</v>
      </c>
      <c r="I28" s="522"/>
      <c r="J28" s="522"/>
      <c r="K28" s="522"/>
      <c r="L28" s="522"/>
      <c r="M28" s="523" t="s">
        <v>1</v>
      </c>
      <c r="N28" s="524"/>
      <c r="O28" s="516"/>
      <c r="P28" s="517"/>
      <c r="Q28" s="516"/>
      <c r="R28" s="517"/>
      <c r="S28" s="516"/>
      <c r="T28" s="517"/>
      <c r="U28" s="516"/>
      <c r="V28" s="517"/>
      <c r="W28" s="516"/>
      <c r="X28" s="517"/>
      <c r="Y28" s="516"/>
      <c r="Z28" s="517"/>
      <c r="AA28" s="516"/>
      <c r="AB28" s="517"/>
      <c r="AC28" s="516"/>
      <c r="AD28" s="517"/>
      <c r="AI28" s="287"/>
      <c r="AJ28" s="288"/>
      <c r="AK28" s="287"/>
      <c r="AL28" s="288"/>
      <c r="AM28" s="286" t="s">
        <v>294</v>
      </c>
      <c r="AN28" s="520"/>
      <c r="AO28" s="520"/>
      <c r="AU28" s="319"/>
      <c r="AV28" s="21"/>
      <c r="AW28" s="22"/>
      <c r="AX28" s="22"/>
      <c r="AY28" s="23"/>
      <c r="AZ28" s="326" t="str">
        <f t="shared" si="4"/>
        <v/>
      </c>
      <c r="BA28" s="95"/>
      <c r="BB28" s="95" t="str">
        <f t="shared" si="1"/>
        <v/>
      </c>
      <c r="BD28" s="319">
        <f>OBJ!B72</f>
        <v>9347503</v>
      </c>
      <c r="BE28" s="21" t="str">
        <f>VLOOKUP(BD28,CENY!$B$11:$G$1054,2,FALSE)</f>
        <v>AvanY-design ALprofil Hybrid na bok 300/ strieb.</v>
      </c>
      <c r="BF28" s="22">
        <f>VLOOKUP(BD28,CENY!$B$11:$G$1054,3,FALSE)</f>
        <v>200</v>
      </c>
      <c r="BG28" s="22"/>
      <c r="BH28" s="23">
        <f>2*(Q19+Q20+Q27+Q28+Q30)</f>
        <v>0</v>
      </c>
      <c r="BI28" s="326">
        <f t="shared" si="5"/>
        <v>0</v>
      </c>
      <c r="BJ28" s="95">
        <f>VLOOKUP(BD28,CENY!$B$11:$M$2025,12,FALSE)</f>
        <v>20.006769999999999</v>
      </c>
      <c r="BK28" s="95">
        <f t="shared" si="6"/>
        <v>0</v>
      </c>
    </row>
    <row r="29" spans="2:63" ht="14.4" customHeight="1" thickBot="1">
      <c r="O29" s="283"/>
      <c r="P29" s="284"/>
      <c r="Q29" s="283"/>
      <c r="R29" s="284"/>
      <c r="S29" s="283"/>
      <c r="T29" s="284"/>
      <c r="U29" s="283"/>
      <c r="V29" s="284"/>
      <c r="W29" s="283"/>
      <c r="X29" s="284"/>
      <c r="Y29" s="283"/>
      <c r="Z29" s="284"/>
      <c r="AA29" s="283"/>
      <c r="AB29" s="284"/>
      <c r="AC29" s="283"/>
      <c r="AD29" s="284"/>
      <c r="AI29" s="287"/>
      <c r="AJ29" s="288"/>
      <c r="AK29" s="287"/>
      <c r="AL29" s="288"/>
      <c r="AM29" s="286" t="s">
        <v>298</v>
      </c>
      <c r="AN29" s="527"/>
      <c r="AO29" s="527"/>
      <c r="AU29" s="319">
        <f>OBJ!B243</f>
        <v>9318186</v>
      </c>
      <c r="AV29" s="21" t="str">
        <f>VLOOKUP(AU29,CENY!$B$11:$G$1054,2,FALSE)</f>
        <v>Actro You(L) 270/SiSy 40kg; EB21</v>
      </c>
      <c r="AW29" s="22">
        <f>VLOOKUP(AU29,CENY!$B$11:$G$1054,3,FALSE)</f>
        <v>1</v>
      </c>
      <c r="AX29" s="362">
        <v>8</v>
      </c>
      <c r="AY29" s="23">
        <f>O20</f>
        <v>0</v>
      </c>
      <c r="AZ29" s="326">
        <f t="shared" ref="AZ29" si="18">IF(AY29="","",IF($AW$4=1,AY29,0))</f>
        <v>0</v>
      </c>
      <c r="BA29" s="95">
        <f>VLOOKUP(AU29,CENY!$B$11:$M$2025,12,FALSE)</f>
        <v>657.45060999999998</v>
      </c>
      <c r="BB29" s="95">
        <f t="shared" ref="BB29" si="19">IF(BA29="","",BA29*AY29)</f>
        <v>0</v>
      </c>
      <c r="BD29" s="319">
        <f>OBJ!B73</f>
        <v>9347504</v>
      </c>
      <c r="BE29" s="21" t="str">
        <f>VLOOKUP(BD29,CENY!$B$11:$G$1054,2,FALSE)</f>
        <v>AvanY-design ALprofil Hybrid na bok 350/ strieb.</v>
      </c>
      <c r="BF29" s="22">
        <f>VLOOKUP(BD29,CENY!$B$11:$G$1054,3,FALSE)</f>
        <v>200</v>
      </c>
      <c r="BG29" s="22"/>
      <c r="BH29" s="23">
        <f>2*(S19+S20+S27+S28+S30)</f>
        <v>0</v>
      </c>
      <c r="BI29" s="326">
        <f t="shared" si="5"/>
        <v>0</v>
      </c>
      <c r="BJ29" s="95">
        <f>VLOOKUP(BD29,CENY!$B$11:$M$2025,12,FALSE)</f>
        <v>20.37642</v>
      </c>
      <c r="BK29" s="95">
        <f t="shared" si="6"/>
        <v>0</v>
      </c>
    </row>
    <row r="30" spans="2:63" ht="14.4" customHeight="1" thickBot="1">
      <c r="B30" s="528" t="s">
        <v>373</v>
      </c>
      <c r="C30" s="528"/>
      <c r="D30" s="528"/>
      <c r="E30" s="528"/>
      <c r="F30" s="528"/>
      <c r="G30" s="528"/>
      <c r="H30" s="529" t="str">
        <f>verze!E18</f>
        <v>plnovýsuv</v>
      </c>
      <c r="I30" s="529"/>
      <c r="J30" s="529"/>
      <c r="K30" s="529"/>
      <c r="L30" s="529"/>
      <c r="M30" s="523" t="s">
        <v>1</v>
      </c>
      <c r="N30" s="524"/>
      <c r="O30" s="516"/>
      <c r="P30" s="517"/>
      <c r="Q30" s="516"/>
      <c r="R30" s="517"/>
      <c r="S30" s="516"/>
      <c r="T30" s="517"/>
      <c r="U30" s="516"/>
      <c r="V30" s="517"/>
      <c r="W30" s="516"/>
      <c r="X30" s="517"/>
      <c r="Y30" s="516"/>
      <c r="Z30" s="517"/>
      <c r="AA30" s="516"/>
      <c r="AB30" s="517"/>
      <c r="AC30" s="565"/>
      <c r="AD30" s="566"/>
      <c r="AU30" s="319">
        <f>OBJ!B244</f>
        <v>9318187</v>
      </c>
      <c r="AV30" s="21" t="str">
        <f>VLOOKUP(AU30,CENY!$B$11:$G$1054,2,FALSE)</f>
        <v>Actro You(L) 300/SiSy 40kg; EB21</v>
      </c>
      <c r="AW30" s="22">
        <f>VLOOKUP(AU30,CENY!$B$11:$G$1054,3,FALSE)</f>
        <v>1</v>
      </c>
      <c r="AX30" s="362">
        <v>8</v>
      </c>
      <c r="AY30" s="23">
        <f>Q20</f>
        <v>0</v>
      </c>
      <c r="AZ30" s="326">
        <f t="shared" si="4"/>
        <v>0</v>
      </c>
      <c r="BA30" s="95">
        <f>VLOOKUP(AU30,CENY!$B$11:$M$2025,12,FALSE)</f>
        <v>657.45060999999998</v>
      </c>
      <c r="BB30" s="95">
        <f t="shared" si="1"/>
        <v>0</v>
      </c>
      <c r="BD30" s="319">
        <f>OBJ!B74</f>
        <v>9347505</v>
      </c>
      <c r="BE30" s="21" t="str">
        <f>VLOOKUP(BD30,CENY!$B$11:$G$1054,2,FALSE)</f>
        <v>AvanY-design ALprofil Hybrid na bok 400/ strieb.</v>
      </c>
      <c r="BF30" s="22">
        <f>VLOOKUP(BD30,CENY!$B$11:$G$1054,3,FALSE)</f>
        <v>200</v>
      </c>
      <c r="BG30" s="22"/>
      <c r="BH30" s="23">
        <f>2*(U20+U28+U30)</f>
        <v>0</v>
      </c>
      <c r="BI30" s="326">
        <f t="shared" si="5"/>
        <v>0</v>
      </c>
      <c r="BJ30" s="95">
        <f>VLOOKUP(BD30,CENY!$B$11:$M$2025,12,FALSE)</f>
        <v>20.742249999999999</v>
      </c>
      <c r="BK30" s="95">
        <f t="shared" si="6"/>
        <v>0</v>
      </c>
    </row>
    <row r="31" spans="2:63" ht="14.4" customHeight="1">
      <c r="AU31" s="319">
        <f>OBJ!B245</f>
        <v>9318188</v>
      </c>
      <c r="AV31" s="21" t="str">
        <f>VLOOKUP(AU31,CENY!$B$11:$G$1054,2,FALSE)</f>
        <v>Actro You(L) 350/SiSy 40kg; EB21</v>
      </c>
      <c r="AW31" s="22">
        <f>VLOOKUP(AU31,CENY!$B$11:$G$1054,3,FALSE)</f>
        <v>1</v>
      </c>
      <c r="AX31" s="362">
        <v>8</v>
      </c>
      <c r="AY31" s="23">
        <f>S20</f>
        <v>0</v>
      </c>
      <c r="AZ31" s="326">
        <f t="shared" si="4"/>
        <v>0</v>
      </c>
      <c r="BA31" s="95">
        <f>VLOOKUP(AU31,CENY!$B$11:$M$2025,12,FALSE)</f>
        <v>657.45060999999998</v>
      </c>
      <c r="BB31" s="95">
        <f t="shared" si="1"/>
        <v>0</v>
      </c>
      <c r="BD31" s="319">
        <f>OBJ!B75</f>
        <v>9347506</v>
      </c>
      <c r="BE31" s="21" t="str">
        <f>VLOOKUP(BD31,CENY!$B$11:$G$1054,2,FALSE)</f>
        <v>AvanY-design ALprofil Hybrid na bok 450/ strieb.</v>
      </c>
      <c r="BF31" s="22">
        <f>VLOOKUP(BD31,CENY!$B$11:$G$1054,3,FALSE)</f>
        <v>200</v>
      </c>
      <c r="BG31" s="22"/>
      <c r="BH31" s="23">
        <f>2*(W20+W22+W28+W30)</f>
        <v>0</v>
      </c>
      <c r="BI31" s="326">
        <f t="shared" si="5"/>
        <v>0</v>
      </c>
      <c r="BJ31" s="95">
        <f>VLOOKUP(BD31,CENY!$B$11:$M$2025,12,FALSE)</f>
        <v>21.111910000000002</v>
      </c>
      <c r="BK31" s="95">
        <f t="shared" si="6"/>
        <v>0</v>
      </c>
    </row>
    <row r="32" spans="2:63" ht="14.4" customHeight="1">
      <c r="B32" s="366" t="str">
        <f>verze!E201</f>
        <v>SiSy = tlumení Silent System</v>
      </c>
      <c r="AU32" s="319">
        <f>OBJ!B246</f>
        <v>9318190</v>
      </c>
      <c r="AV32" s="21" t="str">
        <f>VLOOKUP(AU32,CENY!$B$11:$G$1054,2,FALSE)</f>
        <v>Actro You(L) 400/SiSy 40kg; EB21</v>
      </c>
      <c r="AW32" s="22">
        <f>VLOOKUP(AU32,CENY!$B$11:$G$1054,3,FALSE)</f>
        <v>1</v>
      </c>
      <c r="AX32" s="362">
        <v>8</v>
      </c>
      <c r="AY32" s="23">
        <f>U20</f>
        <v>0</v>
      </c>
      <c r="AZ32" s="326">
        <f t="shared" si="4"/>
        <v>0</v>
      </c>
      <c r="BA32" s="95">
        <f>VLOOKUP(AU32,CENY!$B$11:$M$2025,12,FALSE)</f>
        <v>664.73978</v>
      </c>
      <c r="BB32" s="95">
        <f t="shared" si="1"/>
        <v>0</v>
      </c>
      <c r="BD32" s="319">
        <f>OBJ!B76</f>
        <v>9347507</v>
      </c>
      <c r="BE32" s="21" t="str">
        <f>VLOOKUP(BD32,CENY!$B$11:$G$1054,2,FALSE)</f>
        <v>AvanY-design ALprofil Hybrid na bok 500/ strieb.</v>
      </c>
      <c r="BF32" s="22">
        <f>VLOOKUP(BD32,CENY!$B$11:$G$1054,3,FALSE)</f>
        <v>200</v>
      </c>
      <c r="BG32" s="22"/>
      <c r="BH32" s="23">
        <f>2*(Y20+Y22+Y28+Y30)</f>
        <v>0</v>
      </c>
      <c r="BI32" s="326">
        <f t="shared" si="5"/>
        <v>0</v>
      </c>
      <c r="BJ32" s="95">
        <f>VLOOKUP(BD32,CENY!$B$11:$M$2025,12,FALSE)</f>
        <v>21.479700000000001</v>
      </c>
      <c r="BK32" s="95">
        <f t="shared" si="6"/>
        <v>0</v>
      </c>
    </row>
    <row r="33" spans="2:63" ht="14.4" customHeight="1">
      <c r="B33" s="366" t="str">
        <f>verze!E204</f>
        <v>P2O = otvírání bez úchytky Push to open</v>
      </c>
      <c r="AU33" s="319">
        <f>OBJ!B247</f>
        <v>9318191</v>
      </c>
      <c r="AV33" s="21" t="str">
        <f>VLOOKUP(AU33,CENY!$B$11:$G$1054,2,FALSE)</f>
        <v>Actro You(L) 450/SiSy 40kg; EB21</v>
      </c>
      <c r="AW33" s="22">
        <f>VLOOKUP(AU33,CENY!$B$11:$G$1054,3,FALSE)</f>
        <v>1</v>
      </c>
      <c r="AX33" s="362">
        <v>10</v>
      </c>
      <c r="AY33" s="23">
        <f>W20</f>
        <v>0</v>
      </c>
      <c r="AZ33" s="326">
        <f t="shared" si="4"/>
        <v>0</v>
      </c>
      <c r="BA33" s="95">
        <f>VLOOKUP(AU33,CENY!$B$11:$M$2025,12,FALSE)</f>
        <v>671.97520999999995</v>
      </c>
      <c r="BB33" s="95">
        <f t="shared" si="1"/>
        <v>0</v>
      </c>
      <c r="BD33" s="319">
        <f>OBJ!B77</f>
        <v>9347508</v>
      </c>
      <c r="BE33" s="21" t="str">
        <f>VLOOKUP(BD33,CENY!$B$11:$G$1054,2,FALSE)</f>
        <v>AvanY-design ALprofil Hybrid na bok 550/ strieb.</v>
      </c>
      <c r="BF33" s="22">
        <f>VLOOKUP(BD33,CENY!$B$11:$G$1054,3,FALSE)</f>
        <v>200</v>
      </c>
      <c r="BG33" s="22"/>
      <c r="BH33" s="23">
        <f>2*(AA20+AA22+AA28+AA30)</f>
        <v>0</v>
      </c>
      <c r="BI33" s="326">
        <f t="shared" si="5"/>
        <v>0</v>
      </c>
      <c r="BJ33" s="95">
        <f>VLOOKUP(BD33,CENY!$B$11:$M$2025,12,FALSE)</f>
        <v>21.84564</v>
      </c>
      <c r="BK33" s="95">
        <f t="shared" si="6"/>
        <v>0</v>
      </c>
    </row>
    <row r="34" spans="2:63" ht="14.4" customHeight="1">
      <c r="B34" s="366" t="str">
        <f>verze!E203</f>
        <v>P2O Silent = tlumení s otvíráním bez úchytky Push to open Silent</v>
      </c>
      <c r="AU34" s="319">
        <f>OBJ!B248</f>
        <v>9318192</v>
      </c>
      <c r="AV34" s="21" t="str">
        <f>VLOOKUP(AU34,CENY!$B$11:$G$1054,2,FALSE)</f>
        <v>Actro You(L) 500/SiSy 40kg; EB21</v>
      </c>
      <c r="AW34" s="22">
        <f>VLOOKUP(AU34,CENY!$B$11:$G$1054,3,FALSE)</f>
        <v>1</v>
      </c>
      <c r="AX34" s="362">
        <v>10</v>
      </c>
      <c r="AY34" s="23">
        <f>Y20</f>
        <v>0</v>
      </c>
      <c r="AZ34" s="326">
        <f t="shared" si="4"/>
        <v>0</v>
      </c>
      <c r="BA34" s="95">
        <f>VLOOKUP(AU34,CENY!$B$11:$M$2025,12,FALSE)</f>
        <v>164.23333</v>
      </c>
      <c r="BB34" s="95">
        <f t="shared" si="1"/>
        <v>0</v>
      </c>
      <c r="BD34" s="319">
        <f>OBJ!B78</f>
        <v>9347509</v>
      </c>
      <c r="BE34" s="21" t="str">
        <f>VLOOKUP(BD34,CENY!$B$11:$G$1054,2,FALSE)</f>
        <v>AvanY-design ALprofil Hybrid na bok 600/ strieb.</v>
      </c>
      <c r="BF34" s="22">
        <f>VLOOKUP(BD34,CENY!$B$11:$G$1054,3,FALSE)</f>
        <v>200</v>
      </c>
      <c r="BG34" s="22"/>
      <c r="BH34" s="23">
        <f>2*(AC20+AC22+AC28+AC30)</f>
        <v>0</v>
      </c>
      <c r="BI34" s="326">
        <f t="shared" si="5"/>
        <v>0</v>
      </c>
      <c r="BJ34" s="95">
        <f>VLOOKUP(BD34,CENY!$B$11:$M$2025,12,FALSE)</f>
        <v>22.79205</v>
      </c>
      <c r="BK34" s="95">
        <f t="shared" si="6"/>
        <v>0</v>
      </c>
    </row>
    <row r="35" spans="2:63" ht="14.4" customHeight="1">
      <c r="AU35" s="319">
        <f>OBJ!B249</f>
        <v>9318194</v>
      </c>
      <c r="AV35" s="21" t="str">
        <f>VLOOKUP(AU35,CENY!$B$11:$G$1054,2,FALSE)</f>
        <v>Actro You(L) 550/SiSy 40kg; EB21</v>
      </c>
      <c r="AW35" s="22">
        <f>VLOOKUP(AU35,CENY!$B$11:$G$1054,3,FALSE)</f>
        <v>1</v>
      </c>
      <c r="AX35" s="362">
        <v>10</v>
      </c>
      <c r="AY35" s="23">
        <f>AA20</f>
        <v>0</v>
      </c>
      <c r="AZ35" s="326">
        <f t="shared" si="4"/>
        <v>0</v>
      </c>
      <c r="BA35" s="95">
        <f>VLOOKUP(AU35,CENY!$B$11:$M$2025,12,FALSE)</f>
        <v>173.62268</v>
      </c>
      <c r="BB35" s="95">
        <f t="shared" si="1"/>
        <v>0</v>
      </c>
      <c r="BD35" s="319">
        <f>OBJ!B79</f>
        <v>9347510</v>
      </c>
      <c r="BE35" s="21" t="str">
        <f>VLOOKUP(BD35,CENY!$B$11:$G$1054,2,FALSE)</f>
        <v>AvanY-design ALprofil Hybrid na bok 650/ strieb.</v>
      </c>
      <c r="BF35" s="22">
        <f>VLOOKUP(BD35,CENY!$B$11:$G$1054,3,FALSE)</f>
        <v>200</v>
      </c>
      <c r="BG35" s="22"/>
      <c r="BH35" s="23">
        <f>2*(AE22)</f>
        <v>0</v>
      </c>
      <c r="BI35" s="326">
        <f t="shared" ref="BI35" si="20">IF(BH35="","",IF($AW$4=0,BH35,0))</f>
        <v>0</v>
      </c>
      <c r="BJ35" s="95">
        <f>VLOOKUP(BD35,CENY!$B$11:$M$2025,12,FALSE)</f>
        <v>24.580449999999999</v>
      </c>
      <c r="BK35" s="95">
        <f t="shared" ref="BK35" si="21">IF(BJ35="","",BJ35*BH35)</f>
        <v>0</v>
      </c>
    </row>
    <row r="36" spans="2:63" ht="14.4" customHeight="1">
      <c r="AU36" s="319">
        <f>OBJ!B250</f>
        <v>9318196</v>
      </c>
      <c r="AV36" s="21" t="str">
        <f>VLOOKUP(AU36,CENY!$B$11:$G$1054,2,FALSE)</f>
        <v>Actro You(L) 600/SiSy 40kg; EB21</v>
      </c>
      <c r="AW36" s="22">
        <f>VLOOKUP(AU36,CENY!$B$11:$G$1054,3,FALSE)</f>
        <v>1</v>
      </c>
      <c r="AX36" s="362">
        <v>10</v>
      </c>
      <c r="AY36" s="23">
        <f>AC20</f>
        <v>0</v>
      </c>
      <c r="AZ36" s="326">
        <f t="shared" si="4"/>
        <v>0</v>
      </c>
      <c r="BA36" s="95">
        <f>VLOOKUP(AU36,CENY!$B$11:$M$2025,12,FALSE)</f>
        <v>726.70140000000004</v>
      </c>
      <c r="BB36" s="95">
        <f t="shared" si="1"/>
        <v>0</v>
      </c>
      <c r="BD36" s="319"/>
      <c r="BE36" s="21"/>
      <c r="BF36" s="22"/>
      <c r="BG36" s="22"/>
      <c r="BH36" s="23"/>
      <c r="BI36" s="326"/>
      <c r="BJ36" s="95"/>
      <c r="BK36" s="95"/>
    </row>
    <row r="37" spans="2:63" ht="14.4" customHeight="1">
      <c r="AU37" s="319"/>
      <c r="AV37" s="21"/>
      <c r="AW37" s="22"/>
      <c r="AX37" s="22"/>
      <c r="AY37" s="23"/>
      <c r="AZ37" s="326" t="str">
        <f t="shared" si="4"/>
        <v/>
      </c>
      <c r="BA37" s="95"/>
      <c r="BB37" s="95" t="str">
        <f t="shared" si="1"/>
        <v/>
      </c>
      <c r="BD37" s="319">
        <f>OBJ!B236</f>
        <v>9318145</v>
      </c>
      <c r="BE37" s="21" t="str">
        <f>VLOOKUP(BD37,CENY!$B$11:$G$1054,2,FALSE)</f>
        <v>Actro You(S) 270/SiSy 10kg; EB21; ľavý</v>
      </c>
      <c r="BF37" s="22">
        <f>VLOOKUP(BD37,CENY!$B$11:$G$1054,3,FALSE)</f>
        <v>10</v>
      </c>
      <c r="BG37" s="22"/>
      <c r="BH37" s="23">
        <f>AY25</f>
        <v>0</v>
      </c>
      <c r="BI37" s="326">
        <f t="shared" ref="BI37:BI38" si="22">IF(BH37="","",IF($AW$4=0,BH37,0))</f>
        <v>0</v>
      </c>
      <c r="BJ37" s="95">
        <f>VLOOKUP(BD37,CENY!$B$11:$M$2025,12,FALSE)</f>
        <v>298.88173999999998</v>
      </c>
      <c r="BK37" s="95">
        <f t="shared" ref="BK37:BK38" si="23">IF(BJ37="","",BJ37*BH37)</f>
        <v>0</v>
      </c>
    </row>
    <row r="38" spans="2:63" ht="14.4" customHeight="1">
      <c r="AU38" s="319">
        <f>OBJ!B268</f>
        <v>9318215</v>
      </c>
      <c r="AV38" s="21" t="str">
        <f>VLOOKUP(AU38,CENY!$B$11:$G$1054,2,FALSE)</f>
        <v>Actro You(XL) 450/SiSy 70kg; EB21</v>
      </c>
      <c r="AW38" s="22">
        <f>VLOOKUP(AU38,CENY!$B$11:$G$1054,3,FALSE)</f>
        <v>1</v>
      </c>
      <c r="AX38" s="362">
        <v>10</v>
      </c>
      <c r="AY38" s="23">
        <f>W22</f>
        <v>0</v>
      </c>
      <c r="AZ38" s="326">
        <f t="shared" si="4"/>
        <v>0</v>
      </c>
      <c r="BA38" s="95">
        <f>VLOOKUP(AU38,CENY!$B$11:$M$2025,12,FALSE)</f>
        <v>197.37184999999999</v>
      </c>
      <c r="BB38" s="95">
        <f t="shared" si="1"/>
        <v>0</v>
      </c>
      <c r="BD38" s="319">
        <f>OBJ!B237</f>
        <v>9318146</v>
      </c>
      <c r="BE38" s="21" t="str">
        <f>VLOOKUP(BD38,CENY!$B$11:$G$1054,2,FALSE)</f>
        <v>Actro You(S) 270/SiSy 10kg; EB21; pravý</v>
      </c>
      <c r="BF38" s="22">
        <f>VLOOKUP(BD38,CENY!$B$11:$G$1054,3,FALSE)</f>
        <v>10</v>
      </c>
      <c r="BG38" s="22"/>
      <c r="BH38" s="23">
        <f>AY25</f>
        <v>0</v>
      </c>
      <c r="BI38" s="326">
        <f t="shared" si="22"/>
        <v>0</v>
      </c>
      <c r="BJ38" s="95">
        <f>VLOOKUP(BD38,CENY!$B$11:$M$2025,12,FALSE)</f>
        <v>298.88173999999998</v>
      </c>
      <c r="BK38" s="95">
        <f t="shared" si="23"/>
        <v>0</v>
      </c>
    </row>
    <row r="39" spans="2:63" ht="14.4" customHeight="1">
      <c r="AU39" s="319">
        <f>OBJ!B269</f>
        <v>9318216</v>
      </c>
      <c r="AV39" s="21" t="str">
        <f>VLOOKUP(AU39,CENY!$B$11:$G$1054,2,FALSE)</f>
        <v>Actro You(XL) 500/SiSy 70kg; EB21</v>
      </c>
      <c r="AW39" s="22">
        <f>VLOOKUP(AU39,CENY!$B$11:$G$1054,3,FALSE)</f>
        <v>1</v>
      </c>
      <c r="AX39" s="362">
        <v>10</v>
      </c>
      <c r="AY39" s="23">
        <f>Y22</f>
        <v>0</v>
      </c>
      <c r="AZ39" s="326">
        <f t="shared" si="4"/>
        <v>0</v>
      </c>
      <c r="BA39" s="95">
        <f>VLOOKUP(AU39,CENY!$B$11:$M$2025,12,FALSE)</f>
        <v>823.68502000000001</v>
      </c>
      <c r="BB39" s="95">
        <f t="shared" si="1"/>
        <v>0</v>
      </c>
      <c r="BD39" s="319">
        <f>OBJ!B238</f>
        <v>9318147</v>
      </c>
      <c r="BE39" s="21" t="str">
        <f>VLOOKUP(BD39,CENY!$B$11:$G$1054,2,FALSE)</f>
        <v>Actro You(S) 300/SiSy 10kg; EB21; ľavý</v>
      </c>
      <c r="BF39" s="22">
        <f>VLOOKUP(BD39,CENY!$B$11:$G$1054,3,FALSE)</f>
        <v>10</v>
      </c>
      <c r="BG39" s="22"/>
      <c r="BH39" s="23">
        <f>AY26</f>
        <v>0</v>
      </c>
      <c r="BI39" s="326">
        <f t="shared" si="5"/>
        <v>0</v>
      </c>
      <c r="BJ39" s="95">
        <f>VLOOKUP(BD39,CENY!$B$11:$M$2025,12,FALSE)</f>
        <v>298.88173999999998</v>
      </c>
      <c r="BK39" s="95">
        <f t="shared" si="6"/>
        <v>0</v>
      </c>
    </row>
    <row r="40" spans="2:63" ht="14.4" customHeight="1">
      <c r="AU40" s="319">
        <f>OBJ!B270</f>
        <v>9318217</v>
      </c>
      <c r="AV40" s="21" t="str">
        <f>VLOOKUP(AU40,CENY!$B$11:$G$1054,2,FALSE)</f>
        <v>Actro You(XL) 550/SiSy 70kg; EB21</v>
      </c>
      <c r="AW40" s="22">
        <f>VLOOKUP(AU40,CENY!$B$11:$G$1054,3,FALSE)</f>
        <v>1</v>
      </c>
      <c r="AX40" s="362">
        <v>10</v>
      </c>
      <c r="AY40" s="23">
        <f>AA22</f>
        <v>0</v>
      </c>
      <c r="AZ40" s="326">
        <f t="shared" si="4"/>
        <v>0</v>
      </c>
      <c r="BA40" s="95">
        <f>VLOOKUP(AU40,CENY!$B$11:$M$2025,12,FALSE)</f>
        <v>862.82307000000003</v>
      </c>
      <c r="BB40" s="95">
        <f t="shared" si="1"/>
        <v>0</v>
      </c>
      <c r="BD40" s="319">
        <f>OBJ!B239</f>
        <v>9318148</v>
      </c>
      <c r="BE40" s="21" t="str">
        <f>VLOOKUP(BD40,CENY!$B$11:$G$1054,2,FALSE)</f>
        <v>Actro You(S) 300/SiSy 10kg; EB21; pravý</v>
      </c>
      <c r="BF40" s="22">
        <f>VLOOKUP(BD40,CENY!$B$11:$G$1054,3,FALSE)</f>
        <v>10</v>
      </c>
      <c r="BG40" s="22"/>
      <c r="BH40" s="23">
        <f>AY26</f>
        <v>0</v>
      </c>
      <c r="BI40" s="326">
        <f t="shared" si="5"/>
        <v>0</v>
      </c>
      <c r="BJ40" s="95">
        <f>VLOOKUP(BD40,CENY!$B$11:$M$2025,12,FALSE)</f>
        <v>298.88173999999998</v>
      </c>
      <c r="BK40" s="95">
        <f t="shared" si="6"/>
        <v>0</v>
      </c>
    </row>
    <row r="41" spans="2:63" ht="14.4" customHeight="1">
      <c r="AU41" s="319">
        <f>OBJ!B271</f>
        <v>9318218</v>
      </c>
      <c r="AV41" s="21" t="str">
        <f>VLOOKUP(AU41,CENY!$B$11:$G$1054,2,FALSE)</f>
        <v>Actro You(XL) 600/SiSy 70kg; EB21</v>
      </c>
      <c r="AW41" s="22">
        <f>VLOOKUP(AU41,CENY!$B$11:$G$1054,3,FALSE)</f>
        <v>1</v>
      </c>
      <c r="AX41" s="362">
        <v>10</v>
      </c>
      <c r="AY41" s="23">
        <f>AC22</f>
        <v>0</v>
      </c>
      <c r="AZ41" s="326">
        <f t="shared" si="4"/>
        <v>0</v>
      </c>
      <c r="BA41" s="95">
        <f>VLOOKUP(AU41,CENY!$B$11:$M$2025,12,FALSE)</f>
        <v>941.88580999999999</v>
      </c>
      <c r="BB41" s="95">
        <f t="shared" si="1"/>
        <v>0</v>
      </c>
      <c r="BD41" s="319">
        <f>OBJ!B240</f>
        <v>9318149</v>
      </c>
      <c r="BE41" s="21" t="str">
        <f>VLOOKUP(BD41,CENY!$B$11:$G$1054,2,FALSE)</f>
        <v>Actro You(S) 350/SiSy 10kg; EB21; ľavý</v>
      </c>
      <c r="BF41" s="22">
        <f>VLOOKUP(BD41,CENY!$B$11:$G$1054,3,FALSE)</f>
        <v>10</v>
      </c>
      <c r="BG41" s="22"/>
      <c r="BH41" s="23">
        <f>AY27</f>
        <v>0</v>
      </c>
      <c r="BI41" s="326">
        <f t="shared" si="5"/>
        <v>0</v>
      </c>
      <c r="BJ41" s="95">
        <f>VLOOKUP(BD41,CENY!$B$11:$M$2025,12,FALSE)</f>
        <v>298.88173999999998</v>
      </c>
      <c r="BK41" s="95">
        <f t="shared" si="6"/>
        <v>0</v>
      </c>
    </row>
    <row r="42" spans="2:63" ht="14.4" customHeight="1">
      <c r="AU42" s="319">
        <f>OBJ!B272</f>
        <v>9318219</v>
      </c>
      <c r="AV42" s="21" t="str">
        <f>VLOOKUP(AU42,CENY!$B$11:$G$1054,2,FALSE)</f>
        <v>Actro You(XL) 650/SiSy 70kg; EB21</v>
      </c>
      <c r="AW42" s="22">
        <f>VLOOKUP(AU42,CENY!$B$11:$G$1054,3,FALSE)</f>
        <v>1</v>
      </c>
      <c r="AX42" s="362">
        <v>10</v>
      </c>
      <c r="AY42" s="23">
        <f>AE22</f>
        <v>0</v>
      </c>
      <c r="AZ42" s="326">
        <f t="shared" ref="AZ42" si="24">IF(AY42="","",IF($AW$4=1,AY42,0))</f>
        <v>0</v>
      </c>
      <c r="BA42" s="95">
        <f>VLOOKUP(AU42,CENY!$B$11:$M$2025,12,FALSE)</f>
        <v>977.56314999999995</v>
      </c>
      <c r="BB42" s="95">
        <f t="shared" ref="BB42" si="25">IF(BA42="","",BA42*AY42)</f>
        <v>0</v>
      </c>
      <c r="BD42" s="319">
        <f>OBJ!B241</f>
        <v>9318150</v>
      </c>
      <c r="BE42" s="21" t="str">
        <f>VLOOKUP(BD42,CENY!$B$11:$G$1054,2,FALSE)</f>
        <v>Actro You(S) 350/SiSy 10kg; EB21; pravý</v>
      </c>
      <c r="BF42" s="22">
        <f>VLOOKUP(BD42,CENY!$B$11:$G$1054,3,FALSE)</f>
        <v>10</v>
      </c>
      <c r="BG42" s="22"/>
      <c r="BH42" s="23">
        <f>AY27</f>
        <v>0</v>
      </c>
      <c r="BI42" s="326">
        <f t="shared" si="5"/>
        <v>0</v>
      </c>
      <c r="BJ42" s="95">
        <f>VLOOKUP(BD42,CENY!$B$11:$M$2025,12,FALSE)</f>
        <v>298.88173999999998</v>
      </c>
      <c r="BK42" s="95">
        <f t="shared" si="6"/>
        <v>0</v>
      </c>
    </row>
    <row r="43" spans="2:63" ht="14.4" customHeight="1">
      <c r="AU43" s="319"/>
      <c r="AV43" s="21"/>
      <c r="AW43" s="22"/>
      <c r="AX43" s="22"/>
      <c r="AY43" s="23"/>
      <c r="AZ43" s="326" t="str">
        <f t="shared" si="4"/>
        <v/>
      </c>
      <c r="BA43" s="95"/>
      <c r="BB43" s="95" t="str">
        <f t="shared" si="1"/>
        <v/>
      </c>
      <c r="BD43" s="319"/>
      <c r="BE43" s="21"/>
      <c r="BF43" s="22"/>
      <c r="BG43" s="22"/>
      <c r="BH43" s="23"/>
      <c r="BI43" s="326" t="str">
        <f t="shared" si="5"/>
        <v/>
      </c>
      <c r="BJ43" s="95"/>
      <c r="BK43" s="95" t="str">
        <f t="shared" si="6"/>
        <v/>
      </c>
    </row>
    <row r="44" spans="2:63" ht="14.4" customHeight="1">
      <c r="AU44" s="319">
        <f>OBJ!B284</f>
        <v>9257890</v>
      </c>
      <c r="AV44" s="21" t="str">
        <f>VLOOKUP(AU44,CENY!$B$11:$G$1054,2,FALSE)</f>
        <v>Actro You - Push to open Silent; &lt;10kg</v>
      </c>
      <c r="AW44" s="22">
        <f>VLOOKUP(AU44,CENY!$B$11:$G$1054,3,FALSE)</f>
        <v>1</v>
      </c>
      <c r="AX44" s="22"/>
      <c r="AY44" s="23">
        <f>AN19</f>
        <v>0</v>
      </c>
      <c r="AZ44" s="326">
        <f t="shared" si="4"/>
        <v>0</v>
      </c>
      <c r="BA44" s="95">
        <f>VLOOKUP(AU44,CENY!$B$11:$M$2025,12,FALSE)</f>
        <v>481.81412999999998</v>
      </c>
      <c r="BB44" s="95">
        <f t="shared" si="1"/>
        <v>0</v>
      </c>
      <c r="BD44" s="319">
        <f>OBJ!B251</f>
        <v>9318167</v>
      </c>
      <c r="BE44" s="21" t="str">
        <f>VLOOKUP(BD44,CENY!$B$11:$G$1054,2,FALSE)</f>
        <v>Actro You(L) 270/SiSy 40kg; EB21; ľavý</v>
      </c>
      <c r="BF44" s="22">
        <f>VLOOKUP(BD44,CENY!$B$11:$G$1054,3,FALSE)</f>
        <v>10</v>
      </c>
      <c r="BG44" s="22"/>
      <c r="BH44" s="23">
        <f>AY29</f>
        <v>0</v>
      </c>
      <c r="BI44" s="326">
        <f t="shared" ref="BI44:BI45" si="26">IF(BH44="","",IF($AW$4=0,BH44,0))</f>
        <v>0</v>
      </c>
      <c r="BJ44" s="95">
        <f>VLOOKUP(BD44,CENY!$B$11:$M$2025,12,FALSE)</f>
        <v>298.88173999999998</v>
      </c>
      <c r="BK44" s="95">
        <f t="shared" ref="BK44:BK45" si="27">IF(BJ44="","",BJ44*BH44)</f>
        <v>0</v>
      </c>
    </row>
    <row r="45" spans="2:63" ht="14.4" customHeight="1">
      <c r="AU45" s="319">
        <f>OBJ!B285</f>
        <v>9257891</v>
      </c>
      <c r="AV45" s="21" t="str">
        <f>VLOOKUP(AU45,CENY!$B$11:$G$1054,2,FALSE)</f>
        <v>Actro You - Push to open Silent; 8-20kg</v>
      </c>
      <c r="AW45" s="22">
        <f>VLOOKUP(AU45,CENY!$B$11:$G$1054,3,FALSE)</f>
        <v>1</v>
      </c>
      <c r="AX45" s="22"/>
      <c r="AY45" s="23">
        <f>AN20</f>
        <v>0</v>
      </c>
      <c r="AZ45" s="326">
        <f t="shared" si="4"/>
        <v>0</v>
      </c>
      <c r="BA45" s="95">
        <f>VLOOKUP(AU45,CENY!$B$11:$M$2025,12,FALSE)</f>
        <v>481.81412999999998</v>
      </c>
      <c r="BB45" s="95">
        <f t="shared" si="1"/>
        <v>0</v>
      </c>
      <c r="BD45" s="319">
        <f>OBJ!B252</f>
        <v>9318170</v>
      </c>
      <c r="BE45" s="21" t="str">
        <f>VLOOKUP(BD45,CENY!$B$11:$G$1054,2,FALSE)</f>
        <v>Actro You(L) 270/SiSy 40kg; EB21; pravý</v>
      </c>
      <c r="BF45" s="22">
        <f>VLOOKUP(BD45,CENY!$B$11:$G$1054,3,FALSE)</f>
        <v>10</v>
      </c>
      <c r="BG45" s="22"/>
      <c r="BH45" s="23">
        <f>AY29</f>
        <v>0</v>
      </c>
      <c r="BI45" s="326">
        <f t="shared" si="26"/>
        <v>0</v>
      </c>
      <c r="BJ45" s="95">
        <f>VLOOKUP(BD45,CENY!$B$11:$M$2025,12,FALSE)</f>
        <v>298.88173999999998</v>
      </c>
      <c r="BK45" s="95">
        <f t="shared" si="27"/>
        <v>0</v>
      </c>
    </row>
    <row r="46" spans="2:63" ht="14.4" customHeight="1">
      <c r="AU46" s="319">
        <f>OBJ!B286</f>
        <v>9257892</v>
      </c>
      <c r="AV46" s="21" t="str">
        <f>VLOOKUP(AU46,CENY!$B$11:$G$1054,2,FALSE)</f>
        <v>Actro You - Push to open Silent; 10-40kg</v>
      </c>
      <c r="AW46" s="22">
        <f>VLOOKUP(AU46,CENY!$B$11:$G$1054,3,FALSE)</f>
        <v>1</v>
      </c>
      <c r="AX46" s="22"/>
      <c r="AY46" s="23">
        <f>AN21</f>
        <v>0</v>
      </c>
      <c r="AZ46" s="326">
        <f t="shared" si="4"/>
        <v>0</v>
      </c>
      <c r="BA46" s="95">
        <f>VLOOKUP(AU46,CENY!$B$11:$M$2025,12,FALSE)</f>
        <v>481.81412999999998</v>
      </c>
      <c r="BB46" s="95">
        <f t="shared" si="1"/>
        <v>0</v>
      </c>
      <c r="BD46" s="319">
        <f>OBJ!B253</f>
        <v>9318171</v>
      </c>
      <c r="BE46" s="21" t="str">
        <f>VLOOKUP(BD46,CENY!$B$11:$G$1054,2,FALSE)</f>
        <v>Actro You(L) 300/SiSy 40kg; EB21; ľavý</v>
      </c>
      <c r="BF46" s="22">
        <f>VLOOKUP(BD46,CENY!$B$11:$G$1054,3,FALSE)</f>
        <v>10</v>
      </c>
      <c r="BG46" s="22"/>
      <c r="BH46" s="23">
        <f>AY30</f>
        <v>0</v>
      </c>
      <c r="BI46" s="326">
        <f t="shared" si="5"/>
        <v>0</v>
      </c>
      <c r="BJ46" s="95">
        <f>VLOOKUP(BD46,CENY!$B$11:$M$2025,12,FALSE)</f>
        <v>298.88173999999998</v>
      </c>
      <c r="BK46" s="95">
        <f t="shared" si="6"/>
        <v>0</v>
      </c>
    </row>
    <row r="47" spans="2:63" ht="14.4" customHeight="1">
      <c r="AU47" s="319">
        <f>OBJ!B287</f>
        <v>9257893</v>
      </c>
      <c r="AV47" s="21" t="str">
        <f>VLOOKUP(AU47,CENY!$B$11:$G$1054,2,FALSE)</f>
        <v>Actro You - Push to open Silent; 20-70kg</v>
      </c>
      <c r="AW47" s="22">
        <f>VLOOKUP(AU47,CENY!$B$11:$G$1054,3,FALSE)</f>
        <v>1</v>
      </c>
      <c r="AX47" s="22"/>
      <c r="AY47" s="23">
        <f>AN22</f>
        <v>0</v>
      </c>
      <c r="AZ47" s="326">
        <f t="shared" si="4"/>
        <v>0</v>
      </c>
      <c r="BA47" s="95">
        <f>VLOOKUP(AU47,CENY!$B$11:$M$2025,12,FALSE)</f>
        <v>481.81412999999998</v>
      </c>
      <c r="BB47" s="95">
        <f t="shared" si="1"/>
        <v>0</v>
      </c>
      <c r="BD47" s="319">
        <f>OBJ!B254</f>
        <v>9318172</v>
      </c>
      <c r="BE47" s="21" t="str">
        <f>VLOOKUP(BD47,CENY!$B$11:$G$1054,2,FALSE)</f>
        <v>Actro You(L) 300/SiSy 40kg; EB21; pravý</v>
      </c>
      <c r="BF47" s="22">
        <f>VLOOKUP(BD47,CENY!$B$11:$G$1054,3,FALSE)</f>
        <v>10</v>
      </c>
      <c r="BG47" s="22"/>
      <c r="BH47" s="23">
        <f>AY30</f>
        <v>0</v>
      </c>
      <c r="BI47" s="326">
        <f t="shared" si="5"/>
        <v>0</v>
      </c>
      <c r="BJ47" s="95">
        <f>VLOOKUP(BD47,CENY!$B$11:$M$2025,12,FALSE)</f>
        <v>298.88173999999998</v>
      </c>
      <c r="BK47" s="95">
        <f t="shared" si="6"/>
        <v>0</v>
      </c>
    </row>
    <row r="48" spans="2:63" ht="14.4" customHeight="1">
      <c r="AU48" s="319">
        <f>OBJ!B288</f>
        <v>9236718</v>
      </c>
      <c r="AV48" s="21" t="str">
        <f>VLOOKUP(AU48,CENY!$B$11:$G$1054,2,FALSE)</f>
        <v>Push to open Synchro / tyč 2.000 mm</v>
      </c>
      <c r="AW48" s="22">
        <f>VLOOKUP(AU48,CENY!$B$11:$G$1054,3,FALSE)</f>
        <v>100</v>
      </c>
      <c r="AX48" s="22"/>
      <c r="AY48" s="23">
        <f>SUM(AN19:AO22)+SUM(AN27:AO29)+SUM(O30:AD30)</f>
        <v>0</v>
      </c>
      <c r="AZ48" s="326">
        <f t="shared" si="4"/>
        <v>0</v>
      </c>
      <c r="BA48" s="95">
        <f>VLOOKUP(AU48,CENY!$B$11:$M$2025,12,FALSE)</f>
        <v>182.03933000000001</v>
      </c>
      <c r="BB48" s="95">
        <f t="shared" si="1"/>
        <v>0</v>
      </c>
      <c r="BD48" s="319">
        <f>OBJ!B255</f>
        <v>9318173</v>
      </c>
      <c r="BE48" s="21" t="str">
        <f>VLOOKUP(BD48,CENY!$B$11:$G$1054,2,FALSE)</f>
        <v>Actro You(L) 350/SiSy 40kg; EB21; ľavý</v>
      </c>
      <c r="BF48" s="22">
        <f>VLOOKUP(BD48,CENY!$B$11:$G$1054,3,FALSE)</f>
        <v>10</v>
      </c>
      <c r="BG48" s="22"/>
      <c r="BH48" s="23">
        <f>AY31</f>
        <v>0</v>
      </c>
      <c r="BI48" s="326">
        <f t="shared" si="5"/>
        <v>0</v>
      </c>
      <c r="BJ48" s="95">
        <f>VLOOKUP(BD48,CENY!$B$11:$M$2025,12,FALSE)</f>
        <v>298.88173999999998</v>
      </c>
      <c r="BK48" s="95">
        <f t="shared" si="6"/>
        <v>0</v>
      </c>
    </row>
    <row r="49" spans="47:63" ht="14.4" customHeight="1">
      <c r="AU49" s="319"/>
      <c r="AV49" s="21"/>
      <c r="AW49" s="22"/>
      <c r="AX49" s="22"/>
      <c r="AY49" s="23"/>
      <c r="AZ49" s="326" t="str">
        <f t="shared" si="4"/>
        <v/>
      </c>
      <c r="BA49" s="95"/>
      <c r="BB49" s="95" t="str">
        <f t="shared" si="1"/>
        <v/>
      </c>
      <c r="BD49" s="319">
        <f>OBJ!B256</f>
        <v>9318174</v>
      </c>
      <c r="BE49" s="21" t="str">
        <f>VLOOKUP(BD49,CENY!$B$11:$G$1054,2,FALSE)</f>
        <v>Actro You(L) 350/SiSy 40kg; EB21; pravý</v>
      </c>
      <c r="BF49" s="22">
        <f>VLOOKUP(BD49,CENY!$B$11:$G$1054,3,FALSE)</f>
        <v>10</v>
      </c>
      <c r="BG49" s="22"/>
      <c r="BH49" s="23">
        <f>AY31</f>
        <v>0</v>
      </c>
      <c r="BI49" s="326">
        <f t="shared" si="5"/>
        <v>0</v>
      </c>
      <c r="BJ49" s="95">
        <f>VLOOKUP(BD49,CENY!$B$11:$M$2025,12,FALSE)</f>
        <v>298.88173999999998</v>
      </c>
      <c r="BK49" s="95">
        <f t="shared" si="6"/>
        <v>0</v>
      </c>
    </row>
    <row r="50" spans="47:63" ht="14.4" customHeight="1">
      <c r="AU50" s="319">
        <f>OBJ!B294</f>
        <v>9256953</v>
      </c>
      <c r="AV50" s="21" t="str">
        <f>VLOOKUP(AU50,CENY!$B$11:$G$1054,2,FALSE)</f>
        <v>Quadro You(S) 270/SiSy 10kg; EB21</v>
      </c>
      <c r="AW50" s="22">
        <f>VLOOKUP(AU50,CENY!$B$11:$G$1054,3,FALSE)</f>
        <v>1</v>
      </c>
      <c r="AX50" s="362">
        <v>4</v>
      </c>
      <c r="AY50" s="23">
        <f>O27</f>
        <v>0</v>
      </c>
      <c r="AZ50" s="326">
        <f t="shared" ref="AZ50" si="28">IF(AY50="","",IF($AW$4=1,AY50,0))</f>
        <v>0</v>
      </c>
      <c r="BA50" s="95">
        <f>VLOOKUP(AU50,CENY!$B$11:$M$2025,12,FALSE)</f>
        <v>478.60127999999997</v>
      </c>
      <c r="BB50" s="95">
        <f t="shared" ref="BB50" si="29">IF(BA50="","",BA50*AY50)</f>
        <v>0</v>
      </c>
      <c r="BD50" s="319">
        <f>OBJ!B257</f>
        <v>9318175</v>
      </c>
      <c r="BE50" s="21" t="str">
        <f>VLOOKUP(BD50,CENY!$B$11:$G$1054,2,FALSE)</f>
        <v>Actro You(L) 400/SiSy 40kg; EB21; ľavý</v>
      </c>
      <c r="BF50" s="22">
        <f>VLOOKUP(BD50,CENY!$B$11:$G$1054,3,FALSE)</f>
        <v>10</v>
      </c>
      <c r="BG50" s="22"/>
      <c r="BH50" s="23">
        <f>AY32</f>
        <v>0</v>
      </c>
      <c r="BI50" s="326">
        <f t="shared" si="5"/>
        <v>0</v>
      </c>
      <c r="BJ50" s="95">
        <f>VLOOKUP(BD50,CENY!$B$11:$M$2025,12,FALSE)</f>
        <v>302.69770999999997</v>
      </c>
      <c r="BK50" s="95">
        <f t="shared" si="6"/>
        <v>0</v>
      </c>
    </row>
    <row r="51" spans="47:63" ht="14.4" customHeight="1">
      <c r="AU51" s="319">
        <f>OBJ!B295</f>
        <v>9256954</v>
      </c>
      <c r="AV51" s="21" t="str">
        <f>VLOOKUP(AU51,CENY!$B$11:$G$1054,2,FALSE)</f>
        <v>Quadro You(S) 300/SiSy 10kg; EB21</v>
      </c>
      <c r="AW51" s="22">
        <f>VLOOKUP(AU51,CENY!$B$11:$G$1054,3,FALSE)</f>
        <v>1</v>
      </c>
      <c r="AX51" s="362">
        <v>4</v>
      </c>
      <c r="AY51" s="23">
        <f>Q27</f>
        <v>0</v>
      </c>
      <c r="AZ51" s="326">
        <f t="shared" si="4"/>
        <v>0</v>
      </c>
      <c r="BA51" s="95">
        <f>VLOOKUP(AU51,CENY!$B$11:$M$2025,12,FALSE)</f>
        <v>479.57344999999998</v>
      </c>
      <c r="BB51" s="95">
        <f t="shared" si="1"/>
        <v>0</v>
      </c>
      <c r="BD51" s="319">
        <f>OBJ!B258</f>
        <v>9318176</v>
      </c>
      <c r="BE51" s="21" t="str">
        <f>VLOOKUP(BD51,CENY!$B$11:$G$1054,2,FALSE)</f>
        <v>Actro You(L) 400/SiSy 40kg; EB21; pravý</v>
      </c>
      <c r="BF51" s="22">
        <f>VLOOKUP(BD51,CENY!$B$11:$G$1054,3,FALSE)</f>
        <v>10</v>
      </c>
      <c r="BG51" s="22"/>
      <c r="BH51" s="23">
        <f>AY32</f>
        <v>0</v>
      </c>
      <c r="BI51" s="326">
        <f t="shared" si="5"/>
        <v>0</v>
      </c>
      <c r="BJ51" s="95">
        <f>VLOOKUP(BD51,CENY!$B$11:$M$2025,12,FALSE)</f>
        <v>302.69770999999997</v>
      </c>
      <c r="BK51" s="95">
        <f t="shared" si="6"/>
        <v>0</v>
      </c>
    </row>
    <row r="52" spans="47:63" ht="14.4" customHeight="1">
      <c r="AU52" s="319">
        <f>OBJ!B296</f>
        <v>9256956</v>
      </c>
      <c r="AV52" s="21" t="str">
        <f>VLOOKUP(AU52,CENY!$B$11:$G$1054,2,FALSE)</f>
        <v>Quadro You(S) 350/SiSy 10kg; EB21</v>
      </c>
      <c r="AW52" s="22">
        <f>VLOOKUP(AU52,CENY!$B$11:$G$1054,3,FALSE)</f>
        <v>1</v>
      </c>
      <c r="AX52" s="362">
        <v>4</v>
      </c>
      <c r="AY52" s="23">
        <f>S27</f>
        <v>0</v>
      </c>
      <c r="AZ52" s="326">
        <f t="shared" si="4"/>
        <v>0</v>
      </c>
      <c r="BA52" s="95">
        <f>VLOOKUP(AU52,CENY!$B$11:$M$2025,12,FALSE)</f>
        <v>489.27857</v>
      </c>
      <c r="BB52" s="95">
        <f t="shared" si="1"/>
        <v>0</v>
      </c>
      <c r="BD52" s="319">
        <f>OBJ!B259</f>
        <v>9318177</v>
      </c>
      <c r="BE52" s="21" t="str">
        <f>VLOOKUP(BD52,CENY!$B$11:$G$1054,2,FALSE)</f>
        <v>Actro You(L) 450/SiSy 40kg; EB21; ľavý</v>
      </c>
      <c r="BF52" s="22">
        <f>VLOOKUP(BD52,CENY!$B$11:$G$1054,3,FALSE)</f>
        <v>10</v>
      </c>
      <c r="BG52" s="22"/>
      <c r="BH52" s="23">
        <f>AY33</f>
        <v>0</v>
      </c>
      <c r="BI52" s="326">
        <f t="shared" si="5"/>
        <v>0</v>
      </c>
      <c r="BJ52" s="95">
        <f>VLOOKUP(BD52,CENY!$B$11:$M$2025,12,FALSE)</f>
        <v>298.33073999999999</v>
      </c>
      <c r="BK52" s="95">
        <f t="shared" si="6"/>
        <v>0</v>
      </c>
    </row>
    <row r="53" spans="47:63" ht="14.4" customHeight="1">
      <c r="AU53" s="319"/>
      <c r="AV53" s="21"/>
      <c r="AW53" s="22"/>
      <c r="AX53" s="22"/>
      <c r="AY53" s="23"/>
      <c r="AZ53" s="326" t="str">
        <f t="shared" si="4"/>
        <v/>
      </c>
      <c r="BA53" s="95"/>
      <c r="BB53" s="95" t="str">
        <f t="shared" si="1"/>
        <v/>
      </c>
      <c r="BD53" s="319">
        <f>OBJ!B260</f>
        <v>9318178</v>
      </c>
      <c r="BE53" s="21" t="str">
        <f>VLOOKUP(BD53,CENY!$B$11:$G$1054,2,FALSE)</f>
        <v>Actro You(L) 450/SiSy 40kg; EB21; pravý</v>
      </c>
      <c r="BF53" s="22">
        <f>VLOOKUP(BD53,CENY!$B$11:$G$1054,3,FALSE)</f>
        <v>10</v>
      </c>
      <c r="BG53" s="22"/>
      <c r="BH53" s="23">
        <f>AY33</f>
        <v>0</v>
      </c>
      <c r="BI53" s="326">
        <f t="shared" si="5"/>
        <v>0</v>
      </c>
      <c r="BJ53" s="95">
        <f>VLOOKUP(BD53,CENY!$B$11:$M$2025,12,FALSE)</f>
        <v>298.33073999999999</v>
      </c>
      <c r="BK53" s="95">
        <f t="shared" si="6"/>
        <v>0</v>
      </c>
    </row>
    <row r="54" spans="47:63" ht="14.4" customHeight="1">
      <c r="AU54" s="319">
        <f>OBJ!B304</f>
        <v>9256883</v>
      </c>
      <c r="AV54" s="21" t="str">
        <f>VLOOKUP(AU54,CENY!$B$11:$G$1054,2,FALSE)</f>
        <v>Quadro You(M) 270/SiSy 20kg; EB21</v>
      </c>
      <c r="AW54" s="22">
        <f>VLOOKUP(AU54,CENY!$B$11:$G$1054,3,FALSE)</f>
        <v>1</v>
      </c>
      <c r="AX54" s="362">
        <v>8</v>
      </c>
      <c r="AY54" s="23">
        <f>O28</f>
        <v>0</v>
      </c>
      <c r="AZ54" s="326">
        <f t="shared" ref="AZ54" si="30">IF(AY54="","",IF($AW$4=1,AY54,0))</f>
        <v>0</v>
      </c>
      <c r="BA54" s="95">
        <f>VLOOKUP(AU54,CENY!$B$11:$M$2025,12,FALSE)</f>
        <v>478.60127999999997</v>
      </c>
      <c r="BB54" s="95">
        <f t="shared" ref="BB54" si="31">IF(BA54="","",BA54*AY54)</f>
        <v>0</v>
      </c>
      <c r="BD54" s="319">
        <f>OBJ!B261</f>
        <v>9318179</v>
      </c>
      <c r="BE54" s="21" t="str">
        <f>VLOOKUP(BD54,CENY!$B$11:$G$1054,2,FALSE)</f>
        <v>Actro You(L) 500/SiSy 40kg; EB21; ľavý</v>
      </c>
      <c r="BF54" s="22">
        <f>VLOOKUP(BD54,CENY!$B$11:$G$1054,3,FALSE)</f>
        <v>10</v>
      </c>
      <c r="BG54" s="22"/>
      <c r="BH54" s="23">
        <f>AY34</f>
        <v>0</v>
      </c>
      <c r="BI54" s="326">
        <f t="shared" si="5"/>
        <v>0</v>
      </c>
      <c r="BJ54" s="95">
        <f>VLOOKUP(BD54,CENY!$B$11:$M$2025,12,FALSE)</f>
        <v>296.00905</v>
      </c>
      <c r="BK54" s="95">
        <f t="shared" si="6"/>
        <v>0</v>
      </c>
    </row>
    <row r="55" spans="47:63" ht="14.4" customHeight="1">
      <c r="AU55" s="319">
        <f>OBJ!B305</f>
        <v>9256884</v>
      </c>
      <c r="AV55" s="21" t="str">
        <f>VLOOKUP(AU55,CENY!$B$11:$G$1054,2,FALSE)</f>
        <v>Quadro You(M) 300/SiSy 20kg; EB21</v>
      </c>
      <c r="AW55" s="22">
        <f>VLOOKUP(AU55,CENY!$B$11:$G$1054,3,FALSE)</f>
        <v>1</v>
      </c>
      <c r="AX55" s="362">
        <v>8</v>
      </c>
      <c r="AY55" s="23">
        <f>Q28</f>
        <v>0</v>
      </c>
      <c r="AZ55" s="326">
        <f t="shared" si="4"/>
        <v>0</v>
      </c>
      <c r="BA55" s="95">
        <f>VLOOKUP(AU55,CENY!$B$11:$M$2025,12,FALSE)</f>
        <v>479.57344999999998</v>
      </c>
      <c r="BB55" s="95">
        <f t="shared" si="1"/>
        <v>0</v>
      </c>
      <c r="BD55" s="319">
        <f>OBJ!B262</f>
        <v>9318180</v>
      </c>
      <c r="BE55" s="21" t="str">
        <f>VLOOKUP(BD55,CENY!$B$11:$G$1054,2,FALSE)</f>
        <v>Actro You(L) 500/SiSy 40kg; EB21; pravý</v>
      </c>
      <c r="BF55" s="22">
        <f>VLOOKUP(BD55,CENY!$B$11:$G$1054,3,FALSE)</f>
        <v>10</v>
      </c>
      <c r="BG55" s="22"/>
      <c r="BH55" s="23">
        <f>AY34</f>
        <v>0</v>
      </c>
      <c r="BI55" s="326">
        <f t="shared" si="5"/>
        <v>0</v>
      </c>
      <c r="BJ55" s="95">
        <f>VLOOKUP(BD55,CENY!$B$11:$M$2025,12,FALSE)</f>
        <v>296.00905</v>
      </c>
      <c r="BK55" s="95">
        <f t="shared" si="6"/>
        <v>0</v>
      </c>
    </row>
    <row r="56" spans="47:63" ht="14.4" customHeight="1">
      <c r="AU56" s="319">
        <f>OBJ!B306</f>
        <v>9256886</v>
      </c>
      <c r="AV56" s="21" t="str">
        <f>VLOOKUP(AU56,CENY!$B$11:$G$1054,2,FALSE)</f>
        <v>Quadro You(M) 350/SiSy 25kg; EB21</v>
      </c>
      <c r="AW56" s="22">
        <f>VLOOKUP(AU56,CENY!$B$11:$G$1054,3,FALSE)</f>
        <v>1</v>
      </c>
      <c r="AX56" s="362">
        <v>8</v>
      </c>
      <c r="AY56" s="23">
        <f>S28</f>
        <v>0</v>
      </c>
      <c r="AZ56" s="326">
        <f t="shared" si="4"/>
        <v>0</v>
      </c>
      <c r="BA56" s="95">
        <f>VLOOKUP(AU56,CENY!$B$11:$M$2025,12,FALSE)</f>
        <v>489.27857</v>
      </c>
      <c r="BB56" s="95">
        <f t="shared" si="1"/>
        <v>0</v>
      </c>
      <c r="BD56" s="319">
        <f>OBJ!B263</f>
        <v>9318181</v>
      </c>
      <c r="BE56" s="21" t="str">
        <f>VLOOKUP(BD56,CENY!$B$11:$G$1054,2,FALSE)</f>
        <v>Actro You(L) 550/SiSy 40kg; EB21; ľavý</v>
      </c>
      <c r="BF56" s="22">
        <f>VLOOKUP(BD56,CENY!$B$11:$G$1054,3,FALSE)</f>
        <v>10</v>
      </c>
      <c r="BG56" s="22"/>
      <c r="BH56" s="23">
        <f>AY35</f>
        <v>0</v>
      </c>
      <c r="BI56" s="326">
        <f t="shared" si="5"/>
        <v>0</v>
      </c>
      <c r="BJ56" s="95">
        <f>VLOOKUP(BD56,CENY!$B$11:$M$2025,12,FALSE)</f>
        <v>321.83461999999997</v>
      </c>
      <c r="BK56" s="95">
        <f t="shared" si="6"/>
        <v>0</v>
      </c>
    </row>
    <row r="57" spans="47:63" ht="14.4" customHeight="1">
      <c r="AU57" s="319">
        <f>OBJ!B307</f>
        <v>9256888</v>
      </c>
      <c r="AV57" s="21" t="str">
        <f>VLOOKUP(AU57,CENY!$B$11:$G$1054,2,FALSE)</f>
        <v>Quadro You(M) 400/SiSy 30kg; EB21</v>
      </c>
      <c r="AW57" s="22">
        <f>VLOOKUP(AU57,CENY!$B$11:$G$1054,3,FALSE)</f>
        <v>1</v>
      </c>
      <c r="AX57" s="362">
        <v>8</v>
      </c>
      <c r="AY57" s="23">
        <f>U28</f>
        <v>0</v>
      </c>
      <c r="AZ57" s="326">
        <f t="shared" si="4"/>
        <v>0</v>
      </c>
      <c r="BA57" s="95">
        <f>VLOOKUP(AU57,CENY!$B$11:$M$2025,12,FALSE)</f>
        <v>498.97861999999998</v>
      </c>
      <c r="BB57" s="95">
        <f t="shared" si="1"/>
        <v>0</v>
      </c>
      <c r="BD57" s="319">
        <f>OBJ!B264</f>
        <v>9318182</v>
      </c>
      <c r="BE57" s="21" t="str">
        <f>VLOOKUP(BD57,CENY!$B$11:$G$1054,2,FALSE)</f>
        <v>Actro You(L) 550/SiSy 40kg; EB21; pravý</v>
      </c>
      <c r="BF57" s="22">
        <f>VLOOKUP(BD57,CENY!$B$11:$G$1054,3,FALSE)</f>
        <v>10</v>
      </c>
      <c r="BG57" s="22"/>
      <c r="BH57" s="23">
        <f>AY35</f>
        <v>0</v>
      </c>
      <c r="BI57" s="326">
        <f t="shared" si="5"/>
        <v>0</v>
      </c>
      <c r="BJ57" s="95">
        <f>VLOOKUP(BD57,CENY!$B$11:$M$2025,12,FALSE)</f>
        <v>321.83461999999997</v>
      </c>
      <c r="BK57" s="95">
        <f t="shared" si="6"/>
        <v>0</v>
      </c>
    </row>
    <row r="58" spans="47:63" ht="14.4" customHeight="1">
      <c r="AU58" s="319">
        <f>OBJ!B308</f>
        <v>9256890</v>
      </c>
      <c r="AV58" s="21" t="str">
        <f>VLOOKUP(AU58,CENY!$B$11:$G$1054,2,FALSE)</f>
        <v>Quadro You(M) 450/SiSy 30kg; EB21</v>
      </c>
      <c r="AW58" s="22">
        <f>VLOOKUP(AU58,CENY!$B$11:$G$1054,3,FALSE)</f>
        <v>1</v>
      </c>
      <c r="AX58" s="362">
        <v>8</v>
      </c>
      <c r="AY58" s="23">
        <f>W28</f>
        <v>0</v>
      </c>
      <c r="AZ58" s="326">
        <f t="shared" si="4"/>
        <v>0</v>
      </c>
      <c r="BA58" s="95">
        <f>VLOOKUP(AU58,CENY!$B$11:$M$2025,12,FALSE)</f>
        <v>122.98869999999999</v>
      </c>
      <c r="BB58" s="95">
        <f t="shared" si="1"/>
        <v>0</v>
      </c>
      <c r="BD58" s="319">
        <f>OBJ!B265</f>
        <v>9318183</v>
      </c>
      <c r="BE58" s="21" t="str">
        <f>VLOOKUP(BD58,CENY!$B$11:$G$1054,2,FALSE)</f>
        <v>Actro You(L) 600/SiSy 40kg; EB21; ľavý</v>
      </c>
      <c r="BF58" s="22">
        <f>VLOOKUP(BD58,CENY!$B$11:$G$1054,3,FALSE)</f>
        <v>10</v>
      </c>
      <c r="BG58" s="22"/>
      <c r="BH58" s="23">
        <f>AY36</f>
        <v>0</v>
      </c>
      <c r="BI58" s="326">
        <f t="shared" si="5"/>
        <v>0</v>
      </c>
      <c r="BJ58" s="95">
        <f>VLOOKUP(BD58,CENY!$B$11:$M$2025,12,FALSE)</f>
        <v>326.21229</v>
      </c>
      <c r="BK58" s="95">
        <f t="shared" si="6"/>
        <v>0</v>
      </c>
    </row>
    <row r="59" spans="47:63" ht="14.4" customHeight="1">
      <c r="AU59" s="319">
        <f>OBJ!B309</f>
        <v>9256892</v>
      </c>
      <c r="AV59" s="21" t="str">
        <f>VLOOKUP(AU59,CENY!$B$11:$G$1054,2,FALSE)</f>
        <v>Quadro You(M) 500/SiSy 30kg; EB21</v>
      </c>
      <c r="AW59" s="22">
        <f>VLOOKUP(AU59,CENY!$B$11:$G$1054,3,FALSE)</f>
        <v>1</v>
      </c>
      <c r="AX59" s="362">
        <v>8</v>
      </c>
      <c r="AY59" s="23">
        <f>Y28</f>
        <v>0</v>
      </c>
      <c r="AZ59" s="326">
        <f t="shared" si="4"/>
        <v>0</v>
      </c>
      <c r="BA59" s="95">
        <f>VLOOKUP(AU59,CENY!$B$11:$M$2025,12,FALSE)</f>
        <v>504.59701000000001</v>
      </c>
      <c r="BB59" s="95">
        <f t="shared" si="1"/>
        <v>0</v>
      </c>
      <c r="BD59" s="319">
        <f>OBJ!B266</f>
        <v>9318184</v>
      </c>
      <c r="BE59" s="21" t="str">
        <f>VLOOKUP(BD59,CENY!$B$11:$G$1054,2,FALSE)</f>
        <v>Actro You(L) 600/SiSy 40kg; EB21; pravý</v>
      </c>
      <c r="BF59" s="22">
        <f>VLOOKUP(BD59,CENY!$B$11:$G$1054,3,FALSE)</f>
        <v>10</v>
      </c>
      <c r="BG59" s="22"/>
      <c r="BH59" s="23">
        <f>AY36</f>
        <v>0</v>
      </c>
      <c r="BI59" s="326">
        <f t="shared" si="5"/>
        <v>0</v>
      </c>
      <c r="BJ59" s="95">
        <f>VLOOKUP(BD59,CENY!$B$11:$M$2025,12,FALSE)</f>
        <v>326.21229</v>
      </c>
      <c r="BK59" s="95">
        <f t="shared" si="6"/>
        <v>0</v>
      </c>
    </row>
    <row r="60" spans="47:63" ht="14.4" customHeight="1">
      <c r="AU60" s="319">
        <f>OBJ!B310</f>
        <v>9256894</v>
      </c>
      <c r="AV60" s="21" t="str">
        <f>VLOOKUP(AU60,CENY!$B$11:$G$1054,2,FALSE)</f>
        <v>Quadro You(M) 550/SiSy 30kg; EB21</v>
      </c>
      <c r="AW60" s="22">
        <f>VLOOKUP(AU60,CENY!$B$11:$G$1054,3,FALSE)</f>
        <v>1</v>
      </c>
      <c r="AX60" s="362">
        <v>8</v>
      </c>
      <c r="AY60" s="23">
        <f>AA28</f>
        <v>0</v>
      </c>
      <c r="AZ60" s="326">
        <f t="shared" si="4"/>
        <v>0</v>
      </c>
      <c r="BA60" s="95">
        <f>VLOOKUP(AU60,CENY!$B$11:$M$2025,12,FALSE)</f>
        <v>127.68105</v>
      </c>
      <c r="BB60" s="95">
        <f t="shared" si="1"/>
        <v>0</v>
      </c>
      <c r="BD60" s="319"/>
      <c r="BE60" s="21"/>
      <c r="BF60" s="22"/>
      <c r="BG60" s="22"/>
      <c r="BH60" s="23"/>
      <c r="BI60" s="326" t="str">
        <f t="shared" si="5"/>
        <v/>
      </c>
      <c r="BJ60" s="95"/>
      <c r="BK60" s="95" t="str">
        <f t="shared" si="6"/>
        <v/>
      </c>
    </row>
    <row r="61" spans="47:63" ht="14.4" customHeight="1">
      <c r="AU61" s="319">
        <f>OBJ!B311</f>
        <v>9256896</v>
      </c>
      <c r="AV61" s="21" t="str">
        <f>VLOOKUP(AU61,CENY!$B$11:$G$1054,2,FALSE)</f>
        <v>Quadro You(M) 600/SiSy 25kg; EB21</v>
      </c>
      <c r="AW61" s="22">
        <f>VLOOKUP(AU61,CENY!$B$11:$G$1054,3,FALSE)</f>
        <v>1</v>
      </c>
      <c r="AX61" s="362">
        <v>8</v>
      </c>
      <c r="AY61" s="23">
        <f>AC28</f>
        <v>0</v>
      </c>
      <c r="AZ61" s="326">
        <f t="shared" si="4"/>
        <v>0</v>
      </c>
      <c r="BA61" s="95">
        <f>VLOOKUP(AU61,CENY!$B$11:$M$2025,12,FALSE)</f>
        <v>537.79395</v>
      </c>
      <c r="BB61" s="95">
        <f t="shared" si="1"/>
        <v>0</v>
      </c>
      <c r="BD61" s="319">
        <f>OBJ!B273</f>
        <v>9318198</v>
      </c>
      <c r="BE61" s="21" t="str">
        <f>VLOOKUP(BD61,CENY!$B$11:$G$1054,2,FALSE)</f>
        <v>Actro You(XL) 450/SiSy 70kg; EB21; ľavý</v>
      </c>
      <c r="BF61" s="22">
        <f>VLOOKUP(BD61,CENY!$B$11:$G$1054,3,FALSE)</f>
        <v>10</v>
      </c>
      <c r="BG61" s="22"/>
      <c r="BH61" s="23">
        <f>AY38</f>
        <v>0</v>
      </c>
      <c r="BI61" s="326">
        <f t="shared" si="5"/>
        <v>0</v>
      </c>
      <c r="BJ61" s="95">
        <f>VLOOKUP(BD61,CENY!$B$11:$M$2025,12,FALSE)</f>
        <v>368.62277</v>
      </c>
      <c r="BK61" s="95">
        <f t="shared" si="6"/>
        <v>0</v>
      </c>
    </row>
    <row r="62" spans="47:63" ht="14.4" customHeight="1">
      <c r="AU62" s="319"/>
      <c r="AV62" s="21"/>
      <c r="AW62" s="22"/>
      <c r="AX62" s="22"/>
      <c r="AY62" s="23"/>
      <c r="AZ62" s="326" t="str">
        <f t="shared" si="4"/>
        <v/>
      </c>
      <c r="BA62" s="95"/>
      <c r="BB62" s="95" t="str">
        <f t="shared" si="1"/>
        <v/>
      </c>
      <c r="BD62" s="319">
        <f>OBJ!B274</f>
        <v>9318199</v>
      </c>
      <c r="BE62" s="21" t="str">
        <f>VLOOKUP(BD62,CENY!$B$11:$G$1054,2,FALSE)</f>
        <v>Actro You(XL) 450/SiSy 70kg; EB21; pravý</v>
      </c>
      <c r="BF62" s="22">
        <f>VLOOKUP(BD62,CENY!$B$11:$G$1054,3,FALSE)</f>
        <v>10</v>
      </c>
      <c r="BG62" s="22"/>
      <c r="BH62" s="23">
        <f>AY38</f>
        <v>0</v>
      </c>
      <c r="BI62" s="326">
        <f t="shared" si="5"/>
        <v>0</v>
      </c>
      <c r="BJ62" s="95">
        <f>VLOOKUP(BD62,CENY!$B$11:$M$2025,12,FALSE)</f>
        <v>368.62277</v>
      </c>
      <c r="BK62" s="95">
        <f t="shared" si="6"/>
        <v>0</v>
      </c>
    </row>
    <row r="63" spans="47:63" ht="14.4" customHeight="1">
      <c r="AU63" s="319">
        <f>OBJ!B329</f>
        <v>9257894</v>
      </c>
      <c r="AV63" s="21" t="str">
        <f>VLOOKUP(AU63,CENY!$B$11:$G$1054,2,FALSE)</f>
        <v>Quadro You - Push to open Silent; &lt;10kg</v>
      </c>
      <c r="AW63" s="22">
        <f>VLOOKUP(AU63,CENY!$B$11:$G$1054,3,FALSE)</f>
        <v>1</v>
      </c>
      <c r="AX63" s="22"/>
      <c r="AY63" s="23">
        <f>AN27</f>
        <v>0</v>
      </c>
      <c r="AZ63" s="326">
        <f t="shared" si="4"/>
        <v>0</v>
      </c>
      <c r="BA63" s="95">
        <f>VLOOKUP(AU63,CENY!$B$11:$M$2025,12,FALSE)</f>
        <v>480.50922000000003</v>
      </c>
      <c r="BB63" s="95">
        <f t="shared" si="1"/>
        <v>0</v>
      </c>
      <c r="BD63" s="319">
        <f>OBJ!B275</f>
        <v>9318201</v>
      </c>
      <c r="BE63" s="21" t="str">
        <f>VLOOKUP(BD63,CENY!$B$11:$G$1054,2,FALSE)</f>
        <v>Actro You(XL) 500/SiSy 70kg; EB21; ľavý</v>
      </c>
      <c r="BF63" s="22">
        <f>VLOOKUP(BD63,CENY!$B$11:$G$1054,3,FALSE)</f>
        <v>10</v>
      </c>
      <c r="BG63" s="22"/>
      <c r="BH63" s="23">
        <f>AY39</f>
        <v>0</v>
      </c>
      <c r="BI63" s="326">
        <f t="shared" si="5"/>
        <v>0</v>
      </c>
      <c r="BJ63" s="95">
        <f>VLOOKUP(BD63,CENY!$B$11:$M$2025,12,FALSE)</f>
        <v>372.33726999999999</v>
      </c>
      <c r="BK63" s="95">
        <f t="shared" si="6"/>
        <v>0</v>
      </c>
    </row>
    <row r="64" spans="47:63" ht="14.4" customHeight="1">
      <c r="AU64" s="319">
        <f>OBJ!B330</f>
        <v>9257895</v>
      </c>
      <c r="AV64" s="21" t="str">
        <f>VLOOKUP(AU64,CENY!$B$11:$G$1054,2,FALSE)</f>
        <v>Quadro You - Push to open Silent; 8-20kg</v>
      </c>
      <c r="AW64" s="22">
        <f>VLOOKUP(AU64,CENY!$B$11:$G$1054,3,FALSE)</f>
        <v>1</v>
      </c>
      <c r="AX64" s="22"/>
      <c r="AY64" s="23">
        <f>AN28</f>
        <v>0</v>
      </c>
      <c r="AZ64" s="326">
        <f t="shared" si="4"/>
        <v>0</v>
      </c>
      <c r="BA64" s="95">
        <f>VLOOKUP(AU64,CENY!$B$11:$M$2025,12,FALSE)</f>
        <v>480.50922000000003</v>
      </c>
      <c r="BB64" s="95">
        <f t="shared" si="1"/>
        <v>0</v>
      </c>
      <c r="BD64" s="319">
        <f>OBJ!B276</f>
        <v>9318203</v>
      </c>
      <c r="BE64" s="21" t="str">
        <f>VLOOKUP(BD64,CENY!$B$11:$G$1054,2,FALSE)</f>
        <v>Actro You(XL) 500/SiSy 70kg; EB21; pravý</v>
      </c>
      <c r="BF64" s="22">
        <f>VLOOKUP(BD64,CENY!$B$11:$G$1054,3,FALSE)</f>
        <v>10</v>
      </c>
      <c r="BG64" s="22"/>
      <c r="BH64" s="23">
        <f>AY39</f>
        <v>0</v>
      </c>
      <c r="BI64" s="326">
        <f t="shared" si="5"/>
        <v>0</v>
      </c>
      <c r="BJ64" s="95">
        <f>VLOOKUP(BD64,CENY!$B$11:$M$2025,12,FALSE)</f>
        <v>372.33726999999999</v>
      </c>
      <c r="BK64" s="95">
        <f t="shared" si="6"/>
        <v>0</v>
      </c>
    </row>
    <row r="65" spans="47:63" ht="14.4" customHeight="1">
      <c r="AU65" s="319">
        <f>OBJ!B331</f>
        <v>9257896</v>
      </c>
      <c r="AV65" s="21" t="str">
        <f>VLOOKUP(AU65,CENY!$B$11:$G$1054,2,FALSE)</f>
        <v>Quadro You - Push to open Silent; 10-30kg</v>
      </c>
      <c r="AW65" s="22">
        <f>VLOOKUP(AU65,CENY!$B$11:$G$1054,3,FALSE)</f>
        <v>1</v>
      </c>
      <c r="AX65" s="22"/>
      <c r="AY65" s="23">
        <f>AN29</f>
        <v>0</v>
      </c>
      <c r="AZ65" s="326">
        <f t="shared" si="4"/>
        <v>0</v>
      </c>
      <c r="BA65" s="95">
        <f>VLOOKUP(AU65,CENY!$B$11:$M$2025,12,FALSE)</f>
        <v>480.50922000000003</v>
      </c>
      <c r="BB65" s="95">
        <f t="shared" si="1"/>
        <v>0</v>
      </c>
      <c r="BD65" s="319">
        <f>OBJ!B277</f>
        <v>9318208</v>
      </c>
      <c r="BE65" s="21" t="str">
        <f>VLOOKUP(BD65,CENY!$B$11:$G$1054,2,FALSE)</f>
        <v>Actro You(XL) 550/SiSy 70kg; EB21; ľavý</v>
      </c>
      <c r="BF65" s="22">
        <f>VLOOKUP(BD65,CENY!$B$11:$G$1054,3,FALSE)</f>
        <v>10</v>
      </c>
      <c r="BG65" s="22"/>
      <c r="BH65" s="23">
        <f>AY40</f>
        <v>0</v>
      </c>
      <c r="BI65" s="326">
        <f t="shared" si="5"/>
        <v>0</v>
      </c>
      <c r="BJ65" s="95">
        <f>VLOOKUP(BD65,CENY!$B$11:$M$2025,12,FALSE)</f>
        <v>392.11943000000002</v>
      </c>
      <c r="BK65" s="95">
        <f t="shared" si="6"/>
        <v>0</v>
      </c>
    </row>
    <row r="66" spans="47:63" ht="14.4" customHeight="1">
      <c r="AU66" s="319"/>
      <c r="AV66" s="21"/>
      <c r="AW66" s="22"/>
      <c r="AX66" s="22"/>
      <c r="AY66" s="23"/>
      <c r="AZ66" s="326" t="str">
        <f t="shared" si="4"/>
        <v/>
      </c>
      <c r="BA66" s="95"/>
      <c r="BB66" s="95" t="str">
        <f t="shared" si="1"/>
        <v/>
      </c>
      <c r="BD66" s="319">
        <f>OBJ!B278</f>
        <v>9318209</v>
      </c>
      <c r="BE66" s="21" t="str">
        <f>VLOOKUP(BD66,CENY!$B$11:$G$1054,2,FALSE)</f>
        <v>Actro You(XL) 550/SiSy 70kg; EB21; pravý</v>
      </c>
      <c r="BF66" s="22">
        <f>VLOOKUP(BD66,CENY!$B$11:$G$1054,3,FALSE)</f>
        <v>10</v>
      </c>
      <c r="BG66" s="22"/>
      <c r="BH66" s="23">
        <f>AY40</f>
        <v>0</v>
      </c>
      <c r="BI66" s="326">
        <f t="shared" si="5"/>
        <v>0</v>
      </c>
      <c r="BJ66" s="95">
        <f>VLOOKUP(BD66,CENY!$B$11:$M$2025,12,FALSE)</f>
        <v>392.11943000000002</v>
      </c>
      <c r="BK66" s="95">
        <f t="shared" si="6"/>
        <v>0</v>
      </c>
    </row>
    <row r="67" spans="47:63" ht="14.4" customHeight="1">
      <c r="AU67" s="319">
        <f>OBJ!B333</f>
        <v>9256928</v>
      </c>
      <c r="AV67" s="21" t="str">
        <f>VLOOKUP(AU67,CENY!$B$11:$G$1054,2,FALSE)</f>
        <v>Quadro You(M) 270/P2O 20kg; EB21</v>
      </c>
      <c r="AW67" s="22">
        <f>VLOOKUP(AU67,CENY!$B$11:$G$1054,3,FALSE)</f>
        <v>1</v>
      </c>
      <c r="AX67" s="362">
        <v>8</v>
      </c>
      <c r="AY67" s="23">
        <f>O30</f>
        <v>0</v>
      </c>
      <c r="AZ67" s="326">
        <f t="shared" ref="AZ67" si="32">IF(AY67="","",IF($AW$4=1,AY67,0))</f>
        <v>0</v>
      </c>
      <c r="BA67" s="95">
        <f>VLOOKUP(AU67,CENY!$B$11:$M$2025,12,FALSE)</f>
        <v>536.84897999999998</v>
      </c>
      <c r="BB67" s="95">
        <f t="shared" ref="BB67" si="33">IF(BA67="","",BA67*AY67)</f>
        <v>0</v>
      </c>
      <c r="BD67" s="319">
        <f>OBJ!B279</f>
        <v>9318211</v>
      </c>
      <c r="BE67" s="21" t="str">
        <f>VLOOKUP(BD67,CENY!$B$11:$G$1054,2,FALSE)</f>
        <v>Actro You(XL) 600/SiSy 70kg; EB21; ľavý</v>
      </c>
      <c r="BF67" s="22">
        <f>VLOOKUP(BD67,CENY!$B$11:$G$1054,3,FALSE)</f>
        <v>10</v>
      </c>
      <c r="BG67" s="22"/>
      <c r="BH67" s="23">
        <f>AY41</f>
        <v>0</v>
      </c>
      <c r="BI67" s="326">
        <f t="shared" si="5"/>
        <v>0</v>
      </c>
      <c r="BJ67" s="95">
        <f>VLOOKUP(BD67,CENY!$B$11:$M$2025,12,FALSE)</f>
        <v>443.89010999999999</v>
      </c>
      <c r="BK67" s="95">
        <f t="shared" si="6"/>
        <v>0</v>
      </c>
    </row>
    <row r="68" spans="47:63" ht="14.4" customHeight="1">
      <c r="AU68" s="319">
        <f>OBJ!B334</f>
        <v>9256929</v>
      </c>
      <c r="AV68" s="21" t="str">
        <f>VLOOKUP(AU68,CENY!$B$11:$G$1054,2,FALSE)</f>
        <v>Quadro You(M) 300/P2O 20kg; EB21</v>
      </c>
      <c r="AW68" s="22">
        <f>VLOOKUP(AU68,CENY!$B$11:$G$1054,3,FALSE)</f>
        <v>1</v>
      </c>
      <c r="AX68" s="362">
        <v>8</v>
      </c>
      <c r="AY68" s="23">
        <f>Q30</f>
        <v>0</v>
      </c>
      <c r="AZ68" s="326">
        <f t="shared" si="4"/>
        <v>0</v>
      </c>
      <c r="BA68" s="95">
        <f>VLOOKUP(AU68,CENY!$B$11:$M$2025,12,FALSE)</f>
        <v>537.79395</v>
      </c>
      <c r="BB68" s="95">
        <f t="shared" si="1"/>
        <v>0</v>
      </c>
      <c r="BD68" s="319">
        <f>OBJ!B280</f>
        <v>9318212</v>
      </c>
      <c r="BE68" s="21" t="str">
        <f>VLOOKUP(BD68,CENY!$B$11:$G$1054,2,FALSE)</f>
        <v>Actro You(XL) 600/SiSy 70kg; EB21; pravý</v>
      </c>
      <c r="BF68" s="22">
        <f>VLOOKUP(BD68,CENY!$B$11:$G$1054,3,FALSE)</f>
        <v>10</v>
      </c>
      <c r="BG68" s="22"/>
      <c r="BH68" s="23">
        <f>AY41</f>
        <v>0</v>
      </c>
      <c r="BI68" s="326">
        <f t="shared" si="5"/>
        <v>0</v>
      </c>
      <c r="BJ68" s="95">
        <f>VLOOKUP(BD68,CENY!$B$11:$M$2025,12,FALSE)</f>
        <v>443.89010999999999</v>
      </c>
      <c r="BK68" s="95">
        <f t="shared" si="6"/>
        <v>0</v>
      </c>
    </row>
    <row r="69" spans="47:63" ht="14.4" customHeight="1">
      <c r="AU69" s="319">
        <f>OBJ!B335</f>
        <v>9256931</v>
      </c>
      <c r="AV69" s="21" t="str">
        <f>VLOOKUP(AU69,CENY!$B$11:$G$1054,2,FALSE)</f>
        <v>Quadro You(M) 350/P2O 25kg; EB21</v>
      </c>
      <c r="AW69" s="22">
        <f>VLOOKUP(AU69,CENY!$B$11:$G$1054,3,FALSE)</f>
        <v>1</v>
      </c>
      <c r="AX69" s="362">
        <v>8</v>
      </c>
      <c r="AY69" s="23">
        <f>S30</f>
        <v>0</v>
      </c>
      <c r="AZ69" s="326">
        <f t="shared" si="4"/>
        <v>0</v>
      </c>
      <c r="BA69" s="95">
        <f>VLOOKUP(AU69,CENY!$B$11:$M$2025,12,FALSE)</f>
        <v>547.49897999999996</v>
      </c>
      <c r="BB69" s="95">
        <f t="shared" si="1"/>
        <v>0</v>
      </c>
      <c r="BD69" s="319">
        <f>OBJ!B281</f>
        <v>9318213</v>
      </c>
      <c r="BE69" s="21" t="str">
        <f>VLOOKUP(BD69,CENY!$B$11:$G$1054,2,FALSE)</f>
        <v>Actro You(XL) 650/SiSy 70kg; EB21; ľavý</v>
      </c>
      <c r="BF69" s="22">
        <f>VLOOKUP(BD69,CENY!$B$11:$G$1054,3,FALSE)</f>
        <v>5</v>
      </c>
      <c r="BG69" s="22"/>
      <c r="BH69" s="23">
        <f>AY42</f>
        <v>0</v>
      </c>
      <c r="BI69" s="326">
        <f t="shared" ref="BI69:BI70" si="34">IF(BH69="","",IF($AW$4=0,BH69,0))</f>
        <v>0</v>
      </c>
      <c r="BJ69" s="95">
        <f>VLOOKUP(BD69,CENY!$B$11:$M$2025,12,FALSE)</f>
        <v>462.41142000000002</v>
      </c>
      <c r="BK69" s="95">
        <f t="shared" ref="BK69:BK70" si="35">IF(BJ69="","",BJ69*BH69)</f>
        <v>0</v>
      </c>
    </row>
    <row r="70" spans="47:63" ht="14.4" customHeight="1">
      <c r="AU70" s="319">
        <f>OBJ!B336</f>
        <v>9256933</v>
      </c>
      <c r="AV70" s="21" t="str">
        <f>VLOOKUP(AU70,CENY!$B$11:$G$1054,2,FALSE)</f>
        <v>Quadro You(M) 400/P2O 30kg; EB21</v>
      </c>
      <c r="AW70" s="22">
        <f>VLOOKUP(AU70,CENY!$B$11:$G$1054,3,FALSE)</f>
        <v>1</v>
      </c>
      <c r="AX70" s="362">
        <v>8</v>
      </c>
      <c r="AY70" s="23">
        <f>U30</f>
        <v>0</v>
      </c>
      <c r="AZ70" s="326">
        <f t="shared" si="4"/>
        <v>0</v>
      </c>
      <c r="BA70" s="95">
        <f>VLOOKUP(AU70,CENY!$B$11:$M$2025,12,FALSE)</f>
        <v>557.20162000000005</v>
      </c>
      <c r="BB70" s="95">
        <f t="shared" si="1"/>
        <v>0</v>
      </c>
      <c r="BD70" s="319">
        <f>OBJ!B282</f>
        <v>9318214</v>
      </c>
      <c r="BE70" s="21" t="str">
        <f>VLOOKUP(BD70,CENY!$B$11:$G$1054,2,FALSE)</f>
        <v>Actro You(XL) 650/SiSy 70kg; EB21; pravý</v>
      </c>
      <c r="BF70" s="22">
        <f>VLOOKUP(BD70,CENY!$B$11:$G$1054,3,FALSE)</f>
        <v>5</v>
      </c>
      <c r="BG70" s="22"/>
      <c r="BH70" s="23">
        <f>AY42</f>
        <v>0</v>
      </c>
      <c r="BI70" s="326">
        <f t="shared" si="34"/>
        <v>0</v>
      </c>
      <c r="BJ70" s="95">
        <f>VLOOKUP(BD70,CENY!$B$11:$M$2025,12,FALSE)</f>
        <v>462.41142000000002</v>
      </c>
      <c r="BK70" s="95">
        <f t="shared" si="35"/>
        <v>0</v>
      </c>
    </row>
    <row r="71" spans="47:63" ht="14.4" customHeight="1">
      <c r="AU71" s="319">
        <f>OBJ!B337</f>
        <v>9256935</v>
      </c>
      <c r="AV71" s="21" t="str">
        <f>VLOOKUP(AU71,CENY!$B$11:$G$1054,2,FALSE)</f>
        <v>Quadro You(M) 450/P2O 30kg; EB21</v>
      </c>
      <c r="AW71" s="22">
        <f>VLOOKUP(AU71,CENY!$B$11:$G$1054,3,FALSE)</f>
        <v>1</v>
      </c>
      <c r="AX71" s="362">
        <v>8</v>
      </c>
      <c r="AY71" s="23">
        <f>W30</f>
        <v>0</v>
      </c>
      <c r="AZ71" s="326">
        <f t="shared" si="4"/>
        <v>0</v>
      </c>
      <c r="BA71" s="95">
        <f>VLOOKUP(AU71,CENY!$B$11:$M$2025,12,FALSE)</f>
        <v>566.90911000000006</v>
      </c>
      <c r="BB71" s="95">
        <f t="shared" si="1"/>
        <v>0</v>
      </c>
      <c r="BD71" s="319"/>
      <c r="BE71" s="21"/>
      <c r="BF71" s="22"/>
      <c r="BG71" s="22"/>
      <c r="BH71" s="23"/>
      <c r="BI71" s="326" t="str">
        <f t="shared" si="5"/>
        <v/>
      </c>
      <c r="BJ71" s="95"/>
      <c r="BK71" s="95" t="str">
        <f t="shared" si="6"/>
        <v/>
      </c>
    </row>
    <row r="72" spans="47:63" ht="14.4" customHeight="1">
      <c r="AU72" s="319">
        <f>OBJ!B338</f>
        <v>9256937</v>
      </c>
      <c r="AV72" s="21" t="str">
        <f>VLOOKUP(AU72,CENY!$B$11:$G$1054,2,FALSE)</f>
        <v>Quadro You(M) 500/P2O 30kg; EB21</v>
      </c>
      <c r="AW72" s="22">
        <f>VLOOKUP(AU72,CENY!$B$11:$G$1054,3,FALSE)</f>
        <v>1</v>
      </c>
      <c r="AX72" s="362">
        <v>8</v>
      </c>
      <c r="AY72" s="23">
        <f>Y30</f>
        <v>0</v>
      </c>
      <c r="AZ72" s="326">
        <f t="shared" si="4"/>
        <v>0</v>
      </c>
      <c r="BA72" s="95">
        <f>VLOOKUP(AU72,CENY!$B$11:$M$2025,12,FALSE)</f>
        <v>139.41228000000001</v>
      </c>
      <c r="BB72" s="95">
        <f t="shared" si="1"/>
        <v>0</v>
      </c>
      <c r="BD72" s="319">
        <f>OBJ!B284</f>
        <v>9257890</v>
      </c>
      <c r="BE72" s="21" t="str">
        <f>VLOOKUP(BD72,CENY!$B$11:$G$1054,2,FALSE)</f>
        <v>Actro You - Push to open Silent; &lt;10kg</v>
      </c>
      <c r="BF72" s="22">
        <f>VLOOKUP(BD72,CENY!$B$11:$G$1054,3,FALSE)</f>
        <v>1</v>
      </c>
      <c r="BG72" s="22"/>
      <c r="BH72" s="23">
        <f>AY44</f>
        <v>0</v>
      </c>
      <c r="BI72" s="326">
        <f t="shared" si="5"/>
        <v>0</v>
      </c>
      <c r="BJ72" s="95">
        <f>VLOOKUP(BD72,CENY!$B$11:$M$2025,12,FALSE)</f>
        <v>481.81412999999998</v>
      </c>
      <c r="BK72" s="95">
        <f t="shared" si="6"/>
        <v>0</v>
      </c>
    </row>
    <row r="73" spans="47:63" ht="14.4" customHeight="1">
      <c r="AU73" s="319">
        <f>OBJ!B339</f>
        <v>9256939</v>
      </c>
      <c r="AV73" s="21" t="str">
        <f>VLOOKUP(AU73,CENY!$B$11:$G$1054,2,FALSE)</f>
        <v>Quadro You(M) 550/P2O 30kg; EB21</v>
      </c>
      <c r="AW73" s="22">
        <f>VLOOKUP(AU73,CENY!$B$11:$G$1054,3,FALSE)</f>
        <v>1</v>
      </c>
      <c r="AX73" s="362">
        <v>8</v>
      </c>
      <c r="AY73" s="23">
        <f>AA30</f>
        <v>0</v>
      </c>
      <c r="AZ73" s="326">
        <f t="shared" si="4"/>
        <v>0</v>
      </c>
      <c r="BA73" s="95">
        <f>VLOOKUP(AU73,CENY!$B$11:$M$2025,12,FALSE)</f>
        <v>586.3143</v>
      </c>
      <c r="BB73" s="95">
        <f t="shared" si="1"/>
        <v>0</v>
      </c>
      <c r="BD73" s="319">
        <f>OBJ!B285</f>
        <v>9257891</v>
      </c>
      <c r="BE73" s="21" t="str">
        <f>VLOOKUP(BD73,CENY!$B$11:$G$1054,2,FALSE)</f>
        <v>Actro You - Push to open Silent; 8-20kg</v>
      </c>
      <c r="BF73" s="22">
        <f>VLOOKUP(BD73,CENY!$B$11:$G$1054,3,FALSE)</f>
        <v>1</v>
      </c>
      <c r="BG73" s="22"/>
      <c r="BH73" s="23">
        <f>AY45</f>
        <v>0</v>
      </c>
      <c r="BI73" s="326">
        <f t="shared" si="5"/>
        <v>0</v>
      </c>
      <c r="BJ73" s="95">
        <f>VLOOKUP(BD73,CENY!$B$11:$M$2025,12,FALSE)</f>
        <v>481.81412999999998</v>
      </c>
      <c r="BK73" s="95">
        <f t="shared" si="6"/>
        <v>0</v>
      </c>
    </row>
    <row r="74" spans="47:63" ht="14.4" customHeight="1">
      <c r="AU74" s="319">
        <f>OBJ!B340</f>
        <v>9256941</v>
      </c>
      <c r="AV74" s="21" t="str">
        <f>VLOOKUP(AU74,CENY!$B$11:$G$1054,2,FALSE)</f>
        <v>Quadro You(M) 600/P2O 25kg; EB21</v>
      </c>
      <c r="AW74" s="22">
        <f>VLOOKUP(AU74,CENY!$B$11:$G$1054,3,FALSE)</f>
        <v>1</v>
      </c>
      <c r="AX74" s="362">
        <v>8</v>
      </c>
      <c r="AY74" s="23">
        <f>AC30</f>
        <v>0</v>
      </c>
      <c r="AZ74" s="326">
        <f t="shared" si="4"/>
        <v>0</v>
      </c>
      <c r="BA74" s="95">
        <f>VLOOKUP(AU74,CENY!$B$11:$M$2025,12,FALSE)</f>
        <v>596.01683000000003</v>
      </c>
      <c r="BB74" s="95">
        <f t="shared" si="1"/>
        <v>0</v>
      </c>
      <c r="BD74" s="319">
        <f>OBJ!B286</f>
        <v>9257892</v>
      </c>
      <c r="BE74" s="21" t="str">
        <f>VLOOKUP(BD74,CENY!$B$11:$G$1054,2,FALSE)</f>
        <v>Actro You - Push to open Silent; 10-40kg</v>
      </c>
      <c r="BF74" s="22">
        <f>VLOOKUP(BD74,CENY!$B$11:$G$1054,3,FALSE)</f>
        <v>1</v>
      </c>
      <c r="BG74" s="22"/>
      <c r="BH74" s="23">
        <f>AY46</f>
        <v>0</v>
      </c>
      <c r="BI74" s="326">
        <f t="shared" si="5"/>
        <v>0</v>
      </c>
      <c r="BJ74" s="95">
        <f>VLOOKUP(BD74,CENY!$B$11:$M$2025,12,FALSE)</f>
        <v>481.81412999999998</v>
      </c>
      <c r="BK74" s="95">
        <f t="shared" si="6"/>
        <v>0</v>
      </c>
    </row>
    <row r="75" spans="47:63" ht="14.4" customHeight="1">
      <c r="AU75" s="319"/>
      <c r="AV75" s="21"/>
      <c r="AW75" s="22"/>
      <c r="AX75" s="22"/>
      <c r="AY75" s="23"/>
      <c r="AZ75" s="326" t="str">
        <f t="shared" si="4"/>
        <v/>
      </c>
      <c r="BA75" s="95"/>
      <c r="BB75" s="95" t="str">
        <f t="shared" si="1"/>
        <v/>
      </c>
      <c r="BD75" s="319">
        <f>OBJ!B287</f>
        <v>9257893</v>
      </c>
      <c r="BE75" s="21" t="str">
        <f>VLOOKUP(BD75,CENY!$B$11:$G$1054,2,FALSE)</f>
        <v>Actro You - Push to open Silent; 20-70kg</v>
      </c>
      <c r="BF75" s="22">
        <f>VLOOKUP(BD75,CENY!$B$11:$G$1054,3,FALSE)</f>
        <v>1</v>
      </c>
      <c r="BG75" s="22"/>
      <c r="BH75" s="23">
        <f>AY47</f>
        <v>0</v>
      </c>
      <c r="BI75" s="326">
        <f t="shared" si="5"/>
        <v>0</v>
      </c>
      <c r="BJ75" s="95">
        <f>VLOOKUP(BD75,CENY!$B$11:$M$2025,12,FALSE)</f>
        <v>481.81412999999998</v>
      </c>
      <c r="BK75" s="95">
        <f t="shared" si="6"/>
        <v>0</v>
      </c>
    </row>
    <row r="76" spans="47:63" ht="14.4" customHeight="1">
      <c r="AU76" s="319">
        <f>OBJ!B358</f>
        <v>9219966</v>
      </c>
      <c r="AV76" s="21" t="str">
        <f>VLOOKUP(AU76,CENY!$B$11:$G$1054,2,FALSE)</f>
        <v>Push to open Synchro / adaptér typ A</v>
      </c>
      <c r="AW76" s="22">
        <f>VLOOKUP(AU76,CENY!$B$11:$G$1054,3,FALSE)</f>
        <v>200</v>
      </c>
      <c r="AX76" s="22"/>
      <c r="AY76" s="23">
        <f>2*SUM(O30:AD30)</f>
        <v>0</v>
      </c>
      <c r="AZ76" s="326">
        <f t="shared" si="4"/>
        <v>0</v>
      </c>
      <c r="BA76" s="95">
        <f>VLOOKUP(AU76,CENY!$B$11:$M$2025,12,FALSE)</f>
        <v>16.488900000000001</v>
      </c>
      <c r="BB76" s="95">
        <f t="shared" si="1"/>
        <v>0</v>
      </c>
      <c r="BD76" s="319">
        <f>OBJ!B288</f>
        <v>9236718</v>
      </c>
      <c r="BE76" s="21" t="str">
        <f>VLOOKUP(BD76,CENY!$B$11:$G$1054,2,FALSE)</f>
        <v>Push to open Synchro / tyč 2.000 mm</v>
      </c>
      <c r="BF76" s="22">
        <f>VLOOKUP(BD76,CENY!$B$11:$G$1054,3,FALSE)</f>
        <v>100</v>
      </c>
      <c r="BG76" s="22"/>
      <c r="BH76" s="23">
        <f>AY48</f>
        <v>0</v>
      </c>
      <c r="BI76" s="326">
        <f t="shared" si="5"/>
        <v>0</v>
      </c>
      <c r="BJ76" s="95">
        <f>VLOOKUP(BD76,CENY!$B$11:$M$2025,12,FALSE)</f>
        <v>182.03933000000001</v>
      </c>
      <c r="BK76" s="95">
        <f t="shared" si="6"/>
        <v>0</v>
      </c>
    </row>
    <row r="77" spans="47:63" ht="14.4" customHeight="1">
      <c r="AU77" s="319"/>
      <c r="AV77" s="21"/>
      <c r="AW77" s="22"/>
      <c r="AX77" s="22"/>
      <c r="AY77" s="23"/>
      <c r="AZ77" s="326" t="str">
        <f t="shared" si="4"/>
        <v/>
      </c>
      <c r="BA77" s="95"/>
      <c r="BB77" s="95" t="str">
        <f t="shared" ref="BB77:BB122" si="36">IF(BA77="","",BA77*AY77)</f>
        <v/>
      </c>
      <c r="BD77" s="319"/>
      <c r="BE77" s="21"/>
      <c r="BF77" s="22"/>
      <c r="BG77" s="22"/>
      <c r="BH77" s="23"/>
      <c r="BI77" s="326" t="str">
        <f t="shared" si="5"/>
        <v/>
      </c>
      <c r="BJ77" s="95"/>
      <c r="BK77" s="95" t="str">
        <f t="shared" si="6"/>
        <v/>
      </c>
    </row>
    <row r="78" spans="47:63" ht="14.4" customHeight="1">
      <c r="AU78" s="442">
        <f>OBJ!B110</f>
        <v>9257884</v>
      </c>
      <c r="AV78" s="443" t="str">
        <f>VLOOKUP(AU78,CENY!$B$11:$G$1054,2,FALSE)</f>
        <v>AvanY-príchytka čela k naskrutk./ v139</v>
      </c>
      <c r="AW78" s="22">
        <f>VLOOKUP(AU78,CENY!$B$11:$G$1054,3,FALSE)</f>
        <v>200</v>
      </c>
      <c r="AX78" s="22"/>
      <c r="AY78" s="68">
        <f>2*(SUM(O19:T19)+SUM(O20:AD20)+SUM(W22:AF22)+SUM(O27:T27)+SUM(O28:AD28)+SUM(O30:AD30))</f>
        <v>0</v>
      </c>
      <c r="AZ78" s="326">
        <f t="shared" ref="AZ78:AZ123" si="37">IF(AY78="","",IF($AW$4=1,AY78,0))</f>
        <v>0</v>
      </c>
      <c r="BA78" s="95">
        <f>VLOOKUP(AU78,CENY!$B$11:$M$2025,12,FALSE)</f>
        <v>32.920310000000001</v>
      </c>
      <c r="BB78" s="95">
        <f t="shared" si="36"/>
        <v>0</v>
      </c>
      <c r="BD78" s="319">
        <f>OBJ!B297</f>
        <v>9256944</v>
      </c>
      <c r="BE78" s="21" t="str">
        <f>VLOOKUP(BD78,CENY!$B$11:$G$1054,2,FALSE)</f>
        <v>Quadro You(S) 270/SiSy 10kg; EB21; ľavý</v>
      </c>
      <c r="BF78" s="22">
        <f>VLOOKUP(BD78,CENY!$B$11:$G$1054,3,FALSE)</f>
        <v>20</v>
      </c>
      <c r="BG78" s="22"/>
      <c r="BH78" s="23">
        <f>AY50</f>
        <v>0</v>
      </c>
      <c r="BI78" s="326">
        <f t="shared" ref="BI78:BI79" si="38">IF(BH78="","",IF($AW$4=0,BH78,0))</f>
        <v>0</v>
      </c>
      <c r="BJ78" s="95">
        <f>VLOOKUP(BD78,CENY!$B$11:$M$2025,12,FALSE)</f>
        <v>223.77942999999999</v>
      </c>
      <c r="BK78" s="95">
        <f t="shared" ref="BK78:BK79" si="39">IF(BJ78="","",BJ78*BH78)</f>
        <v>0</v>
      </c>
    </row>
    <row r="79" spans="47:63" ht="14.4" customHeight="1">
      <c r="AU79" s="319"/>
      <c r="AV79" s="21"/>
      <c r="AW79" s="22"/>
      <c r="AX79" s="22"/>
      <c r="AY79" s="23"/>
      <c r="AZ79" s="326" t="str">
        <f t="shared" si="37"/>
        <v/>
      </c>
      <c r="BA79" s="95"/>
      <c r="BB79" s="95" t="str">
        <f t="shared" si="36"/>
        <v/>
      </c>
      <c r="BD79" s="319">
        <f>OBJ!B298</f>
        <v>9256945</v>
      </c>
      <c r="BE79" s="21" t="str">
        <f>VLOOKUP(BD79,CENY!$B$11:$G$1054,2,FALSE)</f>
        <v>Quadro You(S) 270/SiSy 10kg; EB21; pravý</v>
      </c>
      <c r="BF79" s="22">
        <f>VLOOKUP(BD79,CENY!$B$11:$G$1054,3,FALSE)</f>
        <v>20</v>
      </c>
      <c r="BG79" s="22"/>
      <c r="BH79" s="23">
        <f>AY50</f>
        <v>0</v>
      </c>
      <c r="BI79" s="326">
        <f t="shared" si="38"/>
        <v>0</v>
      </c>
      <c r="BJ79" s="95">
        <f>VLOOKUP(BD79,CENY!$B$11:$M$2025,12,FALSE)</f>
        <v>223.77942999999999</v>
      </c>
      <c r="BK79" s="95">
        <f t="shared" si="39"/>
        <v>0</v>
      </c>
    </row>
    <row r="80" spans="47:63" ht="14.4" customHeight="1">
      <c r="AU80" s="320">
        <f>OBJ!B214</f>
        <v>0</v>
      </c>
      <c r="AV80" s="321" t="e">
        <f>VLOOKUP(AU80,CENY!$B$11:$G$1054,2,FALSE)</f>
        <v>#N/A</v>
      </c>
      <c r="AW80" s="22" t="e">
        <f>VLOOKUP(AU80,CENY!$B$11:$G$1054,3,FALSE)</f>
        <v>#N/A</v>
      </c>
      <c r="AX80" s="22"/>
      <c r="AY80" s="68">
        <f>IF(FORM!AM21&lt;&gt;FORM!AW16,(2*(+SUM(O19:T19)+SUM(O20:AD20)+SUM(W22:AF22)+SUM(O27:T27)+SUM(O28:AD28)+SUM(O30:AD30))),0)</f>
        <v>0</v>
      </c>
      <c r="AZ80" s="326">
        <f t="shared" si="37"/>
        <v>0</v>
      </c>
      <c r="BA80" s="324" t="str">
        <f>IF(AU80=0,"",VLOOKUP(AU80,CENY!$B$11:$M$2025,12,FALSE))</f>
        <v/>
      </c>
      <c r="BB80" s="95" t="str">
        <f t="shared" si="36"/>
        <v/>
      </c>
      <c r="BD80" s="319">
        <f>OBJ!B299</f>
        <v>9256946</v>
      </c>
      <c r="BE80" s="21" t="str">
        <f>VLOOKUP(BD80,CENY!$B$11:$G$1054,2,FALSE)</f>
        <v>Quadro You(S) 300/SiSy 10kg; EB21; ľavý</v>
      </c>
      <c r="BF80" s="22">
        <f>VLOOKUP(BD80,CENY!$B$11:$G$1054,3,FALSE)</f>
        <v>20</v>
      </c>
      <c r="BG80" s="22"/>
      <c r="BH80" s="23">
        <f>AY51</f>
        <v>0</v>
      </c>
      <c r="BI80" s="326">
        <f t="shared" si="5"/>
        <v>0</v>
      </c>
      <c r="BJ80" s="95">
        <f>VLOOKUP(BD80,CENY!$B$11:$M$2025,12,FALSE)</f>
        <v>224.26065</v>
      </c>
      <c r="BK80" s="95">
        <f t="shared" si="6"/>
        <v>0</v>
      </c>
    </row>
    <row r="81" spans="47:63" ht="14.4" customHeight="1">
      <c r="AU81" s="319"/>
      <c r="AV81" s="21"/>
      <c r="AW81" s="22"/>
      <c r="AX81" s="22"/>
      <c r="AY81" s="23"/>
      <c r="AZ81" s="326" t="str">
        <f t="shared" si="37"/>
        <v/>
      </c>
      <c r="BA81" s="95"/>
      <c r="BB81" s="95" t="str">
        <f t="shared" si="36"/>
        <v/>
      </c>
      <c r="BD81" s="319">
        <f>OBJ!B300</f>
        <v>9256947</v>
      </c>
      <c r="BE81" s="21" t="str">
        <f>VLOOKUP(BD81,CENY!$B$11:$G$1054,2,FALSE)</f>
        <v>Quadro You(S) 300/SiSy 10kg; EB21; pravý</v>
      </c>
      <c r="BF81" s="22">
        <f>VLOOKUP(BD81,CENY!$B$11:$G$1054,3,FALSE)</f>
        <v>20</v>
      </c>
      <c r="BG81" s="22"/>
      <c r="BH81" s="23">
        <f>AY51</f>
        <v>0</v>
      </c>
      <c r="BI81" s="326">
        <f t="shared" si="5"/>
        <v>0</v>
      </c>
      <c r="BJ81" s="95">
        <f>VLOOKUP(BD81,CENY!$B$11:$M$2025,12,FALSE)</f>
        <v>224.26065</v>
      </c>
      <c r="BK81" s="95">
        <f t="shared" si="6"/>
        <v>0</v>
      </c>
    </row>
    <row r="82" spans="47:63" ht="14.4" customHeight="1">
      <c r="AU82" s="319"/>
      <c r="AV82" s="21"/>
      <c r="AW82" s="22"/>
      <c r="AX82" s="22"/>
      <c r="AY82" s="23"/>
      <c r="AZ82" s="326" t="str">
        <f t="shared" si="37"/>
        <v/>
      </c>
      <c r="BA82" s="95"/>
      <c r="BB82" s="95" t="str">
        <f t="shared" si="36"/>
        <v/>
      </c>
      <c r="BD82" s="319">
        <f>OBJ!B301</f>
        <v>9256950</v>
      </c>
      <c r="BE82" s="21" t="str">
        <f>VLOOKUP(BD82,CENY!$B$11:$G$1054,2,FALSE)</f>
        <v>Quadro You(S) 350/SiSy 10kg; EB21; ľavý</v>
      </c>
      <c r="BF82" s="22">
        <f>VLOOKUP(BD82,CENY!$B$11:$G$1054,3,FALSE)</f>
        <v>20</v>
      </c>
      <c r="BG82" s="22"/>
      <c r="BH82" s="23">
        <f>AY52</f>
        <v>0</v>
      </c>
      <c r="BI82" s="326">
        <f t="shared" si="5"/>
        <v>0</v>
      </c>
      <c r="BJ82" s="95">
        <f>VLOOKUP(BD82,CENY!$B$11:$M$2025,12,FALSE)</f>
        <v>229.11434</v>
      </c>
      <c r="BK82" s="95">
        <f t="shared" si="6"/>
        <v>0</v>
      </c>
    </row>
    <row r="83" spans="47:63" ht="14.4" customHeight="1">
      <c r="AU83" s="319"/>
      <c r="AV83" s="21"/>
      <c r="AW83" s="22"/>
      <c r="AX83" s="22"/>
      <c r="AY83" s="23"/>
      <c r="AZ83" s="326" t="str">
        <f t="shared" si="37"/>
        <v/>
      </c>
      <c r="BA83" s="95"/>
      <c r="BB83" s="95" t="str">
        <f t="shared" si="36"/>
        <v/>
      </c>
      <c r="BD83" s="319">
        <f>OBJ!B302</f>
        <v>9256951</v>
      </c>
      <c r="BE83" s="21" t="str">
        <f>VLOOKUP(BD83,CENY!$B$11:$G$1054,2,FALSE)</f>
        <v>Quadro You(S) 350/SiSy 10kg; EB21; pravý</v>
      </c>
      <c r="BF83" s="22">
        <f>VLOOKUP(BD83,CENY!$B$11:$G$1054,3,FALSE)</f>
        <v>20</v>
      </c>
      <c r="BG83" s="22"/>
      <c r="BH83" s="23">
        <f>AY52</f>
        <v>0</v>
      </c>
      <c r="BI83" s="326">
        <f t="shared" si="5"/>
        <v>0</v>
      </c>
      <c r="BJ83" s="95">
        <f>VLOOKUP(BD83,CENY!$B$11:$M$2025,12,FALSE)</f>
        <v>229.11434</v>
      </c>
      <c r="BK83" s="95">
        <f t="shared" si="6"/>
        <v>0</v>
      </c>
    </row>
    <row r="84" spans="47:63" ht="14.4" customHeight="1">
      <c r="AU84" s="319"/>
      <c r="AV84" s="21"/>
      <c r="AW84" s="22"/>
      <c r="AX84" s="22"/>
      <c r="AY84" s="23"/>
      <c r="AZ84" s="326" t="str">
        <f t="shared" si="37"/>
        <v/>
      </c>
      <c r="BA84" s="95"/>
      <c r="BB84" s="95" t="str">
        <f t="shared" si="36"/>
        <v/>
      </c>
      <c r="BD84" s="319"/>
      <c r="BE84" s="21"/>
      <c r="BF84" s="22"/>
      <c r="BG84" s="22"/>
      <c r="BH84" s="23"/>
      <c r="BI84" s="326" t="str">
        <f t="shared" ref="BI84:BI133" si="40">IF(BH84="","",IF($AW$4=0,BH84,0))</f>
        <v/>
      </c>
      <c r="BJ84" s="95"/>
      <c r="BK84" s="95" t="str">
        <f t="shared" ref="BK84:BK133" si="41">IF(BJ84="","",BJ84*BH84)</f>
        <v/>
      </c>
    </row>
    <row r="85" spans="47:63" ht="14.4" customHeight="1">
      <c r="AU85" s="319"/>
      <c r="AV85" s="21"/>
      <c r="AW85" s="22"/>
      <c r="AX85" s="22"/>
      <c r="AY85" s="23"/>
      <c r="AZ85" s="326" t="str">
        <f t="shared" si="37"/>
        <v/>
      </c>
      <c r="BA85" s="95"/>
      <c r="BB85" s="95" t="str">
        <f t="shared" si="36"/>
        <v/>
      </c>
      <c r="BD85" s="319">
        <f>OBJ!B312</f>
        <v>9256854</v>
      </c>
      <c r="BE85" s="21" t="str">
        <f>VLOOKUP(BD85,CENY!$B$11:$G$1054,2,FALSE)</f>
        <v>Quadro You(M) 270/SiSy 20kg; EB21; ľavý</v>
      </c>
      <c r="BF85" s="22">
        <f>VLOOKUP(BD85,CENY!$B$11:$G$1054,3,FALSE)</f>
        <v>20</v>
      </c>
      <c r="BG85" s="22"/>
      <c r="BH85" s="23">
        <f>AY54</f>
        <v>0</v>
      </c>
      <c r="BI85" s="326">
        <f t="shared" ref="BI85:BI86" si="42">IF(BH85="","",IF($AW$4=0,BH85,0))</f>
        <v>0</v>
      </c>
      <c r="BJ85" s="95">
        <f>VLOOKUP(BD85,CENY!$B$11:$M$2025,12,FALSE)</f>
        <v>223.77942999999999</v>
      </c>
      <c r="BK85" s="95">
        <f t="shared" ref="BK85:BK86" si="43">IF(BJ85="","",BJ85*BH85)</f>
        <v>0</v>
      </c>
    </row>
    <row r="86" spans="47:63" ht="14.4" customHeight="1">
      <c r="AU86" s="319"/>
      <c r="AV86" s="21"/>
      <c r="AW86" s="22"/>
      <c r="AX86" s="22"/>
      <c r="AY86" s="23"/>
      <c r="AZ86" s="326" t="str">
        <f t="shared" si="37"/>
        <v/>
      </c>
      <c r="BA86" s="95"/>
      <c r="BB86" s="95" t="str">
        <f t="shared" si="36"/>
        <v/>
      </c>
      <c r="BD86" s="319">
        <f>OBJ!B313</f>
        <v>9256855</v>
      </c>
      <c r="BE86" s="21" t="str">
        <f>VLOOKUP(BD86,CENY!$B$11:$G$1054,2,FALSE)</f>
        <v>Quadro You(M) 270/SiSy 20kg; EB21; pravý</v>
      </c>
      <c r="BF86" s="22">
        <f>VLOOKUP(BD86,CENY!$B$11:$G$1054,3,FALSE)</f>
        <v>20</v>
      </c>
      <c r="BG86" s="22"/>
      <c r="BH86" s="23">
        <f>AY54</f>
        <v>0</v>
      </c>
      <c r="BI86" s="326">
        <f t="shared" si="42"/>
        <v>0</v>
      </c>
      <c r="BJ86" s="95">
        <f>VLOOKUP(BD86,CENY!$B$11:$M$2025,12,FALSE)</f>
        <v>223.77942999999999</v>
      </c>
      <c r="BK86" s="95">
        <f t="shared" si="43"/>
        <v>0</v>
      </c>
    </row>
    <row r="87" spans="47:63" ht="14.4" customHeight="1">
      <c r="AU87" s="319"/>
      <c r="AV87" s="21"/>
      <c r="AW87" s="22"/>
      <c r="AX87" s="22"/>
      <c r="AY87" s="23"/>
      <c r="AZ87" s="326" t="str">
        <f t="shared" si="37"/>
        <v/>
      </c>
      <c r="BA87" s="95"/>
      <c r="BB87" s="95" t="str">
        <f t="shared" si="36"/>
        <v/>
      </c>
      <c r="BD87" s="319">
        <f>OBJ!B314</f>
        <v>9256856</v>
      </c>
      <c r="BE87" s="21" t="str">
        <f>VLOOKUP(BD87,CENY!$B$11:$G$1054,2,FALSE)</f>
        <v>Quadro You(M) 300/SiSy 20kg; EB21; ľavý</v>
      </c>
      <c r="BF87" s="22">
        <f>VLOOKUP(BD87,CENY!$B$11:$G$1054,3,FALSE)</f>
        <v>20</v>
      </c>
      <c r="BG87" s="22"/>
      <c r="BH87" s="23">
        <f>AY55</f>
        <v>0</v>
      </c>
      <c r="BI87" s="326">
        <f t="shared" si="40"/>
        <v>0</v>
      </c>
      <c r="BJ87" s="95">
        <f>VLOOKUP(BD87,CENY!$B$11:$M$2025,12,FALSE)</f>
        <v>224.26065</v>
      </c>
      <c r="BK87" s="95">
        <f t="shared" si="41"/>
        <v>0</v>
      </c>
    </row>
    <row r="88" spans="47:63" ht="14.4" customHeight="1">
      <c r="AU88" s="319"/>
      <c r="AV88" s="21"/>
      <c r="AW88" s="22"/>
      <c r="AX88" s="22"/>
      <c r="AY88" s="23"/>
      <c r="AZ88" s="326" t="str">
        <f t="shared" si="37"/>
        <v/>
      </c>
      <c r="BA88" s="95"/>
      <c r="BB88" s="95" t="str">
        <f t="shared" si="36"/>
        <v/>
      </c>
      <c r="BD88" s="319">
        <f>OBJ!B315</f>
        <v>9256857</v>
      </c>
      <c r="BE88" s="21" t="str">
        <f>VLOOKUP(BD88,CENY!$B$11:$G$1054,2,FALSE)</f>
        <v>Quadro You(M) 300/SiSy 20kg; EB21; pravý</v>
      </c>
      <c r="BF88" s="22">
        <f>VLOOKUP(BD88,CENY!$B$11:$G$1054,3,FALSE)</f>
        <v>20</v>
      </c>
      <c r="BG88" s="22"/>
      <c r="BH88" s="23">
        <f>AY55</f>
        <v>0</v>
      </c>
      <c r="BI88" s="326">
        <f t="shared" si="40"/>
        <v>0</v>
      </c>
      <c r="BJ88" s="95">
        <f>VLOOKUP(BD88,CENY!$B$11:$M$2025,12,FALSE)</f>
        <v>224.26065</v>
      </c>
      <c r="BK88" s="95">
        <f t="shared" si="41"/>
        <v>0</v>
      </c>
    </row>
    <row r="89" spans="47:63" ht="14.4" customHeight="1">
      <c r="AU89" s="319"/>
      <c r="AV89" s="21"/>
      <c r="AW89" s="22"/>
      <c r="AX89" s="22"/>
      <c r="AY89" s="23"/>
      <c r="AZ89" s="326" t="str">
        <f t="shared" si="37"/>
        <v/>
      </c>
      <c r="BA89" s="95"/>
      <c r="BB89" s="95" t="str">
        <f t="shared" si="36"/>
        <v/>
      </c>
      <c r="BD89" s="319">
        <f>OBJ!B316</f>
        <v>9256860</v>
      </c>
      <c r="BE89" s="21" t="str">
        <f>VLOOKUP(BD89,CENY!$B$11:$G$1054,2,FALSE)</f>
        <v>Quadro You(M) 350/SiSy 25kg; EB21; ľavý</v>
      </c>
      <c r="BF89" s="22">
        <f>VLOOKUP(BD89,CENY!$B$11:$G$1054,3,FALSE)</f>
        <v>20</v>
      </c>
      <c r="BG89" s="22"/>
      <c r="BH89" s="23">
        <f>AY56</f>
        <v>0</v>
      </c>
      <c r="BI89" s="326">
        <f t="shared" si="40"/>
        <v>0</v>
      </c>
      <c r="BJ89" s="95">
        <f>VLOOKUP(BD89,CENY!$B$11:$M$2025,12,FALSE)</f>
        <v>229.11434</v>
      </c>
      <c r="BK89" s="95">
        <f t="shared" si="41"/>
        <v>0</v>
      </c>
    </row>
    <row r="90" spans="47:63" ht="14.4" customHeight="1">
      <c r="AU90" s="319"/>
      <c r="AV90" s="21"/>
      <c r="AW90" s="22"/>
      <c r="AX90" s="22"/>
      <c r="AY90" s="23"/>
      <c r="AZ90" s="326" t="str">
        <f t="shared" si="37"/>
        <v/>
      </c>
      <c r="BA90" s="95"/>
      <c r="BB90" s="95" t="str">
        <f t="shared" si="36"/>
        <v/>
      </c>
      <c r="BD90" s="319">
        <f>OBJ!B317</f>
        <v>9256861</v>
      </c>
      <c r="BE90" s="21" t="str">
        <f>VLOOKUP(BD90,CENY!$B$11:$G$1054,2,FALSE)</f>
        <v>Quadro You(M) 350/SiSy 25kg; EB21; pravý</v>
      </c>
      <c r="BF90" s="22">
        <f>VLOOKUP(BD90,CENY!$B$11:$G$1054,3,FALSE)</f>
        <v>20</v>
      </c>
      <c r="BG90" s="22"/>
      <c r="BH90" s="23">
        <f>AY56</f>
        <v>0</v>
      </c>
      <c r="BI90" s="326">
        <f t="shared" si="40"/>
        <v>0</v>
      </c>
      <c r="BJ90" s="95">
        <f>VLOOKUP(BD90,CENY!$B$11:$M$2025,12,FALSE)</f>
        <v>229.11434</v>
      </c>
      <c r="BK90" s="95">
        <f t="shared" si="41"/>
        <v>0</v>
      </c>
    </row>
    <row r="91" spans="47:63" ht="14.4" customHeight="1">
      <c r="AU91" s="319"/>
      <c r="AV91" s="21"/>
      <c r="AW91" s="22"/>
      <c r="AX91" s="22"/>
      <c r="AY91" s="23"/>
      <c r="AZ91" s="326" t="str">
        <f t="shared" si="37"/>
        <v/>
      </c>
      <c r="BA91" s="95"/>
      <c r="BB91" s="95" t="str">
        <f t="shared" si="36"/>
        <v/>
      </c>
      <c r="BD91" s="319">
        <f>OBJ!B318</f>
        <v>9256864</v>
      </c>
      <c r="BE91" s="21" t="str">
        <f>VLOOKUP(BD91,CENY!$B$11:$G$1054,2,FALSE)</f>
        <v>Quadro You(M) 400/SiSy 30kg; EB21; ľavý</v>
      </c>
      <c r="BF91" s="22">
        <f>VLOOKUP(BD91,CENY!$B$11:$G$1054,3,FALSE)</f>
        <v>20</v>
      </c>
      <c r="BG91" s="22"/>
      <c r="BH91" s="23">
        <f>AY57</f>
        <v>0</v>
      </c>
      <c r="BI91" s="326">
        <f t="shared" si="40"/>
        <v>0</v>
      </c>
      <c r="BJ91" s="95">
        <f>VLOOKUP(BD91,CENY!$B$11:$M$2025,12,FALSE)</f>
        <v>233.96566000000001</v>
      </c>
      <c r="BK91" s="95">
        <f t="shared" si="41"/>
        <v>0</v>
      </c>
    </row>
    <row r="92" spans="47:63" ht="14.4" customHeight="1">
      <c r="AU92" s="319"/>
      <c r="AV92" s="21"/>
      <c r="AW92" s="22"/>
      <c r="AX92" s="22"/>
      <c r="AY92" s="23"/>
      <c r="AZ92" s="326" t="str">
        <f t="shared" si="37"/>
        <v/>
      </c>
      <c r="BA92" s="95"/>
      <c r="BB92" s="95" t="str">
        <f t="shared" si="36"/>
        <v/>
      </c>
      <c r="BD92" s="319">
        <f>OBJ!B319</f>
        <v>9256865</v>
      </c>
      <c r="BE92" s="21" t="str">
        <f>VLOOKUP(BD92,CENY!$B$11:$G$1054,2,FALSE)</f>
        <v>Quadro You(M) 400/SiSy 30kg; EB21; pravý</v>
      </c>
      <c r="BF92" s="22">
        <f>VLOOKUP(BD92,CENY!$B$11:$G$1054,3,FALSE)</f>
        <v>20</v>
      </c>
      <c r="BG92" s="22"/>
      <c r="BH92" s="23">
        <f>AY57</f>
        <v>0</v>
      </c>
      <c r="BI92" s="326">
        <f t="shared" si="40"/>
        <v>0</v>
      </c>
      <c r="BJ92" s="95">
        <f>VLOOKUP(BD92,CENY!$B$11:$M$2025,12,FALSE)</f>
        <v>233.96566000000001</v>
      </c>
      <c r="BK92" s="95">
        <f t="shared" si="41"/>
        <v>0</v>
      </c>
    </row>
    <row r="93" spans="47:63" ht="14.4" customHeight="1">
      <c r="AU93" s="319"/>
      <c r="AV93" s="21"/>
      <c r="AW93" s="22"/>
      <c r="AX93" s="22"/>
      <c r="AY93" s="23"/>
      <c r="AZ93" s="326" t="str">
        <f t="shared" si="37"/>
        <v/>
      </c>
      <c r="BA93" s="95"/>
      <c r="BB93" s="95" t="str">
        <f t="shared" si="36"/>
        <v/>
      </c>
      <c r="BD93" s="319">
        <f>OBJ!B320</f>
        <v>9256868</v>
      </c>
      <c r="BE93" s="21" t="str">
        <f>VLOOKUP(BD93,CENY!$B$11:$G$1054,2,FALSE)</f>
        <v>Quadro You(M) 450/SiSy 30kg; EB21; ľavý</v>
      </c>
      <c r="BF93" s="22">
        <f>VLOOKUP(BD93,CENY!$B$11:$G$1054,3,FALSE)</f>
        <v>20</v>
      </c>
      <c r="BG93" s="22"/>
      <c r="BH93" s="23">
        <f>AY58</f>
        <v>0</v>
      </c>
      <c r="BI93" s="326">
        <f t="shared" si="40"/>
        <v>0</v>
      </c>
      <c r="BJ93" s="95">
        <f>VLOOKUP(BD93,CENY!$B$11:$M$2025,12,FALSE)</f>
        <v>238.81201999999999</v>
      </c>
      <c r="BK93" s="95">
        <f t="shared" si="41"/>
        <v>0</v>
      </c>
    </row>
    <row r="94" spans="47:63" ht="14.4" customHeight="1">
      <c r="AU94" s="319"/>
      <c r="AV94" s="21"/>
      <c r="AW94" s="22"/>
      <c r="AX94" s="22"/>
      <c r="AY94" s="23"/>
      <c r="AZ94" s="326" t="str">
        <f t="shared" si="37"/>
        <v/>
      </c>
      <c r="BA94" s="95"/>
      <c r="BB94" s="95" t="str">
        <f t="shared" si="36"/>
        <v/>
      </c>
      <c r="BD94" s="319">
        <f>OBJ!B321</f>
        <v>9256869</v>
      </c>
      <c r="BE94" s="21" t="str">
        <f>VLOOKUP(BD94,CENY!$B$11:$G$1054,2,FALSE)</f>
        <v>Quadro You(M) 450/SiSy 30kg; EB21; pravý</v>
      </c>
      <c r="BF94" s="22">
        <f>VLOOKUP(BD94,CENY!$B$11:$G$1054,3,FALSE)</f>
        <v>20</v>
      </c>
      <c r="BG94" s="22"/>
      <c r="BH94" s="23">
        <f>AY58</f>
        <v>0</v>
      </c>
      <c r="BI94" s="326">
        <f t="shared" si="40"/>
        <v>0</v>
      </c>
      <c r="BJ94" s="95">
        <f>VLOOKUP(BD94,CENY!$B$11:$M$2025,12,FALSE)</f>
        <v>238.81201999999999</v>
      </c>
      <c r="BK94" s="95">
        <f t="shared" si="41"/>
        <v>0</v>
      </c>
    </row>
    <row r="95" spans="47:63" ht="14.4" customHeight="1">
      <c r="AU95" s="319"/>
      <c r="AV95" s="21"/>
      <c r="AW95" s="22"/>
      <c r="AX95" s="22"/>
      <c r="AY95" s="23"/>
      <c r="AZ95" s="326" t="str">
        <f t="shared" si="37"/>
        <v/>
      </c>
      <c r="BA95" s="95"/>
      <c r="BB95" s="95" t="str">
        <f t="shared" si="36"/>
        <v/>
      </c>
      <c r="BD95" s="319">
        <f>OBJ!B322</f>
        <v>9256872</v>
      </c>
      <c r="BE95" s="21" t="str">
        <f>VLOOKUP(BD95,CENY!$B$11:$G$1054,2,FALSE)</f>
        <v>Quadro You(M) 500/SiSy 30kg; EB21; ľavý</v>
      </c>
      <c r="BF95" s="22">
        <f>VLOOKUP(BD95,CENY!$B$11:$G$1054,3,FALSE)</f>
        <v>20</v>
      </c>
      <c r="BG95" s="22"/>
      <c r="BH95" s="23">
        <f>AY59</f>
        <v>0</v>
      </c>
      <c r="BI95" s="326">
        <f t="shared" si="40"/>
        <v>0</v>
      </c>
      <c r="BJ95" s="95">
        <f>VLOOKUP(BD95,CENY!$B$11:$M$2025,12,FALSE)</f>
        <v>237.18776</v>
      </c>
      <c r="BK95" s="95">
        <f t="shared" si="41"/>
        <v>0</v>
      </c>
    </row>
    <row r="96" spans="47:63" ht="14.4" customHeight="1">
      <c r="AU96" s="319"/>
      <c r="AV96" s="21"/>
      <c r="AW96" s="22"/>
      <c r="AX96" s="22"/>
      <c r="AY96" s="23"/>
      <c r="AZ96" s="326" t="str">
        <f t="shared" si="37"/>
        <v/>
      </c>
      <c r="BA96" s="95"/>
      <c r="BB96" s="95" t="str">
        <f t="shared" si="36"/>
        <v/>
      </c>
      <c r="BD96" s="319">
        <f>OBJ!B323</f>
        <v>9256873</v>
      </c>
      <c r="BE96" s="21" t="str">
        <f>VLOOKUP(BD96,CENY!$B$11:$G$1054,2,FALSE)</f>
        <v>Quadro You(M) 500/SiSy 30kg; EB21; pravý</v>
      </c>
      <c r="BF96" s="22">
        <f>VLOOKUP(BD96,CENY!$B$11:$G$1054,3,FALSE)</f>
        <v>20</v>
      </c>
      <c r="BG96" s="22"/>
      <c r="BH96" s="23">
        <f>AY59</f>
        <v>0</v>
      </c>
      <c r="BI96" s="326">
        <f t="shared" si="40"/>
        <v>0</v>
      </c>
      <c r="BJ96" s="95">
        <f>VLOOKUP(BD96,CENY!$B$11:$M$2025,12,FALSE)</f>
        <v>237.18776</v>
      </c>
      <c r="BK96" s="95">
        <f t="shared" si="41"/>
        <v>0</v>
      </c>
    </row>
    <row r="97" spans="47:63" ht="14.4" customHeight="1">
      <c r="AU97" s="319"/>
      <c r="AV97" s="21"/>
      <c r="AW97" s="22"/>
      <c r="AX97" s="22"/>
      <c r="AY97" s="23"/>
      <c r="AZ97" s="326" t="str">
        <f t="shared" si="37"/>
        <v/>
      </c>
      <c r="BA97" s="95"/>
      <c r="BB97" s="95" t="str">
        <f t="shared" si="36"/>
        <v/>
      </c>
      <c r="BD97" s="319">
        <f>OBJ!B324</f>
        <v>9256876</v>
      </c>
      <c r="BE97" s="21" t="str">
        <f>VLOOKUP(BD97,CENY!$B$11:$G$1054,2,FALSE)</f>
        <v>Quadro You(M) 550/SiSy 30kg; EB21; ľavý</v>
      </c>
      <c r="BF97" s="22">
        <f>VLOOKUP(BD97,CENY!$B$11:$G$1054,3,FALSE)</f>
        <v>20</v>
      </c>
      <c r="BG97" s="22"/>
      <c r="BH97" s="23">
        <f>AY60</f>
        <v>0</v>
      </c>
      <c r="BI97" s="326">
        <f t="shared" si="40"/>
        <v>0</v>
      </c>
      <c r="BJ97" s="95">
        <f>VLOOKUP(BD97,CENY!$B$11:$M$2025,12,FALSE)</f>
        <v>241.90996999999999</v>
      </c>
      <c r="BK97" s="95">
        <f t="shared" si="41"/>
        <v>0</v>
      </c>
    </row>
    <row r="98" spans="47:63" ht="14.4" customHeight="1">
      <c r="AU98" s="20"/>
      <c r="AV98" s="21"/>
      <c r="AW98" s="22"/>
      <c r="AX98" s="22"/>
      <c r="AY98" s="23"/>
      <c r="AZ98" s="326" t="str">
        <f t="shared" si="37"/>
        <v/>
      </c>
      <c r="BA98" s="95"/>
      <c r="BB98" s="95" t="str">
        <f t="shared" si="36"/>
        <v/>
      </c>
      <c r="BD98" s="319">
        <f>OBJ!B325</f>
        <v>9256877</v>
      </c>
      <c r="BE98" s="21" t="str">
        <f>VLOOKUP(BD98,CENY!$B$11:$G$1054,2,FALSE)</f>
        <v>Quadro You(M) 550/SiSy 30kg; EB21; pravý</v>
      </c>
      <c r="BF98" s="22">
        <f>VLOOKUP(BD98,CENY!$B$11:$G$1054,3,FALSE)</f>
        <v>20</v>
      </c>
      <c r="BG98" s="22"/>
      <c r="BH98" s="23">
        <f>AY60</f>
        <v>0</v>
      </c>
      <c r="BI98" s="326">
        <f t="shared" si="40"/>
        <v>0</v>
      </c>
      <c r="BJ98" s="95">
        <f>VLOOKUP(BD98,CENY!$B$11:$M$2025,12,FALSE)</f>
        <v>248.51953</v>
      </c>
      <c r="BK98" s="95">
        <f t="shared" si="41"/>
        <v>0</v>
      </c>
    </row>
    <row r="99" spans="47:63" ht="14.4" customHeight="1">
      <c r="AU99" s="20"/>
      <c r="AV99" s="21"/>
      <c r="AW99" s="22"/>
      <c r="AX99" s="22"/>
      <c r="AY99" s="23"/>
      <c r="AZ99" s="326" t="str">
        <f t="shared" si="37"/>
        <v/>
      </c>
      <c r="BA99" s="95"/>
      <c r="BB99" s="95" t="str">
        <f t="shared" si="36"/>
        <v/>
      </c>
      <c r="BD99" s="319">
        <f>OBJ!B326</f>
        <v>9256880</v>
      </c>
      <c r="BE99" s="21" t="str">
        <f>VLOOKUP(BD99,CENY!$B$11:$G$1054,2,FALSE)</f>
        <v>Quadro You(M) 600/SiSy 25kg; EB21; ľavý</v>
      </c>
      <c r="BF99" s="22">
        <f>VLOOKUP(BD99,CENY!$B$11:$G$1054,3,FALSE)</f>
        <v>20</v>
      </c>
      <c r="BG99" s="22"/>
      <c r="BH99" s="23">
        <f>AY61</f>
        <v>0</v>
      </c>
      <c r="BI99" s="326">
        <f t="shared" si="40"/>
        <v>0</v>
      </c>
      <c r="BJ99" s="95">
        <f>VLOOKUP(BD99,CENY!$B$11:$M$2025,12,FALSE)</f>
        <v>253.36837</v>
      </c>
      <c r="BK99" s="95">
        <f t="shared" si="41"/>
        <v>0</v>
      </c>
    </row>
    <row r="100" spans="47:63" ht="14.4" customHeight="1">
      <c r="AU100" s="20"/>
      <c r="AV100" s="21"/>
      <c r="AW100" s="22"/>
      <c r="AX100" s="22"/>
      <c r="AY100" s="23"/>
      <c r="AZ100" s="326" t="str">
        <f t="shared" si="37"/>
        <v/>
      </c>
      <c r="BA100" s="95"/>
      <c r="BB100" s="95" t="str">
        <f t="shared" si="36"/>
        <v/>
      </c>
      <c r="BD100" s="319">
        <f>OBJ!B327</f>
        <v>9256881</v>
      </c>
      <c r="BE100" s="21" t="str">
        <f>VLOOKUP(BD100,CENY!$B$11:$G$1054,2,FALSE)</f>
        <v>Quadro You(M) 600/SiSy 25kg; EB21; pravý</v>
      </c>
      <c r="BF100" s="22">
        <f>VLOOKUP(BD100,CENY!$B$11:$G$1054,3,FALSE)</f>
        <v>20</v>
      </c>
      <c r="BG100" s="22"/>
      <c r="BH100" s="23">
        <f>AY61</f>
        <v>0</v>
      </c>
      <c r="BI100" s="326">
        <f t="shared" si="40"/>
        <v>0</v>
      </c>
      <c r="BJ100" s="95">
        <f>VLOOKUP(BD100,CENY!$B$11:$M$2025,12,FALSE)</f>
        <v>253.36837</v>
      </c>
      <c r="BK100" s="95">
        <f t="shared" si="41"/>
        <v>0</v>
      </c>
    </row>
    <row r="101" spans="47:63">
      <c r="AU101" s="20"/>
      <c r="AV101" s="21"/>
      <c r="AW101" s="22"/>
      <c r="AX101" s="22"/>
      <c r="AY101" s="23"/>
      <c r="AZ101" s="326" t="str">
        <f t="shared" si="37"/>
        <v/>
      </c>
      <c r="BA101" s="95"/>
      <c r="BB101" s="95" t="str">
        <f t="shared" si="36"/>
        <v/>
      </c>
      <c r="BD101" s="319"/>
      <c r="BE101" s="21"/>
      <c r="BF101" s="22"/>
      <c r="BG101" s="22"/>
      <c r="BH101" s="23"/>
      <c r="BI101" s="326" t="str">
        <f t="shared" si="40"/>
        <v/>
      </c>
      <c r="BJ101" s="95"/>
      <c r="BK101" s="95" t="str">
        <f t="shared" si="41"/>
        <v/>
      </c>
    </row>
    <row r="102" spans="47:63">
      <c r="AU102" s="20"/>
      <c r="AV102" s="21"/>
      <c r="AW102" s="22"/>
      <c r="AX102" s="22"/>
      <c r="AY102" s="23"/>
      <c r="AZ102" s="326" t="str">
        <f t="shared" si="37"/>
        <v/>
      </c>
      <c r="BA102" s="95"/>
      <c r="BB102" s="95" t="str">
        <f t="shared" si="36"/>
        <v/>
      </c>
      <c r="BD102" s="319">
        <f>OBJ!B329</f>
        <v>9257894</v>
      </c>
      <c r="BE102" s="21" t="str">
        <f>VLOOKUP(BD102,CENY!$B$11:$G$1054,2,FALSE)</f>
        <v>Quadro You - Push to open Silent; &lt;10kg</v>
      </c>
      <c r="BF102" s="22">
        <f>VLOOKUP(BD102,CENY!$B$11:$G$1054,3,FALSE)</f>
        <v>1</v>
      </c>
      <c r="BG102" s="22"/>
      <c r="BH102" s="23">
        <f>AY63</f>
        <v>0</v>
      </c>
      <c r="BI102" s="326">
        <f t="shared" si="40"/>
        <v>0</v>
      </c>
      <c r="BJ102" s="95">
        <f>VLOOKUP(BD102,CENY!$B$11:$M$2025,12,FALSE)</f>
        <v>480.50922000000003</v>
      </c>
      <c r="BK102" s="95">
        <f t="shared" si="41"/>
        <v>0</v>
      </c>
    </row>
    <row r="103" spans="47:63">
      <c r="AU103" s="20"/>
      <c r="AV103" s="21"/>
      <c r="AW103" s="22"/>
      <c r="AX103" s="22"/>
      <c r="AY103" s="23"/>
      <c r="AZ103" s="326" t="str">
        <f t="shared" si="37"/>
        <v/>
      </c>
      <c r="BA103" s="95"/>
      <c r="BB103" s="95" t="str">
        <f t="shared" si="36"/>
        <v/>
      </c>
      <c r="BD103" s="319">
        <f>OBJ!B330</f>
        <v>9257895</v>
      </c>
      <c r="BE103" s="21" t="str">
        <f>VLOOKUP(BD103,CENY!$B$11:$G$1054,2,FALSE)</f>
        <v>Quadro You - Push to open Silent; 8-20kg</v>
      </c>
      <c r="BF103" s="22">
        <f>VLOOKUP(BD103,CENY!$B$11:$G$1054,3,FALSE)</f>
        <v>1</v>
      </c>
      <c r="BG103" s="22"/>
      <c r="BH103" s="23">
        <f>AY64</f>
        <v>0</v>
      </c>
      <c r="BI103" s="326">
        <f t="shared" si="40"/>
        <v>0</v>
      </c>
      <c r="BJ103" s="95">
        <f>VLOOKUP(BD103,CENY!$B$11:$M$2025,12,FALSE)</f>
        <v>480.50922000000003</v>
      </c>
      <c r="BK103" s="95">
        <f t="shared" si="41"/>
        <v>0</v>
      </c>
    </row>
    <row r="104" spans="47:63">
      <c r="AU104" s="20"/>
      <c r="AV104" s="21"/>
      <c r="AW104" s="22"/>
      <c r="AX104" s="22"/>
      <c r="AY104" s="23"/>
      <c r="AZ104" s="326" t="str">
        <f t="shared" si="37"/>
        <v/>
      </c>
      <c r="BA104" s="95"/>
      <c r="BB104" s="95" t="str">
        <f t="shared" si="36"/>
        <v/>
      </c>
      <c r="BD104" s="319">
        <f>OBJ!B331</f>
        <v>9257896</v>
      </c>
      <c r="BE104" s="21" t="str">
        <f>VLOOKUP(BD104,CENY!$B$11:$G$1054,2,FALSE)</f>
        <v>Quadro You - Push to open Silent; 10-30kg</v>
      </c>
      <c r="BF104" s="22">
        <f>VLOOKUP(BD104,CENY!$B$11:$G$1054,3,FALSE)</f>
        <v>1</v>
      </c>
      <c r="BG104" s="22"/>
      <c r="BH104" s="23">
        <f>AY65</f>
        <v>0</v>
      </c>
      <c r="BI104" s="326">
        <f t="shared" si="40"/>
        <v>0</v>
      </c>
      <c r="BJ104" s="95">
        <f>VLOOKUP(BD104,CENY!$B$11:$M$2025,12,FALSE)</f>
        <v>480.50922000000003</v>
      </c>
      <c r="BK104" s="95">
        <f t="shared" si="41"/>
        <v>0</v>
      </c>
    </row>
    <row r="105" spans="47:63">
      <c r="AU105" s="20"/>
      <c r="AV105" s="21"/>
      <c r="AW105" s="22"/>
      <c r="AX105" s="22"/>
      <c r="AY105" s="23"/>
      <c r="AZ105" s="326" t="str">
        <f t="shared" si="37"/>
        <v/>
      </c>
      <c r="BA105" s="95"/>
      <c r="BB105" s="95" t="str">
        <f t="shared" si="36"/>
        <v/>
      </c>
      <c r="BD105" s="319"/>
      <c r="BE105" s="21"/>
      <c r="BF105" s="22"/>
      <c r="BG105" s="22"/>
      <c r="BH105" s="23"/>
      <c r="BI105" s="326" t="str">
        <f t="shared" si="40"/>
        <v/>
      </c>
      <c r="BJ105" s="95"/>
      <c r="BK105" s="95" t="str">
        <f t="shared" si="41"/>
        <v/>
      </c>
    </row>
    <row r="106" spans="47:63">
      <c r="AU106" s="20"/>
      <c r="AV106" s="21"/>
      <c r="AW106" s="22"/>
      <c r="AX106" s="22"/>
      <c r="AY106" s="23"/>
      <c r="AZ106" s="326" t="str">
        <f t="shared" si="37"/>
        <v/>
      </c>
      <c r="BA106" s="95"/>
      <c r="BB106" s="95" t="str">
        <f t="shared" si="36"/>
        <v/>
      </c>
      <c r="BD106" s="319">
        <f>OBJ!B341</f>
        <v>9256899</v>
      </c>
      <c r="BE106" s="21" t="str">
        <f>VLOOKUP(BD106,CENY!$B$11:$G$1054,2,FALSE)</f>
        <v>Quadro You(M) 270/P2O 20kg; EB21; ľavý</v>
      </c>
      <c r="BF106" s="22">
        <f>VLOOKUP(BD106,CENY!$B$11:$G$1054,3,FALSE)</f>
        <v>20</v>
      </c>
      <c r="BG106" s="22"/>
      <c r="BH106" s="23">
        <f>AY67</f>
        <v>0</v>
      </c>
      <c r="BI106" s="326">
        <f t="shared" ref="BI106:BI107" si="44">IF(BH106="","",IF($AW$4=0,BH106,0))</f>
        <v>0</v>
      </c>
      <c r="BJ106" s="95">
        <f>VLOOKUP(BD106,CENY!$B$11:$M$2025,12,FALSE)</f>
        <v>252.8922</v>
      </c>
      <c r="BK106" s="95">
        <f t="shared" ref="BK106:BK107" si="45">IF(BJ106="","",BJ106*BH106)</f>
        <v>0</v>
      </c>
    </row>
    <row r="107" spans="47:63">
      <c r="AU107" s="20"/>
      <c r="AV107" s="21"/>
      <c r="AW107" s="22"/>
      <c r="AX107" s="22"/>
      <c r="AY107" s="23"/>
      <c r="AZ107" s="326" t="str">
        <f t="shared" si="37"/>
        <v/>
      </c>
      <c r="BA107" s="95"/>
      <c r="BB107" s="95" t="str">
        <f t="shared" si="36"/>
        <v/>
      </c>
      <c r="BD107" s="319">
        <f>OBJ!B342</f>
        <v>9256900</v>
      </c>
      <c r="BE107" s="21" t="str">
        <f>VLOOKUP(BD107,CENY!$B$11:$G$1054,2,FALSE)</f>
        <v>Quadro You(M) 270/P2O 20kg; EB21; pravý</v>
      </c>
      <c r="BF107" s="22">
        <f>VLOOKUP(BD107,CENY!$B$11:$G$1054,3,FALSE)</f>
        <v>20</v>
      </c>
      <c r="BG107" s="22"/>
      <c r="BH107" s="23">
        <f>AY67</f>
        <v>0</v>
      </c>
      <c r="BI107" s="326">
        <f t="shared" si="44"/>
        <v>0</v>
      </c>
      <c r="BJ107" s="95">
        <f>VLOOKUP(BD107,CENY!$B$11:$M$2025,12,FALSE)</f>
        <v>252.8922</v>
      </c>
      <c r="BK107" s="95">
        <f t="shared" si="45"/>
        <v>0</v>
      </c>
    </row>
    <row r="108" spans="47:63">
      <c r="AU108" s="20"/>
      <c r="AV108" s="21"/>
      <c r="AW108" s="22"/>
      <c r="AX108" s="22"/>
      <c r="AY108" s="23"/>
      <c r="AZ108" s="326" t="str">
        <f t="shared" si="37"/>
        <v/>
      </c>
      <c r="BA108" s="95"/>
      <c r="BB108" s="95" t="str">
        <f t="shared" si="36"/>
        <v/>
      </c>
      <c r="BD108" s="319">
        <f>OBJ!B343</f>
        <v>9256901</v>
      </c>
      <c r="BE108" s="21" t="str">
        <f>VLOOKUP(BD108,CENY!$B$11:$G$1054,2,FALSE)</f>
        <v>Quadro You(M) 300/P2O 20kg; EB21; ľavý</v>
      </c>
      <c r="BF108" s="22">
        <f>VLOOKUP(BD108,CENY!$B$11:$G$1054,3,FALSE)</f>
        <v>20</v>
      </c>
      <c r="BG108" s="22"/>
      <c r="BH108" s="23">
        <f>AY68</f>
        <v>0</v>
      </c>
      <c r="BI108" s="326">
        <f t="shared" si="40"/>
        <v>0</v>
      </c>
      <c r="BJ108" s="95">
        <f>VLOOKUP(BD108,CENY!$B$11:$M$2025,12,FALSE)</f>
        <v>253.36837</v>
      </c>
      <c r="BK108" s="95">
        <f t="shared" si="41"/>
        <v>0</v>
      </c>
    </row>
    <row r="109" spans="47:63">
      <c r="AU109" s="20"/>
      <c r="AV109" s="21"/>
      <c r="AW109" s="22"/>
      <c r="AX109" s="22"/>
      <c r="AY109" s="23"/>
      <c r="AZ109" s="326" t="str">
        <f t="shared" si="37"/>
        <v/>
      </c>
      <c r="BA109" s="95"/>
      <c r="BB109" s="95" t="str">
        <f t="shared" si="36"/>
        <v/>
      </c>
      <c r="BD109" s="319">
        <f>OBJ!B344</f>
        <v>9256902</v>
      </c>
      <c r="BE109" s="21" t="str">
        <f>VLOOKUP(BD109,CENY!$B$11:$G$1054,2,FALSE)</f>
        <v>Quadro You(M) 300/P2O 20kg; EB21; pravý</v>
      </c>
      <c r="BF109" s="22">
        <f>VLOOKUP(BD109,CENY!$B$11:$G$1054,3,FALSE)</f>
        <v>20</v>
      </c>
      <c r="BG109" s="22"/>
      <c r="BH109" s="23">
        <f>AY68</f>
        <v>0</v>
      </c>
      <c r="BI109" s="326">
        <f t="shared" si="40"/>
        <v>0</v>
      </c>
      <c r="BJ109" s="95">
        <f>VLOOKUP(BD109,CENY!$B$11:$M$2025,12,FALSE)</f>
        <v>253.36837</v>
      </c>
      <c r="BK109" s="95">
        <f t="shared" si="41"/>
        <v>0</v>
      </c>
    </row>
    <row r="110" spans="47:63">
      <c r="AU110" s="20"/>
      <c r="AV110" s="21"/>
      <c r="AW110" s="22"/>
      <c r="AX110" s="22"/>
      <c r="AY110" s="23"/>
      <c r="AZ110" s="326" t="str">
        <f t="shared" si="37"/>
        <v/>
      </c>
      <c r="BA110" s="95"/>
      <c r="BB110" s="95" t="str">
        <f t="shared" si="36"/>
        <v/>
      </c>
      <c r="BD110" s="319">
        <f>OBJ!B345</f>
        <v>9256905</v>
      </c>
      <c r="BE110" s="21" t="str">
        <f>VLOOKUP(BD110,CENY!$B$11:$G$1054,2,FALSE)</f>
        <v>Quadro You(M) 350/P2O 25kg; EB21; ľavý</v>
      </c>
      <c r="BF110" s="22">
        <f>VLOOKUP(BD110,CENY!$B$11:$G$1054,3,FALSE)</f>
        <v>20</v>
      </c>
      <c r="BG110" s="22"/>
      <c r="BH110" s="23">
        <f>AY69</f>
        <v>0</v>
      </c>
      <c r="BI110" s="326">
        <f t="shared" si="40"/>
        <v>0</v>
      </c>
      <c r="BJ110" s="95">
        <f>VLOOKUP(BD110,CENY!$B$11:$M$2025,12,FALSE)</f>
        <v>258.22465999999997</v>
      </c>
      <c r="BK110" s="95">
        <f t="shared" si="41"/>
        <v>0</v>
      </c>
    </row>
    <row r="111" spans="47:63">
      <c r="AU111" s="20"/>
      <c r="AV111" s="21"/>
      <c r="AW111" s="22"/>
      <c r="AX111" s="22"/>
      <c r="AY111" s="23"/>
      <c r="AZ111" s="326" t="str">
        <f t="shared" si="37"/>
        <v/>
      </c>
      <c r="BA111" s="95"/>
      <c r="BB111" s="95" t="str">
        <f t="shared" si="36"/>
        <v/>
      </c>
      <c r="BD111" s="319">
        <f>OBJ!B346</f>
        <v>9256906</v>
      </c>
      <c r="BE111" s="21" t="str">
        <f>VLOOKUP(BD111,CENY!$B$11:$G$1054,2,FALSE)</f>
        <v>Quadro You(M) 350/P2O 25kg; EB21; pravý</v>
      </c>
      <c r="BF111" s="22">
        <f>VLOOKUP(BD111,CENY!$B$11:$G$1054,3,FALSE)</f>
        <v>20</v>
      </c>
      <c r="BG111" s="22"/>
      <c r="BH111" s="23">
        <f>AY69</f>
        <v>0</v>
      </c>
      <c r="BI111" s="326">
        <f t="shared" si="40"/>
        <v>0</v>
      </c>
      <c r="BJ111" s="95">
        <f>VLOOKUP(BD111,CENY!$B$11:$M$2025,12,FALSE)</f>
        <v>258.22465999999997</v>
      </c>
      <c r="BK111" s="95">
        <f t="shared" si="41"/>
        <v>0</v>
      </c>
    </row>
    <row r="112" spans="47:63">
      <c r="AU112" s="20"/>
      <c r="AV112" s="21"/>
      <c r="AW112" s="22"/>
      <c r="AX112" s="22"/>
      <c r="AY112" s="23"/>
      <c r="AZ112" s="326" t="str">
        <f t="shared" si="37"/>
        <v/>
      </c>
      <c r="BA112" s="95"/>
      <c r="BB112" s="95" t="str">
        <f t="shared" si="36"/>
        <v/>
      </c>
      <c r="BD112" s="319">
        <f>OBJ!B347</f>
        <v>9256909</v>
      </c>
      <c r="BE112" s="21" t="str">
        <f>VLOOKUP(BD112,CENY!$B$11:$G$1054,2,FALSE)</f>
        <v>Quadro You(M) 400/P2O 30kg; EB21; ľavý</v>
      </c>
      <c r="BF112" s="22">
        <f>VLOOKUP(BD112,CENY!$B$11:$G$1054,3,FALSE)</f>
        <v>20</v>
      </c>
      <c r="BG112" s="22"/>
      <c r="BH112" s="23">
        <f>AY70</f>
        <v>0</v>
      </c>
      <c r="BI112" s="326">
        <f t="shared" si="40"/>
        <v>0</v>
      </c>
      <c r="BJ112" s="95">
        <f>VLOOKUP(BD112,CENY!$B$11:$M$2025,12,FALSE)</f>
        <v>263.07337999999999</v>
      </c>
      <c r="BK112" s="95">
        <f t="shared" si="41"/>
        <v>0</v>
      </c>
    </row>
    <row r="113" spans="47:63">
      <c r="AU113" s="20"/>
      <c r="AV113" s="21"/>
      <c r="AW113" s="22"/>
      <c r="AX113" s="22"/>
      <c r="AY113" s="23"/>
      <c r="AZ113" s="326" t="str">
        <f t="shared" si="37"/>
        <v/>
      </c>
      <c r="BA113" s="95"/>
      <c r="BB113" s="95" t="str">
        <f t="shared" si="36"/>
        <v/>
      </c>
      <c r="BD113" s="319">
        <f>OBJ!B348</f>
        <v>9256910</v>
      </c>
      <c r="BE113" s="21" t="str">
        <f>VLOOKUP(BD113,CENY!$B$11:$G$1054,2,FALSE)</f>
        <v>Quadro You(M) 400/P2O 30kg; EB21; pravý</v>
      </c>
      <c r="BF113" s="22">
        <f>VLOOKUP(BD113,CENY!$B$11:$G$1054,3,FALSE)</f>
        <v>20</v>
      </c>
      <c r="BG113" s="22"/>
      <c r="BH113" s="23">
        <f>AY70</f>
        <v>0</v>
      </c>
      <c r="BI113" s="326">
        <f t="shared" si="40"/>
        <v>0</v>
      </c>
      <c r="BJ113" s="95">
        <f>VLOOKUP(BD113,CENY!$B$11:$M$2025,12,FALSE)</f>
        <v>263.07337999999999</v>
      </c>
      <c r="BK113" s="95">
        <f t="shared" si="41"/>
        <v>0</v>
      </c>
    </row>
    <row r="114" spans="47:63">
      <c r="AU114" s="20"/>
      <c r="AV114" s="21"/>
      <c r="AW114" s="22"/>
      <c r="AX114" s="22"/>
      <c r="AY114" s="23"/>
      <c r="AZ114" s="326" t="str">
        <f t="shared" si="37"/>
        <v/>
      </c>
      <c r="BA114" s="95"/>
      <c r="BB114" s="95" t="str">
        <f t="shared" si="36"/>
        <v/>
      </c>
      <c r="BD114" s="319">
        <f>OBJ!B349</f>
        <v>9256913</v>
      </c>
      <c r="BE114" s="21" t="str">
        <f>VLOOKUP(BD114,CENY!$B$11:$G$1054,2,FALSE)</f>
        <v>Quadro You(M) 450/P2O 30kg; EB21; ľavý</v>
      </c>
      <c r="BF114" s="22">
        <f>VLOOKUP(BD114,CENY!$B$11:$G$1054,3,FALSE)</f>
        <v>20</v>
      </c>
      <c r="BG114" s="22"/>
      <c r="BH114" s="23">
        <f>AY71</f>
        <v>0</v>
      </c>
      <c r="BI114" s="326">
        <f t="shared" si="40"/>
        <v>0</v>
      </c>
      <c r="BJ114" s="95">
        <f>VLOOKUP(BD114,CENY!$B$11:$M$2025,12,FALSE)</f>
        <v>267.92221999999998</v>
      </c>
      <c r="BK114" s="95">
        <f t="shared" si="41"/>
        <v>0</v>
      </c>
    </row>
    <row r="115" spans="47:63">
      <c r="AU115" s="20"/>
      <c r="AV115" s="21"/>
      <c r="AW115" s="22"/>
      <c r="AX115" s="22"/>
      <c r="AY115" s="23"/>
      <c r="AZ115" s="326" t="str">
        <f t="shared" si="37"/>
        <v/>
      </c>
      <c r="BA115" s="95"/>
      <c r="BB115" s="95" t="str">
        <f t="shared" si="36"/>
        <v/>
      </c>
      <c r="BD115" s="319">
        <f>OBJ!B350</f>
        <v>9256914</v>
      </c>
      <c r="BE115" s="21" t="str">
        <f>VLOOKUP(BD115,CENY!$B$11:$G$1054,2,FALSE)</f>
        <v>Quadro You(M) 450/P2O 30kg; EB21; pravý</v>
      </c>
      <c r="BF115" s="22">
        <f>VLOOKUP(BD115,CENY!$B$11:$G$1054,3,FALSE)</f>
        <v>20</v>
      </c>
      <c r="BG115" s="22"/>
      <c r="BH115" s="23">
        <f>AY71</f>
        <v>0</v>
      </c>
      <c r="BI115" s="326">
        <f t="shared" si="40"/>
        <v>0</v>
      </c>
      <c r="BJ115" s="95">
        <f>VLOOKUP(BD115,CENY!$B$11:$M$2025,12,FALSE)</f>
        <v>267.92221999999998</v>
      </c>
      <c r="BK115" s="95">
        <f t="shared" si="41"/>
        <v>0</v>
      </c>
    </row>
    <row r="116" spans="47:63">
      <c r="AU116" s="20"/>
      <c r="AV116" s="21"/>
      <c r="AW116" s="22"/>
      <c r="AX116" s="22"/>
      <c r="AY116" s="23"/>
      <c r="AZ116" s="326" t="str">
        <f t="shared" si="37"/>
        <v/>
      </c>
      <c r="BA116" s="95"/>
      <c r="BB116" s="95" t="str">
        <f t="shared" si="36"/>
        <v/>
      </c>
      <c r="BD116" s="319">
        <f>OBJ!B351</f>
        <v>9256917</v>
      </c>
      <c r="BE116" s="21" t="str">
        <f>VLOOKUP(BD116,CENY!$B$11:$G$1054,2,FALSE)</f>
        <v>Quadro You(M) 500/P2O 30kg; EB21; ľavý</v>
      </c>
      <c r="BF116" s="22">
        <f>VLOOKUP(BD116,CENY!$B$11:$G$1054,3,FALSE)</f>
        <v>20</v>
      </c>
      <c r="BG116" s="22"/>
      <c r="BH116" s="23">
        <f>AY72</f>
        <v>0</v>
      </c>
      <c r="BI116" s="326">
        <f t="shared" si="40"/>
        <v>0</v>
      </c>
      <c r="BJ116" s="95">
        <f>VLOOKUP(BD116,CENY!$B$11:$M$2025,12,FALSE)</f>
        <v>265.52375999999998</v>
      </c>
      <c r="BK116" s="95">
        <f t="shared" si="41"/>
        <v>0</v>
      </c>
    </row>
    <row r="117" spans="47:63">
      <c r="AU117" s="20"/>
      <c r="AV117" s="21"/>
      <c r="AW117" s="22"/>
      <c r="AX117" s="22"/>
      <c r="AY117" s="23"/>
      <c r="AZ117" s="326" t="str">
        <f t="shared" si="37"/>
        <v/>
      </c>
      <c r="BA117" s="95"/>
      <c r="BB117" s="95" t="str">
        <f t="shared" si="36"/>
        <v/>
      </c>
      <c r="BD117" s="319">
        <f>OBJ!B352</f>
        <v>9256918</v>
      </c>
      <c r="BE117" s="21" t="str">
        <f>VLOOKUP(BD117,CENY!$B$11:$G$1054,2,FALSE)</f>
        <v>Quadro You(M) 500/P2O 30kg; EB21; pravý</v>
      </c>
      <c r="BF117" s="22">
        <f>VLOOKUP(BD117,CENY!$B$11:$G$1054,3,FALSE)</f>
        <v>20</v>
      </c>
      <c r="BG117" s="22"/>
      <c r="BH117" s="23">
        <f>AY72</f>
        <v>0</v>
      </c>
      <c r="BI117" s="326">
        <f t="shared" si="40"/>
        <v>0</v>
      </c>
      <c r="BJ117" s="95">
        <f>VLOOKUP(BD117,CENY!$B$11:$M$2025,12,FALSE)</f>
        <v>265.52375999999998</v>
      </c>
      <c r="BK117" s="95">
        <f t="shared" si="41"/>
        <v>0</v>
      </c>
    </row>
    <row r="118" spans="47:63">
      <c r="AU118" s="20"/>
      <c r="AV118" s="21"/>
      <c r="AW118" s="22"/>
      <c r="AX118" s="22"/>
      <c r="AY118" s="23"/>
      <c r="AZ118" s="326" t="str">
        <f t="shared" si="37"/>
        <v/>
      </c>
      <c r="BA118" s="95"/>
      <c r="BB118" s="95" t="str">
        <f t="shared" si="36"/>
        <v/>
      </c>
      <c r="BD118" s="319">
        <f>OBJ!B353</f>
        <v>9256921</v>
      </c>
      <c r="BE118" s="21" t="str">
        <f>VLOOKUP(BD118,CENY!$B$11:$G$1054,2,FALSE)</f>
        <v>Quadro You(M) 550/P2O 30kg; EB21; ľavý</v>
      </c>
      <c r="BF118" s="22">
        <f>VLOOKUP(BD118,CENY!$B$11:$G$1054,3,FALSE)</f>
        <v>20</v>
      </c>
      <c r="BG118" s="22"/>
      <c r="BH118" s="23">
        <f>AY73</f>
        <v>0</v>
      </c>
      <c r="BI118" s="326">
        <f t="shared" si="40"/>
        <v>0</v>
      </c>
      <c r="BJ118" s="95">
        <f>VLOOKUP(BD118,CENY!$B$11:$M$2025,12,FALSE)</f>
        <v>270.22431</v>
      </c>
      <c r="BK118" s="95">
        <f t="shared" si="41"/>
        <v>0</v>
      </c>
    </row>
    <row r="119" spans="47:63">
      <c r="AU119" s="319">
        <f>OBJ!B361</f>
        <v>45167</v>
      </c>
      <c r="AV119" s="21" t="str">
        <f>VLOOKUP(AU119,CENY!$B$11:$G$1054,2,FALSE)</f>
        <v>Skrutka s polgul.hlavou 3,5x12mm</v>
      </c>
      <c r="AW119" s="22">
        <f>VLOOKUP(AU119,CENY!$B$11:$G$1054,3,FALSE)</f>
        <v>200</v>
      </c>
      <c r="AX119" s="22"/>
      <c r="AY119" s="23">
        <f>SUMPRODUCT(AX5:AX13,AY5:AY13)</f>
        <v>0</v>
      </c>
      <c r="AZ119" s="326">
        <f t="shared" si="37"/>
        <v>0</v>
      </c>
      <c r="BA119" s="95">
        <f>VLOOKUP(AU119,CENY!$B$11:$M$2025,12,FALSE)</f>
        <v>0.84719999999999995</v>
      </c>
      <c r="BB119" s="95">
        <f t="shared" si="36"/>
        <v>0</v>
      </c>
      <c r="BC119" s="86" t="s">
        <v>396</v>
      </c>
      <c r="BD119" s="319">
        <f>OBJ!B354</f>
        <v>9256922</v>
      </c>
      <c r="BE119" s="21" t="str">
        <f>VLOOKUP(BD119,CENY!$B$11:$G$1054,2,FALSE)</f>
        <v>Quadro You(M) 550/P2O 30kg; EB21; pravý</v>
      </c>
      <c r="BF119" s="22">
        <f>VLOOKUP(BD119,CENY!$B$11:$G$1054,3,FALSE)</f>
        <v>20</v>
      </c>
      <c r="BG119" s="22"/>
      <c r="BH119" s="23">
        <f>AY73</f>
        <v>0</v>
      </c>
      <c r="BI119" s="326">
        <f t="shared" si="40"/>
        <v>0</v>
      </c>
      <c r="BJ119" s="95">
        <f>VLOOKUP(BD119,CENY!$B$11:$M$2025,12,FALSE)</f>
        <v>277.60748999999998</v>
      </c>
      <c r="BK119" s="95">
        <f t="shared" si="41"/>
        <v>0</v>
      </c>
    </row>
    <row r="120" spans="47:63">
      <c r="AU120" s="319">
        <f>OBJ!B362</f>
        <v>45168</v>
      </c>
      <c r="AV120" s="21" t="str">
        <f>VLOOKUP(AU120,CENY!$B$11:$G$1054,2,FALSE)</f>
        <v>Skrutka s polgul.hlavou 3,5x20mm</v>
      </c>
      <c r="AW120" s="22">
        <f>VLOOKUP(AU120,CENY!$B$11:$G$1054,3,FALSE)</f>
        <v>200</v>
      </c>
      <c r="AX120" s="22"/>
      <c r="AY120" s="360">
        <v>0</v>
      </c>
      <c r="AZ120" s="326">
        <f t="shared" si="37"/>
        <v>0</v>
      </c>
      <c r="BA120" s="95">
        <f>VLOOKUP(AU120,CENY!$B$11:$M$2025,12,FALSE)</f>
        <v>1.2154199999999999</v>
      </c>
      <c r="BB120" s="95">
        <f t="shared" si="36"/>
        <v>0</v>
      </c>
      <c r="BC120" s="86" t="s">
        <v>397</v>
      </c>
      <c r="BD120" s="319">
        <f>OBJ!B355</f>
        <v>9256925</v>
      </c>
      <c r="BE120" s="21" t="str">
        <f>VLOOKUP(BD120,CENY!$B$11:$G$1054,2,FALSE)</f>
        <v>Quadro You(M) 600/P2O 25kg; EB21; ľavý</v>
      </c>
      <c r="BF120" s="22">
        <f>VLOOKUP(BD120,CENY!$B$11:$G$1054,3,FALSE)</f>
        <v>20</v>
      </c>
      <c r="BG120" s="22"/>
      <c r="BH120" s="23">
        <f>AY74</f>
        <v>0</v>
      </c>
      <c r="BI120" s="326">
        <f t="shared" si="40"/>
        <v>0</v>
      </c>
      <c r="BJ120" s="95">
        <f>VLOOKUP(BD120,CENY!$B$11:$M$2025,12,FALSE)</f>
        <v>282.45375999999999</v>
      </c>
      <c r="BK120" s="95">
        <f t="shared" si="41"/>
        <v>0</v>
      </c>
    </row>
    <row r="121" spans="47:63">
      <c r="AU121" s="319">
        <f>OBJ!B363</f>
        <v>9278224</v>
      </c>
      <c r="AV121" s="21" t="str">
        <f>VLOOKUP(AU121,CENY!$B$11:$G$1054,2,FALSE)</f>
        <v>Skrutka s polgul.hlavou 3,5x30mm</v>
      </c>
      <c r="AW121" s="22">
        <f>VLOOKUP(AU121,CENY!$B$11:$G$1054,3,FALSE)</f>
        <v>200</v>
      </c>
      <c r="AX121" s="22"/>
      <c r="AY121" s="360">
        <v>0</v>
      </c>
      <c r="AZ121" s="326">
        <f t="shared" si="37"/>
        <v>0</v>
      </c>
      <c r="BA121" s="95">
        <f>VLOOKUP(AU121,CENY!$B$11:$M$2025,12,FALSE)</f>
        <v>0.89337999999999995</v>
      </c>
      <c r="BB121" s="95">
        <f t="shared" si="36"/>
        <v>0</v>
      </c>
      <c r="BC121" s="86" t="s">
        <v>398</v>
      </c>
      <c r="BD121" s="319">
        <f>OBJ!B356</f>
        <v>9256926</v>
      </c>
      <c r="BE121" s="21" t="str">
        <f>VLOOKUP(BD121,CENY!$B$11:$G$1054,2,FALSE)</f>
        <v>Quadro You(M) 600/P2O 25kg; EB21; pravý</v>
      </c>
      <c r="BF121" s="22">
        <f>VLOOKUP(BD121,CENY!$B$11:$G$1054,3,FALSE)</f>
        <v>20</v>
      </c>
      <c r="BG121" s="22"/>
      <c r="BH121" s="23">
        <f>AY74</f>
        <v>0</v>
      </c>
      <c r="BI121" s="326">
        <f t="shared" si="40"/>
        <v>0</v>
      </c>
      <c r="BJ121" s="95">
        <f>VLOOKUP(BD121,CENY!$B$11:$M$2025,12,FALSE)</f>
        <v>282.45375999999999</v>
      </c>
      <c r="BK121" s="95">
        <f t="shared" si="41"/>
        <v>0</v>
      </c>
    </row>
    <row r="122" spans="47:63">
      <c r="AU122" s="319">
        <f>OBJ!B364</f>
        <v>9279197</v>
      </c>
      <c r="AV122" s="21" t="str">
        <f>VLOOKUP(AU122,CENY!$B$11:$G$1054,2,FALSE)</f>
        <v>Skrutka s polgul.hlavou M3,5x12mm</v>
      </c>
      <c r="AW122" s="22">
        <f>VLOOKUP(AU122,CENY!$B$11:$G$1054,3,FALSE)</f>
        <v>1000</v>
      </c>
      <c r="AX122" s="22"/>
      <c r="AY122" s="68">
        <v>0</v>
      </c>
      <c r="AZ122" s="326">
        <f t="shared" si="37"/>
        <v>0</v>
      </c>
      <c r="BA122" s="95">
        <f>VLOOKUP(AU122,CENY!$B$11:$M$2025,12,FALSE)</f>
        <v>0</v>
      </c>
      <c r="BB122" s="95">
        <f t="shared" si="36"/>
        <v>0</v>
      </c>
      <c r="BC122" s="86" t="s">
        <v>399</v>
      </c>
      <c r="BD122" s="319" t="s">
        <v>47</v>
      </c>
      <c r="BE122" s="21"/>
      <c r="BF122" s="22"/>
      <c r="BG122" s="22"/>
      <c r="BH122" s="23"/>
      <c r="BI122" s="326" t="str">
        <f t="shared" si="40"/>
        <v/>
      </c>
      <c r="BJ122" s="95"/>
      <c r="BK122" s="95" t="str">
        <f t="shared" si="41"/>
        <v/>
      </c>
    </row>
    <row r="123" spans="47:63">
      <c r="AU123" s="319">
        <f>OBJ!B365</f>
        <v>9137114</v>
      </c>
      <c r="AV123" s="21" t="str">
        <f>VLOOKUP(AU123,CENY!$B$11:$G$1054,2,FALSE)</f>
        <v>EURO-skrutka  6,0x14mm / niklovaná</v>
      </c>
      <c r="AW123" s="22">
        <f>VLOOKUP(AU123,CENY!$B$11:$G$1054,3,FALSE)</f>
        <v>200</v>
      </c>
      <c r="AX123" s="22"/>
      <c r="AY123" s="23">
        <f>SUMPRODUCT(AX25:AX74,AY25:AY74)</f>
        <v>0</v>
      </c>
      <c r="AZ123" s="326">
        <f t="shared" si="37"/>
        <v>0</v>
      </c>
      <c r="BA123" s="95">
        <f>VLOOKUP(AU123,CENY!$B$11:$M$2025,12,FALSE)</f>
        <v>1.8839300000000001</v>
      </c>
      <c r="BB123" s="95">
        <f>IF(BA123="","",BA123*AY123)</f>
        <v>0</v>
      </c>
      <c r="BC123" s="86" t="s">
        <v>400</v>
      </c>
      <c r="BD123" s="319">
        <f>OBJ!B358</f>
        <v>9219966</v>
      </c>
      <c r="BE123" s="21" t="str">
        <f>VLOOKUP(BD123,CENY!$B$11:$G$1054,2,FALSE)</f>
        <v>Push to open Synchro / adaptér typ A</v>
      </c>
      <c r="BF123" s="22">
        <f>VLOOKUP(BD123,CENY!$B$11:$G$1054,3,FALSE)</f>
        <v>200</v>
      </c>
      <c r="BG123" s="22"/>
      <c r="BH123" s="23">
        <f>AY76</f>
        <v>0</v>
      </c>
      <c r="BI123" s="326">
        <f t="shared" si="40"/>
        <v>0</v>
      </c>
      <c r="BJ123" s="95">
        <f>VLOOKUP(BD123,CENY!$B$11:$M$2025,12,FALSE)</f>
        <v>16.488900000000001</v>
      </c>
      <c r="BK123" s="95">
        <f t="shared" si="41"/>
        <v>0</v>
      </c>
    </row>
    <row r="124" spans="47:63">
      <c r="AU124" s="20"/>
      <c r="AV124" s="21"/>
      <c r="AW124" s="22"/>
      <c r="AX124" s="22"/>
      <c r="AY124" s="23"/>
      <c r="AZ124" s="326" t="str">
        <f>IF(AY124="","",IF($AW$4=1,AY124,0))</f>
        <v/>
      </c>
      <c r="BA124" s="95"/>
      <c r="BB124" s="95" t="str">
        <f>IF(BA124="","",BA124*AY124)</f>
        <v/>
      </c>
      <c r="BD124" s="319"/>
      <c r="BE124" s="21"/>
      <c r="BF124" s="22"/>
      <c r="BG124" s="22"/>
      <c r="BH124" s="23"/>
      <c r="BI124" s="326" t="str">
        <f t="shared" si="40"/>
        <v/>
      </c>
      <c r="BJ124" s="95"/>
      <c r="BK124" s="95" t="str">
        <f t="shared" si="41"/>
        <v/>
      </c>
    </row>
    <row r="125" spans="47:63">
      <c r="AU125" s="20"/>
      <c r="AV125" s="21"/>
      <c r="AW125" s="22"/>
      <c r="AX125" s="22"/>
      <c r="AY125" s="23"/>
      <c r="AZ125" s="326" t="str">
        <f>IF(AY125="","",IF($AW$4=1,AY125,0))</f>
        <v/>
      </c>
      <c r="BA125" s="95"/>
      <c r="BB125" s="95" t="str">
        <f>IF(BA125="","",BA125*AY125)</f>
        <v/>
      </c>
      <c r="BD125" s="319">
        <f>OBJ!B214</f>
        <v>0</v>
      </c>
      <c r="BE125" s="21" t="e">
        <f>VLOOKUP(BD125,CENY!$B$11:$G$1054,2,FALSE)</f>
        <v>#N/A</v>
      </c>
      <c r="BF125" s="22" t="e">
        <f>VLOOKUP(BD125,CENY!$B$11:$G$1054,3,FALSE)</f>
        <v>#N/A</v>
      </c>
      <c r="BG125" s="22"/>
      <c r="BH125" s="23">
        <f>AY80</f>
        <v>0</v>
      </c>
      <c r="BI125" s="326">
        <f t="shared" si="40"/>
        <v>0</v>
      </c>
      <c r="BJ125" s="324" t="str">
        <f>IF(BD125=0,"",VLOOKUP(BD125,CENY!$B$11:$M$2025,12,FALSE))</f>
        <v/>
      </c>
      <c r="BK125" s="95" t="str">
        <f t="shared" si="41"/>
        <v/>
      </c>
    </row>
    <row r="126" spans="47:63">
      <c r="BD126" s="319"/>
      <c r="BE126" s="21"/>
      <c r="BF126" s="22"/>
      <c r="BG126" s="22"/>
      <c r="BH126" s="23"/>
      <c r="BI126" s="326" t="str">
        <f t="shared" si="40"/>
        <v/>
      </c>
      <c r="BJ126" s="95"/>
      <c r="BK126" s="95" t="str">
        <f t="shared" si="41"/>
        <v/>
      </c>
    </row>
    <row r="127" spans="47:63">
      <c r="BD127" s="319">
        <f>OBJ!B361</f>
        <v>45167</v>
      </c>
      <c r="BE127" s="21" t="str">
        <f>VLOOKUP(BD127,CENY!$B$11:$G$1054,2,FALSE)</f>
        <v>Skrutka s polgul.hlavou 3,5x12mm</v>
      </c>
      <c r="BF127" s="22">
        <f>VLOOKUP(BD127,CENY!$B$11:$G$1054,3,FALSE)</f>
        <v>200</v>
      </c>
      <c r="BG127" s="22"/>
      <c r="BH127" s="23">
        <f>AY119+BH25*2</f>
        <v>0</v>
      </c>
      <c r="BI127" s="326">
        <f>IF(BH127="","",IF($AW$4=0,BH127,0))</f>
        <v>0</v>
      </c>
      <c r="BJ127" s="95">
        <f>VLOOKUP(BD127,CENY!$B$11:$M$2025,12,FALSE)</f>
        <v>0.84719999999999995</v>
      </c>
      <c r="BK127" s="95">
        <f>IF(BJ127="","",BJ127*BH127)</f>
        <v>0</v>
      </c>
    </row>
    <row r="128" spans="47:63">
      <c r="BD128" s="319">
        <f>OBJ!B362</f>
        <v>45168</v>
      </c>
      <c r="BE128" s="21" t="str">
        <f>VLOOKUP(BD128,CENY!$B$11:$G$1054,2,FALSE)</f>
        <v>Skrutka s polgul.hlavou 3,5x20mm</v>
      </c>
      <c r="BF128" s="22">
        <f>VLOOKUP(BD128,CENY!$B$11:$G$1054,3,FALSE)</f>
        <v>200</v>
      </c>
      <c r="BG128" s="22"/>
      <c r="BH128" s="360">
        <f>IF(FORM!$AM$8=FORM!$AU$10,BH24*3,0)</f>
        <v>0</v>
      </c>
      <c r="BI128" s="326">
        <f>IF(BH128="","",IF($AW$4=0,BH128,0))</f>
        <v>0</v>
      </c>
      <c r="BJ128" s="95">
        <f>VLOOKUP(BD128,CENY!$B$11:$M$2025,12,FALSE)</f>
        <v>1.2154199999999999</v>
      </c>
      <c r="BK128" s="95">
        <f>IF(BJ128="","",BJ128*BH128)</f>
        <v>0</v>
      </c>
    </row>
    <row r="129" spans="56:63">
      <c r="BD129" s="319">
        <f>OBJ!B363</f>
        <v>9278224</v>
      </c>
      <c r="BE129" s="21" t="str">
        <f>VLOOKUP(BD129,CENY!$B$11:$G$1054,2,FALSE)</f>
        <v>Skrutka s polgul.hlavou 3,5x30mm</v>
      </c>
      <c r="BF129" s="22">
        <f>VLOOKUP(BD129,CENY!$B$11:$G$1054,3,FALSE)</f>
        <v>200</v>
      </c>
      <c r="BG129" s="22"/>
      <c r="BH129" s="360">
        <f>2*SUM(BH5:BH22)</f>
        <v>0</v>
      </c>
      <c r="BI129" s="326">
        <f>IF(BH129="","",IF($AW$4=0,BH129,0))</f>
        <v>0</v>
      </c>
      <c r="BJ129" s="95">
        <f>VLOOKUP(BD129,CENY!$B$11:$M$2025,12,FALSE)</f>
        <v>0.89337999999999995</v>
      </c>
      <c r="BK129" s="95">
        <f>IF(BJ129="","",BJ129*BH129)</f>
        <v>0</v>
      </c>
    </row>
    <row r="130" spans="56:63">
      <c r="BD130" s="319">
        <f>OBJ!B364</f>
        <v>9279197</v>
      </c>
      <c r="BE130" s="21" t="str">
        <f>VLOOKUP(BD130,CENY!$B$11:$G$1054,2,FALSE)</f>
        <v>Skrutka s polgul.hlavou M3,5x12mm</v>
      </c>
      <c r="BF130" s="22">
        <f>VLOOKUP(BD130,CENY!$B$11:$G$1054,3,FALSE)</f>
        <v>1000</v>
      </c>
      <c r="BG130" s="22"/>
      <c r="BH130" s="68">
        <f>AY122</f>
        <v>0</v>
      </c>
      <c r="BI130" s="326">
        <f>IF(BH130="","",IF($AW$4=0,BH130,0))</f>
        <v>0</v>
      </c>
      <c r="BJ130" s="95">
        <f>VLOOKUP(BD130,CENY!$B$11:$M$2025,12,FALSE)</f>
        <v>0</v>
      </c>
      <c r="BK130" s="95">
        <f>IF(BJ130="","",BJ130*BH130)</f>
        <v>0</v>
      </c>
    </row>
    <row r="131" spans="56:63">
      <c r="BD131" s="319">
        <f>OBJ!B365</f>
        <v>9137114</v>
      </c>
      <c r="BE131" s="21" t="str">
        <f>VLOOKUP(BD131,CENY!$B$11:$G$1054,2,FALSE)</f>
        <v>EURO-skrutka  6,0x14mm / niklovaná</v>
      </c>
      <c r="BF131" s="22">
        <f>VLOOKUP(BD131,CENY!$B$11:$G$1054,3,FALSE)</f>
        <v>200</v>
      </c>
      <c r="BG131" s="22"/>
      <c r="BH131" s="23">
        <f>AY123</f>
        <v>0</v>
      </c>
      <c r="BI131" s="326">
        <f>IF(BH131="","",IF($AW$4=0,BH131,0))</f>
        <v>0</v>
      </c>
      <c r="BJ131" s="95">
        <f>VLOOKUP(BD131,CENY!$B$11:$M$2025,12,FALSE)</f>
        <v>1.8839300000000001</v>
      </c>
      <c r="BK131" s="95">
        <f>IF(BJ131="","",BJ131*BH131)</f>
        <v>0</v>
      </c>
    </row>
    <row r="132" spans="56:63">
      <c r="BD132" s="319"/>
      <c r="BE132" s="21"/>
      <c r="BF132" s="22"/>
      <c r="BG132" s="22"/>
      <c r="BH132" s="23"/>
      <c r="BI132" s="326" t="str">
        <f t="shared" si="40"/>
        <v/>
      </c>
      <c r="BJ132" s="95"/>
      <c r="BK132" s="95" t="str">
        <f t="shared" si="41"/>
        <v/>
      </c>
    </row>
    <row r="133" spans="56:63">
      <c r="BD133" s="319"/>
      <c r="BE133" s="21"/>
      <c r="BF133" s="22"/>
      <c r="BG133" s="22"/>
      <c r="BH133" s="23"/>
      <c r="BI133" s="326" t="str">
        <f t="shared" si="40"/>
        <v/>
      </c>
      <c r="BJ133" s="95"/>
      <c r="BK133" s="95" t="str">
        <f t="shared" si="41"/>
        <v/>
      </c>
    </row>
    <row r="134" spans="56:63">
      <c r="BD134" s="319"/>
      <c r="BE134" s="21"/>
      <c r="BF134" s="22"/>
      <c r="BG134" s="22"/>
      <c r="BH134" s="23"/>
      <c r="BI134" s="326" t="str">
        <f>IF(BH134="","",IF($AW$4=0,BH134,0))</f>
        <v/>
      </c>
      <c r="BJ134" s="95"/>
      <c r="BK134" s="95" t="str">
        <f>IF(BJ134="","",BJ134*BH134)</f>
        <v/>
      </c>
    </row>
    <row r="135" spans="56:63">
      <c r="BD135" s="319"/>
      <c r="BE135" s="21"/>
      <c r="BF135" s="22"/>
      <c r="BG135" s="22"/>
      <c r="BH135" s="23"/>
      <c r="BI135" s="326" t="str">
        <f>IF(BH135="","",IF($AW$4=0,BH135,0))</f>
        <v/>
      </c>
      <c r="BJ135" s="95"/>
      <c r="BK135" s="95" t="str">
        <f>IF(BJ135="","",BJ135*BH135)</f>
        <v/>
      </c>
    </row>
  </sheetData>
  <sheetProtection algorithmName="SHA-512" hashValue="rCoJZI0cS3V8tG97h3wRIKqL0VweWHtG4mBJGSZCV+fZDDVRuwBraYBBVsxOknKdiKeC21X/RPERJ8dei9h4xA==" saltValue="JaPMN2v1+TjBoUwKBA1IQg==" spinCount="100000" sheet="1" objects="1" scenarios="1"/>
  <mergeCells count="111">
    <mergeCell ref="B13:E13"/>
    <mergeCell ref="F13:I13"/>
    <mergeCell ref="J13:K13"/>
    <mergeCell ref="F11:K11"/>
    <mergeCell ref="F12:K12"/>
    <mergeCell ref="U28:V28"/>
    <mergeCell ref="W28:X28"/>
    <mergeCell ref="Y28:Z28"/>
    <mergeCell ref="AA28:AB28"/>
    <mergeCell ref="B27:G27"/>
    <mergeCell ref="H27:L27"/>
    <mergeCell ref="M27:N27"/>
    <mergeCell ref="Q27:R27"/>
    <mergeCell ref="S27:T27"/>
    <mergeCell ref="B19:G19"/>
    <mergeCell ref="H19:L19"/>
    <mergeCell ref="M19:N19"/>
    <mergeCell ref="Q19:R19"/>
    <mergeCell ref="S19:T19"/>
    <mergeCell ref="O17:AF17"/>
    <mergeCell ref="O19:P19"/>
    <mergeCell ref="O20:P20"/>
    <mergeCell ref="O27:P27"/>
    <mergeCell ref="O28:P28"/>
    <mergeCell ref="AN29:AO29"/>
    <mergeCell ref="B30:G30"/>
    <mergeCell ref="H30:L30"/>
    <mergeCell ref="M30:N30"/>
    <mergeCell ref="Q30:R30"/>
    <mergeCell ref="S30:T30"/>
    <mergeCell ref="U30:V30"/>
    <mergeCell ref="W30:X30"/>
    <mergeCell ref="Y30:Z30"/>
    <mergeCell ref="AA30:AB30"/>
    <mergeCell ref="AC30:AD30"/>
    <mergeCell ref="O30:P30"/>
    <mergeCell ref="AN27:AO27"/>
    <mergeCell ref="AC28:AD28"/>
    <mergeCell ref="AN28:AO28"/>
    <mergeCell ref="B28:G28"/>
    <mergeCell ref="H28:L28"/>
    <mergeCell ref="M28:N28"/>
    <mergeCell ref="Q28:R28"/>
    <mergeCell ref="S28:T28"/>
    <mergeCell ref="AI25:AO25"/>
    <mergeCell ref="O26:P26"/>
    <mergeCell ref="Q26:R26"/>
    <mergeCell ref="S26:T26"/>
    <mergeCell ref="U26:V26"/>
    <mergeCell ref="W26:X26"/>
    <mergeCell ref="Y26:Z26"/>
    <mergeCell ref="AA26:AB26"/>
    <mergeCell ref="AC26:AD26"/>
    <mergeCell ref="AI26:AO26"/>
    <mergeCell ref="AN21:AO21"/>
    <mergeCell ref="B22:G22"/>
    <mergeCell ref="H22:L22"/>
    <mergeCell ref="M22:N22"/>
    <mergeCell ref="O22:P22"/>
    <mergeCell ref="Q22:R22"/>
    <mergeCell ref="S22:T22"/>
    <mergeCell ref="U22:V22"/>
    <mergeCell ref="W22:X22"/>
    <mergeCell ref="Y22:Z22"/>
    <mergeCell ref="AA22:AB22"/>
    <mergeCell ref="AC22:AD22"/>
    <mergeCell ref="AE22:AF22"/>
    <mergeCell ref="AN22:AO22"/>
    <mergeCell ref="AN19:AO19"/>
    <mergeCell ref="B20:G20"/>
    <mergeCell ref="H20:L20"/>
    <mergeCell ref="M20:N20"/>
    <mergeCell ref="Q20:R20"/>
    <mergeCell ref="S20:T20"/>
    <mergeCell ref="U20:V20"/>
    <mergeCell ref="W20:X20"/>
    <mergeCell ref="Y20:Z20"/>
    <mergeCell ref="AA20:AB20"/>
    <mergeCell ref="AC20:AD20"/>
    <mergeCell ref="AE20:AF20"/>
    <mergeCell ref="AN20:AO20"/>
    <mergeCell ref="AI17:AO17"/>
    <mergeCell ref="O18:P18"/>
    <mergeCell ref="Q18:R18"/>
    <mergeCell ref="S18:T18"/>
    <mergeCell ref="U18:V18"/>
    <mergeCell ref="W18:X18"/>
    <mergeCell ref="Y18:Z18"/>
    <mergeCell ref="AA18:AB18"/>
    <mergeCell ref="AC18:AD18"/>
    <mergeCell ref="AE18:AF18"/>
    <mergeCell ref="AI18:AO18"/>
    <mergeCell ref="B10:E10"/>
    <mergeCell ref="F10:K10"/>
    <mergeCell ref="B11:E11"/>
    <mergeCell ref="AO2:AR2"/>
    <mergeCell ref="B6:E6"/>
    <mergeCell ref="F6:K6"/>
    <mergeCell ref="B7:E7"/>
    <mergeCell ref="F7:K7"/>
    <mergeCell ref="B12:E12"/>
    <mergeCell ref="AA2:AE2"/>
    <mergeCell ref="AI2:AM2"/>
    <mergeCell ref="B8:E8"/>
    <mergeCell ref="F8:K8"/>
    <mergeCell ref="B2:E2"/>
    <mergeCell ref="G2:K2"/>
    <mergeCell ref="O2:S2"/>
    <mergeCell ref="U2:Y2"/>
    <mergeCell ref="B9:E9"/>
    <mergeCell ref="F9:K9"/>
  </mergeCells>
  <conditionalFormatting sqref="AY28 AY45:AY49 BH43 BH47:BH52 BH88:BH92 BH94:BH99 AZ124:AZ125 AY108:AY118 BH126 AY5:AY12 AY18:AY22 AZ7:AZ12 AY31:AY41 AY52:AY53 AY66 BI6 BI8:BI20 BH5:BH20 AY16 AZ16:AZ22 AY13:AZ15 AY24 AY23:AZ23 AZ24:AZ41 AY43 AY42:AZ42 AZ43:AZ53 AZ55:AZ66 AY55:AY57 AY54:AZ54 AZ68:AZ118 AY68:AY71 AY67:AZ67 BH21:BI26 BH36:BI36 BH54:BH68 BH77 BH101:BH105 BI27:BI35 BH45 BI37:BI68 BI71:BI77 BH71 BH69:BI70 BH78:BI84 BH86 BI85:BI105 BI108:BI126 BH108:BH118 BH106:BI107">
    <cfRule type="cellIs" dxfId="922" priority="67" stopIfTrue="1" operator="equal">
      <formula>0</formula>
    </cfRule>
  </conditionalFormatting>
  <conditionalFormatting sqref="AY62:AY65 AY77 AY59 AY79">
    <cfRule type="cellIs" dxfId="921" priority="64" stopIfTrue="1" operator="equal">
      <formula>0</formula>
    </cfRule>
  </conditionalFormatting>
  <conditionalFormatting sqref="O17:AF17 Q19:T19 Q20:AD20 Q27:T27 Q28:AD28 O19:P20 W22:AF22 O27:P28 O30:AD30">
    <cfRule type="expression" dxfId="920" priority="66" stopIfTrue="1">
      <formula>$AW$4=0</formula>
    </cfRule>
  </conditionalFormatting>
  <conditionalFormatting sqref="AY50:AY51">
    <cfRule type="cellIs" dxfId="919" priority="37" stopIfTrue="1" operator="equal">
      <formula>0</formula>
    </cfRule>
  </conditionalFormatting>
  <conditionalFormatting sqref="AY86 AY92:AY93">
    <cfRule type="cellIs" dxfId="918" priority="63" stopIfTrue="1" operator="equal">
      <formula>0</formula>
    </cfRule>
  </conditionalFormatting>
  <conditionalFormatting sqref="AY94">
    <cfRule type="cellIs" dxfId="917" priority="62" stopIfTrue="1" operator="equal">
      <formula>0</formula>
    </cfRule>
  </conditionalFormatting>
  <conditionalFormatting sqref="AY98:AY107">
    <cfRule type="cellIs" dxfId="916" priority="61" stopIfTrue="1" operator="equal">
      <formula>0</formula>
    </cfRule>
  </conditionalFormatting>
  <conditionalFormatting sqref="AY60:AY61">
    <cfRule type="cellIs" dxfId="915" priority="59" stopIfTrue="1" operator="equal">
      <formula>0</formula>
    </cfRule>
  </conditionalFormatting>
  <conditionalFormatting sqref="AY73">
    <cfRule type="cellIs" dxfId="914" priority="58" stopIfTrue="1" operator="equal">
      <formula>0</formula>
    </cfRule>
  </conditionalFormatting>
  <conditionalFormatting sqref="AY81:AY83">
    <cfRule type="cellIs" dxfId="913" priority="57" stopIfTrue="1" operator="equal">
      <formula>0</formula>
    </cfRule>
  </conditionalFormatting>
  <conditionalFormatting sqref="AY84">
    <cfRule type="cellIs" dxfId="912" priority="56" stopIfTrue="1" operator="equal">
      <formula>0</formula>
    </cfRule>
  </conditionalFormatting>
  <conditionalFormatting sqref="AY85">
    <cfRule type="cellIs" dxfId="911" priority="55" stopIfTrue="1" operator="equal">
      <formula>0</formula>
    </cfRule>
  </conditionalFormatting>
  <conditionalFormatting sqref="AY95:AY97">
    <cfRule type="cellIs" dxfId="910" priority="53" stopIfTrue="1" operator="equal">
      <formula>0</formula>
    </cfRule>
  </conditionalFormatting>
  <conditionalFormatting sqref="BH120:BH122 BH124">
    <cfRule type="cellIs" dxfId="909" priority="52" stopIfTrue="1" operator="equal">
      <formula>0</formula>
    </cfRule>
  </conditionalFormatting>
  <conditionalFormatting sqref="BH132:BH135">
    <cfRule type="cellIs" dxfId="908" priority="51" stopIfTrue="1" operator="equal">
      <formula>0</formula>
    </cfRule>
  </conditionalFormatting>
  <conditionalFormatting sqref="AY124:AY125">
    <cfRule type="cellIs" dxfId="907" priority="50" stopIfTrue="1" operator="equal">
      <formula>0</formula>
    </cfRule>
  </conditionalFormatting>
  <conditionalFormatting sqref="AY74:AY75">
    <cfRule type="cellIs" dxfId="906" priority="49" stopIfTrue="1" operator="equal">
      <formula>0</formula>
    </cfRule>
  </conditionalFormatting>
  <conditionalFormatting sqref="BH125">
    <cfRule type="cellIs" dxfId="905" priority="47" stopIfTrue="1" operator="equal">
      <formula>0</formula>
    </cfRule>
  </conditionalFormatting>
  <conditionalFormatting sqref="BH32">
    <cfRule type="cellIs" dxfId="904" priority="28" stopIfTrue="1" operator="equal">
      <formula>0</formula>
    </cfRule>
  </conditionalFormatting>
  <conditionalFormatting sqref="AY17">
    <cfRule type="cellIs" dxfId="903" priority="41" stopIfTrue="1" operator="equal">
      <formula>0</formula>
    </cfRule>
  </conditionalFormatting>
  <conditionalFormatting sqref="AY25:AY27">
    <cfRule type="cellIs" dxfId="902" priority="40" stopIfTrue="1" operator="equal">
      <formula>0</formula>
    </cfRule>
  </conditionalFormatting>
  <conditionalFormatting sqref="AY29:AY30">
    <cfRule type="cellIs" dxfId="901" priority="39" stopIfTrue="1" operator="equal">
      <formula>0</formula>
    </cfRule>
  </conditionalFormatting>
  <conditionalFormatting sqref="AY44">
    <cfRule type="cellIs" dxfId="900" priority="38" stopIfTrue="1" operator="equal">
      <formula>0</formula>
    </cfRule>
  </conditionalFormatting>
  <conditionalFormatting sqref="AY58">
    <cfRule type="cellIs" dxfId="899" priority="36" stopIfTrue="1" operator="equal">
      <formula>0</formula>
    </cfRule>
  </conditionalFormatting>
  <conditionalFormatting sqref="AY72">
    <cfRule type="cellIs" dxfId="898" priority="35" stopIfTrue="1" operator="equal">
      <formula>0</formula>
    </cfRule>
  </conditionalFormatting>
  <conditionalFormatting sqref="AY76">
    <cfRule type="cellIs" dxfId="897" priority="34" stopIfTrue="1" operator="equal">
      <formula>0</formula>
    </cfRule>
  </conditionalFormatting>
  <conditionalFormatting sqref="AY78">
    <cfRule type="cellIs" dxfId="896" priority="33" stopIfTrue="1" operator="equal">
      <formula>0</formula>
    </cfRule>
  </conditionalFormatting>
  <conditionalFormatting sqref="AY80">
    <cfRule type="cellIs" dxfId="895" priority="32" stopIfTrue="1" operator="equal">
      <formula>0</formula>
    </cfRule>
  </conditionalFormatting>
  <conditionalFormatting sqref="AY87:AY91">
    <cfRule type="cellIs" dxfId="894" priority="31" stopIfTrue="1" operator="equal">
      <formula>0</formula>
    </cfRule>
  </conditionalFormatting>
  <conditionalFormatting sqref="F13:K13">
    <cfRule type="expression" dxfId="893" priority="30" stopIfTrue="1">
      <formula>$AW$4=1</formula>
    </cfRule>
  </conditionalFormatting>
  <conditionalFormatting sqref="BH27:BH31">
    <cfRule type="cellIs" dxfId="892" priority="29" stopIfTrue="1" operator="equal">
      <formula>0</formula>
    </cfRule>
  </conditionalFormatting>
  <conditionalFormatting sqref="BH33">
    <cfRule type="cellIs" dxfId="891" priority="27" stopIfTrue="1" operator="equal">
      <formula>0</formula>
    </cfRule>
  </conditionalFormatting>
  <conditionalFormatting sqref="BH34:BH35">
    <cfRule type="cellIs" dxfId="890" priority="26" stopIfTrue="1" operator="equal">
      <formula>0</formula>
    </cfRule>
  </conditionalFormatting>
  <conditionalFormatting sqref="BH37:BH42">
    <cfRule type="cellIs" dxfId="889" priority="25" stopIfTrue="1" operator="equal">
      <formula>0</formula>
    </cfRule>
  </conditionalFormatting>
  <conditionalFormatting sqref="BH46">
    <cfRule type="cellIs" dxfId="888" priority="24" stopIfTrue="1" operator="equal">
      <formula>0</formula>
    </cfRule>
  </conditionalFormatting>
  <conditionalFormatting sqref="BH53">
    <cfRule type="cellIs" dxfId="887" priority="23" stopIfTrue="1" operator="equal">
      <formula>0</formula>
    </cfRule>
  </conditionalFormatting>
  <conditionalFormatting sqref="BH72">
    <cfRule type="cellIs" dxfId="886" priority="22" stopIfTrue="1" operator="equal">
      <formula>0</formula>
    </cfRule>
  </conditionalFormatting>
  <conditionalFormatting sqref="BH73:BH76">
    <cfRule type="cellIs" dxfId="885" priority="21" stopIfTrue="1" operator="equal">
      <formula>0</formula>
    </cfRule>
  </conditionalFormatting>
  <conditionalFormatting sqref="BH87">
    <cfRule type="cellIs" dxfId="884" priority="20" stopIfTrue="1" operator="equal">
      <formula>0</formula>
    </cfRule>
  </conditionalFormatting>
  <conditionalFormatting sqref="BH93">
    <cfRule type="cellIs" dxfId="883" priority="19" stopIfTrue="1" operator="equal">
      <formula>0</formula>
    </cfRule>
  </conditionalFormatting>
  <conditionalFormatting sqref="BH100">
    <cfRule type="cellIs" dxfId="882" priority="18" stopIfTrue="1" operator="equal">
      <formula>0</formula>
    </cfRule>
  </conditionalFormatting>
  <conditionalFormatting sqref="BH119">
    <cfRule type="cellIs" dxfId="881" priority="17" stopIfTrue="1" operator="equal">
      <formula>0</formula>
    </cfRule>
  </conditionalFormatting>
  <conditionalFormatting sqref="BH123">
    <cfRule type="cellIs" dxfId="880" priority="16" stopIfTrue="1" operator="equal">
      <formula>0</formula>
    </cfRule>
  </conditionalFormatting>
  <conditionalFormatting sqref="AZ5:AZ6">
    <cfRule type="cellIs" dxfId="879" priority="14" stopIfTrue="1" operator="equal">
      <formula>0</formula>
    </cfRule>
  </conditionalFormatting>
  <conditionalFormatting sqref="BI7">
    <cfRule type="cellIs" dxfId="878" priority="13" stopIfTrue="1" operator="equal">
      <formula>0</formula>
    </cfRule>
  </conditionalFormatting>
  <conditionalFormatting sqref="BI132:BI135">
    <cfRule type="cellIs" dxfId="877" priority="11" stopIfTrue="1" operator="equal">
      <formula>0</formula>
    </cfRule>
  </conditionalFormatting>
  <conditionalFormatting sqref="AZ119:AZ123">
    <cfRule type="cellIs" dxfId="876" priority="10" stopIfTrue="1" operator="equal">
      <formula>0</formula>
    </cfRule>
  </conditionalFormatting>
  <conditionalFormatting sqref="AY119:AY123">
    <cfRule type="cellIs" dxfId="875" priority="9" stopIfTrue="1" operator="equal">
      <formula>0</formula>
    </cfRule>
  </conditionalFormatting>
  <conditionalFormatting sqref="BH127 BH130:BH131">
    <cfRule type="cellIs" dxfId="874" priority="8" stopIfTrue="1" operator="equal">
      <formula>0</formula>
    </cfRule>
  </conditionalFormatting>
  <conditionalFormatting sqref="BI127:BI131">
    <cfRule type="cellIs" dxfId="873" priority="7" stopIfTrue="1" operator="equal">
      <formula>0</formula>
    </cfRule>
  </conditionalFormatting>
  <conditionalFormatting sqref="BH128:BH129">
    <cfRule type="cellIs" dxfId="872" priority="6" stopIfTrue="1" operator="equal">
      <formula>0</formula>
    </cfRule>
  </conditionalFormatting>
  <conditionalFormatting sqref="AI17:AO17">
    <cfRule type="expression" dxfId="871" priority="5" stopIfTrue="1">
      <formula>$AW$4=0</formula>
    </cfRule>
  </conditionalFormatting>
  <conditionalFormatting sqref="AI25:AO25">
    <cfRule type="expression" dxfId="870" priority="4" stopIfTrue="1">
      <formula>$AW$4=0</formula>
    </cfRule>
  </conditionalFormatting>
  <conditionalFormatting sqref="BI5">
    <cfRule type="cellIs" dxfId="869" priority="3" stopIfTrue="1" operator="equal">
      <formula>0</formula>
    </cfRule>
  </conditionalFormatting>
  <conditionalFormatting sqref="BH44">
    <cfRule type="cellIs" dxfId="868" priority="2" stopIfTrue="1" operator="equal">
      <formula>0</formula>
    </cfRule>
  </conditionalFormatting>
  <conditionalFormatting sqref="BH85">
    <cfRule type="cellIs" dxfId="867" priority="1" stopIfTrue="1" operator="equal">
      <formula>0</formula>
    </cfRule>
  </conditionalFormatting>
  <hyperlinks>
    <hyperlink ref="M4" location="MENU!A1" display="MENU!A1" xr:uid="{00000000-0004-0000-0600-000000000000}"/>
    <hyperlink ref="M10" location="OBJ!A1" display="OBJ!A1" xr:uid="{00000000-0004-0000-0600-000001000000}"/>
    <hyperlink ref="M9" location="suhrn!A1" display="suhrn!A1" xr:uid="{00000000-0004-0000-0600-000002000000}"/>
    <hyperlink ref="O2:S2" location="MENU!A5" display="MENU!A5" xr:uid="{00000000-0004-0000-0600-000003000000}"/>
  </hyperlinks>
  <printOptions horizontalCentered="1"/>
  <pageMargins left="0.19685039370078741" right="0.19685039370078741" top="0.19685039370078741" bottom="0.19685039370078741" header="0.31496062992125984" footer="0.31496062992125984"/>
  <pageSetup paperSize="9" orientation="landscape" r:id="rId1"/>
  <headerFooter>
    <oddHeader>&amp;R&amp;"Aptos"&amp;10&amp;K000000 Restricted&amp;1#_x000D_</oddHeader>
  </headerFooter>
  <ignoredErrors>
    <ignoredError sqref="F13:K13" unlockedFormula="1"/>
  </ignoredErrors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List50">
    <tabColor rgb="FFFFFF00"/>
  </sheetPr>
  <dimension ref="A1:BK135"/>
  <sheetViews>
    <sheetView showGridLines="0" showRowColHeaders="0" zoomScale="95" zoomScaleNormal="95" workbookViewId="0"/>
  </sheetViews>
  <sheetFormatPr defaultColWidth="9" defaultRowHeight="13.8"/>
  <cols>
    <col min="1" max="1" width="3.59765625" style="86" customWidth="1"/>
    <col min="2" max="4" width="3.09765625" style="86" customWidth="1"/>
    <col min="5" max="5" width="7.59765625" style="86" customWidth="1"/>
    <col min="6" max="44" width="3.09765625" style="86" customWidth="1"/>
    <col min="45" max="45" width="3.59765625" style="86" customWidth="1"/>
    <col min="46" max="46" width="9" style="86" customWidth="1"/>
    <col min="47" max="47" width="9" style="86" hidden="1" customWidth="1"/>
    <col min="48" max="48" width="32.5" style="86" hidden="1" customWidth="1"/>
    <col min="49" max="49" width="4.3984375" style="86" hidden="1" customWidth="1"/>
    <col min="50" max="50" width="2" style="86" hidden="1" customWidth="1"/>
    <col min="51" max="52" width="4.59765625" style="86" hidden="1" customWidth="1"/>
    <col min="53" max="54" width="9" style="86" hidden="1" customWidth="1"/>
    <col min="55" max="55" width="2.59765625" style="86" hidden="1" customWidth="1"/>
    <col min="56" max="56" width="9" style="86" hidden="1" customWidth="1"/>
    <col min="57" max="57" width="33.8984375" style="86" hidden="1" customWidth="1"/>
    <col min="58" max="58" width="4.3984375" style="86" hidden="1" customWidth="1"/>
    <col min="59" max="59" width="2" style="86" hidden="1" customWidth="1"/>
    <col min="60" max="61" width="4.59765625" style="86" hidden="1" customWidth="1"/>
    <col min="62" max="63" width="9" style="86" hidden="1" customWidth="1"/>
    <col min="64" max="75" width="9" style="86" customWidth="1"/>
    <col min="76" max="16384" width="9" style="86"/>
  </cols>
  <sheetData>
    <row r="1" spans="1:63" ht="12.9" customHeight="1" thickBot="1">
      <c r="AU1" s="140"/>
      <c r="AV1" s="279"/>
      <c r="AW1" s="279"/>
      <c r="AX1" s="140"/>
      <c r="AY1" s="140"/>
      <c r="AZ1" s="140"/>
      <c r="BA1" s="140"/>
      <c r="BB1" s="140"/>
      <c r="BC1" s="140"/>
      <c r="BD1" s="140"/>
      <c r="BE1" s="140"/>
      <c r="BF1" s="140"/>
      <c r="BG1" s="140"/>
      <c r="BH1" s="140"/>
      <c r="BI1" s="140"/>
      <c r="BJ1" s="140"/>
      <c r="BK1" s="140"/>
    </row>
    <row r="2" spans="1:63" ht="23.1" customHeight="1" thickBot="1">
      <c r="B2" s="475" t="str">
        <f>verze!E13</f>
        <v>&lt;&lt;  zpět</v>
      </c>
      <c r="C2" s="476"/>
      <c r="D2" s="476"/>
      <c r="E2" s="477"/>
      <c r="G2" s="513" t="str">
        <f>verze!E6</f>
        <v xml:space="preserve"> Úvod</v>
      </c>
      <c r="H2" s="514"/>
      <c r="I2" s="514"/>
      <c r="J2" s="514"/>
      <c r="K2" s="515"/>
      <c r="O2" s="500" t="str">
        <f>verze!E7</f>
        <v xml:space="preserve"> Výběr zásuvek</v>
      </c>
      <c r="P2" s="501"/>
      <c r="Q2" s="501"/>
      <c r="R2" s="501"/>
      <c r="S2" s="502"/>
      <c r="U2" s="513" t="str">
        <f>verze!E8</f>
        <v xml:space="preserve"> </v>
      </c>
      <c r="V2" s="514"/>
      <c r="W2" s="514"/>
      <c r="X2" s="514"/>
      <c r="Y2" s="515"/>
      <c r="AA2" s="513" t="str">
        <f>verze!E9</f>
        <v xml:space="preserve"> </v>
      </c>
      <c r="AB2" s="514"/>
      <c r="AC2" s="514"/>
      <c r="AD2" s="514"/>
      <c r="AE2" s="515"/>
      <c r="AI2" s="513" t="str">
        <f>verze!E10</f>
        <v xml:space="preserve"> Objednávka</v>
      </c>
      <c r="AJ2" s="514"/>
      <c r="AK2" s="514"/>
      <c r="AL2" s="514"/>
      <c r="AM2" s="515"/>
      <c r="AO2" s="475" t="str">
        <f>verze!E14</f>
        <v>vpřed  &gt;&gt;</v>
      </c>
      <c r="AP2" s="476"/>
      <c r="AQ2" s="476"/>
      <c r="AR2" s="477"/>
      <c r="AV2" s="143"/>
      <c r="AW2" s="143"/>
    </row>
    <row r="3" spans="1:63" ht="12.9" customHeight="1">
      <c r="AV3" s="143"/>
      <c r="AW3" s="143"/>
    </row>
    <row r="4" spans="1:63" ht="23.1" customHeight="1">
      <c r="A4" s="89"/>
      <c r="B4" s="93" t="str">
        <f>verze!E206&amp;" AVANTECH YOU  187"</f>
        <v>Zásuvka AVANTECH YOU  187</v>
      </c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U4" s="94" t="s">
        <v>33</v>
      </c>
      <c r="AW4" s="285">
        <f>IF(FORM!AU13=FORM!U18,1,0)</f>
        <v>1</v>
      </c>
      <c r="BB4" s="322">
        <f>SUM(BB5:BB990)</f>
        <v>0</v>
      </c>
      <c r="BD4" s="94" t="s">
        <v>34</v>
      </c>
      <c r="BK4" s="322">
        <f>SUM(BK5:BK985)</f>
        <v>0</v>
      </c>
    </row>
    <row r="5" spans="1:63" ht="14.4" customHeight="1">
      <c r="AU5" s="319">
        <f>OBJ!B112</f>
        <v>9353353</v>
      </c>
      <c r="AV5" s="21" t="str">
        <f>VLOOKUP(AU5,CENY!$B$11:$G$1054,2,FALSE)</f>
        <v>AvanY-sólo oceľ.boky-NW 187/270mm/strieb.</v>
      </c>
      <c r="AW5" s="22">
        <f>VLOOKUP(AU5,CENY!$B$11:$G$1054,3,FALSE)</f>
        <v>1</v>
      </c>
      <c r="AX5" s="362">
        <v>4</v>
      </c>
      <c r="AY5" s="23">
        <f>O19+O20+O27+O28+O30</f>
        <v>0</v>
      </c>
      <c r="AZ5" s="326">
        <f>IF(AY5="","",IF($AW$4=1,AY5,0))</f>
        <v>0</v>
      </c>
      <c r="BA5" s="95">
        <f>VLOOKUP(AU5,CENY!$B$11:$M$2025,12,FALSE)</f>
        <v>781.77286000000004</v>
      </c>
      <c r="BB5" s="95">
        <f t="shared" ref="BB5:BB66" si="0">IF(BA5="","",BA5*AY5)</f>
        <v>0</v>
      </c>
      <c r="BD5" s="319">
        <f>OBJ!B122</f>
        <v>9255044</v>
      </c>
      <c r="BE5" s="21" t="str">
        <f>VLOOKUP(BD5,CENY!$B$11:$G$1054,2,FALSE)</f>
        <v>AvanY-bok ľavý /v187/h270/ strieborná</v>
      </c>
      <c r="BF5" s="22">
        <f>VLOOKUP(BD5,CENY!$B$11:$G$1054,3,FALSE)</f>
        <v>10</v>
      </c>
      <c r="BG5" s="22"/>
      <c r="BH5" s="23">
        <f>AY5</f>
        <v>0</v>
      </c>
      <c r="BI5" s="326">
        <f>IF(BH5="","",IF($AW$4=0,BH5,0))</f>
        <v>0</v>
      </c>
      <c r="BJ5" s="95">
        <f>VLOOKUP(BD5,CENY!$B$11:$M$2025,12,FALSE)</f>
        <v>343.85318000000001</v>
      </c>
      <c r="BK5" s="95">
        <f>IF(BJ5="","",BJ5*BH5)</f>
        <v>0</v>
      </c>
    </row>
    <row r="6" spans="1:63" ht="14.4" customHeight="1">
      <c r="B6" s="549" t="str">
        <f>" "&amp;verze!E90</f>
        <v xml:space="preserve"> bočnice:</v>
      </c>
      <c r="C6" s="549"/>
      <c r="D6" s="549"/>
      <c r="E6" s="549"/>
      <c r="F6" s="564" t="s">
        <v>328</v>
      </c>
      <c r="G6" s="564"/>
      <c r="H6" s="564"/>
      <c r="I6" s="564"/>
      <c r="J6" s="564"/>
      <c r="K6" s="564"/>
      <c r="AU6" s="319">
        <f>OBJ!B113</f>
        <v>9353354</v>
      </c>
      <c r="AV6" s="21" t="str">
        <f>VLOOKUP(AU6,CENY!$B$11:$G$1054,2,FALSE)</f>
        <v>AvanY-sólo oceľ.boky-NW 187/300mm/strieb.</v>
      </c>
      <c r="AW6" s="22">
        <f>VLOOKUP(AU6,CENY!$B$11:$G$1054,3,FALSE)</f>
        <v>1</v>
      </c>
      <c r="AX6" s="362">
        <v>4</v>
      </c>
      <c r="AY6" s="23">
        <f>Q19+Q20+Q27+Q28+Q30</f>
        <v>0</v>
      </c>
      <c r="AZ6" s="326">
        <f t="shared" ref="AZ6:AZ67" si="1">IF(AY6="","",IF($AW$4=1,AY6,0))</f>
        <v>0</v>
      </c>
      <c r="BA6" s="95">
        <f>VLOOKUP(AU6,CENY!$B$11:$M$2025,12,FALSE)</f>
        <v>788.96299999999997</v>
      </c>
      <c r="BB6" s="95">
        <f t="shared" si="0"/>
        <v>0</v>
      </c>
      <c r="BD6" s="319">
        <f>OBJ!B123</f>
        <v>9255045</v>
      </c>
      <c r="BE6" s="21" t="str">
        <f>VLOOKUP(BD6,CENY!$B$11:$G$1054,2,FALSE)</f>
        <v>AvanY-bok pravý /v187/h270/ strieborná</v>
      </c>
      <c r="BF6" s="22">
        <f>VLOOKUP(BD6,CENY!$B$11:$G$1054,3,FALSE)</f>
        <v>10</v>
      </c>
      <c r="BG6" s="22"/>
      <c r="BH6" s="23">
        <f>AY5</f>
        <v>0</v>
      </c>
      <c r="BI6" s="326">
        <f t="shared" ref="BI6:BI69" si="2">IF(BH6="","",IF($AW$4=0,BH6,0))</f>
        <v>0</v>
      </c>
      <c r="BJ6" s="95">
        <f>VLOOKUP(BD6,CENY!$B$11:$M$2025,12,FALSE)</f>
        <v>343.85318000000001</v>
      </c>
      <c r="BK6" s="95">
        <f t="shared" ref="BK6:BK69" si="3">IF(BJ6="","",BJ6*BH6)</f>
        <v>0</v>
      </c>
    </row>
    <row r="7" spans="1:63" ht="14.4" customHeight="1">
      <c r="B7" s="549" t="str">
        <f>" "&amp;verze!E56</f>
        <v xml:space="preserve"> barva:</v>
      </c>
      <c r="C7" s="549"/>
      <c r="D7" s="549"/>
      <c r="E7" s="549"/>
      <c r="F7" s="564" t="str">
        <f>" "&amp;FORM!U8</f>
        <v xml:space="preserve"> stříbrná</v>
      </c>
      <c r="G7" s="564"/>
      <c r="H7" s="564"/>
      <c r="I7" s="564"/>
      <c r="J7" s="564"/>
      <c r="K7" s="564"/>
      <c r="AU7" s="319">
        <f>OBJ!B114</f>
        <v>9353355</v>
      </c>
      <c r="AV7" s="21" t="str">
        <f>VLOOKUP(AU7,CENY!$B$11:$G$1054,2,FALSE)</f>
        <v>AvanY-sólo oceľ.boky-NW 187/350mm/strieb.</v>
      </c>
      <c r="AW7" s="22">
        <f>VLOOKUP(AU7,CENY!$B$11:$G$1054,3,FALSE)</f>
        <v>1</v>
      </c>
      <c r="AX7" s="362">
        <v>6</v>
      </c>
      <c r="AY7" s="23">
        <f>S19+S20+S27+S28+S30</f>
        <v>0</v>
      </c>
      <c r="AZ7" s="326">
        <f t="shared" si="1"/>
        <v>0</v>
      </c>
      <c r="BA7" s="95">
        <f>VLOOKUP(AU7,CENY!$B$11:$M$2025,12,FALSE)</f>
        <v>800.95977000000005</v>
      </c>
      <c r="BB7" s="95">
        <f t="shared" si="0"/>
        <v>0</v>
      </c>
      <c r="BD7" s="319">
        <f>OBJ!B124</f>
        <v>9255046</v>
      </c>
      <c r="BE7" s="21" t="str">
        <f>VLOOKUP(BD7,CENY!$B$11:$G$1054,2,FALSE)</f>
        <v>AvanY-bok ľavý /v187/h300/ strieborná</v>
      </c>
      <c r="BF7" s="22">
        <f>VLOOKUP(BD7,CENY!$B$11:$G$1054,3,FALSE)</f>
        <v>10</v>
      </c>
      <c r="BG7" s="22"/>
      <c r="BH7" s="23">
        <f>AY6</f>
        <v>0</v>
      </c>
      <c r="BI7" s="326">
        <f t="shared" si="2"/>
        <v>0</v>
      </c>
      <c r="BJ7" s="95">
        <f>VLOOKUP(BD7,CENY!$B$11:$M$2025,12,FALSE)</f>
        <v>347.69150999999999</v>
      </c>
      <c r="BK7" s="95">
        <f t="shared" si="3"/>
        <v>0</v>
      </c>
    </row>
    <row r="8" spans="1:63" ht="14.4" customHeight="1">
      <c r="B8" s="549" t="str">
        <f>" "&amp;verze!E70</f>
        <v xml:space="preserve"> dekorativní profil:</v>
      </c>
      <c r="C8" s="549"/>
      <c r="D8" s="549"/>
      <c r="E8" s="549"/>
      <c r="F8" s="564" t="str">
        <f>" "&amp;FORM!AM18</f>
        <v xml:space="preserve"> v barvě bočnice</v>
      </c>
      <c r="G8" s="564"/>
      <c r="H8" s="564"/>
      <c r="I8" s="564"/>
      <c r="J8" s="564"/>
      <c r="K8" s="564"/>
      <c r="AU8" s="319">
        <f>OBJ!B115</f>
        <v>9353356</v>
      </c>
      <c r="AV8" s="21" t="str">
        <f>VLOOKUP(AU8,CENY!$B$11:$G$1054,2,FALSE)</f>
        <v>AvanY-sólo oceľ.boky-NW 187/400mm/strieb.</v>
      </c>
      <c r="AW8" s="22">
        <f>VLOOKUP(AU8,CENY!$B$11:$G$1054,3,FALSE)</f>
        <v>1</v>
      </c>
      <c r="AX8" s="362">
        <v>6</v>
      </c>
      <c r="AY8" s="23">
        <f>U20+U28+U30</f>
        <v>0</v>
      </c>
      <c r="AZ8" s="326">
        <f t="shared" si="1"/>
        <v>0</v>
      </c>
      <c r="BA8" s="95">
        <f>VLOOKUP(AU8,CENY!$B$11:$M$2025,12,FALSE)</f>
        <v>812.95644000000004</v>
      </c>
      <c r="BB8" s="95">
        <f t="shared" si="0"/>
        <v>0</v>
      </c>
      <c r="BD8" s="319">
        <f>OBJ!B125</f>
        <v>9255047</v>
      </c>
      <c r="BE8" s="21" t="str">
        <f>VLOOKUP(BD8,CENY!$B$11:$G$1054,2,FALSE)</f>
        <v>AvanY-bok pravý /v187/h300/ strieborná</v>
      </c>
      <c r="BF8" s="22">
        <f>VLOOKUP(BD8,CENY!$B$11:$G$1054,3,FALSE)</f>
        <v>10</v>
      </c>
      <c r="BG8" s="22"/>
      <c r="BH8" s="23">
        <f>AY6</f>
        <v>0</v>
      </c>
      <c r="BI8" s="326">
        <f t="shared" si="2"/>
        <v>0</v>
      </c>
      <c r="BJ8" s="95">
        <f>VLOOKUP(BD8,CENY!$B$11:$M$2025,12,FALSE)</f>
        <v>347.69150999999999</v>
      </c>
      <c r="BK8" s="95">
        <f t="shared" si="3"/>
        <v>0</v>
      </c>
    </row>
    <row r="9" spans="1:63" ht="14.4" customHeight="1">
      <c r="B9" s="550"/>
      <c r="C9" s="558"/>
      <c r="D9" s="558"/>
      <c r="E9" s="559"/>
      <c r="F9" s="560"/>
      <c r="G9" s="561"/>
      <c r="H9" s="561"/>
      <c r="I9" s="561"/>
      <c r="J9" s="561"/>
      <c r="K9" s="562"/>
      <c r="AU9" s="319">
        <f>OBJ!B116</f>
        <v>9353357</v>
      </c>
      <c r="AV9" s="21" t="str">
        <f>VLOOKUP(AU9,CENY!$B$11:$G$1054,2,FALSE)</f>
        <v>AvanY-sólo oceľ.boky-NW 187/450mm/strieb.</v>
      </c>
      <c r="AW9" s="22">
        <f>VLOOKUP(AU9,CENY!$B$11:$G$1054,3,FALSE)</f>
        <v>1</v>
      </c>
      <c r="AX9" s="362">
        <v>6</v>
      </c>
      <c r="AY9" s="23">
        <f>W20+W22+W28+W30</f>
        <v>0</v>
      </c>
      <c r="AZ9" s="326">
        <f t="shared" si="1"/>
        <v>0</v>
      </c>
      <c r="BA9" s="95">
        <f>VLOOKUP(AU9,CENY!$B$11:$M$2025,12,FALSE)</f>
        <v>803.01720999999998</v>
      </c>
      <c r="BB9" s="95">
        <f t="shared" si="0"/>
        <v>0</v>
      </c>
      <c r="BD9" s="319">
        <f>OBJ!B126</f>
        <v>9255048</v>
      </c>
      <c r="BE9" s="21" t="str">
        <f>VLOOKUP(BD9,CENY!$B$11:$G$1054,2,FALSE)</f>
        <v>AvanY-bok ľavý /v187/h350/ strieborná</v>
      </c>
      <c r="BF9" s="22">
        <f>VLOOKUP(BD9,CENY!$B$11:$G$1054,3,FALSE)</f>
        <v>10</v>
      </c>
      <c r="BG9" s="22"/>
      <c r="BH9" s="23">
        <f>AY7</f>
        <v>0</v>
      </c>
      <c r="BI9" s="326">
        <f t="shared" si="2"/>
        <v>0</v>
      </c>
      <c r="BJ9" s="95">
        <f>VLOOKUP(BD9,CENY!$B$11:$M$2025,12,FALSE)</f>
        <v>354.09370999999999</v>
      </c>
      <c r="BK9" s="95">
        <f t="shared" si="3"/>
        <v>0</v>
      </c>
    </row>
    <row r="10" spans="1:63" ht="14.4" customHeight="1">
      <c r="B10" s="549" t="str">
        <f>" "&amp;verze!E57</f>
        <v xml:space="preserve"> čelní kování:</v>
      </c>
      <c r="C10" s="549"/>
      <c r="D10" s="549"/>
      <c r="E10" s="549"/>
      <c r="F10" s="563" t="str">
        <f>" "&amp;FORM!AM8</f>
        <v xml:space="preserve"> na vruty</v>
      </c>
      <c r="G10" s="563"/>
      <c r="H10" s="563"/>
      <c r="I10" s="563"/>
      <c r="J10" s="563"/>
      <c r="K10" s="563"/>
      <c r="AU10" s="319">
        <f>OBJ!B117</f>
        <v>9353358</v>
      </c>
      <c r="AV10" s="21" t="str">
        <f>VLOOKUP(AU10,CENY!$B$11:$G$1054,2,FALSE)</f>
        <v>AvanY-sólo oceľ.boky-NW 187/500mm/strieb.</v>
      </c>
      <c r="AW10" s="22">
        <f>VLOOKUP(AU10,CENY!$B$11:$G$1054,3,FALSE)</f>
        <v>1</v>
      </c>
      <c r="AX10" s="362">
        <v>8</v>
      </c>
      <c r="AY10" s="23">
        <f>Y20+Y22+Y28+Y30</f>
        <v>0</v>
      </c>
      <c r="AZ10" s="326">
        <f t="shared" si="1"/>
        <v>0</v>
      </c>
      <c r="BA10" s="95">
        <f>VLOOKUP(AU10,CENY!$B$11:$M$2025,12,FALSE)</f>
        <v>814.69060000000002</v>
      </c>
      <c r="BB10" s="95">
        <f t="shared" si="0"/>
        <v>0</v>
      </c>
      <c r="BD10" s="319">
        <f>OBJ!B127</f>
        <v>9255049</v>
      </c>
      <c r="BE10" s="21" t="str">
        <f>VLOOKUP(BD10,CENY!$B$11:$G$1054,2,FALSE)</f>
        <v>AvanY-bok pravý /v187/h350/ strieborná</v>
      </c>
      <c r="BF10" s="22">
        <f>VLOOKUP(BD10,CENY!$B$11:$G$1054,3,FALSE)</f>
        <v>10</v>
      </c>
      <c r="BG10" s="22"/>
      <c r="BH10" s="23">
        <f>AY7</f>
        <v>0</v>
      </c>
      <c r="BI10" s="326">
        <f t="shared" si="2"/>
        <v>0</v>
      </c>
      <c r="BJ10" s="95">
        <f>VLOOKUP(BD10,CENY!$B$11:$M$2025,12,FALSE)</f>
        <v>354.09370999999999</v>
      </c>
      <c r="BK10" s="95">
        <f t="shared" si="3"/>
        <v>0</v>
      </c>
    </row>
    <row r="11" spans="1:63" ht="14.4" customHeight="1">
      <c r="B11" s="549" t="str">
        <f>" "&amp;verze!E76</f>
        <v xml:space="preserve"> krytka:</v>
      </c>
      <c r="C11" s="549"/>
      <c r="D11" s="549"/>
      <c r="E11" s="549"/>
      <c r="F11" s="563" t="str">
        <f>" "&amp;FORM!AM21</f>
        <v xml:space="preserve"> žádná</v>
      </c>
      <c r="G11" s="563"/>
      <c r="H11" s="563"/>
      <c r="I11" s="563"/>
      <c r="J11" s="563"/>
      <c r="K11" s="563"/>
      <c r="AU11" s="319">
        <f>OBJ!B118</f>
        <v>9353359</v>
      </c>
      <c r="AV11" s="21" t="str">
        <f>VLOOKUP(AU11,CENY!$B$11:$G$1054,2,FALSE)</f>
        <v>AvanY-sólo oceľ.boky-NW 187/550mm/strieb.</v>
      </c>
      <c r="AW11" s="22">
        <f>VLOOKUP(AU11,CENY!$B$11:$G$1054,3,FALSE)</f>
        <v>1</v>
      </c>
      <c r="AX11" s="362">
        <v>8</v>
      </c>
      <c r="AY11" s="23">
        <f>AA20+AA22+AA28+AA30</f>
        <v>0</v>
      </c>
      <c r="AZ11" s="326">
        <f t="shared" si="1"/>
        <v>0</v>
      </c>
      <c r="BA11" s="95">
        <f>VLOOKUP(AU11,CENY!$B$11:$M$2025,12,FALSE)</f>
        <v>848.94223999999997</v>
      </c>
      <c r="BB11" s="95">
        <f t="shared" si="0"/>
        <v>0</v>
      </c>
      <c r="BD11" s="319">
        <f>OBJ!B128</f>
        <v>9255050</v>
      </c>
      <c r="BE11" s="21" t="str">
        <f>VLOOKUP(BD11,CENY!$B$11:$G$1054,2,FALSE)</f>
        <v>AvanY-bok ľavý /v187/h400/ strieborná</v>
      </c>
      <c r="BF11" s="22">
        <f>VLOOKUP(BD11,CENY!$B$11:$G$1054,3,FALSE)</f>
        <v>10</v>
      </c>
      <c r="BG11" s="22"/>
      <c r="BH11" s="23">
        <f>AY8</f>
        <v>0</v>
      </c>
      <c r="BI11" s="326">
        <f t="shared" si="2"/>
        <v>0</v>
      </c>
      <c r="BJ11" s="95">
        <f>VLOOKUP(BD11,CENY!$B$11:$M$2025,12,FALSE)</f>
        <v>360.48838000000001</v>
      </c>
      <c r="BK11" s="95">
        <f t="shared" si="3"/>
        <v>0</v>
      </c>
    </row>
    <row r="12" spans="1:63" ht="14.4" customHeight="1" thickBot="1">
      <c r="B12" s="549"/>
      <c r="C12" s="549"/>
      <c r="D12" s="549"/>
      <c r="E12" s="550"/>
      <c r="F12" s="551"/>
      <c r="G12" s="552"/>
      <c r="H12" s="552"/>
      <c r="I12" s="552"/>
      <c r="J12" s="553"/>
      <c r="K12" s="554"/>
      <c r="AU12" s="319">
        <f>OBJ!B119</f>
        <v>9353360</v>
      </c>
      <c r="AV12" s="21" t="str">
        <f>VLOOKUP(AU12,CENY!$B$11:$G$1054,2,FALSE)</f>
        <v>AvanY-sólo oceľ.boky-NW 187/600mm/strieb.</v>
      </c>
      <c r="AW12" s="22">
        <f>VLOOKUP(AU12,CENY!$B$11:$G$1054,3,FALSE)</f>
        <v>1</v>
      </c>
      <c r="AX12" s="362">
        <v>8</v>
      </c>
      <c r="AY12" s="23">
        <f>AC20+AC22+AC28+AC30</f>
        <v>0</v>
      </c>
      <c r="AZ12" s="326">
        <f t="shared" si="1"/>
        <v>0</v>
      </c>
      <c r="BA12" s="95">
        <f>VLOOKUP(AU12,CENY!$B$11:$M$2025,12,FALSE)</f>
        <v>867.96834999999999</v>
      </c>
      <c r="BB12" s="95">
        <f t="shared" si="0"/>
        <v>0</v>
      </c>
      <c r="BD12" s="319">
        <f>OBJ!B129</f>
        <v>9255051</v>
      </c>
      <c r="BE12" s="21" t="str">
        <f>VLOOKUP(BD12,CENY!$B$11:$G$1054,2,FALSE)</f>
        <v>AvanY-bok pravý /v187/h400/ strieborná</v>
      </c>
      <c r="BF12" s="22">
        <f>VLOOKUP(BD12,CENY!$B$11:$G$1054,3,FALSE)</f>
        <v>10</v>
      </c>
      <c r="BG12" s="22"/>
      <c r="BH12" s="23">
        <f>AY8</f>
        <v>0</v>
      </c>
      <c r="BI12" s="326">
        <f t="shared" si="2"/>
        <v>0</v>
      </c>
      <c r="BJ12" s="95">
        <f>VLOOKUP(BD12,CENY!$B$11:$M$2025,12,FALSE)</f>
        <v>360.48838000000001</v>
      </c>
      <c r="BK12" s="95">
        <f t="shared" si="3"/>
        <v>0</v>
      </c>
    </row>
    <row r="13" spans="1:63" ht="14.4" customHeight="1">
      <c r="B13" s="549" t="str">
        <f>" "&amp;verze!E92</f>
        <v xml:space="preserve"> cena kování:</v>
      </c>
      <c r="C13" s="549"/>
      <c r="D13" s="549"/>
      <c r="E13" s="550"/>
      <c r="F13" s="555">
        <f>IF(AW4=1,BB4,BK4)</f>
        <v>0</v>
      </c>
      <c r="G13" s="555"/>
      <c r="H13" s="555"/>
      <c r="I13" s="555"/>
      <c r="J13" s="556" t="str">
        <f>IF(verze!E1="CZK","CZK","EUR")</f>
        <v>CZK</v>
      </c>
      <c r="K13" s="557"/>
      <c r="AU13" s="319">
        <f>OBJ!B120</f>
        <v>9353371</v>
      </c>
      <c r="AV13" s="21" t="str">
        <f>VLOOKUP(AU13,CENY!$B$11:$G$1054,2,FALSE)</f>
        <v>AvanY-sólo oceľ.boky-NW 187/650mm/strieb.</v>
      </c>
      <c r="AW13" s="22">
        <f>VLOOKUP(AU13,CENY!$B$11:$G$1054,3,FALSE)</f>
        <v>1</v>
      </c>
      <c r="AX13" s="362">
        <v>10</v>
      </c>
      <c r="AY13" s="23">
        <f>AE22</f>
        <v>0</v>
      </c>
      <c r="AZ13" s="326">
        <f t="shared" si="1"/>
        <v>0</v>
      </c>
      <c r="BA13" s="95">
        <f>VLOOKUP(AU13,CENY!$B$11:$M$2025,12,FALSE)</f>
        <v>895.00838999999996</v>
      </c>
      <c r="BB13" s="95">
        <f t="shared" si="0"/>
        <v>0</v>
      </c>
      <c r="BD13" s="319">
        <f>OBJ!B130</f>
        <v>9255052</v>
      </c>
      <c r="BE13" s="21" t="str">
        <f>VLOOKUP(BD13,CENY!$B$11:$G$1054,2,FALSE)</f>
        <v>AvanY-bok ľavý /v187/h450/ strieborná</v>
      </c>
      <c r="BF13" s="22">
        <f>VLOOKUP(BD13,CENY!$B$11:$G$1054,3,FALSE)</f>
        <v>10</v>
      </c>
      <c r="BG13" s="22"/>
      <c r="BH13" s="23">
        <f>AY9</f>
        <v>0</v>
      </c>
      <c r="BI13" s="326">
        <f t="shared" si="2"/>
        <v>0</v>
      </c>
      <c r="BJ13" s="95">
        <f>VLOOKUP(BD13,CENY!$B$11:$M$2025,12,FALSE)</f>
        <v>357.13297</v>
      </c>
      <c r="BK13" s="95">
        <f t="shared" si="3"/>
        <v>0</v>
      </c>
    </row>
    <row r="14" spans="1:63" ht="14.4" customHeight="1">
      <c r="AU14" s="319"/>
      <c r="AV14" s="21"/>
      <c r="AW14" s="22"/>
      <c r="AX14" s="22"/>
      <c r="AY14" s="23"/>
      <c r="AZ14" s="326" t="str">
        <f t="shared" si="1"/>
        <v/>
      </c>
      <c r="BA14" s="95"/>
      <c r="BB14" s="95" t="str">
        <f t="shared" si="0"/>
        <v/>
      </c>
      <c r="BD14" s="319">
        <f>OBJ!B131</f>
        <v>9255053</v>
      </c>
      <c r="BE14" s="21" t="str">
        <f>VLOOKUP(BD14,CENY!$B$11:$G$1054,2,FALSE)</f>
        <v>AvanY-bok pravý /v187/h450/ strieborná</v>
      </c>
      <c r="BF14" s="22">
        <f>VLOOKUP(BD14,CENY!$B$11:$G$1054,3,FALSE)</f>
        <v>10</v>
      </c>
      <c r="BG14" s="22"/>
      <c r="BH14" s="23">
        <f>AY9</f>
        <v>0</v>
      </c>
      <c r="BI14" s="326">
        <f t="shared" si="2"/>
        <v>0</v>
      </c>
      <c r="BJ14" s="95">
        <f>VLOOKUP(BD14,CENY!$B$11:$M$2025,12,FALSE)</f>
        <v>357.13297</v>
      </c>
      <c r="BK14" s="95">
        <f t="shared" si="3"/>
        <v>0</v>
      </c>
    </row>
    <row r="15" spans="1:63" ht="14.4" customHeight="1">
      <c r="AU15" s="319">
        <f>OBJ!B71</f>
        <v>9347502</v>
      </c>
      <c r="AV15" s="21" t="str">
        <f>VLOOKUP(AU15,CENY!$B$11:$G$1054,2,FALSE)</f>
        <v>AvanY-design ALprofil Hybrid na bok 270/ strieb.</v>
      </c>
      <c r="AW15" s="22">
        <f>VLOOKUP(AU15,CENY!$B$11:$G$1054,3,FALSE)</f>
        <v>200</v>
      </c>
      <c r="AX15" s="22"/>
      <c r="AY15" s="23">
        <f>IF(FORM!AM18=FORM!AU16,0,2*(O19+O20+O27+O28+O30))</f>
        <v>0</v>
      </c>
      <c r="AZ15" s="326">
        <f t="shared" si="1"/>
        <v>0</v>
      </c>
      <c r="BA15" s="95">
        <f>VLOOKUP(AU15,CENY!$B$11:$M$2025,12,FALSE)</f>
        <v>19.78839</v>
      </c>
      <c r="BB15" s="95">
        <f t="shared" si="0"/>
        <v>0</v>
      </c>
      <c r="BD15" s="319">
        <f>OBJ!B132</f>
        <v>9255054</v>
      </c>
      <c r="BE15" s="21" t="str">
        <f>VLOOKUP(BD15,CENY!$B$11:$G$1054,2,FALSE)</f>
        <v>AvanY-bok ľavý /v187/h500/ strieborná</v>
      </c>
      <c r="BF15" s="22">
        <f>VLOOKUP(BD15,CENY!$B$11:$G$1054,3,FALSE)</f>
        <v>10</v>
      </c>
      <c r="BG15" s="22"/>
      <c r="BH15" s="23">
        <f>AY10</f>
        <v>0</v>
      </c>
      <c r="BI15" s="326">
        <f t="shared" si="2"/>
        <v>0</v>
      </c>
      <c r="BJ15" s="95">
        <f>VLOOKUP(BD15,CENY!$B$11:$M$2025,12,FALSE)</f>
        <v>363.36250999999999</v>
      </c>
      <c r="BK15" s="95">
        <f t="shared" si="3"/>
        <v>0</v>
      </c>
    </row>
    <row r="16" spans="1:63" ht="14.4" customHeight="1">
      <c r="AU16" s="319">
        <f>OBJ!B72</f>
        <v>9347503</v>
      </c>
      <c r="AV16" s="21" t="str">
        <f>VLOOKUP(AU16,CENY!$B$11:$G$1054,2,FALSE)</f>
        <v>AvanY-design ALprofil Hybrid na bok 300/ strieb.</v>
      </c>
      <c r="AW16" s="22">
        <f>VLOOKUP(AU16,CENY!$B$11:$G$1054,3,FALSE)</f>
        <v>200</v>
      </c>
      <c r="AX16" s="22"/>
      <c r="AY16" s="23">
        <f>IF(FORM!AM18=FORM!AU16,0,2*(Q19+Q20+Q27+Q28+Q30))</f>
        <v>0</v>
      </c>
      <c r="AZ16" s="326">
        <f t="shared" si="1"/>
        <v>0</v>
      </c>
      <c r="BA16" s="95">
        <f>VLOOKUP(AU16,CENY!$B$11:$M$2025,12,FALSE)</f>
        <v>20.006769999999999</v>
      </c>
      <c r="BB16" s="95">
        <f t="shared" si="0"/>
        <v>0</v>
      </c>
      <c r="BD16" s="319">
        <f>OBJ!B133</f>
        <v>9255055</v>
      </c>
      <c r="BE16" s="21" t="str">
        <f>VLOOKUP(BD16,CENY!$B$11:$G$1054,2,FALSE)</f>
        <v>AvanY-bok pravý /v187/h500/ strieborná</v>
      </c>
      <c r="BF16" s="22">
        <f>VLOOKUP(BD16,CENY!$B$11:$G$1054,3,FALSE)</f>
        <v>10</v>
      </c>
      <c r="BG16" s="22"/>
      <c r="BH16" s="23">
        <f>AY10</f>
        <v>0</v>
      </c>
      <c r="BI16" s="326">
        <f t="shared" si="2"/>
        <v>0</v>
      </c>
      <c r="BJ16" s="95">
        <f>VLOOKUP(BD16,CENY!$B$11:$M$2025,12,FALSE)</f>
        <v>363.36250999999999</v>
      </c>
      <c r="BK16" s="95">
        <f t="shared" si="3"/>
        <v>0</v>
      </c>
    </row>
    <row r="17" spans="2:63" ht="14.4" customHeight="1" thickBot="1">
      <c r="B17" s="1" t="s">
        <v>284</v>
      </c>
      <c r="O17" s="547" t="str">
        <f>FORM!U18</f>
        <v>flexibilní sety</v>
      </c>
      <c r="P17" s="548"/>
      <c r="Q17" s="548"/>
      <c r="R17" s="548"/>
      <c r="S17" s="548"/>
      <c r="T17" s="548"/>
      <c r="U17" s="548"/>
      <c r="V17" s="548"/>
      <c r="W17" s="548"/>
      <c r="X17" s="548"/>
      <c r="Y17" s="548"/>
      <c r="Z17" s="548"/>
      <c r="AA17" s="548"/>
      <c r="AB17" s="548"/>
      <c r="AC17" s="548"/>
      <c r="AD17" s="548"/>
      <c r="AE17" s="548"/>
      <c r="AF17" s="548"/>
      <c r="AI17" s="540" t="str">
        <f>verze!E198</f>
        <v>P2O Silent pro Actro</v>
      </c>
      <c r="AJ17" s="541"/>
      <c r="AK17" s="541"/>
      <c r="AL17" s="541"/>
      <c r="AM17" s="541"/>
      <c r="AN17" s="541"/>
      <c r="AO17" s="541"/>
      <c r="AU17" s="319">
        <f>OBJ!B73</f>
        <v>9347504</v>
      </c>
      <c r="AV17" s="21" t="str">
        <f>VLOOKUP(AU17,CENY!$B$11:$G$1054,2,FALSE)</f>
        <v>AvanY-design ALprofil Hybrid na bok 350/ strieb.</v>
      </c>
      <c r="AW17" s="22">
        <f>VLOOKUP(AU17,CENY!$B$11:$G$1054,3,FALSE)</f>
        <v>200</v>
      </c>
      <c r="AX17" s="22"/>
      <c r="AY17" s="23">
        <f>IF(FORM!AM18=FORM!AU16,0,2*(S19+S20+S27+S28+S30))</f>
        <v>0</v>
      </c>
      <c r="AZ17" s="326">
        <f t="shared" si="1"/>
        <v>0</v>
      </c>
      <c r="BA17" s="95">
        <f>VLOOKUP(AU17,CENY!$B$11:$M$2025,12,FALSE)</f>
        <v>20.37642</v>
      </c>
      <c r="BB17" s="95">
        <f t="shared" si="0"/>
        <v>0</v>
      </c>
      <c r="BD17" s="319">
        <f>OBJ!B134</f>
        <v>9255056</v>
      </c>
      <c r="BE17" s="21" t="str">
        <f>VLOOKUP(BD17,CENY!$B$11:$G$1054,2,FALSE)</f>
        <v>AvanY-bok ľavý /v187/h550/ strieborná</v>
      </c>
      <c r="BF17" s="22">
        <f>VLOOKUP(BD17,CENY!$B$11:$G$1054,3,FALSE)</f>
        <v>10</v>
      </c>
      <c r="BG17" s="22"/>
      <c r="BH17" s="23">
        <f>AY11</f>
        <v>0</v>
      </c>
      <c r="BI17" s="326">
        <f t="shared" si="2"/>
        <v>0</v>
      </c>
      <c r="BJ17" s="95">
        <f>VLOOKUP(BD17,CENY!$B$11:$M$2025,12,FALSE)</f>
        <v>379.68511999999998</v>
      </c>
      <c r="BK17" s="95">
        <f t="shared" si="3"/>
        <v>0</v>
      </c>
    </row>
    <row r="18" spans="2:63" ht="14.4" customHeight="1" thickBot="1">
      <c r="B18" s="96"/>
      <c r="C18" s="96"/>
      <c r="D18" s="96"/>
      <c r="E18" s="96"/>
      <c r="F18" s="96"/>
      <c r="G18" s="96"/>
      <c r="H18" s="72"/>
      <c r="I18" s="72"/>
      <c r="J18" s="72"/>
      <c r="K18" s="72"/>
      <c r="L18" s="72"/>
      <c r="M18" s="72"/>
      <c r="N18" s="72" t="str">
        <f>verze!$E$20&amp;" "</f>
        <v xml:space="preserve">Jmenovitá délka: </v>
      </c>
      <c r="O18" s="535">
        <v>270</v>
      </c>
      <c r="P18" s="536"/>
      <c r="Q18" s="535">
        <v>300</v>
      </c>
      <c r="R18" s="536"/>
      <c r="S18" s="535">
        <v>350</v>
      </c>
      <c r="T18" s="536"/>
      <c r="U18" s="535">
        <v>400</v>
      </c>
      <c r="V18" s="536"/>
      <c r="W18" s="535">
        <v>450</v>
      </c>
      <c r="X18" s="536"/>
      <c r="Y18" s="537">
        <v>500</v>
      </c>
      <c r="Z18" s="538"/>
      <c r="AA18" s="535">
        <v>550</v>
      </c>
      <c r="AB18" s="536"/>
      <c r="AC18" s="535">
        <v>600</v>
      </c>
      <c r="AD18" s="536"/>
      <c r="AE18" s="535">
        <v>650</v>
      </c>
      <c r="AF18" s="536"/>
      <c r="AI18" s="543" t="s">
        <v>299</v>
      </c>
      <c r="AJ18" s="543"/>
      <c r="AK18" s="543"/>
      <c r="AL18" s="543"/>
      <c r="AM18" s="543"/>
      <c r="AN18" s="543"/>
      <c r="AO18" s="543"/>
      <c r="AU18" s="319">
        <f>OBJ!B74</f>
        <v>9347505</v>
      </c>
      <c r="AV18" s="21" t="str">
        <f>VLOOKUP(AU18,CENY!$B$11:$G$1054,2,FALSE)</f>
        <v>AvanY-design ALprofil Hybrid na bok 400/ strieb.</v>
      </c>
      <c r="AW18" s="22">
        <f>VLOOKUP(AU18,CENY!$B$11:$G$1054,3,FALSE)</f>
        <v>200</v>
      </c>
      <c r="AX18" s="22"/>
      <c r="AY18" s="23">
        <f>IF(FORM!AM18=FORM!AU16,0,2*(U20+U28+U30))</f>
        <v>0</v>
      </c>
      <c r="AZ18" s="326">
        <f t="shared" si="1"/>
        <v>0</v>
      </c>
      <c r="BA18" s="95">
        <f>VLOOKUP(AU18,CENY!$B$11:$M$2025,12,FALSE)</f>
        <v>20.742249999999999</v>
      </c>
      <c r="BB18" s="95">
        <f t="shared" si="0"/>
        <v>0</v>
      </c>
      <c r="BD18" s="319">
        <f>OBJ!B135</f>
        <v>9255057</v>
      </c>
      <c r="BE18" s="21" t="str">
        <f>VLOOKUP(BD18,CENY!$B$11:$G$1054,2,FALSE)</f>
        <v>AvanY-bok pravý /v187/h550/ strieborná</v>
      </c>
      <c r="BF18" s="22">
        <f>VLOOKUP(BD18,CENY!$B$11:$G$1054,3,FALSE)</f>
        <v>10</v>
      </c>
      <c r="BG18" s="22"/>
      <c r="BH18" s="23">
        <f>AY11</f>
        <v>0</v>
      </c>
      <c r="BI18" s="326">
        <f t="shared" si="2"/>
        <v>0</v>
      </c>
      <c r="BJ18" s="95">
        <f>VLOOKUP(BD18,CENY!$B$11:$M$2025,12,FALSE)</f>
        <v>379.68511999999998</v>
      </c>
      <c r="BK18" s="95">
        <f t="shared" si="3"/>
        <v>0</v>
      </c>
    </row>
    <row r="19" spans="2:63" ht="14.4" customHeight="1" thickBot="1">
      <c r="B19" s="530" t="s">
        <v>289</v>
      </c>
      <c r="C19" s="530"/>
      <c r="D19" s="530"/>
      <c r="E19" s="530"/>
      <c r="F19" s="530"/>
      <c r="G19" s="530"/>
      <c r="H19" s="531" t="str">
        <f>verze!E18</f>
        <v>plnovýsuv</v>
      </c>
      <c r="I19" s="531"/>
      <c r="J19" s="531"/>
      <c r="K19" s="531"/>
      <c r="L19" s="531"/>
      <c r="M19" s="532" t="s">
        <v>286</v>
      </c>
      <c r="N19" s="533"/>
      <c r="O19" s="567"/>
      <c r="P19" s="568"/>
      <c r="Q19" s="567"/>
      <c r="R19" s="568"/>
      <c r="S19" s="567"/>
      <c r="T19" s="568"/>
      <c r="U19" s="283"/>
      <c r="V19" s="284"/>
      <c r="W19" s="283"/>
      <c r="X19" s="284"/>
      <c r="Y19" s="283"/>
      <c r="Z19" s="284"/>
      <c r="AA19" s="283"/>
      <c r="AB19" s="284"/>
      <c r="AC19" s="283"/>
      <c r="AD19" s="284"/>
      <c r="AE19" s="280"/>
      <c r="AF19" s="281"/>
      <c r="AI19" s="289"/>
      <c r="AJ19" s="290"/>
      <c r="AK19" s="289"/>
      <c r="AL19" s="290"/>
      <c r="AM19" s="291" t="s">
        <v>295</v>
      </c>
      <c r="AN19" s="534"/>
      <c r="AO19" s="534"/>
      <c r="AU19" s="319">
        <f>OBJ!B75</f>
        <v>9347506</v>
      </c>
      <c r="AV19" s="21" t="str">
        <f>VLOOKUP(AU19,CENY!$B$11:$G$1054,2,FALSE)</f>
        <v>AvanY-design ALprofil Hybrid na bok 450/ strieb.</v>
      </c>
      <c r="AW19" s="22">
        <f>VLOOKUP(AU19,CENY!$B$11:$G$1054,3,FALSE)</f>
        <v>200</v>
      </c>
      <c r="AX19" s="22"/>
      <c r="AY19" s="23">
        <f>IF(FORM!AM18=FORM!AU16,0,2*(W20+W22+W28+W30))</f>
        <v>0</v>
      </c>
      <c r="AZ19" s="326">
        <f t="shared" si="1"/>
        <v>0</v>
      </c>
      <c r="BA19" s="95">
        <f>VLOOKUP(AU19,CENY!$B$11:$M$2025,12,FALSE)</f>
        <v>21.111910000000002</v>
      </c>
      <c r="BB19" s="95">
        <f t="shared" si="0"/>
        <v>0</v>
      </c>
      <c r="BD19" s="319">
        <f>OBJ!B136</f>
        <v>9255058</v>
      </c>
      <c r="BE19" s="21" t="str">
        <f>VLOOKUP(BD19,CENY!$B$11:$G$1054,2,FALSE)</f>
        <v>AvanY-bok ľavý /v187/h600/ strieborná</v>
      </c>
      <c r="BF19" s="22">
        <f>VLOOKUP(BD19,CENY!$B$11:$G$1054,3,FALSE)</f>
        <v>10</v>
      </c>
      <c r="BG19" s="22"/>
      <c r="BH19" s="23">
        <f>AY12</f>
        <v>0</v>
      </c>
      <c r="BI19" s="326">
        <f t="shared" si="2"/>
        <v>0</v>
      </c>
      <c r="BJ19" s="95">
        <f>VLOOKUP(BD19,CENY!$B$11:$M$2025,12,FALSE)</f>
        <v>389.34050000000002</v>
      </c>
      <c r="BK19" s="95">
        <f t="shared" si="3"/>
        <v>0</v>
      </c>
    </row>
    <row r="20" spans="2:63" ht="14.4" customHeight="1" thickBot="1">
      <c r="B20" s="521" t="s">
        <v>290</v>
      </c>
      <c r="C20" s="521"/>
      <c r="D20" s="521"/>
      <c r="E20" s="521"/>
      <c r="F20" s="521"/>
      <c r="G20" s="521"/>
      <c r="H20" s="522" t="str">
        <f>verze!E18</f>
        <v>plnovýsuv</v>
      </c>
      <c r="I20" s="522"/>
      <c r="J20" s="522"/>
      <c r="K20" s="522"/>
      <c r="L20" s="522"/>
      <c r="M20" s="523" t="s">
        <v>287</v>
      </c>
      <c r="N20" s="546"/>
      <c r="O20" s="516"/>
      <c r="P20" s="517"/>
      <c r="Q20" s="516"/>
      <c r="R20" s="517"/>
      <c r="S20" s="516"/>
      <c r="T20" s="517"/>
      <c r="U20" s="516"/>
      <c r="V20" s="517"/>
      <c r="W20" s="516"/>
      <c r="X20" s="517"/>
      <c r="Y20" s="516"/>
      <c r="Z20" s="517"/>
      <c r="AA20" s="516"/>
      <c r="AB20" s="517"/>
      <c r="AC20" s="565"/>
      <c r="AD20" s="566"/>
      <c r="AE20" s="518"/>
      <c r="AF20" s="519"/>
      <c r="AI20" s="287"/>
      <c r="AJ20" s="288"/>
      <c r="AK20" s="287"/>
      <c r="AL20" s="288"/>
      <c r="AM20" s="286" t="s">
        <v>294</v>
      </c>
      <c r="AN20" s="520"/>
      <c r="AO20" s="520"/>
      <c r="AU20" s="319">
        <f>OBJ!B76</f>
        <v>9347507</v>
      </c>
      <c r="AV20" s="21" t="str">
        <f>VLOOKUP(AU20,CENY!$B$11:$G$1054,2,FALSE)</f>
        <v>AvanY-design ALprofil Hybrid na bok 500/ strieb.</v>
      </c>
      <c r="AW20" s="22">
        <f>VLOOKUP(AU20,CENY!$B$11:$G$1054,3,FALSE)</f>
        <v>200</v>
      </c>
      <c r="AX20" s="22"/>
      <c r="AY20" s="23">
        <f>IF(FORM!AM18=FORM!AU16,0,2*(Y20+Y22+Y28+Y30))</f>
        <v>0</v>
      </c>
      <c r="AZ20" s="326">
        <f t="shared" si="1"/>
        <v>0</v>
      </c>
      <c r="BA20" s="95">
        <f>VLOOKUP(AU20,CENY!$B$11:$M$2025,12,FALSE)</f>
        <v>21.479700000000001</v>
      </c>
      <c r="BB20" s="95">
        <f t="shared" si="0"/>
        <v>0</v>
      </c>
      <c r="BD20" s="319">
        <f>OBJ!B137</f>
        <v>9255059</v>
      </c>
      <c r="BE20" s="21" t="str">
        <f>VLOOKUP(BD20,CENY!$B$11:$G$1054,2,FALSE)</f>
        <v>AvanY-bok pravý /v187/h600/ strieborná</v>
      </c>
      <c r="BF20" s="22">
        <f>VLOOKUP(BD20,CENY!$B$11:$G$1054,3,FALSE)</f>
        <v>10</v>
      </c>
      <c r="BG20" s="22"/>
      <c r="BH20" s="23">
        <f>AY12</f>
        <v>0</v>
      </c>
      <c r="BI20" s="326">
        <f t="shared" si="2"/>
        <v>0</v>
      </c>
      <c r="BJ20" s="95">
        <f>VLOOKUP(BD20,CENY!$B$11:$M$2025,12,FALSE)</f>
        <v>389.34050000000002</v>
      </c>
      <c r="BK20" s="95">
        <f t="shared" si="3"/>
        <v>0</v>
      </c>
    </row>
    <row r="21" spans="2:63" ht="14.4" customHeight="1" thickBot="1">
      <c r="O21" s="283"/>
      <c r="P21" s="284"/>
      <c r="Q21" s="283"/>
      <c r="R21" s="284"/>
      <c r="S21" s="283"/>
      <c r="T21" s="284"/>
      <c r="U21" s="283"/>
      <c r="V21" s="284"/>
      <c r="W21" s="283"/>
      <c r="X21" s="284"/>
      <c r="Y21" s="283"/>
      <c r="Z21" s="284"/>
      <c r="AA21" s="283"/>
      <c r="AB21" s="284"/>
      <c r="AC21" s="283"/>
      <c r="AD21" s="284"/>
      <c r="AE21" s="283"/>
      <c r="AF21" s="284"/>
      <c r="AI21" s="287"/>
      <c r="AJ21" s="288"/>
      <c r="AK21" s="287"/>
      <c r="AL21" s="288"/>
      <c r="AM21" s="286" t="s">
        <v>296</v>
      </c>
      <c r="AN21" s="542"/>
      <c r="AO21" s="542"/>
      <c r="AU21" s="319">
        <f>OBJ!B77</f>
        <v>9347508</v>
      </c>
      <c r="AV21" s="21" t="str">
        <f>VLOOKUP(AU21,CENY!$B$11:$G$1054,2,FALSE)</f>
        <v>AvanY-design ALprofil Hybrid na bok 550/ strieb.</v>
      </c>
      <c r="AW21" s="22">
        <f>VLOOKUP(AU21,CENY!$B$11:$G$1054,3,FALSE)</f>
        <v>200</v>
      </c>
      <c r="AX21" s="22"/>
      <c r="AY21" s="23">
        <f>IF(FORM!AM18=FORM!AU16,0,2*(AA20+AA22+AA28+AA30))</f>
        <v>0</v>
      </c>
      <c r="AZ21" s="326">
        <f t="shared" si="1"/>
        <v>0</v>
      </c>
      <c r="BA21" s="95">
        <f>VLOOKUP(AU21,CENY!$B$11:$M$2025,12,FALSE)</f>
        <v>21.84564</v>
      </c>
      <c r="BB21" s="95">
        <f t="shared" si="0"/>
        <v>0</v>
      </c>
      <c r="BD21" s="319">
        <f>OBJ!B138</f>
        <v>9255060</v>
      </c>
      <c r="BE21" s="21" t="str">
        <f>VLOOKUP(BD21,CENY!$B$11:$G$1054,2,FALSE)</f>
        <v>AvanY-bok ľavý /v187/h650/ strieborná</v>
      </c>
      <c r="BF21" s="22">
        <f>VLOOKUP(BD21,CENY!$B$11:$G$1054,3,FALSE)</f>
        <v>10</v>
      </c>
      <c r="BG21" s="22"/>
      <c r="BH21" s="23">
        <f>AY13</f>
        <v>0</v>
      </c>
      <c r="BI21" s="326">
        <f t="shared" si="2"/>
        <v>0</v>
      </c>
      <c r="BJ21" s="95">
        <f>VLOOKUP(BD21,CENY!$B$11:$M$2025,12,FALSE)</f>
        <v>402.46422999999999</v>
      </c>
      <c r="BK21" s="95">
        <f t="shared" si="3"/>
        <v>0</v>
      </c>
    </row>
    <row r="22" spans="2:63" ht="14.4" customHeight="1" thickBot="1">
      <c r="B22" s="544" t="s">
        <v>291</v>
      </c>
      <c r="C22" s="544"/>
      <c r="D22" s="544"/>
      <c r="E22" s="544"/>
      <c r="F22" s="544"/>
      <c r="G22" s="544"/>
      <c r="H22" s="545" t="str">
        <f>verze!E18</f>
        <v>plnovýsuv</v>
      </c>
      <c r="I22" s="545"/>
      <c r="J22" s="545"/>
      <c r="K22" s="545"/>
      <c r="L22" s="545"/>
      <c r="M22" s="523" t="s">
        <v>288</v>
      </c>
      <c r="N22" s="524"/>
      <c r="O22" s="518"/>
      <c r="P22" s="519"/>
      <c r="Q22" s="518"/>
      <c r="R22" s="519"/>
      <c r="S22" s="518"/>
      <c r="T22" s="519"/>
      <c r="U22" s="518"/>
      <c r="V22" s="519"/>
      <c r="W22" s="516"/>
      <c r="X22" s="517"/>
      <c r="Y22" s="516"/>
      <c r="Z22" s="517"/>
      <c r="AA22" s="516"/>
      <c r="AB22" s="517"/>
      <c r="AC22" s="516"/>
      <c r="AD22" s="517"/>
      <c r="AE22" s="565"/>
      <c r="AF22" s="566"/>
      <c r="AI22" s="287"/>
      <c r="AJ22" s="288"/>
      <c r="AK22" s="287"/>
      <c r="AL22" s="288"/>
      <c r="AM22" s="286" t="s">
        <v>297</v>
      </c>
      <c r="AN22" s="539"/>
      <c r="AO22" s="539"/>
      <c r="AU22" s="319">
        <f>OBJ!B78</f>
        <v>9347509</v>
      </c>
      <c r="AV22" s="21" t="str">
        <f>VLOOKUP(AU22,CENY!$B$11:$G$1054,2,FALSE)</f>
        <v>AvanY-design ALprofil Hybrid na bok 600/ strieb.</v>
      </c>
      <c r="AW22" s="22">
        <f>VLOOKUP(AU22,CENY!$B$11:$G$1054,3,FALSE)</f>
        <v>200</v>
      </c>
      <c r="AX22" s="22"/>
      <c r="AY22" s="23">
        <f>IF(FORM!AM18=FORM!AU16,0,2*(AC20+AC22+AC28+AC30))</f>
        <v>0</v>
      </c>
      <c r="AZ22" s="326">
        <f t="shared" si="1"/>
        <v>0</v>
      </c>
      <c r="BA22" s="95">
        <f>VLOOKUP(AU22,CENY!$B$11:$M$2025,12,FALSE)</f>
        <v>22.79205</v>
      </c>
      <c r="BB22" s="95">
        <f t="shared" si="0"/>
        <v>0</v>
      </c>
      <c r="BD22" s="319">
        <f>OBJ!B139</f>
        <v>9255061</v>
      </c>
      <c r="BE22" s="21" t="str">
        <f>VLOOKUP(BD22,CENY!$B$11:$G$1054,2,FALSE)</f>
        <v>AvanY-bok pravý /v187/h650/ strieborná</v>
      </c>
      <c r="BF22" s="22">
        <f>VLOOKUP(BD22,CENY!$B$11:$G$1054,3,FALSE)</f>
        <v>10</v>
      </c>
      <c r="BG22" s="22"/>
      <c r="BH22" s="23">
        <f>AY13</f>
        <v>0</v>
      </c>
      <c r="BI22" s="326">
        <f t="shared" si="2"/>
        <v>0</v>
      </c>
      <c r="BJ22" s="95">
        <f>VLOOKUP(BD22,CENY!$B$11:$M$2025,12,FALSE)</f>
        <v>402.46422999999999</v>
      </c>
      <c r="BK22" s="95">
        <f t="shared" si="3"/>
        <v>0</v>
      </c>
    </row>
    <row r="23" spans="2:63" ht="14.4" customHeight="1">
      <c r="O23" s="4"/>
      <c r="P23" s="4"/>
      <c r="AU23" s="319">
        <f>OBJ!B79</f>
        <v>9347510</v>
      </c>
      <c r="AV23" s="21" t="str">
        <f>VLOOKUP(AU23,CENY!$B$11:$G$1054,2,FALSE)</f>
        <v>AvanY-design ALprofil Hybrid na bok 650/ strieb.</v>
      </c>
      <c r="AW23" s="22">
        <f>VLOOKUP(AU23,CENY!$B$11:$G$1054,3,FALSE)</f>
        <v>200</v>
      </c>
      <c r="AX23" s="22"/>
      <c r="AY23" s="23">
        <f>IF(FORM!AM18=FORM!AU16,0,2*AE22)</f>
        <v>0</v>
      </c>
      <c r="AZ23" s="326">
        <f t="shared" si="1"/>
        <v>0</v>
      </c>
      <c r="BA23" s="95">
        <f>VLOOKUP(AU23,CENY!$B$11:$M$2025,12,FALSE)</f>
        <v>24.580449999999999</v>
      </c>
      <c r="BB23" s="95">
        <f t="shared" si="0"/>
        <v>0</v>
      </c>
      <c r="BD23" s="319"/>
      <c r="BE23" s="21"/>
      <c r="BF23" s="22"/>
      <c r="BG23" s="22"/>
      <c r="BH23" s="23"/>
      <c r="BI23" s="326" t="str">
        <f t="shared" si="2"/>
        <v/>
      </c>
      <c r="BJ23" s="95"/>
      <c r="BK23" s="95" t="str">
        <f t="shared" si="3"/>
        <v/>
      </c>
    </row>
    <row r="24" spans="2:63" ht="14.4" customHeight="1">
      <c r="AU24" s="319"/>
      <c r="AV24" s="21"/>
      <c r="AW24" s="22"/>
      <c r="AX24" s="22"/>
      <c r="AY24" s="23"/>
      <c r="AZ24" s="326" t="str">
        <f t="shared" si="1"/>
        <v/>
      </c>
      <c r="BA24" s="95"/>
      <c r="BB24" s="95" t="str">
        <f t="shared" si="0"/>
        <v/>
      </c>
      <c r="BD24" s="319">
        <f>OBJ!B141</f>
        <v>9255838</v>
      </c>
      <c r="BE24" s="21" t="str">
        <f>VLOOKUP(BD24,CENY!$B$11:$G$1054,2,FALSE)</f>
        <v>AvanY-prích.čela k naskrutk./ v187-251</v>
      </c>
      <c r="BF24" s="22">
        <f>VLOOKUP(BD24,CENY!$B$11:$G$1054,3,FALSE)</f>
        <v>200</v>
      </c>
      <c r="BG24" s="22"/>
      <c r="BH24" s="23">
        <f>2*(SUM(O19:T19)+SUM(O20:AD20)+SUM(W22:AF22)+SUM(O27:T27)+SUM(O28:AD28)+SUM(O30:AD30))</f>
        <v>0</v>
      </c>
      <c r="BI24" s="326">
        <f t="shared" si="2"/>
        <v>0</v>
      </c>
      <c r="BJ24" s="95">
        <f>VLOOKUP(BD24,CENY!$B$11:$M$2025,12,FALSE)</f>
        <v>49.383429999999997</v>
      </c>
      <c r="BK24" s="95">
        <f t="shared" si="3"/>
        <v>0</v>
      </c>
    </row>
    <row r="25" spans="2:63" ht="14.4" customHeight="1" thickBot="1">
      <c r="B25" s="2" t="s">
        <v>285</v>
      </c>
      <c r="AI25" s="540" t="str">
        <f>verze!E199</f>
        <v>P2O Silent pro Quadro</v>
      </c>
      <c r="AJ25" s="541"/>
      <c r="AK25" s="541"/>
      <c r="AL25" s="541"/>
      <c r="AM25" s="541"/>
      <c r="AN25" s="541"/>
      <c r="AO25" s="541"/>
      <c r="AU25" s="319">
        <f>OBJ!B233</f>
        <v>9318154</v>
      </c>
      <c r="AV25" s="21" t="str">
        <f>VLOOKUP(AU25,CENY!$B$11:$G$1054,2,FALSE)</f>
        <v>Actro You(S) 270/SiSy 10kg; EB21</v>
      </c>
      <c r="AW25" s="22">
        <f>VLOOKUP(AU25,CENY!$B$11:$G$1054,3,FALSE)</f>
        <v>1</v>
      </c>
      <c r="AX25" s="362">
        <v>4</v>
      </c>
      <c r="AY25" s="23">
        <f>O19</f>
        <v>0</v>
      </c>
      <c r="AZ25" s="326">
        <f t="shared" si="1"/>
        <v>0</v>
      </c>
      <c r="BA25" s="95">
        <f>VLOOKUP(AU25,CENY!$B$11:$M$2025,12,FALSE)</f>
        <v>657.45060999999998</v>
      </c>
      <c r="BB25" s="95">
        <f t="shared" si="0"/>
        <v>0</v>
      </c>
      <c r="BD25" s="319">
        <f>OBJ!B48</f>
        <v>9257702</v>
      </c>
      <c r="BE25" s="21" t="str">
        <f>VLOOKUP(BD25,CENY!$B$11:$G$1054,2,FALSE)</f>
        <v>AvanY-stabilizátor chrbáta</v>
      </c>
      <c r="BF25" s="22">
        <f>VLOOKUP(BD25,CENY!$B$11:$G$1054,3,FALSE)</f>
        <v>200</v>
      </c>
      <c r="BG25" s="22"/>
      <c r="BH25" s="23">
        <f>2*(SUM(O19:T19)+SUM(O20:AD20)+SUM(W22:AF22)+SUM(O27:T27)+SUM(O28:AD28)+SUM(O30:AD30))</f>
        <v>0</v>
      </c>
      <c r="BI25" s="326">
        <f t="shared" si="2"/>
        <v>0</v>
      </c>
      <c r="BJ25" s="95">
        <f>VLOOKUP(BD25,CENY!$B$11:$M$2025,12,FALSE)</f>
        <v>15.54837</v>
      </c>
      <c r="BK25" s="95">
        <f t="shared" si="3"/>
        <v>0</v>
      </c>
    </row>
    <row r="26" spans="2:63" ht="14.4" customHeight="1" thickBot="1">
      <c r="B26" s="96"/>
      <c r="C26" s="96"/>
      <c r="D26" s="96"/>
      <c r="E26" s="96"/>
      <c r="F26" s="96"/>
      <c r="G26" s="96"/>
      <c r="H26" s="72"/>
      <c r="I26" s="72"/>
      <c r="J26" s="72"/>
      <c r="K26" s="72"/>
      <c r="L26" s="72"/>
      <c r="M26" s="72"/>
      <c r="N26" s="72" t="str">
        <f>verze!$E$20&amp;" "</f>
        <v xml:space="preserve">Jmenovitá délka: </v>
      </c>
      <c r="O26" s="535">
        <v>270</v>
      </c>
      <c r="P26" s="536"/>
      <c r="Q26" s="535">
        <v>300</v>
      </c>
      <c r="R26" s="536"/>
      <c r="S26" s="535">
        <v>350</v>
      </c>
      <c r="T26" s="536"/>
      <c r="U26" s="535">
        <v>400</v>
      </c>
      <c r="V26" s="536"/>
      <c r="W26" s="535">
        <v>450</v>
      </c>
      <c r="X26" s="536"/>
      <c r="Y26" s="537">
        <v>500</v>
      </c>
      <c r="Z26" s="538"/>
      <c r="AA26" s="535">
        <v>550</v>
      </c>
      <c r="AB26" s="536"/>
      <c r="AC26" s="535">
        <v>600</v>
      </c>
      <c r="AD26" s="536"/>
      <c r="AI26" s="543" t="s">
        <v>299</v>
      </c>
      <c r="AJ26" s="543"/>
      <c r="AK26" s="543"/>
      <c r="AL26" s="543"/>
      <c r="AM26" s="543"/>
      <c r="AN26" s="543"/>
      <c r="AO26" s="543"/>
      <c r="AU26" s="319">
        <f>OBJ!B234</f>
        <v>9318156</v>
      </c>
      <c r="AV26" s="21" t="str">
        <f>VLOOKUP(AU26,CENY!$B$11:$G$1054,2,FALSE)</f>
        <v>Actro You(S) 300/SiSy 10kg; EB21</v>
      </c>
      <c r="AW26" s="22">
        <f>VLOOKUP(AU26,CENY!$B$11:$G$1054,3,FALSE)</f>
        <v>1</v>
      </c>
      <c r="AX26" s="362">
        <v>4</v>
      </c>
      <c r="AY26" s="23">
        <f>Q19</f>
        <v>0</v>
      </c>
      <c r="AZ26" s="326">
        <f t="shared" si="1"/>
        <v>0</v>
      </c>
      <c r="BA26" s="95">
        <f>VLOOKUP(AU26,CENY!$B$11:$M$2025,12,FALSE)</f>
        <v>657.45060999999998</v>
      </c>
      <c r="BB26" s="95">
        <f t="shared" si="0"/>
        <v>0</v>
      </c>
      <c r="BD26" s="20"/>
      <c r="BE26" s="21"/>
      <c r="BF26" s="22"/>
      <c r="BG26" s="22"/>
      <c r="BH26" s="23"/>
      <c r="BI26" s="326" t="str">
        <f t="shared" si="2"/>
        <v/>
      </c>
      <c r="BJ26" s="95"/>
      <c r="BK26" s="95" t="str">
        <f t="shared" si="3"/>
        <v/>
      </c>
    </row>
    <row r="27" spans="2:63" ht="14.4" customHeight="1" thickBot="1">
      <c r="B27" s="530" t="s">
        <v>292</v>
      </c>
      <c r="C27" s="530"/>
      <c r="D27" s="530"/>
      <c r="E27" s="530"/>
      <c r="F27" s="530"/>
      <c r="G27" s="530"/>
      <c r="H27" s="531" t="str">
        <f>verze!E18</f>
        <v>plnovýsuv</v>
      </c>
      <c r="I27" s="531"/>
      <c r="J27" s="531"/>
      <c r="K27" s="531"/>
      <c r="L27" s="531"/>
      <c r="M27" s="532" t="s">
        <v>286</v>
      </c>
      <c r="N27" s="533"/>
      <c r="O27" s="567"/>
      <c r="P27" s="568"/>
      <c r="Q27" s="567"/>
      <c r="R27" s="568"/>
      <c r="S27" s="567"/>
      <c r="T27" s="568"/>
      <c r="U27" s="283"/>
      <c r="V27" s="284"/>
      <c r="W27" s="283"/>
      <c r="X27" s="284"/>
      <c r="Y27" s="283"/>
      <c r="Z27" s="284"/>
      <c r="AA27" s="283"/>
      <c r="AB27" s="284"/>
      <c r="AC27" s="283"/>
      <c r="AD27" s="284"/>
      <c r="AI27" s="289"/>
      <c r="AJ27" s="290"/>
      <c r="AK27" s="289"/>
      <c r="AL27" s="290"/>
      <c r="AM27" s="291" t="s">
        <v>295</v>
      </c>
      <c r="AN27" s="534"/>
      <c r="AO27" s="534"/>
      <c r="AU27" s="319">
        <f>OBJ!B235</f>
        <v>9318160</v>
      </c>
      <c r="AV27" s="21" t="str">
        <f>VLOOKUP(AU27,CENY!$B$11:$G$1054,2,FALSE)</f>
        <v>Actro You(S) 350/SiSy 10kg; EB21</v>
      </c>
      <c r="AW27" s="22">
        <f>VLOOKUP(AU27,CENY!$B$11:$G$1054,3,FALSE)</f>
        <v>1</v>
      </c>
      <c r="AX27" s="362">
        <v>4</v>
      </c>
      <c r="AY27" s="23">
        <f>S19</f>
        <v>0</v>
      </c>
      <c r="AZ27" s="326">
        <f t="shared" si="1"/>
        <v>0</v>
      </c>
      <c r="BA27" s="95">
        <f>VLOOKUP(AU27,CENY!$B$11:$M$2025,12,FALSE)</f>
        <v>657.45060999999998</v>
      </c>
      <c r="BB27" s="95">
        <f t="shared" si="0"/>
        <v>0</v>
      </c>
      <c r="BD27" s="319">
        <f>OBJ!B71</f>
        <v>9347502</v>
      </c>
      <c r="BE27" s="21" t="str">
        <f>VLOOKUP(BD27,CENY!$B$11:$G$1054,2,FALSE)</f>
        <v>AvanY-design ALprofil Hybrid na bok 270/ strieb.</v>
      </c>
      <c r="BF27" s="22">
        <f>VLOOKUP(BD27,CENY!$B$11:$G$1054,3,FALSE)</f>
        <v>200</v>
      </c>
      <c r="BG27" s="22"/>
      <c r="BH27" s="23">
        <f>2*(O19+O20+O27+O28+O30)</f>
        <v>0</v>
      </c>
      <c r="BI27" s="326">
        <f t="shared" si="2"/>
        <v>0</v>
      </c>
      <c r="BJ27" s="95">
        <f>VLOOKUP(BD27,CENY!$B$11:$M$2025,12,FALSE)</f>
        <v>19.78839</v>
      </c>
      <c r="BK27" s="95">
        <f t="shared" si="3"/>
        <v>0</v>
      </c>
    </row>
    <row r="28" spans="2:63" ht="14.4" customHeight="1" thickBot="1">
      <c r="B28" s="521" t="s">
        <v>372</v>
      </c>
      <c r="C28" s="521"/>
      <c r="D28" s="521"/>
      <c r="E28" s="521"/>
      <c r="F28" s="521"/>
      <c r="G28" s="521"/>
      <c r="H28" s="522" t="str">
        <f>verze!E18</f>
        <v>plnovýsuv</v>
      </c>
      <c r="I28" s="522"/>
      <c r="J28" s="522"/>
      <c r="K28" s="522"/>
      <c r="L28" s="522"/>
      <c r="M28" s="523" t="s">
        <v>1</v>
      </c>
      <c r="N28" s="524"/>
      <c r="O28" s="516"/>
      <c r="P28" s="517"/>
      <c r="Q28" s="516"/>
      <c r="R28" s="517"/>
      <c r="S28" s="516"/>
      <c r="T28" s="517"/>
      <c r="U28" s="516"/>
      <c r="V28" s="517"/>
      <c r="W28" s="516"/>
      <c r="X28" s="517"/>
      <c r="Y28" s="516"/>
      <c r="Z28" s="517"/>
      <c r="AA28" s="516"/>
      <c r="AB28" s="517"/>
      <c r="AC28" s="516"/>
      <c r="AD28" s="517"/>
      <c r="AI28" s="287"/>
      <c r="AJ28" s="288"/>
      <c r="AK28" s="287"/>
      <c r="AL28" s="288"/>
      <c r="AM28" s="286" t="s">
        <v>294</v>
      </c>
      <c r="AN28" s="520"/>
      <c r="AO28" s="520"/>
      <c r="AU28" s="20"/>
      <c r="AV28" s="21"/>
      <c r="AW28" s="22"/>
      <c r="AX28" s="22"/>
      <c r="AY28" s="23"/>
      <c r="AZ28" s="326" t="str">
        <f t="shared" si="1"/>
        <v/>
      </c>
      <c r="BA28" s="95"/>
      <c r="BB28" s="95" t="str">
        <f t="shared" si="0"/>
        <v/>
      </c>
      <c r="BD28" s="319">
        <f>OBJ!B72</f>
        <v>9347503</v>
      </c>
      <c r="BE28" s="21" t="str">
        <f>VLOOKUP(BD28,CENY!$B$11:$G$1054,2,FALSE)</f>
        <v>AvanY-design ALprofil Hybrid na bok 300/ strieb.</v>
      </c>
      <c r="BF28" s="22">
        <f>VLOOKUP(BD28,CENY!$B$11:$G$1054,3,FALSE)</f>
        <v>200</v>
      </c>
      <c r="BG28" s="22"/>
      <c r="BH28" s="23">
        <f>2*(Q19+Q20+Q27+Q28+Q30)</f>
        <v>0</v>
      </c>
      <c r="BI28" s="326">
        <f t="shared" si="2"/>
        <v>0</v>
      </c>
      <c r="BJ28" s="95">
        <f>VLOOKUP(BD28,CENY!$B$11:$M$2025,12,FALSE)</f>
        <v>20.006769999999999</v>
      </c>
      <c r="BK28" s="95">
        <f t="shared" si="3"/>
        <v>0</v>
      </c>
    </row>
    <row r="29" spans="2:63" ht="14.4" customHeight="1" thickBot="1">
      <c r="O29" s="283"/>
      <c r="P29" s="284"/>
      <c r="Q29" s="283"/>
      <c r="R29" s="284"/>
      <c r="S29" s="283"/>
      <c r="T29" s="284"/>
      <c r="U29" s="283"/>
      <c r="V29" s="284"/>
      <c r="W29" s="283"/>
      <c r="X29" s="284"/>
      <c r="Y29" s="283"/>
      <c r="Z29" s="284"/>
      <c r="AA29" s="283"/>
      <c r="AB29" s="284"/>
      <c r="AC29" s="283"/>
      <c r="AD29" s="284"/>
      <c r="AI29" s="287"/>
      <c r="AJ29" s="288"/>
      <c r="AK29" s="287"/>
      <c r="AL29" s="288"/>
      <c r="AM29" s="286" t="s">
        <v>298</v>
      </c>
      <c r="AN29" s="527"/>
      <c r="AO29" s="527"/>
      <c r="AU29" s="319">
        <f>OBJ!B243</f>
        <v>9318186</v>
      </c>
      <c r="AV29" s="21" t="str">
        <f>VLOOKUP(AU29,CENY!$B$11:$G$1054,2,FALSE)</f>
        <v>Actro You(L) 270/SiSy 40kg; EB21</v>
      </c>
      <c r="AW29" s="22">
        <f>VLOOKUP(AU29,CENY!$B$11:$G$1054,3,FALSE)</f>
        <v>1</v>
      </c>
      <c r="AX29" s="362">
        <v>8</v>
      </c>
      <c r="AY29" s="23">
        <f>O20</f>
        <v>0</v>
      </c>
      <c r="AZ29" s="326">
        <f t="shared" si="1"/>
        <v>0</v>
      </c>
      <c r="BA29" s="95">
        <f>VLOOKUP(AU29,CENY!$B$11:$M$2025,12,FALSE)</f>
        <v>657.45060999999998</v>
      </c>
      <c r="BB29" s="95">
        <f t="shared" si="0"/>
        <v>0</v>
      </c>
      <c r="BD29" s="319">
        <f>OBJ!B73</f>
        <v>9347504</v>
      </c>
      <c r="BE29" s="21" t="str">
        <f>VLOOKUP(BD29,CENY!$B$11:$G$1054,2,FALSE)</f>
        <v>AvanY-design ALprofil Hybrid na bok 350/ strieb.</v>
      </c>
      <c r="BF29" s="22">
        <f>VLOOKUP(BD29,CENY!$B$11:$G$1054,3,FALSE)</f>
        <v>200</v>
      </c>
      <c r="BG29" s="22"/>
      <c r="BH29" s="23">
        <f>2*(S19+S20+S27+S28+S30)</f>
        <v>0</v>
      </c>
      <c r="BI29" s="326">
        <f t="shared" si="2"/>
        <v>0</v>
      </c>
      <c r="BJ29" s="95">
        <f>VLOOKUP(BD29,CENY!$B$11:$M$2025,12,FALSE)</f>
        <v>20.37642</v>
      </c>
      <c r="BK29" s="95">
        <f t="shared" si="3"/>
        <v>0</v>
      </c>
    </row>
    <row r="30" spans="2:63" ht="14.4" customHeight="1" thickBot="1">
      <c r="B30" s="528" t="s">
        <v>373</v>
      </c>
      <c r="C30" s="528"/>
      <c r="D30" s="528"/>
      <c r="E30" s="528"/>
      <c r="F30" s="528"/>
      <c r="G30" s="528"/>
      <c r="H30" s="529" t="str">
        <f>verze!E18</f>
        <v>plnovýsuv</v>
      </c>
      <c r="I30" s="529"/>
      <c r="J30" s="529"/>
      <c r="K30" s="529"/>
      <c r="L30" s="529"/>
      <c r="M30" s="523" t="s">
        <v>1</v>
      </c>
      <c r="N30" s="524"/>
      <c r="O30" s="516"/>
      <c r="P30" s="517"/>
      <c r="Q30" s="516"/>
      <c r="R30" s="517"/>
      <c r="S30" s="516"/>
      <c r="T30" s="517"/>
      <c r="U30" s="516"/>
      <c r="V30" s="517"/>
      <c r="W30" s="516"/>
      <c r="X30" s="517"/>
      <c r="Y30" s="516"/>
      <c r="Z30" s="517"/>
      <c r="AA30" s="516"/>
      <c r="AB30" s="517"/>
      <c r="AC30" s="565"/>
      <c r="AD30" s="566"/>
      <c r="AU30" s="319">
        <f>OBJ!B244</f>
        <v>9318187</v>
      </c>
      <c r="AV30" s="21" t="str">
        <f>VLOOKUP(AU30,CENY!$B$11:$G$1054,2,FALSE)</f>
        <v>Actro You(L) 300/SiSy 40kg; EB21</v>
      </c>
      <c r="AW30" s="22">
        <f>VLOOKUP(AU30,CENY!$B$11:$G$1054,3,FALSE)</f>
        <v>1</v>
      </c>
      <c r="AX30" s="362">
        <v>8</v>
      </c>
      <c r="AY30" s="23">
        <f>Q20</f>
        <v>0</v>
      </c>
      <c r="AZ30" s="326">
        <f t="shared" si="1"/>
        <v>0</v>
      </c>
      <c r="BA30" s="95">
        <f>VLOOKUP(AU30,CENY!$B$11:$M$2025,12,FALSE)</f>
        <v>657.45060999999998</v>
      </c>
      <c r="BB30" s="95">
        <f t="shared" si="0"/>
        <v>0</v>
      </c>
      <c r="BD30" s="319">
        <f>OBJ!B74</f>
        <v>9347505</v>
      </c>
      <c r="BE30" s="21" t="str">
        <f>VLOOKUP(BD30,CENY!$B$11:$G$1054,2,FALSE)</f>
        <v>AvanY-design ALprofil Hybrid na bok 400/ strieb.</v>
      </c>
      <c r="BF30" s="22">
        <f>VLOOKUP(BD30,CENY!$B$11:$G$1054,3,FALSE)</f>
        <v>200</v>
      </c>
      <c r="BG30" s="22"/>
      <c r="BH30" s="23">
        <f>2*(U20+U28+U30)</f>
        <v>0</v>
      </c>
      <c r="BI30" s="326">
        <f t="shared" si="2"/>
        <v>0</v>
      </c>
      <c r="BJ30" s="95">
        <f>VLOOKUP(BD30,CENY!$B$11:$M$2025,12,FALSE)</f>
        <v>20.742249999999999</v>
      </c>
      <c r="BK30" s="95">
        <f t="shared" si="3"/>
        <v>0</v>
      </c>
    </row>
    <row r="31" spans="2:63" ht="14.4" customHeight="1">
      <c r="AU31" s="319">
        <f>OBJ!B245</f>
        <v>9318188</v>
      </c>
      <c r="AV31" s="21" t="str">
        <f>VLOOKUP(AU31,CENY!$B$11:$G$1054,2,FALSE)</f>
        <v>Actro You(L) 350/SiSy 40kg; EB21</v>
      </c>
      <c r="AW31" s="22">
        <f>VLOOKUP(AU31,CENY!$B$11:$G$1054,3,FALSE)</f>
        <v>1</v>
      </c>
      <c r="AX31" s="362">
        <v>8</v>
      </c>
      <c r="AY31" s="23">
        <f>S20</f>
        <v>0</v>
      </c>
      <c r="AZ31" s="326">
        <f t="shared" si="1"/>
        <v>0</v>
      </c>
      <c r="BA31" s="95">
        <f>VLOOKUP(AU31,CENY!$B$11:$M$2025,12,FALSE)</f>
        <v>657.45060999999998</v>
      </c>
      <c r="BB31" s="95">
        <f t="shared" si="0"/>
        <v>0</v>
      </c>
      <c r="BD31" s="319">
        <f>OBJ!B75</f>
        <v>9347506</v>
      </c>
      <c r="BE31" s="21" t="str">
        <f>VLOOKUP(BD31,CENY!$B$11:$G$1054,2,FALSE)</f>
        <v>AvanY-design ALprofil Hybrid na bok 450/ strieb.</v>
      </c>
      <c r="BF31" s="22">
        <f>VLOOKUP(BD31,CENY!$B$11:$G$1054,3,FALSE)</f>
        <v>200</v>
      </c>
      <c r="BG31" s="22"/>
      <c r="BH31" s="23">
        <f>2*(W20+W22+W28+W30)</f>
        <v>0</v>
      </c>
      <c r="BI31" s="326">
        <f t="shared" si="2"/>
        <v>0</v>
      </c>
      <c r="BJ31" s="95">
        <f>VLOOKUP(BD31,CENY!$B$11:$M$2025,12,FALSE)</f>
        <v>21.111910000000002</v>
      </c>
      <c r="BK31" s="95">
        <f t="shared" si="3"/>
        <v>0</v>
      </c>
    </row>
    <row r="32" spans="2:63" ht="14.4" customHeight="1">
      <c r="B32" s="366" t="str">
        <f>verze!E201</f>
        <v>SiSy = tlumení Silent System</v>
      </c>
      <c r="AU32" s="319">
        <f>OBJ!B246</f>
        <v>9318190</v>
      </c>
      <c r="AV32" s="21" t="str">
        <f>VLOOKUP(AU32,CENY!$B$11:$G$1054,2,FALSE)</f>
        <v>Actro You(L) 400/SiSy 40kg; EB21</v>
      </c>
      <c r="AW32" s="22">
        <f>VLOOKUP(AU32,CENY!$B$11:$G$1054,3,FALSE)</f>
        <v>1</v>
      </c>
      <c r="AX32" s="362">
        <v>8</v>
      </c>
      <c r="AY32" s="23">
        <f>U20</f>
        <v>0</v>
      </c>
      <c r="AZ32" s="326">
        <f t="shared" si="1"/>
        <v>0</v>
      </c>
      <c r="BA32" s="95">
        <f>VLOOKUP(AU32,CENY!$B$11:$M$2025,12,FALSE)</f>
        <v>664.73978</v>
      </c>
      <c r="BB32" s="95">
        <f t="shared" si="0"/>
        <v>0</v>
      </c>
      <c r="BD32" s="319">
        <f>OBJ!B76</f>
        <v>9347507</v>
      </c>
      <c r="BE32" s="21" t="str">
        <f>VLOOKUP(BD32,CENY!$B$11:$G$1054,2,FALSE)</f>
        <v>AvanY-design ALprofil Hybrid na bok 500/ strieb.</v>
      </c>
      <c r="BF32" s="22">
        <f>VLOOKUP(BD32,CENY!$B$11:$G$1054,3,FALSE)</f>
        <v>200</v>
      </c>
      <c r="BG32" s="22"/>
      <c r="BH32" s="23">
        <f>2*(Y20+Y22+Y28+Y30)</f>
        <v>0</v>
      </c>
      <c r="BI32" s="326">
        <f t="shared" si="2"/>
        <v>0</v>
      </c>
      <c r="BJ32" s="95">
        <f>VLOOKUP(BD32,CENY!$B$11:$M$2025,12,FALSE)</f>
        <v>21.479700000000001</v>
      </c>
      <c r="BK32" s="95">
        <f t="shared" si="3"/>
        <v>0</v>
      </c>
    </row>
    <row r="33" spans="2:63" ht="14.4" customHeight="1">
      <c r="B33" s="366" t="str">
        <f>verze!E204</f>
        <v>P2O = otvírání bez úchytky Push to open</v>
      </c>
      <c r="AU33" s="319">
        <f>OBJ!B247</f>
        <v>9318191</v>
      </c>
      <c r="AV33" s="21" t="str">
        <f>VLOOKUP(AU33,CENY!$B$11:$G$1054,2,FALSE)</f>
        <v>Actro You(L) 450/SiSy 40kg; EB21</v>
      </c>
      <c r="AW33" s="22">
        <f>VLOOKUP(AU33,CENY!$B$11:$G$1054,3,FALSE)</f>
        <v>1</v>
      </c>
      <c r="AX33" s="362">
        <v>10</v>
      </c>
      <c r="AY33" s="23">
        <f>W20</f>
        <v>0</v>
      </c>
      <c r="AZ33" s="326">
        <f t="shared" si="1"/>
        <v>0</v>
      </c>
      <c r="BA33" s="95">
        <f>VLOOKUP(AU33,CENY!$B$11:$M$2025,12,FALSE)</f>
        <v>671.97520999999995</v>
      </c>
      <c r="BB33" s="95">
        <f t="shared" si="0"/>
        <v>0</v>
      </c>
      <c r="BD33" s="319">
        <f>OBJ!B77</f>
        <v>9347508</v>
      </c>
      <c r="BE33" s="21" t="str">
        <f>VLOOKUP(BD33,CENY!$B$11:$G$1054,2,FALSE)</f>
        <v>AvanY-design ALprofil Hybrid na bok 550/ strieb.</v>
      </c>
      <c r="BF33" s="22">
        <f>VLOOKUP(BD33,CENY!$B$11:$G$1054,3,FALSE)</f>
        <v>200</v>
      </c>
      <c r="BG33" s="22"/>
      <c r="BH33" s="23">
        <f>2*(AA20+AA22+AA28+AA30)</f>
        <v>0</v>
      </c>
      <c r="BI33" s="326">
        <f t="shared" si="2"/>
        <v>0</v>
      </c>
      <c r="BJ33" s="95">
        <f>VLOOKUP(BD33,CENY!$B$11:$M$2025,12,FALSE)</f>
        <v>21.84564</v>
      </c>
      <c r="BK33" s="95">
        <f t="shared" si="3"/>
        <v>0</v>
      </c>
    </row>
    <row r="34" spans="2:63" ht="14.4" customHeight="1">
      <c r="B34" s="366" t="str">
        <f>verze!E203</f>
        <v>P2O Silent = tlumení s otvíráním bez úchytky Push to open Silent</v>
      </c>
      <c r="AU34" s="319">
        <f>OBJ!B248</f>
        <v>9318192</v>
      </c>
      <c r="AV34" s="21" t="str">
        <f>VLOOKUP(AU34,CENY!$B$11:$G$1054,2,FALSE)</f>
        <v>Actro You(L) 500/SiSy 40kg; EB21</v>
      </c>
      <c r="AW34" s="22">
        <f>VLOOKUP(AU34,CENY!$B$11:$G$1054,3,FALSE)</f>
        <v>1</v>
      </c>
      <c r="AX34" s="362">
        <v>10</v>
      </c>
      <c r="AY34" s="23">
        <f>Y20</f>
        <v>0</v>
      </c>
      <c r="AZ34" s="326">
        <f t="shared" si="1"/>
        <v>0</v>
      </c>
      <c r="BA34" s="95">
        <f>VLOOKUP(AU34,CENY!$B$11:$M$2025,12,FALSE)</f>
        <v>164.23333</v>
      </c>
      <c r="BB34" s="95">
        <f t="shared" si="0"/>
        <v>0</v>
      </c>
      <c r="BD34" s="319">
        <f>OBJ!B78</f>
        <v>9347509</v>
      </c>
      <c r="BE34" s="21" t="str">
        <f>VLOOKUP(BD34,CENY!$B$11:$G$1054,2,FALSE)</f>
        <v>AvanY-design ALprofil Hybrid na bok 600/ strieb.</v>
      </c>
      <c r="BF34" s="22">
        <f>VLOOKUP(BD34,CENY!$B$11:$G$1054,3,FALSE)</f>
        <v>200</v>
      </c>
      <c r="BG34" s="22"/>
      <c r="BH34" s="23">
        <f>2*(AC20+AC22+AC28+AC30)</f>
        <v>0</v>
      </c>
      <c r="BI34" s="326">
        <f t="shared" si="2"/>
        <v>0</v>
      </c>
      <c r="BJ34" s="95">
        <f>VLOOKUP(BD34,CENY!$B$11:$M$2025,12,FALSE)</f>
        <v>22.79205</v>
      </c>
      <c r="BK34" s="95">
        <f t="shared" si="3"/>
        <v>0</v>
      </c>
    </row>
    <row r="35" spans="2:63" ht="14.4" customHeight="1">
      <c r="AU35" s="319">
        <f>OBJ!B249</f>
        <v>9318194</v>
      </c>
      <c r="AV35" s="21" t="str">
        <f>VLOOKUP(AU35,CENY!$B$11:$G$1054,2,FALSE)</f>
        <v>Actro You(L) 550/SiSy 40kg; EB21</v>
      </c>
      <c r="AW35" s="22">
        <f>VLOOKUP(AU35,CENY!$B$11:$G$1054,3,FALSE)</f>
        <v>1</v>
      </c>
      <c r="AX35" s="362">
        <v>10</v>
      </c>
      <c r="AY35" s="23">
        <f>AA20</f>
        <v>0</v>
      </c>
      <c r="AZ35" s="326">
        <f t="shared" si="1"/>
        <v>0</v>
      </c>
      <c r="BA35" s="95">
        <f>VLOOKUP(AU35,CENY!$B$11:$M$2025,12,FALSE)</f>
        <v>173.62268</v>
      </c>
      <c r="BB35" s="95">
        <f t="shared" si="0"/>
        <v>0</v>
      </c>
      <c r="BD35" s="319">
        <f>OBJ!B79</f>
        <v>9347510</v>
      </c>
      <c r="BE35" s="21" t="str">
        <f>VLOOKUP(BD35,CENY!$B$11:$G$1054,2,FALSE)</f>
        <v>AvanY-design ALprofil Hybrid na bok 650/ strieb.</v>
      </c>
      <c r="BF35" s="22">
        <f>VLOOKUP(BD35,CENY!$B$11:$G$1054,3,FALSE)</f>
        <v>200</v>
      </c>
      <c r="BG35" s="22"/>
      <c r="BH35" s="23">
        <f>2*AE22</f>
        <v>0</v>
      </c>
      <c r="BI35" s="326">
        <f t="shared" si="2"/>
        <v>0</v>
      </c>
      <c r="BJ35" s="95">
        <f>VLOOKUP(BD35,CENY!$B$11:$M$2025,12,FALSE)</f>
        <v>24.580449999999999</v>
      </c>
      <c r="BK35" s="95">
        <f t="shared" si="3"/>
        <v>0</v>
      </c>
    </row>
    <row r="36" spans="2:63" ht="14.4" customHeight="1">
      <c r="AU36" s="319">
        <f>OBJ!B250</f>
        <v>9318196</v>
      </c>
      <c r="AV36" s="21" t="str">
        <f>VLOOKUP(AU36,CENY!$B$11:$G$1054,2,FALSE)</f>
        <v>Actro You(L) 600/SiSy 40kg; EB21</v>
      </c>
      <c r="AW36" s="22">
        <f>VLOOKUP(AU36,CENY!$B$11:$G$1054,3,FALSE)</f>
        <v>1</v>
      </c>
      <c r="AX36" s="362">
        <v>10</v>
      </c>
      <c r="AY36" s="23">
        <f>AC20</f>
        <v>0</v>
      </c>
      <c r="AZ36" s="326">
        <f t="shared" si="1"/>
        <v>0</v>
      </c>
      <c r="BA36" s="95">
        <f>VLOOKUP(AU36,CENY!$B$11:$M$2025,12,FALSE)</f>
        <v>726.70140000000004</v>
      </c>
      <c r="BB36" s="95">
        <f t="shared" si="0"/>
        <v>0</v>
      </c>
      <c r="BD36" s="319"/>
      <c r="BE36" s="21"/>
      <c r="BF36" s="22"/>
      <c r="BG36" s="22"/>
      <c r="BH36" s="23"/>
      <c r="BI36" s="326" t="str">
        <f t="shared" si="2"/>
        <v/>
      </c>
      <c r="BJ36" s="95"/>
      <c r="BK36" s="95" t="str">
        <f t="shared" si="3"/>
        <v/>
      </c>
    </row>
    <row r="37" spans="2:63" ht="14.4" customHeight="1">
      <c r="AU37" s="319"/>
      <c r="AV37" s="21"/>
      <c r="AW37" s="22"/>
      <c r="AX37" s="22"/>
      <c r="AY37" s="23"/>
      <c r="AZ37" s="326" t="str">
        <f t="shared" si="1"/>
        <v/>
      </c>
      <c r="BA37" s="95"/>
      <c r="BB37" s="95" t="str">
        <f t="shared" si="0"/>
        <v/>
      </c>
      <c r="BD37" s="319">
        <f>OBJ!B236</f>
        <v>9318145</v>
      </c>
      <c r="BE37" s="21" t="str">
        <f>VLOOKUP(BD37,CENY!$B$11:$G$1054,2,FALSE)</f>
        <v>Actro You(S) 270/SiSy 10kg; EB21; ľavý</v>
      </c>
      <c r="BF37" s="22">
        <f>VLOOKUP(BD37,CENY!$B$11:$G$1054,3,FALSE)</f>
        <v>10</v>
      </c>
      <c r="BG37" s="22"/>
      <c r="BH37" s="23">
        <f>AY25</f>
        <v>0</v>
      </c>
      <c r="BI37" s="326">
        <f t="shared" si="2"/>
        <v>0</v>
      </c>
      <c r="BJ37" s="95">
        <f>VLOOKUP(BD37,CENY!$B$11:$M$2025,12,FALSE)</f>
        <v>298.88173999999998</v>
      </c>
      <c r="BK37" s="95">
        <f t="shared" si="3"/>
        <v>0</v>
      </c>
    </row>
    <row r="38" spans="2:63" ht="14.4" customHeight="1">
      <c r="AU38" s="319">
        <f>OBJ!B268</f>
        <v>9318215</v>
      </c>
      <c r="AV38" s="21" t="str">
        <f>VLOOKUP(AU38,CENY!$B$11:$G$1054,2,FALSE)</f>
        <v>Actro You(XL) 450/SiSy 70kg; EB21</v>
      </c>
      <c r="AW38" s="22">
        <f>VLOOKUP(AU38,CENY!$B$11:$G$1054,3,FALSE)</f>
        <v>1</v>
      </c>
      <c r="AX38" s="362">
        <v>10</v>
      </c>
      <c r="AY38" s="23">
        <f>W22</f>
        <v>0</v>
      </c>
      <c r="AZ38" s="326">
        <f t="shared" si="1"/>
        <v>0</v>
      </c>
      <c r="BA38" s="95">
        <f>VLOOKUP(AU38,CENY!$B$11:$M$2025,12,FALSE)</f>
        <v>197.37184999999999</v>
      </c>
      <c r="BB38" s="95">
        <f t="shared" si="0"/>
        <v>0</v>
      </c>
      <c r="BD38" s="319">
        <f>OBJ!B237</f>
        <v>9318146</v>
      </c>
      <c r="BE38" s="21" t="str">
        <f>VLOOKUP(BD38,CENY!$B$11:$G$1054,2,FALSE)</f>
        <v>Actro You(S) 270/SiSy 10kg; EB21; pravý</v>
      </c>
      <c r="BF38" s="22">
        <f>VLOOKUP(BD38,CENY!$B$11:$G$1054,3,FALSE)</f>
        <v>10</v>
      </c>
      <c r="BG38" s="22"/>
      <c r="BH38" s="23">
        <f>AY25</f>
        <v>0</v>
      </c>
      <c r="BI38" s="326">
        <f t="shared" si="2"/>
        <v>0</v>
      </c>
      <c r="BJ38" s="95">
        <f>VLOOKUP(BD38,CENY!$B$11:$M$2025,12,FALSE)</f>
        <v>298.88173999999998</v>
      </c>
      <c r="BK38" s="95">
        <f t="shared" si="3"/>
        <v>0</v>
      </c>
    </row>
    <row r="39" spans="2:63" ht="14.4" customHeight="1">
      <c r="AU39" s="319">
        <f>OBJ!B269</f>
        <v>9318216</v>
      </c>
      <c r="AV39" s="21" t="str">
        <f>VLOOKUP(AU39,CENY!$B$11:$G$1054,2,FALSE)</f>
        <v>Actro You(XL) 500/SiSy 70kg; EB21</v>
      </c>
      <c r="AW39" s="22">
        <f>VLOOKUP(AU39,CENY!$B$11:$G$1054,3,FALSE)</f>
        <v>1</v>
      </c>
      <c r="AX39" s="362">
        <v>10</v>
      </c>
      <c r="AY39" s="23">
        <f>Y22</f>
        <v>0</v>
      </c>
      <c r="AZ39" s="326">
        <f t="shared" si="1"/>
        <v>0</v>
      </c>
      <c r="BA39" s="95">
        <f>VLOOKUP(AU39,CENY!$B$11:$M$2025,12,FALSE)</f>
        <v>823.68502000000001</v>
      </c>
      <c r="BB39" s="95">
        <f t="shared" si="0"/>
        <v>0</v>
      </c>
      <c r="BD39" s="319">
        <f>OBJ!B238</f>
        <v>9318147</v>
      </c>
      <c r="BE39" s="21" t="str">
        <f>VLOOKUP(BD39,CENY!$B$11:$G$1054,2,FALSE)</f>
        <v>Actro You(S) 300/SiSy 10kg; EB21; ľavý</v>
      </c>
      <c r="BF39" s="22">
        <f>VLOOKUP(BD39,CENY!$B$11:$G$1054,3,FALSE)</f>
        <v>10</v>
      </c>
      <c r="BG39" s="22"/>
      <c r="BH39" s="23">
        <f>AY26</f>
        <v>0</v>
      </c>
      <c r="BI39" s="326">
        <f t="shared" si="2"/>
        <v>0</v>
      </c>
      <c r="BJ39" s="95">
        <f>VLOOKUP(BD39,CENY!$B$11:$M$2025,12,FALSE)</f>
        <v>298.88173999999998</v>
      </c>
      <c r="BK39" s="95">
        <f t="shared" si="3"/>
        <v>0</v>
      </c>
    </row>
    <row r="40" spans="2:63" ht="14.4" customHeight="1">
      <c r="AU40" s="319">
        <f>OBJ!B270</f>
        <v>9318217</v>
      </c>
      <c r="AV40" s="21" t="str">
        <f>VLOOKUP(AU40,CENY!$B$11:$G$1054,2,FALSE)</f>
        <v>Actro You(XL) 550/SiSy 70kg; EB21</v>
      </c>
      <c r="AW40" s="22">
        <f>VLOOKUP(AU40,CENY!$B$11:$G$1054,3,FALSE)</f>
        <v>1</v>
      </c>
      <c r="AX40" s="362">
        <v>10</v>
      </c>
      <c r="AY40" s="23">
        <f>AA22</f>
        <v>0</v>
      </c>
      <c r="AZ40" s="326">
        <f t="shared" si="1"/>
        <v>0</v>
      </c>
      <c r="BA40" s="95">
        <f>VLOOKUP(AU40,CENY!$B$11:$M$2025,12,FALSE)</f>
        <v>862.82307000000003</v>
      </c>
      <c r="BB40" s="95">
        <f t="shared" si="0"/>
        <v>0</v>
      </c>
      <c r="BD40" s="319">
        <f>OBJ!B239</f>
        <v>9318148</v>
      </c>
      <c r="BE40" s="21" t="str">
        <f>VLOOKUP(BD40,CENY!$B$11:$G$1054,2,FALSE)</f>
        <v>Actro You(S) 300/SiSy 10kg; EB21; pravý</v>
      </c>
      <c r="BF40" s="22">
        <f>VLOOKUP(BD40,CENY!$B$11:$G$1054,3,FALSE)</f>
        <v>10</v>
      </c>
      <c r="BG40" s="22"/>
      <c r="BH40" s="23">
        <f>AY26</f>
        <v>0</v>
      </c>
      <c r="BI40" s="326">
        <f t="shared" si="2"/>
        <v>0</v>
      </c>
      <c r="BJ40" s="95">
        <f>VLOOKUP(BD40,CENY!$B$11:$M$2025,12,FALSE)</f>
        <v>298.88173999999998</v>
      </c>
      <c r="BK40" s="95">
        <f t="shared" si="3"/>
        <v>0</v>
      </c>
    </row>
    <row r="41" spans="2:63" ht="14.4" customHeight="1">
      <c r="AU41" s="319">
        <f>OBJ!B271</f>
        <v>9318218</v>
      </c>
      <c r="AV41" s="21" t="str">
        <f>VLOOKUP(AU41,CENY!$B$11:$G$1054,2,FALSE)</f>
        <v>Actro You(XL) 600/SiSy 70kg; EB21</v>
      </c>
      <c r="AW41" s="22">
        <f>VLOOKUP(AU41,CENY!$B$11:$G$1054,3,FALSE)</f>
        <v>1</v>
      </c>
      <c r="AX41" s="362">
        <v>10</v>
      </c>
      <c r="AY41" s="23">
        <f>AC22</f>
        <v>0</v>
      </c>
      <c r="AZ41" s="326">
        <f t="shared" si="1"/>
        <v>0</v>
      </c>
      <c r="BA41" s="95">
        <f>VLOOKUP(AU41,CENY!$B$11:$M$2025,12,FALSE)</f>
        <v>941.88580999999999</v>
      </c>
      <c r="BB41" s="95">
        <f t="shared" si="0"/>
        <v>0</v>
      </c>
      <c r="BD41" s="319">
        <f>OBJ!B240</f>
        <v>9318149</v>
      </c>
      <c r="BE41" s="21" t="str">
        <f>VLOOKUP(BD41,CENY!$B$11:$G$1054,2,FALSE)</f>
        <v>Actro You(S) 350/SiSy 10kg; EB21; ľavý</v>
      </c>
      <c r="BF41" s="22">
        <f>VLOOKUP(BD41,CENY!$B$11:$G$1054,3,FALSE)</f>
        <v>10</v>
      </c>
      <c r="BG41" s="22"/>
      <c r="BH41" s="23">
        <f>AY27</f>
        <v>0</v>
      </c>
      <c r="BI41" s="326">
        <f t="shared" si="2"/>
        <v>0</v>
      </c>
      <c r="BJ41" s="95">
        <f>VLOOKUP(BD41,CENY!$B$11:$M$2025,12,FALSE)</f>
        <v>298.88173999999998</v>
      </c>
      <c r="BK41" s="95">
        <f t="shared" si="3"/>
        <v>0</v>
      </c>
    </row>
    <row r="42" spans="2:63" ht="14.4" customHeight="1">
      <c r="AU42" s="319">
        <f>OBJ!B272</f>
        <v>9318219</v>
      </c>
      <c r="AV42" s="21" t="str">
        <f>VLOOKUP(AU42,CENY!$B$11:$G$1054,2,FALSE)</f>
        <v>Actro You(XL) 650/SiSy 70kg; EB21</v>
      </c>
      <c r="AW42" s="22">
        <f>VLOOKUP(AU42,CENY!$B$11:$G$1054,3,FALSE)</f>
        <v>1</v>
      </c>
      <c r="AX42" s="362">
        <v>10</v>
      </c>
      <c r="AY42" s="23">
        <f>AE22</f>
        <v>0</v>
      </c>
      <c r="AZ42" s="326">
        <f t="shared" si="1"/>
        <v>0</v>
      </c>
      <c r="BA42" s="95">
        <f>VLOOKUP(AU42,CENY!$B$11:$M$2025,12,FALSE)</f>
        <v>977.56314999999995</v>
      </c>
      <c r="BB42" s="95">
        <f t="shared" si="0"/>
        <v>0</v>
      </c>
      <c r="BD42" s="319">
        <f>OBJ!B241</f>
        <v>9318150</v>
      </c>
      <c r="BE42" s="21" t="str">
        <f>VLOOKUP(BD42,CENY!$B$11:$G$1054,2,FALSE)</f>
        <v>Actro You(S) 350/SiSy 10kg; EB21; pravý</v>
      </c>
      <c r="BF42" s="22">
        <f>VLOOKUP(BD42,CENY!$B$11:$G$1054,3,FALSE)</f>
        <v>10</v>
      </c>
      <c r="BG42" s="22"/>
      <c r="BH42" s="23">
        <f>AY27</f>
        <v>0</v>
      </c>
      <c r="BI42" s="326">
        <f t="shared" si="2"/>
        <v>0</v>
      </c>
      <c r="BJ42" s="95">
        <f>VLOOKUP(BD42,CENY!$B$11:$M$2025,12,FALSE)</f>
        <v>298.88173999999998</v>
      </c>
      <c r="BK42" s="95">
        <f t="shared" si="3"/>
        <v>0</v>
      </c>
    </row>
    <row r="43" spans="2:63" ht="14.4" customHeight="1">
      <c r="AU43" s="319"/>
      <c r="AV43" s="21"/>
      <c r="AW43" s="22"/>
      <c r="AX43" s="22"/>
      <c r="AY43" s="23"/>
      <c r="AZ43" s="326" t="str">
        <f t="shared" si="1"/>
        <v/>
      </c>
      <c r="BA43" s="95"/>
      <c r="BB43" s="95" t="str">
        <f t="shared" si="0"/>
        <v/>
      </c>
      <c r="BD43" s="319"/>
      <c r="BE43" s="21"/>
      <c r="BF43" s="22"/>
      <c r="BG43" s="22"/>
      <c r="BH43" s="23"/>
      <c r="BI43" s="326" t="str">
        <f t="shared" si="2"/>
        <v/>
      </c>
      <c r="BJ43" s="95"/>
      <c r="BK43" s="95" t="str">
        <f t="shared" si="3"/>
        <v/>
      </c>
    </row>
    <row r="44" spans="2:63" ht="14.4" customHeight="1">
      <c r="AU44" s="319">
        <f>OBJ!B284</f>
        <v>9257890</v>
      </c>
      <c r="AV44" s="21" t="str">
        <f>VLOOKUP(AU44,CENY!$B$11:$G$1054,2,FALSE)</f>
        <v>Actro You - Push to open Silent; &lt;10kg</v>
      </c>
      <c r="AW44" s="22">
        <f>VLOOKUP(AU44,CENY!$B$11:$G$1054,3,FALSE)</f>
        <v>1</v>
      </c>
      <c r="AX44" s="22"/>
      <c r="AY44" s="23">
        <f>AN19</f>
        <v>0</v>
      </c>
      <c r="AZ44" s="326">
        <f t="shared" si="1"/>
        <v>0</v>
      </c>
      <c r="BA44" s="95">
        <f>VLOOKUP(AU44,CENY!$B$11:$M$2025,12,FALSE)</f>
        <v>481.81412999999998</v>
      </c>
      <c r="BB44" s="95">
        <f t="shared" si="0"/>
        <v>0</v>
      </c>
      <c r="BD44" s="319">
        <f>OBJ!B251</f>
        <v>9318167</v>
      </c>
      <c r="BE44" s="21" t="str">
        <f>VLOOKUP(BD44,CENY!$B$11:$G$1054,2,FALSE)</f>
        <v>Actro You(L) 270/SiSy 40kg; EB21; ľavý</v>
      </c>
      <c r="BF44" s="22">
        <f>VLOOKUP(BD44,CENY!$B$11:$G$1054,3,FALSE)</f>
        <v>10</v>
      </c>
      <c r="BG44" s="22"/>
      <c r="BH44" s="23">
        <f>AY29</f>
        <v>0</v>
      </c>
      <c r="BI44" s="326">
        <f t="shared" si="2"/>
        <v>0</v>
      </c>
      <c r="BJ44" s="95">
        <f>VLOOKUP(BD44,CENY!$B$11:$M$2025,12,FALSE)</f>
        <v>298.88173999999998</v>
      </c>
      <c r="BK44" s="95">
        <f t="shared" si="3"/>
        <v>0</v>
      </c>
    </row>
    <row r="45" spans="2:63" ht="14.4" customHeight="1">
      <c r="AU45" s="319">
        <f>OBJ!B285</f>
        <v>9257891</v>
      </c>
      <c r="AV45" s="21" t="str">
        <f>VLOOKUP(AU45,CENY!$B$11:$G$1054,2,FALSE)</f>
        <v>Actro You - Push to open Silent; 8-20kg</v>
      </c>
      <c r="AW45" s="22">
        <f>VLOOKUP(AU45,CENY!$B$11:$G$1054,3,FALSE)</f>
        <v>1</v>
      </c>
      <c r="AX45" s="22"/>
      <c r="AY45" s="23">
        <f>AN20</f>
        <v>0</v>
      </c>
      <c r="AZ45" s="326">
        <f t="shared" si="1"/>
        <v>0</v>
      </c>
      <c r="BA45" s="95">
        <f>VLOOKUP(AU45,CENY!$B$11:$M$2025,12,FALSE)</f>
        <v>481.81412999999998</v>
      </c>
      <c r="BB45" s="95">
        <f t="shared" si="0"/>
        <v>0</v>
      </c>
      <c r="BD45" s="319">
        <f>OBJ!B252</f>
        <v>9318170</v>
      </c>
      <c r="BE45" s="21" t="str">
        <f>VLOOKUP(BD45,CENY!$B$11:$G$1054,2,FALSE)</f>
        <v>Actro You(L) 270/SiSy 40kg; EB21; pravý</v>
      </c>
      <c r="BF45" s="22">
        <f>VLOOKUP(BD45,CENY!$B$11:$G$1054,3,FALSE)</f>
        <v>10</v>
      </c>
      <c r="BG45" s="22"/>
      <c r="BH45" s="23">
        <f>AY29</f>
        <v>0</v>
      </c>
      <c r="BI45" s="326">
        <f t="shared" si="2"/>
        <v>0</v>
      </c>
      <c r="BJ45" s="95">
        <f>VLOOKUP(BD45,CENY!$B$11:$M$2025,12,FALSE)</f>
        <v>298.88173999999998</v>
      </c>
      <c r="BK45" s="95">
        <f t="shared" si="3"/>
        <v>0</v>
      </c>
    </row>
    <row r="46" spans="2:63" ht="14.4" customHeight="1">
      <c r="AU46" s="319">
        <f>OBJ!B286</f>
        <v>9257892</v>
      </c>
      <c r="AV46" s="21" t="str">
        <f>VLOOKUP(AU46,CENY!$B$11:$G$1054,2,FALSE)</f>
        <v>Actro You - Push to open Silent; 10-40kg</v>
      </c>
      <c r="AW46" s="22">
        <f>VLOOKUP(AU46,CENY!$B$11:$G$1054,3,FALSE)</f>
        <v>1</v>
      </c>
      <c r="AX46" s="22"/>
      <c r="AY46" s="23">
        <f>AN21</f>
        <v>0</v>
      </c>
      <c r="AZ46" s="326">
        <f t="shared" si="1"/>
        <v>0</v>
      </c>
      <c r="BA46" s="95">
        <f>VLOOKUP(AU46,CENY!$B$11:$M$2025,12,FALSE)</f>
        <v>481.81412999999998</v>
      </c>
      <c r="BB46" s="95">
        <f t="shared" si="0"/>
        <v>0</v>
      </c>
      <c r="BD46" s="319">
        <f>OBJ!B253</f>
        <v>9318171</v>
      </c>
      <c r="BE46" s="21" t="str">
        <f>VLOOKUP(BD46,CENY!$B$11:$G$1054,2,FALSE)</f>
        <v>Actro You(L) 300/SiSy 40kg; EB21; ľavý</v>
      </c>
      <c r="BF46" s="22">
        <f>VLOOKUP(BD46,CENY!$B$11:$G$1054,3,FALSE)</f>
        <v>10</v>
      </c>
      <c r="BG46" s="22"/>
      <c r="BH46" s="23">
        <f>AY30</f>
        <v>0</v>
      </c>
      <c r="BI46" s="326">
        <f t="shared" si="2"/>
        <v>0</v>
      </c>
      <c r="BJ46" s="95">
        <f>VLOOKUP(BD46,CENY!$B$11:$M$2025,12,FALSE)</f>
        <v>298.88173999999998</v>
      </c>
      <c r="BK46" s="95">
        <f t="shared" si="3"/>
        <v>0</v>
      </c>
    </row>
    <row r="47" spans="2:63" ht="14.4" customHeight="1">
      <c r="AU47" s="319">
        <f>OBJ!B287</f>
        <v>9257893</v>
      </c>
      <c r="AV47" s="21" t="str">
        <f>VLOOKUP(AU47,CENY!$B$11:$G$1054,2,FALSE)</f>
        <v>Actro You - Push to open Silent; 20-70kg</v>
      </c>
      <c r="AW47" s="22">
        <f>VLOOKUP(AU47,CENY!$B$11:$G$1054,3,FALSE)</f>
        <v>1</v>
      </c>
      <c r="AX47" s="22"/>
      <c r="AY47" s="23">
        <f>AN22</f>
        <v>0</v>
      </c>
      <c r="AZ47" s="326">
        <f t="shared" si="1"/>
        <v>0</v>
      </c>
      <c r="BA47" s="95">
        <f>VLOOKUP(AU47,CENY!$B$11:$M$2025,12,FALSE)</f>
        <v>481.81412999999998</v>
      </c>
      <c r="BB47" s="95">
        <f t="shared" si="0"/>
        <v>0</v>
      </c>
      <c r="BD47" s="319">
        <f>OBJ!B254</f>
        <v>9318172</v>
      </c>
      <c r="BE47" s="21" t="str">
        <f>VLOOKUP(BD47,CENY!$B$11:$G$1054,2,FALSE)</f>
        <v>Actro You(L) 300/SiSy 40kg; EB21; pravý</v>
      </c>
      <c r="BF47" s="22">
        <f>VLOOKUP(BD47,CENY!$B$11:$G$1054,3,FALSE)</f>
        <v>10</v>
      </c>
      <c r="BG47" s="22"/>
      <c r="BH47" s="23">
        <f>AY30</f>
        <v>0</v>
      </c>
      <c r="BI47" s="326">
        <f t="shared" si="2"/>
        <v>0</v>
      </c>
      <c r="BJ47" s="95">
        <f>VLOOKUP(BD47,CENY!$B$11:$M$2025,12,FALSE)</f>
        <v>298.88173999999998</v>
      </c>
      <c r="BK47" s="95">
        <f t="shared" si="3"/>
        <v>0</v>
      </c>
    </row>
    <row r="48" spans="2:63" ht="14.4" customHeight="1">
      <c r="AU48" s="319">
        <f>OBJ!B288</f>
        <v>9236718</v>
      </c>
      <c r="AV48" s="21" t="str">
        <f>VLOOKUP(AU48,CENY!$B$11:$G$1054,2,FALSE)</f>
        <v>Push to open Synchro / tyč 2.000 mm</v>
      </c>
      <c r="AW48" s="22">
        <f>VLOOKUP(AU48,CENY!$B$11:$G$1054,3,FALSE)</f>
        <v>100</v>
      </c>
      <c r="AX48" s="22"/>
      <c r="AY48" s="23">
        <f>SUM(AN19:AO22)+SUM(AN27:AO29)+SUM(O30:AD30)</f>
        <v>0</v>
      </c>
      <c r="AZ48" s="326">
        <f t="shared" si="1"/>
        <v>0</v>
      </c>
      <c r="BA48" s="95">
        <f>VLOOKUP(AU48,CENY!$B$11:$M$2025,12,FALSE)</f>
        <v>182.03933000000001</v>
      </c>
      <c r="BB48" s="95">
        <f t="shared" si="0"/>
        <v>0</v>
      </c>
      <c r="BD48" s="319">
        <f>OBJ!B255</f>
        <v>9318173</v>
      </c>
      <c r="BE48" s="21" t="str">
        <f>VLOOKUP(BD48,CENY!$B$11:$G$1054,2,FALSE)</f>
        <v>Actro You(L) 350/SiSy 40kg; EB21; ľavý</v>
      </c>
      <c r="BF48" s="22">
        <f>VLOOKUP(BD48,CENY!$B$11:$G$1054,3,FALSE)</f>
        <v>10</v>
      </c>
      <c r="BG48" s="22"/>
      <c r="BH48" s="23">
        <f>AY31</f>
        <v>0</v>
      </c>
      <c r="BI48" s="326">
        <f t="shared" si="2"/>
        <v>0</v>
      </c>
      <c r="BJ48" s="95">
        <f>VLOOKUP(BD48,CENY!$B$11:$M$2025,12,FALSE)</f>
        <v>298.88173999999998</v>
      </c>
      <c r="BK48" s="95">
        <f t="shared" si="3"/>
        <v>0</v>
      </c>
    </row>
    <row r="49" spans="47:63" ht="14.4" customHeight="1">
      <c r="AU49" s="319"/>
      <c r="AV49" s="21"/>
      <c r="AW49" s="22"/>
      <c r="AX49" s="22"/>
      <c r="AY49" s="23"/>
      <c r="AZ49" s="326" t="str">
        <f t="shared" si="1"/>
        <v/>
      </c>
      <c r="BA49" s="95"/>
      <c r="BB49" s="95" t="str">
        <f t="shared" si="0"/>
        <v/>
      </c>
      <c r="BD49" s="319">
        <f>OBJ!B256</f>
        <v>9318174</v>
      </c>
      <c r="BE49" s="21" t="str">
        <f>VLOOKUP(BD49,CENY!$B$11:$G$1054,2,FALSE)</f>
        <v>Actro You(L) 350/SiSy 40kg; EB21; pravý</v>
      </c>
      <c r="BF49" s="22">
        <f>VLOOKUP(BD49,CENY!$B$11:$G$1054,3,FALSE)</f>
        <v>10</v>
      </c>
      <c r="BG49" s="22"/>
      <c r="BH49" s="23">
        <f>AY31</f>
        <v>0</v>
      </c>
      <c r="BI49" s="326">
        <f t="shared" si="2"/>
        <v>0</v>
      </c>
      <c r="BJ49" s="95">
        <f>VLOOKUP(BD49,CENY!$B$11:$M$2025,12,FALSE)</f>
        <v>298.88173999999998</v>
      </c>
      <c r="BK49" s="95">
        <f t="shared" si="3"/>
        <v>0</v>
      </c>
    </row>
    <row r="50" spans="47:63" ht="14.4" customHeight="1">
      <c r="AU50" s="319">
        <f>OBJ!B294</f>
        <v>9256953</v>
      </c>
      <c r="AV50" s="21" t="str">
        <f>VLOOKUP(AU50,CENY!$B$11:$G$1054,2,FALSE)</f>
        <v>Quadro You(S) 270/SiSy 10kg; EB21</v>
      </c>
      <c r="AW50" s="22">
        <f>VLOOKUP(AU50,CENY!$B$11:$G$1054,3,FALSE)</f>
        <v>1</v>
      </c>
      <c r="AX50" s="362">
        <v>4</v>
      </c>
      <c r="AY50" s="23">
        <f>O27</f>
        <v>0</v>
      </c>
      <c r="AZ50" s="326">
        <f t="shared" si="1"/>
        <v>0</v>
      </c>
      <c r="BA50" s="95">
        <f>VLOOKUP(AU50,CENY!$B$11:$M$2025,12,FALSE)</f>
        <v>478.60127999999997</v>
      </c>
      <c r="BB50" s="95">
        <f t="shared" si="0"/>
        <v>0</v>
      </c>
      <c r="BD50" s="319">
        <f>OBJ!B257</f>
        <v>9318175</v>
      </c>
      <c r="BE50" s="21" t="str">
        <f>VLOOKUP(BD50,CENY!$B$11:$G$1054,2,FALSE)</f>
        <v>Actro You(L) 400/SiSy 40kg; EB21; ľavý</v>
      </c>
      <c r="BF50" s="22">
        <f>VLOOKUP(BD50,CENY!$B$11:$G$1054,3,FALSE)</f>
        <v>10</v>
      </c>
      <c r="BG50" s="22"/>
      <c r="BH50" s="23">
        <f>AY32</f>
        <v>0</v>
      </c>
      <c r="BI50" s="326">
        <f t="shared" si="2"/>
        <v>0</v>
      </c>
      <c r="BJ50" s="95">
        <f>VLOOKUP(BD50,CENY!$B$11:$M$2025,12,FALSE)</f>
        <v>302.69770999999997</v>
      </c>
      <c r="BK50" s="95">
        <f t="shared" si="3"/>
        <v>0</v>
      </c>
    </row>
    <row r="51" spans="47:63" ht="14.4" customHeight="1">
      <c r="AU51" s="319">
        <f>OBJ!B295</f>
        <v>9256954</v>
      </c>
      <c r="AV51" s="21" t="str">
        <f>VLOOKUP(AU51,CENY!$B$11:$G$1054,2,FALSE)</f>
        <v>Quadro You(S) 300/SiSy 10kg; EB21</v>
      </c>
      <c r="AW51" s="22">
        <f>VLOOKUP(AU51,CENY!$B$11:$G$1054,3,FALSE)</f>
        <v>1</v>
      </c>
      <c r="AX51" s="362">
        <v>4</v>
      </c>
      <c r="AY51" s="23">
        <f>Q27</f>
        <v>0</v>
      </c>
      <c r="AZ51" s="326">
        <f t="shared" si="1"/>
        <v>0</v>
      </c>
      <c r="BA51" s="95">
        <f>VLOOKUP(AU51,CENY!$B$11:$M$2025,12,FALSE)</f>
        <v>479.57344999999998</v>
      </c>
      <c r="BB51" s="95">
        <f t="shared" si="0"/>
        <v>0</v>
      </c>
      <c r="BD51" s="319">
        <f>OBJ!B258</f>
        <v>9318176</v>
      </c>
      <c r="BE51" s="21" t="str">
        <f>VLOOKUP(BD51,CENY!$B$11:$G$1054,2,FALSE)</f>
        <v>Actro You(L) 400/SiSy 40kg; EB21; pravý</v>
      </c>
      <c r="BF51" s="22">
        <f>VLOOKUP(BD51,CENY!$B$11:$G$1054,3,FALSE)</f>
        <v>10</v>
      </c>
      <c r="BG51" s="22"/>
      <c r="BH51" s="23">
        <f>AY32</f>
        <v>0</v>
      </c>
      <c r="BI51" s="326">
        <f t="shared" si="2"/>
        <v>0</v>
      </c>
      <c r="BJ51" s="95">
        <f>VLOOKUP(BD51,CENY!$B$11:$M$2025,12,FALSE)</f>
        <v>302.69770999999997</v>
      </c>
      <c r="BK51" s="95">
        <f t="shared" si="3"/>
        <v>0</v>
      </c>
    </row>
    <row r="52" spans="47:63" ht="14.4" customHeight="1">
      <c r="AU52" s="319">
        <f>OBJ!B296</f>
        <v>9256956</v>
      </c>
      <c r="AV52" s="21" t="str">
        <f>VLOOKUP(AU52,CENY!$B$11:$G$1054,2,FALSE)</f>
        <v>Quadro You(S) 350/SiSy 10kg; EB21</v>
      </c>
      <c r="AW52" s="22">
        <f>VLOOKUP(AU52,CENY!$B$11:$G$1054,3,FALSE)</f>
        <v>1</v>
      </c>
      <c r="AX52" s="362">
        <v>4</v>
      </c>
      <c r="AY52" s="23">
        <f>S27</f>
        <v>0</v>
      </c>
      <c r="AZ52" s="326">
        <f t="shared" si="1"/>
        <v>0</v>
      </c>
      <c r="BA52" s="95">
        <f>VLOOKUP(AU52,CENY!$B$11:$M$2025,12,FALSE)</f>
        <v>489.27857</v>
      </c>
      <c r="BB52" s="95">
        <f t="shared" si="0"/>
        <v>0</v>
      </c>
      <c r="BD52" s="319">
        <f>OBJ!B259</f>
        <v>9318177</v>
      </c>
      <c r="BE52" s="21" t="str">
        <f>VLOOKUP(BD52,CENY!$B$11:$G$1054,2,FALSE)</f>
        <v>Actro You(L) 450/SiSy 40kg; EB21; ľavý</v>
      </c>
      <c r="BF52" s="22">
        <f>VLOOKUP(BD52,CENY!$B$11:$G$1054,3,FALSE)</f>
        <v>10</v>
      </c>
      <c r="BG52" s="22"/>
      <c r="BH52" s="23">
        <f>AY33</f>
        <v>0</v>
      </c>
      <c r="BI52" s="326">
        <f t="shared" si="2"/>
        <v>0</v>
      </c>
      <c r="BJ52" s="95">
        <f>VLOOKUP(BD52,CENY!$B$11:$M$2025,12,FALSE)</f>
        <v>298.33073999999999</v>
      </c>
      <c r="BK52" s="95">
        <f t="shared" si="3"/>
        <v>0</v>
      </c>
    </row>
    <row r="53" spans="47:63" ht="14.4" customHeight="1">
      <c r="AU53" s="319"/>
      <c r="AV53" s="21"/>
      <c r="AW53" s="22"/>
      <c r="AX53" s="22"/>
      <c r="AY53" s="23"/>
      <c r="AZ53" s="326" t="str">
        <f t="shared" si="1"/>
        <v/>
      </c>
      <c r="BA53" s="95"/>
      <c r="BB53" s="95" t="str">
        <f t="shared" si="0"/>
        <v/>
      </c>
      <c r="BD53" s="319">
        <f>OBJ!B260</f>
        <v>9318178</v>
      </c>
      <c r="BE53" s="21" t="str">
        <f>VLOOKUP(BD53,CENY!$B$11:$G$1054,2,FALSE)</f>
        <v>Actro You(L) 450/SiSy 40kg; EB21; pravý</v>
      </c>
      <c r="BF53" s="22">
        <f>VLOOKUP(BD53,CENY!$B$11:$G$1054,3,FALSE)</f>
        <v>10</v>
      </c>
      <c r="BG53" s="22"/>
      <c r="BH53" s="23">
        <f>AY33</f>
        <v>0</v>
      </c>
      <c r="BI53" s="326">
        <f t="shared" si="2"/>
        <v>0</v>
      </c>
      <c r="BJ53" s="95">
        <f>VLOOKUP(BD53,CENY!$B$11:$M$2025,12,FALSE)</f>
        <v>298.33073999999999</v>
      </c>
      <c r="BK53" s="95">
        <f t="shared" si="3"/>
        <v>0</v>
      </c>
    </row>
    <row r="54" spans="47:63" ht="14.4" customHeight="1">
      <c r="AU54" s="319">
        <f>OBJ!B304</f>
        <v>9256883</v>
      </c>
      <c r="AV54" s="21" t="str">
        <f>VLOOKUP(AU54,CENY!$B$11:$G$1054,2,FALSE)</f>
        <v>Quadro You(M) 270/SiSy 20kg; EB21</v>
      </c>
      <c r="AW54" s="22">
        <f>VLOOKUP(AU54,CENY!$B$11:$G$1054,3,FALSE)</f>
        <v>1</v>
      </c>
      <c r="AX54" s="362">
        <v>8</v>
      </c>
      <c r="AY54" s="23">
        <f>O28</f>
        <v>0</v>
      </c>
      <c r="AZ54" s="326">
        <f t="shared" si="1"/>
        <v>0</v>
      </c>
      <c r="BA54" s="95">
        <f>VLOOKUP(AU54,CENY!$B$11:$M$2025,12,FALSE)</f>
        <v>478.60127999999997</v>
      </c>
      <c r="BB54" s="95">
        <f t="shared" si="0"/>
        <v>0</v>
      </c>
      <c r="BD54" s="319">
        <f>OBJ!B261</f>
        <v>9318179</v>
      </c>
      <c r="BE54" s="21" t="str">
        <f>VLOOKUP(BD54,CENY!$B$11:$G$1054,2,FALSE)</f>
        <v>Actro You(L) 500/SiSy 40kg; EB21; ľavý</v>
      </c>
      <c r="BF54" s="22">
        <f>VLOOKUP(BD54,CENY!$B$11:$G$1054,3,FALSE)</f>
        <v>10</v>
      </c>
      <c r="BG54" s="22"/>
      <c r="BH54" s="23">
        <f>AY34</f>
        <v>0</v>
      </c>
      <c r="BI54" s="326">
        <f t="shared" si="2"/>
        <v>0</v>
      </c>
      <c r="BJ54" s="95">
        <f>VLOOKUP(BD54,CENY!$B$11:$M$2025,12,FALSE)</f>
        <v>296.00905</v>
      </c>
      <c r="BK54" s="95">
        <f t="shared" si="3"/>
        <v>0</v>
      </c>
    </row>
    <row r="55" spans="47:63" ht="14.4" customHeight="1">
      <c r="AU55" s="319">
        <f>OBJ!B305</f>
        <v>9256884</v>
      </c>
      <c r="AV55" s="21" t="str">
        <f>VLOOKUP(AU55,CENY!$B$11:$G$1054,2,FALSE)</f>
        <v>Quadro You(M) 300/SiSy 20kg; EB21</v>
      </c>
      <c r="AW55" s="22">
        <f>VLOOKUP(AU55,CENY!$B$11:$G$1054,3,FALSE)</f>
        <v>1</v>
      </c>
      <c r="AX55" s="362">
        <v>8</v>
      </c>
      <c r="AY55" s="23">
        <f>Q28</f>
        <v>0</v>
      </c>
      <c r="AZ55" s="326">
        <f t="shared" si="1"/>
        <v>0</v>
      </c>
      <c r="BA55" s="95">
        <f>VLOOKUP(AU55,CENY!$B$11:$M$2025,12,FALSE)</f>
        <v>479.57344999999998</v>
      </c>
      <c r="BB55" s="95">
        <f t="shared" si="0"/>
        <v>0</v>
      </c>
      <c r="BD55" s="319">
        <f>OBJ!B262</f>
        <v>9318180</v>
      </c>
      <c r="BE55" s="21" t="str">
        <f>VLOOKUP(BD55,CENY!$B$11:$G$1054,2,FALSE)</f>
        <v>Actro You(L) 500/SiSy 40kg; EB21; pravý</v>
      </c>
      <c r="BF55" s="22">
        <f>VLOOKUP(BD55,CENY!$B$11:$G$1054,3,FALSE)</f>
        <v>10</v>
      </c>
      <c r="BG55" s="22"/>
      <c r="BH55" s="23">
        <f>AY34</f>
        <v>0</v>
      </c>
      <c r="BI55" s="326">
        <f t="shared" si="2"/>
        <v>0</v>
      </c>
      <c r="BJ55" s="95">
        <f>VLOOKUP(BD55,CENY!$B$11:$M$2025,12,FALSE)</f>
        <v>296.00905</v>
      </c>
      <c r="BK55" s="95">
        <f t="shared" si="3"/>
        <v>0</v>
      </c>
    </row>
    <row r="56" spans="47:63" ht="14.4" customHeight="1">
      <c r="AU56" s="319">
        <f>OBJ!B306</f>
        <v>9256886</v>
      </c>
      <c r="AV56" s="21" t="str">
        <f>VLOOKUP(AU56,CENY!$B$11:$G$1054,2,FALSE)</f>
        <v>Quadro You(M) 350/SiSy 25kg; EB21</v>
      </c>
      <c r="AW56" s="22">
        <f>VLOOKUP(AU56,CENY!$B$11:$G$1054,3,FALSE)</f>
        <v>1</v>
      </c>
      <c r="AX56" s="362">
        <v>8</v>
      </c>
      <c r="AY56" s="23">
        <f>S28</f>
        <v>0</v>
      </c>
      <c r="AZ56" s="326">
        <f t="shared" si="1"/>
        <v>0</v>
      </c>
      <c r="BA56" s="95">
        <f>VLOOKUP(AU56,CENY!$B$11:$M$2025,12,FALSE)</f>
        <v>489.27857</v>
      </c>
      <c r="BB56" s="95">
        <f t="shared" si="0"/>
        <v>0</v>
      </c>
      <c r="BD56" s="319">
        <f>OBJ!B263</f>
        <v>9318181</v>
      </c>
      <c r="BE56" s="21" t="str">
        <f>VLOOKUP(BD56,CENY!$B$11:$G$1054,2,FALSE)</f>
        <v>Actro You(L) 550/SiSy 40kg; EB21; ľavý</v>
      </c>
      <c r="BF56" s="22">
        <f>VLOOKUP(BD56,CENY!$B$11:$G$1054,3,FALSE)</f>
        <v>10</v>
      </c>
      <c r="BG56" s="22"/>
      <c r="BH56" s="23">
        <f>AY35</f>
        <v>0</v>
      </c>
      <c r="BI56" s="326">
        <f t="shared" si="2"/>
        <v>0</v>
      </c>
      <c r="BJ56" s="95">
        <f>VLOOKUP(BD56,CENY!$B$11:$M$2025,12,FALSE)</f>
        <v>321.83461999999997</v>
      </c>
      <c r="BK56" s="95">
        <f t="shared" si="3"/>
        <v>0</v>
      </c>
    </row>
    <row r="57" spans="47:63" ht="14.4" customHeight="1">
      <c r="AU57" s="319">
        <f>OBJ!B307</f>
        <v>9256888</v>
      </c>
      <c r="AV57" s="21" t="str">
        <f>VLOOKUP(AU57,CENY!$B$11:$G$1054,2,FALSE)</f>
        <v>Quadro You(M) 400/SiSy 30kg; EB21</v>
      </c>
      <c r="AW57" s="22">
        <f>VLOOKUP(AU57,CENY!$B$11:$G$1054,3,FALSE)</f>
        <v>1</v>
      </c>
      <c r="AX57" s="362">
        <v>8</v>
      </c>
      <c r="AY57" s="23">
        <f>U28</f>
        <v>0</v>
      </c>
      <c r="AZ57" s="326">
        <f t="shared" si="1"/>
        <v>0</v>
      </c>
      <c r="BA57" s="95">
        <f>VLOOKUP(AU57,CENY!$B$11:$M$2025,12,FALSE)</f>
        <v>498.97861999999998</v>
      </c>
      <c r="BB57" s="95">
        <f t="shared" si="0"/>
        <v>0</v>
      </c>
      <c r="BD57" s="319">
        <f>OBJ!B264</f>
        <v>9318182</v>
      </c>
      <c r="BE57" s="21" t="str">
        <f>VLOOKUP(BD57,CENY!$B$11:$G$1054,2,FALSE)</f>
        <v>Actro You(L) 550/SiSy 40kg; EB21; pravý</v>
      </c>
      <c r="BF57" s="22">
        <f>VLOOKUP(BD57,CENY!$B$11:$G$1054,3,FALSE)</f>
        <v>10</v>
      </c>
      <c r="BG57" s="22"/>
      <c r="BH57" s="23">
        <f>AY35</f>
        <v>0</v>
      </c>
      <c r="BI57" s="326">
        <f t="shared" si="2"/>
        <v>0</v>
      </c>
      <c r="BJ57" s="95">
        <f>VLOOKUP(BD57,CENY!$B$11:$M$2025,12,FALSE)</f>
        <v>321.83461999999997</v>
      </c>
      <c r="BK57" s="95">
        <f t="shared" si="3"/>
        <v>0</v>
      </c>
    </row>
    <row r="58" spans="47:63" ht="14.4" customHeight="1">
      <c r="AU58" s="319">
        <f>OBJ!B308</f>
        <v>9256890</v>
      </c>
      <c r="AV58" s="21" t="str">
        <f>VLOOKUP(AU58,CENY!$B$11:$G$1054,2,FALSE)</f>
        <v>Quadro You(M) 450/SiSy 30kg; EB21</v>
      </c>
      <c r="AW58" s="22">
        <f>VLOOKUP(AU58,CENY!$B$11:$G$1054,3,FALSE)</f>
        <v>1</v>
      </c>
      <c r="AX58" s="362">
        <v>8</v>
      </c>
      <c r="AY58" s="23">
        <f>W28</f>
        <v>0</v>
      </c>
      <c r="AZ58" s="326">
        <f t="shared" si="1"/>
        <v>0</v>
      </c>
      <c r="BA58" s="95">
        <f>VLOOKUP(AU58,CENY!$B$11:$M$2025,12,FALSE)</f>
        <v>122.98869999999999</v>
      </c>
      <c r="BB58" s="95">
        <f t="shared" si="0"/>
        <v>0</v>
      </c>
      <c r="BD58" s="319">
        <f>OBJ!B265</f>
        <v>9318183</v>
      </c>
      <c r="BE58" s="21" t="str">
        <f>VLOOKUP(BD58,CENY!$B$11:$G$1054,2,FALSE)</f>
        <v>Actro You(L) 600/SiSy 40kg; EB21; ľavý</v>
      </c>
      <c r="BF58" s="22">
        <f>VLOOKUP(BD58,CENY!$B$11:$G$1054,3,FALSE)</f>
        <v>10</v>
      </c>
      <c r="BG58" s="22"/>
      <c r="BH58" s="23">
        <f>AY36</f>
        <v>0</v>
      </c>
      <c r="BI58" s="326">
        <f t="shared" si="2"/>
        <v>0</v>
      </c>
      <c r="BJ58" s="95">
        <f>VLOOKUP(BD58,CENY!$B$11:$M$2025,12,FALSE)</f>
        <v>326.21229</v>
      </c>
      <c r="BK58" s="95">
        <f t="shared" si="3"/>
        <v>0</v>
      </c>
    </row>
    <row r="59" spans="47:63" ht="14.4" customHeight="1">
      <c r="AU59" s="319">
        <f>OBJ!B309</f>
        <v>9256892</v>
      </c>
      <c r="AV59" s="21" t="str">
        <f>VLOOKUP(AU59,CENY!$B$11:$G$1054,2,FALSE)</f>
        <v>Quadro You(M) 500/SiSy 30kg; EB21</v>
      </c>
      <c r="AW59" s="22">
        <f>VLOOKUP(AU59,CENY!$B$11:$G$1054,3,FALSE)</f>
        <v>1</v>
      </c>
      <c r="AX59" s="362">
        <v>8</v>
      </c>
      <c r="AY59" s="23">
        <f>Y28</f>
        <v>0</v>
      </c>
      <c r="AZ59" s="326">
        <f t="shared" si="1"/>
        <v>0</v>
      </c>
      <c r="BA59" s="95">
        <f>VLOOKUP(AU59,CENY!$B$11:$M$2025,12,FALSE)</f>
        <v>504.59701000000001</v>
      </c>
      <c r="BB59" s="95">
        <f t="shared" si="0"/>
        <v>0</v>
      </c>
      <c r="BD59" s="319">
        <f>OBJ!B266</f>
        <v>9318184</v>
      </c>
      <c r="BE59" s="21" t="str">
        <f>VLOOKUP(BD59,CENY!$B$11:$G$1054,2,FALSE)</f>
        <v>Actro You(L) 600/SiSy 40kg; EB21; pravý</v>
      </c>
      <c r="BF59" s="22">
        <f>VLOOKUP(BD59,CENY!$B$11:$G$1054,3,FALSE)</f>
        <v>10</v>
      </c>
      <c r="BG59" s="22"/>
      <c r="BH59" s="23">
        <f>AY36</f>
        <v>0</v>
      </c>
      <c r="BI59" s="326">
        <f t="shared" si="2"/>
        <v>0</v>
      </c>
      <c r="BJ59" s="95">
        <f>VLOOKUP(BD59,CENY!$B$11:$M$2025,12,FALSE)</f>
        <v>326.21229</v>
      </c>
      <c r="BK59" s="95">
        <f t="shared" si="3"/>
        <v>0</v>
      </c>
    </row>
    <row r="60" spans="47:63" ht="14.4" customHeight="1">
      <c r="AU60" s="319">
        <f>OBJ!B310</f>
        <v>9256894</v>
      </c>
      <c r="AV60" s="21" t="str">
        <f>VLOOKUP(AU60,CENY!$B$11:$G$1054,2,FALSE)</f>
        <v>Quadro You(M) 550/SiSy 30kg; EB21</v>
      </c>
      <c r="AW60" s="22">
        <f>VLOOKUP(AU60,CENY!$B$11:$G$1054,3,FALSE)</f>
        <v>1</v>
      </c>
      <c r="AX60" s="362">
        <v>8</v>
      </c>
      <c r="AY60" s="23">
        <f>AA28</f>
        <v>0</v>
      </c>
      <c r="AZ60" s="326">
        <f t="shared" si="1"/>
        <v>0</v>
      </c>
      <c r="BA60" s="95">
        <f>VLOOKUP(AU60,CENY!$B$11:$M$2025,12,FALSE)</f>
        <v>127.68105</v>
      </c>
      <c r="BB60" s="95">
        <f t="shared" si="0"/>
        <v>0</v>
      </c>
      <c r="BD60" s="319"/>
      <c r="BE60" s="21"/>
      <c r="BF60" s="22"/>
      <c r="BG60" s="22"/>
      <c r="BH60" s="23"/>
      <c r="BI60" s="326" t="str">
        <f t="shared" si="2"/>
        <v/>
      </c>
      <c r="BJ60" s="95"/>
      <c r="BK60" s="95" t="str">
        <f t="shared" si="3"/>
        <v/>
      </c>
    </row>
    <row r="61" spans="47:63" ht="14.4" customHeight="1">
      <c r="AU61" s="319">
        <f>OBJ!B311</f>
        <v>9256896</v>
      </c>
      <c r="AV61" s="21" t="str">
        <f>VLOOKUP(AU61,CENY!$B$11:$G$1054,2,FALSE)</f>
        <v>Quadro You(M) 600/SiSy 25kg; EB21</v>
      </c>
      <c r="AW61" s="22">
        <f>VLOOKUP(AU61,CENY!$B$11:$G$1054,3,FALSE)</f>
        <v>1</v>
      </c>
      <c r="AX61" s="362">
        <v>8</v>
      </c>
      <c r="AY61" s="23">
        <f>AC28</f>
        <v>0</v>
      </c>
      <c r="AZ61" s="326">
        <f t="shared" si="1"/>
        <v>0</v>
      </c>
      <c r="BA61" s="95">
        <f>VLOOKUP(AU61,CENY!$B$11:$M$2025,12,FALSE)</f>
        <v>537.79395</v>
      </c>
      <c r="BB61" s="95">
        <f t="shared" si="0"/>
        <v>0</v>
      </c>
      <c r="BD61" s="319">
        <f>OBJ!B273</f>
        <v>9318198</v>
      </c>
      <c r="BE61" s="21" t="str">
        <f>VLOOKUP(BD61,CENY!$B$11:$G$1054,2,FALSE)</f>
        <v>Actro You(XL) 450/SiSy 70kg; EB21; ľavý</v>
      </c>
      <c r="BF61" s="22">
        <f>VLOOKUP(BD61,CENY!$B$11:$G$1054,3,FALSE)</f>
        <v>10</v>
      </c>
      <c r="BG61" s="22"/>
      <c r="BH61" s="23">
        <f>AY38</f>
        <v>0</v>
      </c>
      <c r="BI61" s="326">
        <f t="shared" si="2"/>
        <v>0</v>
      </c>
      <c r="BJ61" s="95">
        <f>VLOOKUP(BD61,CENY!$B$11:$M$2025,12,FALSE)</f>
        <v>368.62277</v>
      </c>
      <c r="BK61" s="95">
        <f t="shared" si="3"/>
        <v>0</v>
      </c>
    </row>
    <row r="62" spans="47:63" ht="14.4" customHeight="1">
      <c r="AU62" s="319"/>
      <c r="AV62" s="21"/>
      <c r="AW62" s="22"/>
      <c r="AX62" s="22"/>
      <c r="AY62" s="23"/>
      <c r="AZ62" s="326" t="str">
        <f t="shared" si="1"/>
        <v/>
      </c>
      <c r="BA62" s="95"/>
      <c r="BB62" s="95" t="str">
        <f t="shared" si="0"/>
        <v/>
      </c>
      <c r="BD62" s="319">
        <f>OBJ!B274</f>
        <v>9318199</v>
      </c>
      <c r="BE62" s="21" t="str">
        <f>VLOOKUP(BD62,CENY!$B$11:$G$1054,2,FALSE)</f>
        <v>Actro You(XL) 450/SiSy 70kg; EB21; pravý</v>
      </c>
      <c r="BF62" s="22">
        <f>VLOOKUP(BD62,CENY!$B$11:$G$1054,3,FALSE)</f>
        <v>10</v>
      </c>
      <c r="BG62" s="22"/>
      <c r="BH62" s="23">
        <f>AY38</f>
        <v>0</v>
      </c>
      <c r="BI62" s="326">
        <f t="shared" si="2"/>
        <v>0</v>
      </c>
      <c r="BJ62" s="95">
        <f>VLOOKUP(BD62,CENY!$B$11:$M$2025,12,FALSE)</f>
        <v>368.62277</v>
      </c>
      <c r="BK62" s="95">
        <f t="shared" si="3"/>
        <v>0</v>
      </c>
    </row>
    <row r="63" spans="47:63" ht="14.4" customHeight="1">
      <c r="AU63" s="319">
        <f>OBJ!B329</f>
        <v>9257894</v>
      </c>
      <c r="AV63" s="21" t="str">
        <f>VLOOKUP(AU63,CENY!$B$11:$G$1054,2,FALSE)</f>
        <v>Quadro You - Push to open Silent; &lt;10kg</v>
      </c>
      <c r="AW63" s="22">
        <f>VLOOKUP(AU63,CENY!$B$11:$G$1054,3,FALSE)</f>
        <v>1</v>
      </c>
      <c r="AX63" s="22"/>
      <c r="AY63" s="23">
        <f>AN27</f>
        <v>0</v>
      </c>
      <c r="AZ63" s="326">
        <f t="shared" si="1"/>
        <v>0</v>
      </c>
      <c r="BA63" s="95">
        <f>VLOOKUP(AU63,CENY!$B$11:$M$2025,12,FALSE)</f>
        <v>480.50922000000003</v>
      </c>
      <c r="BB63" s="95">
        <f t="shared" si="0"/>
        <v>0</v>
      </c>
      <c r="BD63" s="319">
        <f>OBJ!B275</f>
        <v>9318201</v>
      </c>
      <c r="BE63" s="21" t="str">
        <f>VLOOKUP(BD63,CENY!$B$11:$G$1054,2,FALSE)</f>
        <v>Actro You(XL) 500/SiSy 70kg; EB21; ľavý</v>
      </c>
      <c r="BF63" s="22">
        <f>VLOOKUP(BD63,CENY!$B$11:$G$1054,3,FALSE)</f>
        <v>10</v>
      </c>
      <c r="BG63" s="22"/>
      <c r="BH63" s="23">
        <f>AY39</f>
        <v>0</v>
      </c>
      <c r="BI63" s="326">
        <f t="shared" si="2"/>
        <v>0</v>
      </c>
      <c r="BJ63" s="95">
        <f>VLOOKUP(BD63,CENY!$B$11:$M$2025,12,FALSE)</f>
        <v>372.33726999999999</v>
      </c>
      <c r="BK63" s="95">
        <f t="shared" si="3"/>
        <v>0</v>
      </c>
    </row>
    <row r="64" spans="47:63" ht="14.4" customHeight="1">
      <c r="AU64" s="319">
        <f>OBJ!B330</f>
        <v>9257895</v>
      </c>
      <c r="AV64" s="21" t="str">
        <f>VLOOKUP(AU64,CENY!$B$11:$G$1054,2,FALSE)</f>
        <v>Quadro You - Push to open Silent; 8-20kg</v>
      </c>
      <c r="AW64" s="22">
        <f>VLOOKUP(AU64,CENY!$B$11:$G$1054,3,FALSE)</f>
        <v>1</v>
      </c>
      <c r="AX64" s="22"/>
      <c r="AY64" s="23">
        <f>AN28</f>
        <v>0</v>
      </c>
      <c r="AZ64" s="326">
        <f t="shared" si="1"/>
        <v>0</v>
      </c>
      <c r="BA64" s="95">
        <f>VLOOKUP(AU64,CENY!$B$11:$M$2025,12,FALSE)</f>
        <v>480.50922000000003</v>
      </c>
      <c r="BB64" s="95">
        <f t="shared" si="0"/>
        <v>0</v>
      </c>
      <c r="BD64" s="319">
        <f>OBJ!B276</f>
        <v>9318203</v>
      </c>
      <c r="BE64" s="21" t="str">
        <f>VLOOKUP(BD64,CENY!$B$11:$G$1054,2,FALSE)</f>
        <v>Actro You(XL) 500/SiSy 70kg; EB21; pravý</v>
      </c>
      <c r="BF64" s="22">
        <f>VLOOKUP(BD64,CENY!$B$11:$G$1054,3,FALSE)</f>
        <v>10</v>
      </c>
      <c r="BG64" s="22"/>
      <c r="BH64" s="23">
        <f>AY39</f>
        <v>0</v>
      </c>
      <c r="BI64" s="326">
        <f t="shared" si="2"/>
        <v>0</v>
      </c>
      <c r="BJ64" s="95">
        <f>VLOOKUP(BD64,CENY!$B$11:$M$2025,12,FALSE)</f>
        <v>372.33726999999999</v>
      </c>
      <c r="BK64" s="95">
        <f t="shared" si="3"/>
        <v>0</v>
      </c>
    </row>
    <row r="65" spans="47:63" ht="14.4" customHeight="1">
      <c r="AU65" s="319">
        <f>OBJ!B331</f>
        <v>9257896</v>
      </c>
      <c r="AV65" s="21" t="str">
        <f>VLOOKUP(AU65,CENY!$B$11:$G$1054,2,FALSE)</f>
        <v>Quadro You - Push to open Silent; 10-30kg</v>
      </c>
      <c r="AW65" s="22">
        <f>VLOOKUP(AU65,CENY!$B$11:$G$1054,3,FALSE)</f>
        <v>1</v>
      </c>
      <c r="AX65" s="22"/>
      <c r="AY65" s="23">
        <f>AN29</f>
        <v>0</v>
      </c>
      <c r="AZ65" s="326">
        <f t="shared" si="1"/>
        <v>0</v>
      </c>
      <c r="BA65" s="95">
        <f>VLOOKUP(AU65,CENY!$B$11:$M$2025,12,FALSE)</f>
        <v>480.50922000000003</v>
      </c>
      <c r="BB65" s="95">
        <f t="shared" si="0"/>
        <v>0</v>
      </c>
      <c r="BD65" s="319">
        <f>OBJ!B277</f>
        <v>9318208</v>
      </c>
      <c r="BE65" s="21" t="str">
        <f>VLOOKUP(BD65,CENY!$B$11:$G$1054,2,FALSE)</f>
        <v>Actro You(XL) 550/SiSy 70kg; EB21; ľavý</v>
      </c>
      <c r="BF65" s="22">
        <f>VLOOKUP(BD65,CENY!$B$11:$G$1054,3,FALSE)</f>
        <v>10</v>
      </c>
      <c r="BG65" s="22"/>
      <c r="BH65" s="23">
        <f>AY40</f>
        <v>0</v>
      </c>
      <c r="BI65" s="326">
        <f t="shared" si="2"/>
        <v>0</v>
      </c>
      <c r="BJ65" s="95">
        <f>VLOOKUP(BD65,CENY!$B$11:$M$2025,12,FALSE)</f>
        <v>392.11943000000002</v>
      </c>
      <c r="BK65" s="95">
        <f t="shared" si="3"/>
        <v>0</v>
      </c>
    </row>
    <row r="66" spans="47:63" ht="14.4" customHeight="1">
      <c r="AU66" s="319"/>
      <c r="AV66" s="21"/>
      <c r="AW66" s="22"/>
      <c r="AX66" s="22"/>
      <c r="AY66" s="23"/>
      <c r="AZ66" s="326" t="str">
        <f t="shared" si="1"/>
        <v/>
      </c>
      <c r="BA66" s="95"/>
      <c r="BB66" s="95" t="str">
        <f t="shared" si="0"/>
        <v/>
      </c>
      <c r="BD66" s="319">
        <f>OBJ!B278</f>
        <v>9318209</v>
      </c>
      <c r="BE66" s="21" t="str">
        <f>VLOOKUP(BD66,CENY!$B$11:$G$1054,2,FALSE)</f>
        <v>Actro You(XL) 550/SiSy 70kg; EB21; pravý</v>
      </c>
      <c r="BF66" s="22">
        <f>VLOOKUP(BD66,CENY!$B$11:$G$1054,3,FALSE)</f>
        <v>10</v>
      </c>
      <c r="BG66" s="22"/>
      <c r="BH66" s="23">
        <f>AY40</f>
        <v>0</v>
      </c>
      <c r="BI66" s="326">
        <f t="shared" si="2"/>
        <v>0</v>
      </c>
      <c r="BJ66" s="95">
        <f>VLOOKUP(BD66,CENY!$B$11:$M$2025,12,FALSE)</f>
        <v>392.11943000000002</v>
      </c>
      <c r="BK66" s="95">
        <f t="shared" si="3"/>
        <v>0</v>
      </c>
    </row>
    <row r="67" spans="47:63" ht="14.4" customHeight="1">
      <c r="AU67" s="319">
        <f>OBJ!B333</f>
        <v>9256928</v>
      </c>
      <c r="AV67" s="21" t="str">
        <f>VLOOKUP(AU67,CENY!$B$11:$G$1054,2,FALSE)</f>
        <v>Quadro You(M) 270/P2O 20kg; EB21</v>
      </c>
      <c r="AW67" s="22">
        <f>VLOOKUP(AU67,CENY!$B$11:$G$1054,3,FALSE)</f>
        <v>1</v>
      </c>
      <c r="AX67" s="362">
        <v>8</v>
      </c>
      <c r="AY67" s="23">
        <f>O30</f>
        <v>0</v>
      </c>
      <c r="AZ67" s="326">
        <f t="shared" si="1"/>
        <v>0</v>
      </c>
      <c r="BA67" s="95">
        <f>VLOOKUP(AU67,CENY!$B$11:$M$2025,12,FALSE)</f>
        <v>536.84897999999998</v>
      </c>
      <c r="BB67" s="95">
        <f t="shared" ref="BB67:BB130" si="4">IF(BA67="","",BA67*AY67)</f>
        <v>0</v>
      </c>
      <c r="BD67" s="319">
        <f>OBJ!B279</f>
        <v>9318211</v>
      </c>
      <c r="BE67" s="21" t="str">
        <f>VLOOKUP(BD67,CENY!$B$11:$G$1054,2,FALSE)</f>
        <v>Actro You(XL) 600/SiSy 70kg; EB21; ľavý</v>
      </c>
      <c r="BF67" s="22">
        <f>VLOOKUP(BD67,CENY!$B$11:$G$1054,3,FALSE)</f>
        <v>10</v>
      </c>
      <c r="BG67" s="22"/>
      <c r="BH67" s="23">
        <f>AY41</f>
        <v>0</v>
      </c>
      <c r="BI67" s="326">
        <f t="shared" si="2"/>
        <v>0</v>
      </c>
      <c r="BJ67" s="95">
        <f>VLOOKUP(BD67,CENY!$B$11:$M$2025,12,FALSE)</f>
        <v>443.89010999999999</v>
      </c>
      <c r="BK67" s="95">
        <f t="shared" si="3"/>
        <v>0</v>
      </c>
    </row>
    <row r="68" spans="47:63" ht="14.4" customHeight="1">
      <c r="AU68" s="319">
        <f>OBJ!B334</f>
        <v>9256929</v>
      </c>
      <c r="AV68" s="21" t="str">
        <f>VLOOKUP(AU68,CENY!$B$11:$G$1054,2,FALSE)</f>
        <v>Quadro You(M) 300/P2O 20kg; EB21</v>
      </c>
      <c r="AW68" s="22">
        <f>VLOOKUP(AU68,CENY!$B$11:$G$1054,3,FALSE)</f>
        <v>1</v>
      </c>
      <c r="AX68" s="362">
        <v>8</v>
      </c>
      <c r="AY68" s="23">
        <f>Q30</f>
        <v>0</v>
      </c>
      <c r="AZ68" s="326">
        <f t="shared" ref="AZ68:AZ131" si="5">IF(AY68="","",IF($AW$4=1,AY68,0))</f>
        <v>0</v>
      </c>
      <c r="BA68" s="95">
        <f>VLOOKUP(AU68,CENY!$B$11:$M$2025,12,FALSE)</f>
        <v>537.79395</v>
      </c>
      <c r="BB68" s="95">
        <f t="shared" si="4"/>
        <v>0</v>
      </c>
      <c r="BD68" s="319">
        <f>OBJ!B280</f>
        <v>9318212</v>
      </c>
      <c r="BE68" s="21" t="str">
        <f>VLOOKUP(BD68,CENY!$B$11:$G$1054,2,FALSE)</f>
        <v>Actro You(XL) 600/SiSy 70kg; EB21; pravý</v>
      </c>
      <c r="BF68" s="22">
        <f>VLOOKUP(BD68,CENY!$B$11:$G$1054,3,FALSE)</f>
        <v>10</v>
      </c>
      <c r="BG68" s="22"/>
      <c r="BH68" s="23">
        <f>AY41</f>
        <v>0</v>
      </c>
      <c r="BI68" s="326">
        <f t="shared" si="2"/>
        <v>0</v>
      </c>
      <c r="BJ68" s="95">
        <f>VLOOKUP(BD68,CENY!$B$11:$M$2025,12,FALSE)</f>
        <v>443.89010999999999</v>
      </c>
      <c r="BK68" s="95">
        <f t="shared" si="3"/>
        <v>0</v>
      </c>
    </row>
    <row r="69" spans="47:63" ht="14.4" customHeight="1">
      <c r="AU69" s="319">
        <f>OBJ!B335</f>
        <v>9256931</v>
      </c>
      <c r="AV69" s="21" t="str">
        <f>VLOOKUP(AU69,CENY!$B$11:$G$1054,2,FALSE)</f>
        <v>Quadro You(M) 350/P2O 25kg; EB21</v>
      </c>
      <c r="AW69" s="22">
        <f>VLOOKUP(AU69,CENY!$B$11:$G$1054,3,FALSE)</f>
        <v>1</v>
      </c>
      <c r="AX69" s="362">
        <v>8</v>
      </c>
      <c r="AY69" s="23">
        <f>S30</f>
        <v>0</v>
      </c>
      <c r="AZ69" s="326">
        <f t="shared" si="5"/>
        <v>0</v>
      </c>
      <c r="BA69" s="95">
        <f>VLOOKUP(AU69,CENY!$B$11:$M$2025,12,FALSE)</f>
        <v>547.49897999999996</v>
      </c>
      <c r="BB69" s="95">
        <f t="shared" si="4"/>
        <v>0</v>
      </c>
      <c r="BD69" s="319">
        <f>OBJ!B281</f>
        <v>9318213</v>
      </c>
      <c r="BE69" s="21" t="str">
        <f>VLOOKUP(BD69,CENY!$B$11:$G$1054,2,FALSE)</f>
        <v>Actro You(XL) 650/SiSy 70kg; EB21; ľavý</v>
      </c>
      <c r="BF69" s="22">
        <f>VLOOKUP(BD69,CENY!$B$11:$G$1054,3,FALSE)</f>
        <v>5</v>
      </c>
      <c r="BG69" s="22"/>
      <c r="BH69" s="23">
        <f>AY42</f>
        <v>0</v>
      </c>
      <c r="BI69" s="326">
        <f t="shared" si="2"/>
        <v>0</v>
      </c>
      <c r="BJ69" s="95">
        <f>VLOOKUP(BD69,CENY!$B$11:$M$2025,12,FALSE)</f>
        <v>462.41142000000002</v>
      </c>
      <c r="BK69" s="95">
        <f t="shared" si="3"/>
        <v>0</v>
      </c>
    </row>
    <row r="70" spans="47:63" ht="14.4" customHeight="1">
      <c r="AU70" s="319">
        <f>OBJ!B336</f>
        <v>9256933</v>
      </c>
      <c r="AV70" s="21" t="str">
        <f>VLOOKUP(AU70,CENY!$B$11:$G$1054,2,FALSE)</f>
        <v>Quadro You(M) 400/P2O 30kg; EB21</v>
      </c>
      <c r="AW70" s="22">
        <f>VLOOKUP(AU70,CENY!$B$11:$G$1054,3,FALSE)</f>
        <v>1</v>
      </c>
      <c r="AX70" s="362">
        <v>8</v>
      </c>
      <c r="AY70" s="23">
        <f>U30</f>
        <v>0</v>
      </c>
      <c r="AZ70" s="326">
        <f t="shared" si="5"/>
        <v>0</v>
      </c>
      <c r="BA70" s="95">
        <f>VLOOKUP(AU70,CENY!$B$11:$M$2025,12,FALSE)</f>
        <v>557.20162000000005</v>
      </c>
      <c r="BB70" s="95">
        <f t="shared" si="4"/>
        <v>0</v>
      </c>
      <c r="BD70" s="319">
        <f>OBJ!B282</f>
        <v>9318214</v>
      </c>
      <c r="BE70" s="21" t="str">
        <f>VLOOKUP(BD70,CENY!$B$11:$G$1054,2,FALSE)</f>
        <v>Actro You(XL) 650/SiSy 70kg; EB21; pravý</v>
      </c>
      <c r="BF70" s="22">
        <f>VLOOKUP(BD70,CENY!$B$11:$G$1054,3,FALSE)</f>
        <v>5</v>
      </c>
      <c r="BG70" s="22"/>
      <c r="BH70" s="23">
        <f>AY42</f>
        <v>0</v>
      </c>
      <c r="BI70" s="326">
        <f t="shared" ref="BI70:BI133" si="6">IF(BH70="","",IF($AW$4=0,BH70,0))</f>
        <v>0</v>
      </c>
      <c r="BJ70" s="95">
        <f>VLOOKUP(BD70,CENY!$B$11:$M$2025,12,FALSE)</f>
        <v>462.41142000000002</v>
      </c>
      <c r="BK70" s="95">
        <f t="shared" ref="BK70:BK133" si="7">IF(BJ70="","",BJ70*BH70)</f>
        <v>0</v>
      </c>
    </row>
    <row r="71" spans="47:63" ht="14.4" customHeight="1">
      <c r="AU71" s="319">
        <f>OBJ!B337</f>
        <v>9256935</v>
      </c>
      <c r="AV71" s="21" t="str">
        <f>VLOOKUP(AU71,CENY!$B$11:$G$1054,2,FALSE)</f>
        <v>Quadro You(M) 450/P2O 30kg; EB21</v>
      </c>
      <c r="AW71" s="22">
        <f>VLOOKUP(AU71,CENY!$B$11:$G$1054,3,FALSE)</f>
        <v>1</v>
      </c>
      <c r="AX71" s="362">
        <v>8</v>
      </c>
      <c r="AY71" s="23">
        <f>W30</f>
        <v>0</v>
      </c>
      <c r="AZ71" s="326">
        <f t="shared" si="5"/>
        <v>0</v>
      </c>
      <c r="BA71" s="95">
        <f>VLOOKUP(AU71,CENY!$B$11:$M$2025,12,FALSE)</f>
        <v>566.90911000000006</v>
      </c>
      <c r="BB71" s="95">
        <f t="shared" si="4"/>
        <v>0</v>
      </c>
      <c r="BD71" s="319"/>
      <c r="BE71" s="21"/>
      <c r="BF71" s="22"/>
      <c r="BG71" s="22"/>
      <c r="BH71" s="23"/>
      <c r="BI71" s="326" t="str">
        <f t="shared" si="6"/>
        <v/>
      </c>
      <c r="BJ71" s="95"/>
      <c r="BK71" s="95" t="str">
        <f t="shared" si="7"/>
        <v/>
      </c>
    </row>
    <row r="72" spans="47:63" ht="14.4" customHeight="1">
      <c r="AU72" s="319">
        <f>OBJ!B338</f>
        <v>9256937</v>
      </c>
      <c r="AV72" s="21" t="str">
        <f>VLOOKUP(AU72,CENY!$B$11:$G$1054,2,FALSE)</f>
        <v>Quadro You(M) 500/P2O 30kg; EB21</v>
      </c>
      <c r="AW72" s="22">
        <f>VLOOKUP(AU72,CENY!$B$11:$G$1054,3,FALSE)</f>
        <v>1</v>
      </c>
      <c r="AX72" s="362">
        <v>8</v>
      </c>
      <c r="AY72" s="23">
        <f>Y30</f>
        <v>0</v>
      </c>
      <c r="AZ72" s="326">
        <f t="shared" si="5"/>
        <v>0</v>
      </c>
      <c r="BA72" s="95">
        <f>VLOOKUP(AU72,CENY!$B$11:$M$2025,12,FALSE)</f>
        <v>139.41228000000001</v>
      </c>
      <c r="BB72" s="95">
        <f t="shared" si="4"/>
        <v>0</v>
      </c>
      <c r="BD72" s="319">
        <f>OBJ!B284</f>
        <v>9257890</v>
      </c>
      <c r="BE72" s="21" t="str">
        <f>VLOOKUP(BD72,CENY!$B$11:$G$1054,2,FALSE)</f>
        <v>Actro You - Push to open Silent; &lt;10kg</v>
      </c>
      <c r="BF72" s="22">
        <f>VLOOKUP(BD72,CENY!$B$11:$G$1054,3,FALSE)</f>
        <v>1</v>
      </c>
      <c r="BG72" s="22"/>
      <c r="BH72" s="23">
        <f>AY44</f>
        <v>0</v>
      </c>
      <c r="BI72" s="326">
        <f t="shared" si="6"/>
        <v>0</v>
      </c>
      <c r="BJ72" s="95">
        <f>VLOOKUP(BD72,CENY!$B$11:$M$2025,12,FALSE)</f>
        <v>481.81412999999998</v>
      </c>
      <c r="BK72" s="95">
        <f t="shared" si="7"/>
        <v>0</v>
      </c>
    </row>
    <row r="73" spans="47:63" ht="14.4" customHeight="1">
      <c r="AU73" s="319">
        <f>OBJ!B339</f>
        <v>9256939</v>
      </c>
      <c r="AV73" s="21" t="str">
        <f>VLOOKUP(AU73,CENY!$B$11:$G$1054,2,FALSE)</f>
        <v>Quadro You(M) 550/P2O 30kg; EB21</v>
      </c>
      <c r="AW73" s="22">
        <f>VLOOKUP(AU73,CENY!$B$11:$G$1054,3,FALSE)</f>
        <v>1</v>
      </c>
      <c r="AX73" s="362">
        <v>8</v>
      </c>
      <c r="AY73" s="23">
        <f>AA30</f>
        <v>0</v>
      </c>
      <c r="AZ73" s="326">
        <f t="shared" si="5"/>
        <v>0</v>
      </c>
      <c r="BA73" s="95">
        <f>VLOOKUP(AU73,CENY!$B$11:$M$2025,12,FALSE)</f>
        <v>586.3143</v>
      </c>
      <c r="BB73" s="95">
        <f t="shared" si="4"/>
        <v>0</v>
      </c>
      <c r="BD73" s="319">
        <f>OBJ!B285</f>
        <v>9257891</v>
      </c>
      <c r="BE73" s="21" t="str">
        <f>VLOOKUP(BD73,CENY!$B$11:$G$1054,2,FALSE)</f>
        <v>Actro You - Push to open Silent; 8-20kg</v>
      </c>
      <c r="BF73" s="22">
        <f>VLOOKUP(BD73,CENY!$B$11:$G$1054,3,FALSE)</f>
        <v>1</v>
      </c>
      <c r="BG73" s="22"/>
      <c r="BH73" s="23">
        <f>AY45</f>
        <v>0</v>
      </c>
      <c r="BI73" s="326">
        <f t="shared" si="6"/>
        <v>0</v>
      </c>
      <c r="BJ73" s="95">
        <f>VLOOKUP(BD73,CENY!$B$11:$M$2025,12,FALSE)</f>
        <v>481.81412999999998</v>
      </c>
      <c r="BK73" s="95">
        <f t="shared" si="7"/>
        <v>0</v>
      </c>
    </row>
    <row r="74" spans="47:63" ht="14.4" customHeight="1">
      <c r="AU74" s="319">
        <f>OBJ!B340</f>
        <v>9256941</v>
      </c>
      <c r="AV74" s="21" t="str">
        <f>VLOOKUP(AU74,CENY!$B$11:$G$1054,2,FALSE)</f>
        <v>Quadro You(M) 600/P2O 25kg; EB21</v>
      </c>
      <c r="AW74" s="22">
        <f>VLOOKUP(AU74,CENY!$B$11:$G$1054,3,FALSE)</f>
        <v>1</v>
      </c>
      <c r="AX74" s="362">
        <v>8</v>
      </c>
      <c r="AY74" s="23">
        <f>AC30</f>
        <v>0</v>
      </c>
      <c r="AZ74" s="326">
        <f t="shared" si="5"/>
        <v>0</v>
      </c>
      <c r="BA74" s="95">
        <f>VLOOKUP(AU74,CENY!$B$11:$M$2025,12,FALSE)</f>
        <v>596.01683000000003</v>
      </c>
      <c r="BB74" s="95">
        <f t="shared" si="4"/>
        <v>0</v>
      </c>
      <c r="BD74" s="319">
        <f>OBJ!B286</f>
        <v>9257892</v>
      </c>
      <c r="BE74" s="21" t="str">
        <f>VLOOKUP(BD74,CENY!$B$11:$G$1054,2,FALSE)</f>
        <v>Actro You - Push to open Silent; 10-40kg</v>
      </c>
      <c r="BF74" s="22">
        <f>VLOOKUP(BD74,CENY!$B$11:$G$1054,3,FALSE)</f>
        <v>1</v>
      </c>
      <c r="BG74" s="22"/>
      <c r="BH74" s="23">
        <f>AY46</f>
        <v>0</v>
      </c>
      <c r="BI74" s="326">
        <f t="shared" si="6"/>
        <v>0</v>
      </c>
      <c r="BJ74" s="95">
        <f>VLOOKUP(BD74,CENY!$B$11:$M$2025,12,FALSE)</f>
        <v>481.81412999999998</v>
      </c>
      <c r="BK74" s="95">
        <f t="shared" si="7"/>
        <v>0</v>
      </c>
    </row>
    <row r="75" spans="47:63" ht="14.4" customHeight="1">
      <c r="AU75" s="319"/>
      <c r="AV75" s="21"/>
      <c r="AW75" s="22"/>
      <c r="AX75" s="22"/>
      <c r="AY75" s="23"/>
      <c r="AZ75" s="326" t="str">
        <f t="shared" si="5"/>
        <v/>
      </c>
      <c r="BA75" s="95"/>
      <c r="BB75" s="95" t="str">
        <f t="shared" si="4"/>
        <v/>
      </c>
      <c r="BD75" s="319">
        <f>OBJ!B287</f>
        <v>9257893</v>
      </c>
      <c r="BE75" s="21" t="str">
        <f>VLOOKUP(BD75,CENY!$B$11:$G$1054,2,FALSE)</f>
        <v>Actro You - Push to open Silent; 20-70kg</v>
      </c>
      <c r="BF75" s="22">
        <f>VLOOKUP(BD75,CENY!$B$11:$G$1054,3,FALSE)</f>
        <v>1</v>
      </c>
      <c r="BG75" s="22"/>
      <c r="BH75" s="23">
        <f>AY47</f>
        <v>0</v>
      </c>
      <c r="BI75" s="326">
        <f t="shared" si="6"/>
        <v>0</v>
      </c>
      <c r="BJ75" s="95">
        <f>VLOOKUP(BD75,CENY!$B$11:$M$2025,12,FALSE)</f>
        <v>481.81412999999998</v>
      </c>
      <c r="BK75" s="95">
        <f t="shared" si="7"/>
        <v>0</v>
      </c>
    </row>
    <row r="76" spans="47:63" ht="14.4" customHeight="1">
      <c r="AU76" s="319">
        <f>OBJ!B358</f>
        <v>9219966</v>
      </c>
      <c r="AV76" s="21" t="str">
        <f>VLOOKUP(AU76,CENY!$B$11:$G$1054,2,FALSE)</f>
        <v>Push to open Synchro / adaptér typ A</v>
      </c>
      <c r="AW76" s="22">
        <f>VLOOKUP(AU76,CENY!$B$11:$G$1054,3,FALSE)</f>
        <v>200</v>
      </c>
      <c r="AX76" s="22"/>
      <c r="AY76" s="23">
        <f>2*SUM(O30:AD30)</f>
        <v>0</v>
      </c>
      <c r="AZ76" s="326">
        <f t="shared" si="5"/>
        <v>0</v>
      </c>
      <c r="BA76" s="95">
        <f>VLOOKUP(AU76,CENY!$B$11:$M$2025,12,FALSE)</f>
        <v>16.488900000000001</v>
      </c>
      <c r="BB76" s="95">
        <f t="shared" si="4"/>
        <v>0</v>
      </c>
      <c r="BD76" s="319">
        <f>OBJ!B288</f>
        <v>9236718</v>
      </c>
      <c r="BE76" s="21" t="str">
        <f>VLOOKUP(BD76,CENY!$B$11:$G$1054,2,FALSE)</f>
        <v>Push to open Synchro / tyč 2.000 mm</v>
      </c>
      <c r="BF76" s="22">
        <f>VLOOKUP(BD76,CENY!$B$11:$G$1054,3,FALSE)</f>
        <v>100</v>
      </c>
      <c r="BG76" s="22"/>
      <c r="BH76" s="23">
        <f>AY48</f>
        <v>0</v>
      </c>
      <c r="BI76" s="326">
        <f t="shared" si="6"/>
        <v>0</v>
      </c>
      <c r="BJ76" s="95">
        <f>VLOOKUP(BD76,CENY!$B$11:$M$2025,12,FALSE)</f>
        <v>182.03933000000001</v>
      </c>
      <c r="BK76" s="95">
        <f t="shared" si="7"/>
        <v>0</v>
      </c>
    </row>
    <row r="77" spans="47:63" ht="14.4" customHeight="1">
      <c r="AU77" s="319"/>
      <c r="AV77" s="21"/>
      <c r="AW77" s="22"/>
      <c r="AX77" s="22"/>
      <c r="AY77" s="23"/>
      <c r="AZ77" s="326" t="str">
        <f t="shared" si="5"/>
        <v/>
      </c>
      <c r="BA77" s="95"/>
      <c r="BB77" s="95" t="str">
        <f t="shared" si="4"/>
        <v/>
      </c>
      <c r="BD77" s="319"/>
      <c r="BE77" s="21"/>
      <c r="BF77" s="22"/>
      <c r="BG77" s="22"/>
      <c r="BH77" s="23"/>
      <c r="BI77" s="326" t="str">
        <f t="shared" si="6"/>
        <v/>
      </c>
      <c r="BJ77" s="95"/>
      <c r="BK77" s="95" t="str">
        <f t="shared" si="7"/>
        <v/>
      </c>
    </row>
    <row r="78" spans="47:63" ht="14.4" customHeight="1">
      <c r="AU78" s="442">
        <f>OBJ!B141</f>
        <v>9255838</v>
      </c>
      <c r="AV78" s="443" t="str">
        <f>VLOOKUP(AU78,CENY!$B$11:$G$1054,2,FALSE)</f>
        <v>AvanY-prích.čela k naskrutk./ v187-251</v>
      </c>
      <c r="AW78" s="22">
        <f>VLOOKUP(AU78,CENY!$B$11:$G$1054,3,FALSE)</f>
        <v>200</v>
      </c>
      <c r="AX78" s="22"/>
      <c r="AY78" s="68">
        <f>2*(SUM(O19:T19)+SUM(O20:AD20)+SUM(W22:AF22)+SUM(O27:T27)+SUM(O28:AD28)+SUM(O30:AD30))</f>
        <v>0</v>
      </c>
      <c r="AZ78" s="326">
        <f t="shared" si="5"/>
        <v>0</v>
      </c>
      <c r="BA78" s="95">
        <f>VLOOKUP(AU78,CENY!$B$11:$M$2025,12,FALSE)</f>
        <v>49.383429999999997</v>
      </c>
      <c r="BB78" s="95">
        <f t="shared" si="4"/>
        <v>0</v>
      </c>
      <c r="BD78" s="319">
        <f>OBJ!B297</f>
        <v>9256944</v>
      </c>
      <c r="BE78" s="21" t="str">
        <f>VLOOKUP(BD78,CENY!$B$11:$G$1054,2,FALSE)</f>
        <v>Quadro You(S) 270/SiSy 10kg; EB21; ľavý</v>
      </c>
      <c r="BF78" s="22">
        <f>VLOOKUP(BD78,CENY!$B$11:$G$1054,3,FALSE)</f>
        <v>20</v>
      </c>
      <c r="BG78" s="22"/>
      <c r="BH78" s="23">
        <f>AY50</f>
        <v>0</v>
      </c>
      <c r="BI78" s="326">
        <f t="shared" si="6"/>
        <v>0</v>
      </c>
      <c r="BJ78" s="95">
        <f>VLOOKUP(BD78,CENY!$B$11:$M$2025,12,FALSE)</f>
        <v>223.77942999999999</v>
      </c>
      <c r="BK78" s="95">
        <f t="shared" si="7"/>
        <v>0</v>
      </c>
    </row>
    <row r="79" spans="47:63" ht="14.4" customHeight="1">
      <c r="AU79" s="319"/>
      <c r="AV79" s="21"/>
      <c r="AW79" s="22"/>
      <c r="AX79" s="22"/>
      <c r="AY79" s="23"/>
      <c r="AZ79" s="326" t="str">
        <f t="shared" si="5"/>
        <v/>
      </c>
      <c r="BA79" s="95"/>
      <c r="BB79" s="95" t="str">
        <f t="shared" si="4"/>
        <v/>
      </c>
      <c r="BD79" s="319">
        <f>OBJ!B298</f>
        <v>9256945</v>
      </c>
      <c r="BE79" s="21" t="str">
        <f>VLOOKUP(BD79,CENY!$B$11:$G$1054,2,FALSE)</f>
        <v>Quadro You(S) 270/SiSy 10kg; EB21; pravý</v>
      </c>
      <c r="BF79" s="22">
        <f>VLOOKUP(BD79,CENY!$B$11:$G$1054,3,FALSE)</f>
        <v>20</v>
      </c>
      <c r="BG79" s="22"/>
      <c r="BH79" s="23">
        <f>AY50</f>
        <v>0</v>
      </c>
      <c r="BI79" s="326">
        <f t="shared" si="6"/>
        <v>0</v>
      </c>
      <c r="BJ79" s="95">
        <f>VLOOKUP(BD79,CENY!$B$11:$M$2025,12,FALSE)</f>
        <v>223.77942999999999</v>
      </c>
      <c r="BK79" s="95">
        <f t="shared" si="7"/>
        <v>0</v>
      </c>
    </row>
    <row r="80" spans="47:63" ht="14.4" customHeight="1">
      <c r="AU80" s="320">
        <f>OBJ!B214</f>
        <v>0</v>
      </c>
      <c r="AV80" s="321" t="e">
        <f>VLOOKUP(AU80,CENY!$B$11:$G$1054,2,FALSE)</f>
        <v>#N/A</v>
      </c>
      <c r="AW80" s="22" t="e">
        <f>VLOOKUP(AU80,CENY!$B$11:$G$1054,3,FALSE)</f>
        <v>#N/A</v>
      </c>
      <c r="AX80" s="22"/>
      <c r="AY80" s="68">
        <f>IF(FORM!AM21&lt;&gt;FORM!AW16,(2*(+SUM(O19:T19)+SUM(O20:AD20)+SUM(W22:AF22)+SUM(O27:T27)+SUM(O28:AD28)+SUM(O30:AD30))),0)</f>
        <v>0</v>
      </c>
      <c r="AZ80" s="326">
        <f t="shared" si="5"/>
        <v>0</v>
      </c>
      <c r="BA80" s="324" t="str">
        <f>IF(AU80=0,"",VLOOKUP(AU80,CENY!$B$11:$M$2025,12,FALSE))</f>
        <v/>
      </c>
      <c r="BB80" s="95" t="str">
        <f t="shared" si="4"/>
        <v/>
      </c>
      <c r="BD80" s="319">
        <f>OBJ!B299</f>
        <v>9256946</v>
      </c>
      <c r="BE80" s="21" t="str">
        <f>VLOOKUP(BD80,CENY!$B$11:$G$1054,2,FALSE)</f>
        <v>Quadro You(S) 300/SiSy 10kg; EB21; ľavý</v>
      </c>
      <c r="BF80" s="22">
        <f>VLOOKUP(BD80,CENY!$B$11:$G$1054,3,FALSE)</f>
        <v>20</v>
      </c>
      <c r="BG80" s="22"/>
      <c r="BH80" s="23">
        <f>AY51</f>
        <v>0</v>
      </c>
      <c r="BI80" s="326">
        <f t="shared" si="6"/>
        <v>0</v>
      </c>
      <c r="BJ80" s="95">
        <f>VLOOKUP(BD80,CENY!$B$11:$M$2025,12,FALSE)</f>
        <v>224.26065</v>
      </c>
      <c r="BK80" s="95">
        <f t="shared" si="7"/>
        <v>0</v>
      </c>
    </row>
    <row r="81" spans="47:63" ht="14.4" customHeight="1">
      <c r="AU81" s="319"/>
      <c r="AV81" s="21"/>
      <c r="AW81" s="22"/>
      <c r="AX81" s="22"/>
      <c r="AY81" s="23"/>
      <c r="AZ81" s="326" t="str">
        <f t="shared" si="5"/>
        <v/>
      </c>
      <c r="BA81" s="95"/>
      <c r="BB81" s="95" t="str">
        <f t="shared" si="4"/>
        <v/>
      </c>
      <c r="BD81" s="319">
        <f>OBJ!B300</f>
        <v>9256947</v>
      </c>
      <c r="BE81" s="21" t="str">
        <f>VLOOKUP(BD81,CENY!$B$11:$G$1054,2,FALSE)</f>
        <v>Quadro You(S) 300/SiSy 10kg; EB21; pravý</v>
      </c>
      <c r="BF81" s="22">
        <f>VLOOKUP(BD81,CENY!$B$11:$G$1054,3,FALSE)</f>
        <v>20</v>
      </c>
      <c r="BG81" s="22"/>
      <c r="BH81" s="23">
        <f>AY51</f>
        <v>0</v>
      </c>
      <c r="BI81" s="326">
        <f t="shared" si="6"/>
        <v>0</v>
      </c>
      <c r="BJ81" s="95">
        <f>VLOOKUP(BD81,CENY!$B$11:$M$2025,12,FALSE)</f>
        <v>224.26065</v>
      </c>
      <c r="BK81" s="95">
        <f t="shared" si="7"/>
        <v>0</v>
      </c>
    </row>
    <row r="82" spans="47:63" ht="14.4" customHeight="1">
      <c r="AU82" s="319"/>
      <c r="AV82" s="21"/>
      <c r="AW82" s="22"/>
      <c r="AX82" s="22"/>
      <c r="AY82" s="23"/>
      <c r="AZ82" s="326" t="str">
        <f t="shared" si="5"/>
        <v/>
      </c>
      <c r="BA82" s="95"/>
      <c r="BB82" s="95" t="str">
        <f t="shared" si="4"/>
        <v/>
      </c>
      <c r="BD82" s="319">
        <f>OBJ!B301</f>
        <v>9256950</v>
      </c>
      <c r="BE82" s="21" t="str">
        <f>VLOOKUP(BD82,CENY!$B$11:$G$1054,2,FALSE)</f>
        <v>Quadro You(S) 350/SiSy 10kg; EB21; ľavý</v>
      </c>
      <c r="BF82" s="22">
        <f>VLOOKUP(BD82,CENY!$B$11:$G$1054,3,FALSE)</f>
        <v>20</v>
      </c>
      <c r="BG82" s="22"/>
      <c r="BH82" s="23">
        <f>AY52</f>
        <v>0</v>
      </c>
      <c r="BI82" s="326">
        <f t="shared" si="6"/>
        <v>0</v>
      </c>
      <c r="BJ82" s="95">
        <f>VLOOKUP(BD82,CENY!$B$11:$M$2025,12,FALSE)</f>
        <v>229.11434</v>
      </c>
      <c r="BK82" s="95">
        <f t="shared" si="7"/>
        <v>0</v>
      </c>
    </row>
    <row r="83" spans="47:63" ht="14.4" customHeight="1">
      <c r="AU83" s="319"/>
      <c r="AV83" s="21"/>
      <c r="AW83" s="22"/>
      <c r="AX83" s="22"/>
      <c r="AY83" s="23"/>
      <c r="AZ83" s="326" t="str">
        <f t="shared" si="5"/>
        <v/>
      </c>
      <c r="BA83" s="95"/>
      <c r="BB83" s="95" t="str">
        <f t="shared" si="4"/>
        <v/>
      </c>
      <c r="BD83" s="319">
        <f>OBJ!B302</f>
        <v>9256951</v>
      </c>
      <c r="BE83" s="21" t="str">
        <f>VLOOKUP(BD83,CENY!$B$11:$G$1054,2,FALSE)</f>
        <v>Quadro You(S) 350/SiSy 10kg; EB21; pravý</v>
      </c>
      <c r="BF83" s="22">
        <f>VLOOKUP(BD83,CENY!$B$11:$G$1054,3,FALSE)</f>
        <v>20</v>
      </c>
      <c r="BG83" s="22"/>
      <c r="BH83" s="23">
        <f>AY52</f>
        <v>0</v>
      </c>
      <c r="BI83" s="326">
        <f t="shared" si="6"/>
        <v>0</v>
      </c>
      <c r="BJ83" s="95">
        <f>VLOOKUP(BD83,CENY!$B$11:$M$2025,12,FALSE)</f>
        <v>229.11434</v>
      </c>
      <c r="BK83" s="95">
        <f t="shared" si="7"/>
        <v>0</v>
      </c>
    </row>
    <row r="84" spans="47:63" ht="14.4" customHeight="1">
      <c r="AU84" s="319"/>
      <c r="AV84" s="21"/>
      <c r="AW84" s="22"/>
      <c r="AX84" s="22"/>
      <c r="AY84" s="23"/>
      <c r="AZ84" s="326" t="str">
        <f t="shared" si="5"/>
        <v/>
      </c>
      <c r="BA84" s="95"/>
      <c r="BB84" s="95" t="str">
        <f t="shared" si="4"/>
        <v/>
      </c>
      <c r="BD84" s="319"/>
      <c r="BE84" s="21"/>
      <c r="BF84" s="22"/>
      <c r="BG84" s="22"/>
      <c r="BH84" s="23"/>
      <c r="BI84" s="326" t="str">
        <f t="shared" si="6"/>
        <v/>
      </c>
      <c r="BJ84" s="95"/>
      <c r="BK84" s="95" t="str">
        <f t="shared" si="7"/>
        <v/>
      </c>
    </row>
    <row r="85" spans="47:63" ht="14.4" customHeight="1">
      <c r="AU85" s="319"/>
      <c r="AV85" s="21"/>
      <c r="AW85" s="22"/>
      <c r="AX85" s="22"/>
      <c r="AY85" s="23"/>
      <c r="AZ85" s="326" t="str">
        <f t="shared" si="5"/>
        <v/>
      </c>
      <c r="BA85" s="95"/>
      <c r="BB85" s="95" t="str">
        <f t="shared" si="4"/>
        <v/>
      </c>
      <c r="BD85" s="319">
        <f>OBJ!B312</f>
        <v>9256854</v>
      </c>
      <c r="BE85" s="21" t="str">
        <f>VLOOKUP(BD85,CENY!$B$11:$G$1054,2,FALSE)</f>
        <v>Quadro You(M) 270/SiSy 20kg; EB21; ľavý</v>
      </c>
      <c r="BF85" s="22">
        <f>VLOOKUP(BD85,CENY!$B$11:$G$1054,3,FALSE)</f>
        <v>20</v>
      </c>
      <c r="BG85" s="22"/>
      <c r="BH85" s="23">
        <f>AY54</f>
        <v>0</v>
      </c>
      <c r="BI85" s="326">
        <f t="shared" si="6"/>
        <v>0</v>
      </c>
      <c r="BJ85" s="95">
        <f>VLOOKUP(BD85,CENY!$B$11:$M$2025,12,FALSE)</f>
        <v>223.77942999999999</v>
      </c>
      <c r="BK85" s="95">
        <f t="shared" si="7"/>
        <v>0</v>
      </c>
    </row>
    <row r="86" spans="47:63" ht="14.4" customHeight="1">
      <c r="AU86" s="319"/>
      <c r="AV86" s="21"/>
      <c r="AW86" s="22"/>
      <c r="AX86" s="22"/>
      <c r="AY86" s="23"/>
      <c r="AZ86" s="326" t="str">
        <f t="shared" si="5"/>
        <v/>
      </c>
      <c r="BA86" s="95"/>
      <c r="BB86" s="95" t="str">
        <f t="shared" si="4"/>
        <v/>
      </c>
      <c r="BD86" s="319">
        <f>OBJ!B313</f>
        <v>9256855</v>
      </c>
      <c r="BE86" s="21" t="str">
        <f>VLOOKUP(BD86,CENY!$B$11:$G$1054,2,FALSE)</f>
        <v>Quadro You(M) 270/SiSy 20kg; EB21; pravý</v>
      </c>
      <c r="BF86" s="22">
        <f>VLOOKUP(BD86,CENY!$B$11:$G$1054,3,FALSE)</f>
        <v>20</v>
      </c>
      <c r="BG86" s="22"/>
      <c r="BH86" s="23">
        <f>AY54</f>
        <v>0</v>
      </c>
      <c r="BI86" s="326">
        <f t="shared" si="6"/>
        <v>0</v>
      </c>
      <c r="BJ86" s="95">
        <f>VLOOKUP(BD86,CENY!$B$11:$M$2025,12,FALSE)</f>
        <v>223.77942999999999</v>
      </c>
      <c r="BK86" s="95">
        <f t="shared" si="7"/>
        <v>0</v>
      </c>
    </row>
    <row r="87" spans="47:63" ht="14.4" customHeight="1">
      <c r="AU87" s="319"/>
      <c r="AV87" s="21"/>
      <c r="AW87" s="22"/>
      <c r="AX87" s="22"/>
      <c r="AY87" s="23"/>
      <c r="AZ87" s="326" t="str">
        <f t="shared" si="5"/>
        <v/>
      </c>
      <c r="BA87" s="95"/>
      <c r="BB87" s="95" t="str">
        <f t="shared" si="4"/>
        <v/>
      </c>
      <c r="BD87" s="319">
        <f>OBJ!B314</f>
        <v>9256856</v>
      </c>
      <c r="BE87" s="21" t="str">
        <f>VLOOKUP(BD87,CENY!$B$11:$G$1054,2,FALSE)</f>
        <v>Quadro You(M) 300/SiSy 20kg; EB21; ľavý</v>
      </c>
      <c r="BF87" s="22">
        <f>VLOOKUP(BD87,CENY!$B$11:$G$1054,3,FALSE)</f>
        <v>20</v>
      </c>
      <c r="BG87" s="22"/>
      <c r="BH87" s="23">
        <f>AY55</f>
        <v>0</v>
      </c>
      <c r="BI87" s="326">
        <f t="shared" si="6"/>
        <v>0</v>
      </c>
      <c r="BJ87" s="95">
        <f>VLOOKUP(BD87,CENY!$B$11:$M$2025,12,FALSE)</f>
        <v>224.26065</v>
      </c>
      <c r="BK87" s="95">
        <f t="shared" si="7"/>
        <v>0</v>
      </c>
    </row>
    <row r="88" spans="47:63" ht="14.4" customHeight="1">
      <c r="AU88" s="20"/>
      <c r="AV88" s="21"/>
      <c r="AW88" s="22"/>
      <c r="AX88" s="22"/>
      <c r="AY88" s="23"/>
      <c r="AZ88" s="326" t="str">
        <f t="shared" si="5"/>
        <v/>
      </c>
      <c r="BA88" s="95"/>
      <c r="BB88" s="95" t="str">
        <f t="shared" si="4"/>
        <v/>
      </c>
      <c r="BD88" s="319">
        <f>OBJ!B315</f>
        <v>9256857</v>
      </c>
      <c r="BE88" s="21" t="str">
        <f>VLOOKUP(BD88,CENY!$B$11:$G$1054,2,FALSE)</f>
        <v>Quadro You(M) 300/SiSy 20kg; EB21; pravý</v>
      </c>
      <c r="BF88" s="22">
        <f>VLOOKUP(BD88,CENY!$B$11:$G$1054,3,FALSE)</f>
        <v>20</v>
      </c>
      <c r="BG88" s="22"/>
      <c r="BH88" s="23">
        <f>AY55</f>
        <v>0</v>
      </c>
      <c r="BI88" s="326">
        <f t="shared" si="6"/>
        <v>0</v>
      </c>
      <c r="BJ88" s="95">
        <f>VLOOKUP(BD88,CENY!$B$11:$M$2025,12,FALSE)</f>
        <v>224.26065</v>
      </c>
      <c r="BK88" s="95">
        <f t="shared" si="7"/>
        <v>0</v>
      </c>
    </row>
    <row r="89" spans="47:63" ht="14.4" customHeight="1">
      <c r="AU89" s="20"/>
      <c r="AV89" s="21"/>
      <c r="AW89" s="22"/>
      <c r="AX89" s="22"/>
      <c r="AY89" s="23"/>
      <c r="AZ89" s="326" t="str">
        <f t="shared" si="5"/>
        <v/>
      </c>
      <c r="BA89" s="95"/>
      <c r="BB89" s="95" t="str">
        <f t="shared" si="4"/>
        <v/>
      </c>
      <c r="BD89" s="319">
        <f>OBJ!B316</f>
        <v>9256860</v>
      </c>
      <c r="BE89" s="21" t="str">
        <f>VLOOKUP(BD89,CENY!$B$11:$G$1054,2,FALSE)</f>
        <v>Quadro You(M) 350/SiSy 25kg; EB21; ľavý</v>
      </c>
      <c r="BF89" s="22">
        <f>VLOOKUP(BD89,CENY!$B$11:$G$1054,3,FALSE)</f>
        <v>20</v>
      </c>
      <c r="BG89" s="22"/>
      <c r="BH89" s="23">
        <f>AY56</f>
        <v>0</v>
      </c>
      <c r="BI89" s="326">
        <f t="shared" si="6"/>
        <v>0</v>
      </c>
      <c r="BJ89" s="95">
        <f>VLOOKUP(BD89,CENY!$B$11:$M$2025,12,FALSE)</f>
        <v>229.11434</v>
      </c>
      <c r="BK89" s="95">
        <f t="shared" si="7"/>
        <v>0</v>
      </c>
    </row>
    <row r="90" spans="47:63" ht="14.4" customHeight="1">
      <c r="AU90" s="20"/>
      <c r="AV90" s="21"/>
      <c r="AW90" s="22"/>
      <c r="AX90" s="22"/>
      <c r="AY90" s="23"/>
      <c r="AZ90" s="326" t="str">
        <f t="shared" si="5"/>
        <v/>
      </c>
      <c r="BA90" s="95"/>
      <c r="BB90" s="95" t="str">
        <f t="shared" si="4"/>
        <v/>
      </c>
      <c r="BD90" s="319">
        <f>OBJ!B317</f>
        <v>9256861</v>
      </c>
      <c r="BE90" s="21" t="str">
        <f>VLOOKUP(BD90,CENY!$B$11:$G$1054,2,FALSE)</f>
        <v>Quadro You(M) 350/SiSy 25kg; EB21; pravý</v>
      </c>
      <c r="BF90" s="22">
        <f>VLOOKUP(BD90,CENY!$B$11:$G$1054,3,FALSE)</f>
        <v>20</v>
      </c>
      <c r="BG90" s="22"/>
      <c r="BH90" s="23">
        <f>AY56</f>
        <v>0</v>
      </c>
      <c r="BI90" s="326">
        <f t="shared" si="6"/>
        <v>0</v>
      </c>
      <c r="BJ90" s="95">
        <f>VLOOKUP(BD90,CENY!$B$11:$M$2025,12,FALSE)</f>
        <v>229.11434</v>
      </c>
      <c r="BK90" s="95">
        <f t="shared" si="7"/>
        <v>0</v>
      </c>
    </row>
    <row r="91" spans="47:63" ht="14.4" customHeight="1">
      <c r="AU91" s="20"/>
      <c r="AV91" s="21"/>
      <c r="AW91" s="22"/>
      <c r="AX91" s="22"/>
      <c r="AY91" s="23"/>
      <c r="AZ91" s="326" t="str">
        <f t="shared" si="5"/>
        <v/>
      </c>
      <c r="BA91" s="95"/>
      <c r="BB91" s="95" t="str">
        <f t="shared" si="4"/>
        <v/>
      </c>
      <c r="BD91" s="319">
        <f>OBJ!B318</f>
        <v>9256864</v>
      </c>
      <c r="BE91" s="21" t="str">
        <f>VLOOKUP(BD91,CENY!$B$11:$G$1054,2,FALSE)</f>
        <v>Quadro You(M) 400/SiSy 30kg; EB21; ľavý</v>
      </c>
      <c r="BF91" s="22">
        <f>VLOOKUP(BD91,CENY!$B$11:$G$1054,3,FALSE)</f>
        <v>20</v>
      </c>
      <c r="BG91" s="22"/>
      <c r="BH91" s="23">
        <f>AY57</f>
        <v>0</v>
      </c>
      <c r="BI91" s="326">
        <f t="shared" si="6"/>
        <v>0</v>
      </c>
      <c r="BJ91" s="95">
        <f>VLOOKUP(BD91,CENY!$B$11:$M$2025,12,FALSE)</f>
        <v>233.96566000000001</v>
      </c>
      <c r="BK91" s="95">
        <f t="shared" si="7"/>
        <v>0</v>
      </c>
    </row>
    <row r="92" spans="47:63" ht="14.4" customHeight="1">
      <c r="AU92" s="20"/>
      <c r="AV92" s="21"/>
      <c r="AW92" s="22"/>
      <c r="AX92" s="22"/>
      <c r="AY92" s="23"/>
      <c r="AZ92" s="326" t="str">
        <f t="shared" si="5"/>
        <v/>
      </c>
      <c r="BA92" s="95"/>
      <c r="BB92" s="95" t="str">
        <f t="shared" si="4"/>
        <v/>
      </c>
      <c r="BD92" s="319">
        <f>OBJ!B319</f>
        <v>9256865</v>
      </c>
      <c r="BE92" s="21" t="str">
        <f>VLOOKUP(BD92,CENY!$B$11:$G$1054,2,FALSE)</f>
        <v>Quadro You(M) 400/SiSy 30kg; EB21; pravý</v>
      </c>
      <c r="BF92" s="22">
        <f>VLOOKUP(BD92,CENY!$B$11:$G$1054,3,FALSE)</f>
        <v>20</v>
      </c>
      <c r="BG92" s="22"/>
      <c r="BH92" s="23">
        <f>AY57</f>
        <v>0</v>
      </c>
      <c r="BI92" s="326">
        <f t="shared" si="6"/>
        <v>0</v>
      </c>
      <c r="BJ92" s="95">
        <f>VLOOKUP(BD92,CENY!$B$11:$M$2025,12,FALSE)</f>
        <v>233.96566000000001</v>
      </c>
      <c r="BK92" s="95">
        <f t="shared" si="7"/>
        <v>0</v>
      </c>
    </row>
    <row r="93" spans="47:63" ht="14.4" customHeight="1">
      <c r="AU93" s="20"/>
      <c r="AV93" s="21"/>
      <c r="AW93" s="22"/>
      <c r="AX93" s="22"/>
      <c r="AY93" s="23"/>
      <c r="AZ93" s="326" t="str">
        <f t="shared" si="5"/>
        <v/>
      </c>
      <c r="BA93" s="95"/>
      <c r="BB93" s="95" t="str">
        <f t="shared" si="4"/>
        <v/>
      </c>
      <c r="BD93" s="319">
        <f>OBJ!B320</f>
        <v>9256868</v>
      </c>
      <c r="BE93" s="21" t="str">
        <f>VLOOKUP(BD93,CENY!$B$11:$G$1054,2,FALSE)</f>
        <v>Quadro You(M) 450/SiSy 30kg; EB21; ľavý</v>
      </c>
      <c r="BF93" s="22">
        <f>VLOOKUP(BD93,CENY!$B$11:$G$1054,3,FALSE)</f>
        <v>20</v>
      </c>
      <c r="BG93" s="22"/>
      <c r="BH93" s="23">
        <f>AY58</f>
        <v>0</v>
      </c>
      <c r="BI93" s="326">
        <f t="shared" si="6"/>
        <v>0</v>
      </c>
      <c r="BJ93" s="95">
        <f>VLOOKUP(BD93,CENY!$B$11:$M$2025,12,FALSE)</f>
        <v>238.81201999999999</v>
      </c>
      <c r="BK93" s="95">
        <f t="shared" si="7"/>
        <v>0</v>
      </c>
    </row>
    <row r="94" spans="47:63" ht="14.4" customHeight="1">
      <c r="AU94" s="20"/>
      <c r="AV94" s="21"/>
      <c r="AW94" s="22"/>
      <c r="AX94" s="22"/>
      <c r="AY94" s="23"/>
      <c r="AZ94" s="326" t="str">
        <f t="shared" si="5"/>
        <v/>
      </c>
      <c r="BA94" s="95"/>
      <c r="BB94" s="95" t="str">
        <f t="shared" si="4"/>
        <v/>
      </c>
      <c r="BD94" s="319">
        <f>OBJ!B321</f>
        <v>9256869</v>
      </c>
      <c r="BE94" s="21" t="str">
        <f>VLOOKUP(BD94,CENY!$B$11:$G$1054,2,FALSE)</f>
        <v>Quadro You(M) 450/SiSy 30kg; EB21; pravý</v>
      </c>
      <c r="BF94" s="22">
        <f>VLOOKUP(BD94,CENY!$B$11:$G$1054,3,FALSE)</f>
        <v>20</v>
      </c>
      <c r="BG94" s="22"/>
      <c r="BH94" s="23">
        <f>AY58</f>
        <v>0</v>
      </c>
      <c r="BI94" s="326">
        <f t="shared" si="6"/>
        <v>0</v>
      </c>
      <c r="BJ94" s="95">
        <f>VLOOKUP(BD94,CENY!$B$11:$M$2025,12,FALSE)</f>
        <v>238.81201999999999</v>
      </c>
      <c r="BK94" s="95">
        <f t="shared" si="7"/>
        <v>0</v>
      </c>
    </row>
    <row r="95" spans="47:63" ht="14.4" customHeight="1">
      <c r="AU95" s="20"/>
      <c r="AV95" s="21"/>
      <c r="AW95" s="22"/>
      <c r="AX95" s="22"/>
      <c r="AY95" s="23"/>
      <c r="AZ95" s="326" t="str">
        <f t="shared" si="5"/>
        <v/>
      </c>
      <c r="BA95" s="95"/>
      <c r="BB95" s="95" t="str">
        <f t="shared" si="4"/>
        <v/>
      </c>
      <c r="BD95" s="319">
        <f>OBJ!B322</f>
        <v>9256872</v>
      </c>
      <c r="BE95" s="21" t="str">
        <f>VLOOKUP(BD95,CENY!$B$11:$G$1054,2,FALSE)</f>
        <v>Quadro You(M) 500/SiSy 30kg; EB21; ľavý</v>
      </c>
      <c r="BF95" s="22">
        <f>VLOOKUP(BD95,CENY!$B$11:$G$1054,3,FALSE)</f>
        <v>20</v>
      </c>
      <c r="BG95" s="22"/>
      <c r="BH95" s="23">
        <f>AY59</f>
        <v>0</v>
      </c>
      <c r="BI95" s="326">
        <f t="shared" si="6"/>
        <v>0</v>
      </c>
      <c r="BJ95" s="95">
        <f>VLOOKUP(BD95,CENY!$B$11:$M$2025,12,FALSE)</f>
        <v>237.18776</v>
      </c>
      <c r="BK95" s="95">
        <f t="shared" si="7"/>
        <v>0</v>
      </c>
    </row>
    <row r="96" spans="47:63" ht="14.4" customHeight="1">
      <c r="AU96" s="20"/>
      <c r="AV96" s="21"/>
      <c r="AW96" s="22"/>
      <c r="AX96" s="22"/>
      <c r="AY96" s="23"/>
      <c r="AZ96" s="326" t="str">
        <f t="shared" si="5"/>
        <v/>
      </c>
      <c r="BA96" s="95"/>
      <c r="BB96" s="95" t="str">
        <f t="shared" si="4"/>
        <v/>
      </c>
      <c r="BD96" s="319">
        <f>OBJ!B323</f>
        <v>9256873</v>
      </c>
      <c r="BE96" s="21" t="str">
        <f>VLOOKUP(BD96,CENY!$B$11:$G$1054,2,FALSE)</f>
        <v>Quadro You(M) 500/SiSy 30kg; EB21; pravý</v>
      </c>
      <c r="BF96" s="22">
        <f>VLOOKUP(BD96,CENY!$B$11:$G$1054,3,FALSE)</f>
        <v>20</v>
      </c>
      <c r="BG96" s="22"/>
      <c r="BH96" s="23">
        <f>AY59</f>
        <v>0</v>
      </c>
      <c r="BI96" s="326">
        <f t="shared" si="6"/>
        <v>0</v>
      </c>
      <c r="BJ96" s="95">
        <f>VLOOKUP(BD96,CENY!$B$11:$M$2025,12,FALSE)</f>
        <v>237.18776</v>
      </c>
      <c r="BK96" s="95">
        <f t="shared" si="7"/>
        <v>0</v>
      </c>
    </row>
    <row r="97" spans="47:63" ht="14.4" customHeight="1">
      <c r="AU97" s="20"/>
      <c r="AV97" s="21"/>
      <c r="AW97" s="22"/>
      <c r="AX97" s="22"/>
      <c r="AY97" s="23"/>
      <c r="AZ97" s="326" t="str">
        <f t="shared" si="5"/>
        <v/>
      </c>
      <c r="BA97" s="95"/>
      <c r="BB97" s="95" t="str">
        <f t="shared" si="4"/>
        <v/>
      </c>
      <c r="BD97" s="319">
        <f>OBJ!B324</f>
        <v>9256876</v>
      </c>
      <c r="BE97" s="21" t="str">
        <f>VLOOKUP(BD97,CENY!$B$11:$G$1054,2,FALSE)</f>
        <v>Quadro You(M) 550/SiSy 30kg; EB21; ľavý</v>
      </c>
      <c r="BF97" s="22">
        <f>VLOOKUP(BD97,CENY!$B$11:$G$1054,3,FALSE)</f>
        <v>20</v>
      </c>
      <c r="BG97" s="22"/>
      <c r="BH97" s="23">
        <f>AY60</f>
        <v>0</v>
      </c>
      <c r="BI97" s="326">
        <f t="shared" si="6"/>
        <v>0</v>
      </c>
      <c r="BJ97" s="95">
        <f>VLOOKUP(BD97,CENY!$B$11:$M$2025,12,FALSE)</f>
        <v>241.90996999999999</v>
      </c>
      <c r="BK97" s="95">
        <f t="shared" si="7"/>
        <v>0</v>
      </c>
    </row>
    <row r="98" spans="47:63" ht="14.4" customHeight="1">
      <c r="AU98" s="20"/>
      <c r="AV98" s="21"/>
      <c r="AW98" s="22"/>
      <c r="AX98" s="22"/>
      <c r="AY98" s="23"/>
      <c r="AZ98" s="326" t="str">
        <f t="shared" si="5"/>
        <v/>
      </c>
      <c r="BA98" s="95"/>
      <c r="BB98" s="95" t="str">
        <f t="shared" si="4"/>
        <v/>
      </c>
      <c r="BD98" s="319">
        <f>OBJ!B325</f>
        <v>9256877</v>
      </c>
      <c r="BE98" s="21" t="str">
        <f>VLOOKUP(BD98,CENY!$B$11:$G$1054,2,FALSE)</f>
        <v>Quadro You(M) 550/SiSy 30kg; EB21; pravý</v>
      </c>
      <c r="BF98" s="22">
        <f>VLOOKUP(BD98,CENY!$B$11:$G$1054,3,FALSE)</f>
        <v>20</v>
      </c>
      <c r="BG98" s="22"/>
      <c r="BH98" s="23">
        <f>AY60</f>
        <v>0</v>
      </c>
      <c r="BI98" s="326">
        <f t="shared" si="6"/>
        <v>0</v>
      </c>
      <c r="BJ98" s="95">
        <f>VLOOKUP(BD98,CENY!$B$11:$M$2025,12,FALSE)</f>
        <v>248.51953</v>
      </c>
      <c r="BK98" s="95">
        <f t="shared" si="7"/>
        <v>0</v>
      </c>
    </row>
    <row r="99" spans="47:63" ht="14.4" customHeight="1">
      <c r="AU99" s="20"/>
      <c r="AV99" s="21"/>
      <c r="AW99" s="22"/>
      <c r="AX99" s="22"/>
      <c r="AY99" s="23"/>
      <c r="AZ99" s="326" t="str">
        <f t="shared" si="5"/>
        <v/>
      </c>
      <c r="BA99" s="95"/>
      <c r="BB99" s="95" t="str">
        <f t="shared" si="4"/>
        <v/>
      </c>
      <c r="BD99" s="319">
        <f>OBJ!B326</f>
        <v>9256880</v>
      </c>
      <c r="BE99" s="21" t="str">
        <f>VLOOKUP(BD99,CENY!$B$11:$G$1054,2,FALSE)</f>
        <v>Quadro You(M) 600/SiSy 25kg; EB21; ľavý</v>
      </c>
      <c r="BF99" s="22">
        <f>VLOOKUP(BD99,CENY!$B$11:$G$1054,3,FALSE)</f>
        <v>20</v>
      </c>
      <c r="BG99" s="22"/>
      <c r="BH99" s="23">
        <f>AY61</f>
        <v>0</v>
      </c>
      <c r="BI99" s="326">
        <f t="shared" si="6"/>
        <v>0</v>
      </c>
      <c r="BJ99" s="95">
        <f>VLOOKUP(BD99,CENY!$B$11:$M$2025,12,FALSE)</f>
        <v>253.36837</v>
      </c>
      <c r="BK99" s="95">
        <f t="shared" si="7"/>
        <v>0</v>
      </c>
    </row>
    <row r="100" spans="47:63" ht="14.4" customHeight="1">
      <c r="AU100" s="20"/>
      <c r="AV100" s="21"/>
      <c r="AW100" s="22"/>
      <c r="AX100" s="22"/>
      <c r="AY100" s="23"/>
      <c r="AZ100" s="326" t="str">
        <f t="shared" si="5"/>
        <v/>
      </c>
      <c r="BA100" s="95"/>
      <c r="BB100" s="95" t="str">
        <f t="shared" si="4"/>
        <v/>
      </c>
      <c r="BD100" s="319">
        <f>OBJ!B327</f>
        <v>9256881</v>
      </c>
      <c r="BE100" s="21" t="str">
        <f>VLOOKUP(BD100,CENY!$B$11:$G$1054,2,FALSE)</f>
        <v>Quadro You(M) 600/SiSy 25kg; EB21; pravý</v>
      </c>
      <c r="BF100" s="22">
        <f>VLOOKUP(BD100,CENY!$B$11:$G$1054,3,FALSE)</f>
        <v>20</v>
      </c>
      <c r="BG100" s="22"/>
      <c r="BH100" s="23">
        <f>AY61</f>
        <v>0</v>
      </c>
      <c r="BI100" s="326">
        <f t="shared" si="6"/>
        <v>0</v>
      </c>
      <c r="BJ100" s="95">
        <f>VLOOKUP(BD100,CENY!$B$11:$M$2025,12,FALSE)</f>
        <v>253.36837</v>
      </c>
      <c r="BK100" s="95">
        <f t="shared" si="7"/>
        <v>0</v>
      </c>
    </row>
    <row r="101" spans="47:63">
      <c r="AU101" s="20"/>
      <c r="AV101" s="21"/>
      <c r="AW101" s="22"/>
      <c r="AX101" s="22"/>
      <c r="AY101" s="23"/>
      <c r="AZ101" s="326" t="str">
        <f t="shared" si="5"/>
        <v/>
      </c>
      <c r="BA101" s="95"/>
      <c r="BB101" s="95" t="str">
        <f t="shared" si="4"/>
        <v/>
      </c>
      <c r="BD101" s="319"/>
      <c r="BE101" s="21"/>
      <c r="BF101" s="22"/>
      <c r="BG101" s="22"/>
      <c r="BH101" s="23"/>
      <c r="BI101" s="326" t="str">
        <f t="shared" si="6"/>
        <v/>
      </c>
      <c r="BJ101" s="95"/>
      <c r="BK101" s="95" t="str">
        <f t="shared" si="7"/>
        <v/>
      </c>
    </row>
    <row r="102" spans="47:63">
      <c r="AU102" s="20"/>
      <c r="AV102" s="21"/>
      <c r="AW102" s="22"/>
      <c r="AX102" s="22"/>
      <c r="AY102" s="23"/>
      <c r="AZ102" s="326" t="str">
        <f t="shared" si="5"/>
        <v/>
      </c>
      <c r="BA102" s="95"/>
      <c r="BB102" s="95" t="str">
        <f t="shared" si="4"/>
        <v/>
      </c>
      <c r="BD102" s="319">
        <f>OBJ!B329</f>
        <v>9257894</v>
      </c>
      <c r="BE102" s="21" t="str">
        <f>VLOOKUP(BD102,CENY!$B$11:$G$1054,2,FALSE)</f>
        <v>Quadro You - Push to open Silent; &lt;10kg</v>
      </c>
      <c r="BF102" s="22">
        <f>VLOOKUP(BD102,CENY!$B$11:$G$1054,3,FALSE)</f>
        <v>1</v>
      </c>
      <c r="BG102" s="22"/>
      <c r="BH102" s="23">
        <f>AY63</f>
        <v>0</v>
      </c>
      <c r="BI102" s="326">
        <f t="shared" si="6"/>
        <v>0</v>
      </c>
      <c r="BJ102" s="95">
        <f>VLOOKUP(BD102,CENY!$B$11:$M$2025,12,FALSE)</f>
        <v>480.50922000000003</v>
      </c>
      <c r="BK102" s="95">
        <f t="shared" si="7"/>
        <v>0</v>
      </c>
    </row>
    <row r="103" spans="47:63">
      <c r="AU103" s="20"/>
      <c r="AV103" s="21"/>
      <c r="AW103" s="22"/>
      <c r="AX103" s="22"/>
      <c r="AY103" s="23"/>
      <c r="AZ103" s="326" t="str">
        <f t="shared" si="5"/>
        <v/>
      </c>
      <c r="BA103" s="95"/>
      <c r="BB103" s="95" t="str">
        <f t="shared" si="4"/>
        <v/>
      </c>
      <c r="BD103" s="319">
        <f>OBJ!B330</f>
        <v>9257895</v>
      </c>
      <c r="BE103" s="21" t="str">
        <f>VLOOKUP(BD103,CENY!$B$11:$G$1054,2,FALSE)</f>
        <v>Quadro You - Push to open Silent; 8-20kg</v>
      </c>
      <c r="BF103" s="22">
        <f>VLOOKUP(BD103,CENY!$B$11:$G$1054,3,FALSE)</f>
        <v>1</v>
      </c>
      <c r="BG103" s="22"/>
      <c r="BH103" s="23">
        <f>AY64</f>
        <v>0</v>
      </c>
      <c r="BI103" s="326">
        <f t="shared" si="6"/>
        <v>0</v>
      </c>
      <c r="BJ103" s="95">
        <f>VLOOKUP(BD103,CENY!$B$11:$M$2025,12,FALSE)</f>
        <v>480.50922000000003</v>
      </c>
      <c r="BK103" s="95">
        <f t="shared" si="7"/>
        <v>0</v>
      </c>
    </row>
    <row r="104" spans="47:63">
      <c r="AU104" s="20"/>
      <c r="AV104" s="21"/>
      <c r="AW104" s="22"/>
      <c r="AX104" s="22"/>
      <c r="AY104" s="23"/>
      <c r="AZ104" s="326" t="str">
        <f t="shared" si="5"/>
        <v/>
      </c>
      <c r="BA104" s="95"/>
      <c r="BB104" s="95" t="str">
        <f t="shared" si="4"/>
        <v/>
      </c>
      <c r="BD104" s="319">
        <f>OBJ!B331</f>
        <v>9257896</v>
      </c>
      <c r="BE104" s="21" t="str">
        <f>VLOOKUP(BD104,CENY!$B$11:$G$1054,2,FALSE)</f>
        <v>Quadro You - Push to open Silent; 10-30kg</v>
      </c>
      <c r="BF104" s="22">
        <f>VLOOKUP(BD104,CENY!$B$11:$G$1054,3,FALSE)</f>
        <v>1</v>
      </c>
      <c r="BG104" s="22"/>
      <c r="BH104" s="23">
        <f>AY65</f>
        <v>0</v>
      </c>
      <c r="BI104" s="326">
        <f t="shared" si="6"/>
        <v>0</v>
      </c>
      <c r="BJ104" s="95">
        <f>VLOOKUP(BD104,CENY!$B$11:$M$2025,12,FALSE)</f>
        <v>480.50922000000003</v>
      </c>
      <c r="BK104" s="95">
        <f t="shared" si="7"/>
        <v>0</v>
      </c>
    </row>
    <row r="105" spans="47:63">
      <c r="AU105" s="20"/>
      <c r="AV105" s="21"/>
      <c r="AW105" s="22"/>
      <c r="AX105" s="22"/>
      <c r="AY105" s="23"/>
      <c r="AZ105" s="326" t="str">
        <f t="shared" si="5"/>
        <v/>
      </c>
      <c r="BA105" s="95"/>
      <c r="BB105" s="95" t="str">
        <f t="shared" si="4"/>
        <v/>
      </c>
      <c r="BD105" s="319"/>
      <c r="BE105" s="21"/>
      <c r="BF105" s="22"/>
      <c r="BG105" s="22"/>
      <c r="BH105" s="23"/>
      <c r="BI105" s="326" t="str">
        <f t="shared" si="6"/>
        <v/>
      </c>
      <c r="BJ105" s="95"/>
      <c r="BK105" s="95" t="str">
        <f t="shared" si="7"/>
        <v/>
      </c>
    </row>
    <row r="106" spans="47:63">
      <c r="AU106" s="20"/>
      <c r="AV106" s="21"/>
      <c r="AW106" s="22"/>
      <c r="AX106" s="22"/>
      <c r="AY106" s="23"/>
      <c r="AZ106" s="326" t="str">
        <f t="shared" si="5"/>
        <v/>
      </c>
      <c r="BA106" s="95"/>
      <c r="BB106" s="95" t="str">
        <f t="shared" si="4"/>
        <v/>
      </c>
      <c r="BD106" s="319">
        <f>OBJ!B341</f>
        <v>9256899</v>
      </c>
      <c r="BE106" s="21" t="str">
        <f>VLOOKUP(BD106,CENY!$B$11:$G$1054,2,FALSE)</f>
        <v>Quadro You(M) 270/P2O 20kg; EB21; ľavý</v>
      </c>
      <c r="BF106" s="22">
        <f>VLOOKUP(BD106,CENY!$B$11:$G$1054,3,FALSE)</f>
        <v>20</v>
      </c>
      <c r="BG106" s="22"/>
      <c r="BH106" s="23">
        <f>AY67</f>
        <v>0</v>
      </c>
      <c r="BI106" s="326">
        <f t="shared" si="6"/>
        <v>0</v>
      </c>
      <c r="BJ106" s="95">
        <f>VLOOKUP(BD106,CENY!$B$11:$M$2025,12,FALSE)</f>
        <v>252.8922</v>
      </c>
      <c r="BK106" s="95">
        <f t="shared" si="7"/>
        <v>0</v>
      </c>
    </row>
    <row r="107" spans="47:63">
      <c r="AU107" s="20"/>
      <c r="AV107" s="21"/>
      <c r="AW107" s="22"/>
      <c r="AX107" s="22"/>
      <c r="AY107" s="23"/>
      <c r="AZ107" s="326" t="str">
        <f t="shared" si="5"/>
        <v/>
      </c>
      <c r="BA107" s="95"/>
      <c r="BB107" s="95" t="str">
        <f t="shared" si="4"/>
        <v/>
      </c>
      <c r="BD107" s="319">
        <f>OBJ!B342</f>
        <v>9256900</v>
      </c>
      <c r="BE107" s="21" t="str">
        <f>VLOOKUP(BD107,CENY!$B$11:$G$1054,2,FALSE)</f>
        <v>Quadro You(M) 270/P2O 20kg; EB21; pravý</v>
      </c>
      <c r="BF107" s="22">
        <f>VLOOKUP(BD107,CENY!$B$11:$G$1054,3,FALSE)</f>
        <v>20</v>
      </c>
      <c r="BG107" s="22"/>
      <c r="BH107" s="23">
        <f>AY67</f>
        <v>0</v>
      </c>
      <c r="BI107" s="326">
        <f t="shared" si="6"/>
        <v>0</v>
      </c>
      <c r="BJ107" s="95">
        <f>VLOOKUP(BD107,CENY!$B$11:$M$2025,12,FALSE)</f>
        <v>252.8922</v>
      </c>
      <c r="BK107" s="95">
        <f t="shared" si="7"/>
        <v>0</v>
      </c>
    </row>
    <row r="108" spans="47:63">
      <c r="AU108" s="20"/>
      <c r="AV108" s="21"/>
      <c r="AW108" s="22"/>
      <c r="AX108" s="22"/>
      <c r="AY108" s="23"/>
      <c r="AZ108" s="326" t="str">
        <f t="shared" si="5"/>
        <v/>
      </c>
      <c r="BA108" s="95"/>
      <c r="BB108" s="95" t="str">
        <f t="shared" si="4"/>
        <v/>
      </c>
      <c r="BD108" s="319">
        <f>OBJ!B343</f>
        <v>9256901</v>
      </c>
      <c r="BE108" s="21" t="str">
        <f>VLOOKUP(BD108,CENY!$B$11:$G$1054,2,FALSE)</f>
        <v>Quadro You(M) 300/P2O 20kg; EB21; ľavý</v>
      </c>
      <c r="BF108" s="22">
        <f>VLOOKUP(BD108,CENY!$B$11:$G$1054,3,FALSE)</f>
        <v>20</v>
      </c>
      <c r="BG108" s="22"/>
      <c r="BH108" s="23">
        <f>AY68</f>
        <v>0</v>
      </c>
      <c r="BI108" s="326">
        <f t="shared" si="6"/>
        <v>0</v>
      </c>
      <c r="BJ108" s="95">
        <f>VLOOKUP(BD108,CENY!$B$11:$M$2025,12,FALSE)</f>
        <v>253.36837</v>
      </c>
      <c r="BK108" s="95">
        <f t="shared" si="7"/>
        <v>0</v>
      </c>
    </row>
    <row r="109" spans="47:63">
      <c r="AU109" s="20"/>
      <c r="AV109" s="21"/>
      <c r="AW109" s="22"/>
      <c r="AX109" s="22"/>
      <c r="AY109" s="23"/>
      <c r="AZ109" s="326" t="str">
        <f t="shared" si="5"/>
        <v/>
      </c>
      <c r="BA109" s="95"/>
      <c r="BB109" s="95" t="str">
        <f t="shared" si="4"/>
        <v/>
      </c>
      <c r="BD109" s="319">
        <f>OBJ!B344</f>
        <v>9256902</v>
      </c>
      <c r="BE109" s="21" t="str">
        <f>VLOOKUP(BD109,CENY!$B$11:$G$1054,2,FALSE)</f>
        <v>Quadro You(M) 300/P2O 20kg; EB21; pravý</v>
      </c>
      <c r="BF109" s="22">
        <f>VLOOKUP(BD109,CENY!$B$11:$G$1054,3,FALSE)</f>
        <v>20</v>
      </c>
      <c r="BG109" s="22"/>
      <c r="BH109" s="23">
        <f>AY68</f>
        <v>0</v>
      </c>
      <c r="BI109" s="326">
        <f t="shared" si="6"/>
        <v>0</v>
      </c>
      <c r="BJ109" s="95">
        <f>VLOOKUP(BD109,CENY!$B$11:$M$2025,12,FALSE)</f>
        <v>253.36837</v>
      </c>
      <c r="BK109" s="95">
        <f t="shared" si="7"/>
        <v>0</v>
      </c>
    </row>
    <row r="110" spans="47:63">
      <c r="AU110" s="20"/>
      <c r="AV110" s="21"/>
      <c r="AW110" s="22"/>
      <c r="AX110" s="22"/>
      <c r="AY110" s="23"/>
      <c r="AZ110" s="326" t="str">
        <f t="shared" si="5"/>
        <v/>
      </c>
      <c r="BA110" s="95"/>
      <c r="BB110" s="95" t="str">
        <f t="shared" si="4"/>
        <v/>
      </c>
      <c r="BD110" s="319">
        <f>OBJ!B345</f>
        <v>9256905</v>
      </c>
      <c r="BE110" s="21" t="str">
        <f>VLOOKUP(BD110,CENY!$B$11:$G$1054,2,FALSE)</f>
        <v>Quadro You(M) 350/P2O 25kg; EB21; ľavý</v>
      </c>
      <c r="BF110" s="22">
        <f>VLOOKUP(BD110,CENY!$B$11:$G$1054,3,FALSE)</f>
        <v>20</v>
      </c>
      <c r="BG110" s="22"/>
      <c r="BH110" s="23">
        <f>AY69</f>
        <v>0</v>
      </c>
      <c r="BI110" s="326">
        <f t="shared" si="6"/>
        <v>0</v>
      </c>
      <c r="BJ110" s="95">
        <f>VLOOKUP(BD110,CENY!$B$11:$M$2025,12,FALSE)</f>
        <v>258.22465999999997</v>
      </c>
      <c r="BK110" s="95">
        <f t="shared" si="7"/>
        <v>0</v>
      </c>
    </row>
    <row r="111" spans="47:63">
      <c r="AU111" s="20"/>
      <c r="AV111" s="21"/>
      <c r="AW111" s="22"/>
      <c r="AX111" s="22"/>
      <c r="AY111" s="23"/>
      <c r="AZ111" s="326" t="str">
        <f t="shared" si="5"/>
        <v/>
      </c>
      <c r="BA111" s="95"/>
      <c r="BB111" s="95" t="str">
        <f t="shared" si="4"/>
        <v/>
      </c>
      <c r="BD111" s="319">
        <f>OBJ!B346</f>
        <v>9256906</v>
      </c>
      <c r="BE111" s="21" t="str">
        <f>VLOOKUP(BD111,CENY!$B$11:$G$1054,2,FALSE)</f>
        <v>Quadro You(M) 350/P2O 25kg; EB21; pravý</v>
      </c>
      <c r="BF111" s="22">
        <f>VLOOKUP(BD111,CENY!$B$11:$G$1054,3,FALSE)</f>
        <v>20</v>
      </c>
      <c r="BG111" s="22"/>
      <c r="BH111" s="23">
        <f>AY69</f>
        <v>0</v>
      </c>
      <c r="BI111" s="326">
        <f t="shared" si="6"/>
        <v>0</v>
      </c>
      <c r="BJ111" s="95">
        <f>VLOOKUP(BD111,CENY!$B$11:$M$2025,12,FALSE)</f>
        <v>258.22465999999997</v>
      </c>
      <c r="BK111" s="95">
        <f t="shared" si="7"/>
        <v>0</v>
      </c>
    </row>
    <row r="112" spans="47:63">
      <c r="AU112" s="20"/>
      <c r="AV112" s="21"/>
      <c r="AW112" s="22"/>
      <c r="AX112" s="22"/>
      <c r="AY112" s="23"/>
      <c r="AZ112" s="326" t="str">
        <f t="shared" si="5"/>
        <v/>
      </c>
      <c r="BA112" s="95"/>
      <c r="BB112" s="95" t="str">
        <f t="shared" si="4"/>
        <v/>
      </c>
      <c r="BD112" s="319">
        <f>OBJ!B347</f>
        <v>9256909</v>
      </c>
      <c r="BE112" s="21" t="str">
        <f>VLOOKUP(BD112,CENY!$B$11:$G$1054,2,FALSE)</f>
        <v>Quadro You(M) 400/P2O 30kg; EB21; ľavý</v>
      </c>
      <c r="BF112" s="22">
        <f>VLOOKUP(BD112,CENY!$B$11:$G$1054,3,FALSE)</f>
        <v>20</v>
      </c>
      <c r="BG112" s="22"/>
      <c r="BH112" s="23">
        <f>AY70</f>
        <v>0</v>
      </c>
      <c r="BI112" s="326">
        <f t="shared" si="6"/>
        <v>0</v>
      </c>
      <c r="BJ112" s="95">
        <f>VLOOKUP(BD112,CENY!$B$11:$M$2025,12,FALSE)</f>
        <v>263.07337999999999</v>
      </c>
      <c r="BK112" s="95">
        <f t="shared" si="7"/>
        <v>0</v>
      </c>
    </row>
    <row r="113" spans="47:63">
      <c r="AU113" s="20"/>
      <c r="AV113" s="21"/>
      <c r="AW113" s="22"/>
      <c r="AX113" s="22"/>
      <c r="AY113" s="23"/>
      <c r="AZ113" s="326" t="str">
        <f t="shared" si="5"/>
        <v/>
      </c>
      <c r="BA113" s="95"/>
      <c r="BB113" s="95" t="str">
        <f t="shared" si="4"/>
        <v/>
      </c>
      <c r="BD113" s="319">
        <f>OBJ!B348</f>
        <v>9256910</v>
      </c>
      <c r="BE113" s="21" t="str">
        <f>VLOOKUP(BD113,CENY!$B$11:$G$1054,2,FALSE)</f>
        <v>Quadro You(M) 400/P2O 30kg; EB21; pravý</v>
      </c>
      <c r="BF113" s="22">
        <f>VLOOKUP(BD113,CENY!$B$11:$G$1054,3,FALSE)</f>
        <v>20</v>
      </c>
      <c r="BG113" s="22"/>
      <c r="BH113" s="23">
        <f>AY70</f>
        <v>0</v>
      </c>
      <c r="BI113" s="326">
        <f t="shared" si="6"/>
        <v>0</v>
      </c>
      <c r="BJ113" s="95">
        <f>VLOOKUP(BD113,CENY!$B$11:$M$2025,12,FALSE)</f>
        <v>263.07337999999999</v>
      </c>
      <c r="BK113" s="95">
        <f t="shared" si="7"/>
        <v>0</v>
      </c>
    </row>
    <row r="114" spans="47:63">
      <c r="AU114" s="20"/>
      <c r="AV114" s="21"/>
      <c r="AW114" s="22"/>
      <c r="AX114" s="22"/>
      <c r="AY114" s="23"/>
      <c r="AZ114" s="326" t="str">
        <f t="shared" si="5"/>
        <v/>
      </c>
      <c r="BA114" s="95"/>
      <c r="BB114" s="95" t="str">
        <f t="shared" si="4"/>
        <v/>
      </c>
      <c r="BD114" s="319">
        <f>OBJ!B349</f>
        <v>9256913</v>
      </c>
      <c r="BE114" s="21" t="str">
        <f>VLOOKUP(BD114,CENY!$B$11:$G$1054,2,FALSE)</f>
        <v>Quadro You(M) 450/P2O 30kg; EB21; ľavý</v>
      </c>
      <c r="BF114" s="22">
        <f>VLOOKUP(BD114,CENY!$B$11:$G$1054,3,FALSE)</f>
        <v>20</v>
      </c>
      <c r="BG114" s="22"/>
      <c r="BH114" s="23">
        <f>AY71</f>
        <v>0</v>
      </c>
      <c r="BI114" s="326">
        <f t="shared" si="6"/>
        <v>0</v>
      </c>
      <c r="BJ114" s="95">
        <f>VLOOKUP(BD114,CENY!$B$11:$M$2025,12,FALSE)</f>
        <v>267.92221999999998</v>
      </c>
      <c r="BK114" s="95">
        <f t="shared" si="7"/>
        <v>0</v>
      </c>
    </row>
    <row r="115" spans="47:63">
      <c r="AU115" s="20"/>
      <c r="AV115" s="21"/>
      <c r="AW115" s="22"/>
      <c r="AX115" s="22"/>
      <c r="AY115" s="23"/>
      <c r="AZ115" s="326" t="str">
        <f t="shared" si="5"/>
        <v/>
      </c>
      <c r="BA115" s="95"/>
      <c r="BB115" s="95" t="str">
        <f t="shared" si="4"/>
        <v/>
      </c>
      <c r="BD115" s="319">
        <f>OBJ!B350</f>
        <v>9256914</v>
      </c>
      <c r="BE115" s="21" t="str">
        <f>VLOOKUP(BD115,CENY!$B$11:$G$1054,2,FALSE)</f>
        <v>Quadro You(M) 450/P2O 30kg; EB21; pravý</v>
      </c>
      <c r="BF115" s="22">
        <f>VLOOKUP(BD115,CENY!$B$11:$G$1054,3,FALSE)</f>
        <v>20</v>
      </c>
      <c r="BG115" s="22"/>
      <c r="BH115" s="23">
        <f>AY71</f>
        <v>0</v>
      </c>
      <c r="BI115" s="326">
        <f t="shared" si="6"/>
        <v>0</v>
      </c>
      <c r="BJ115" s="95">
        <f>VLOOKUP(BD115,CENY!$B$11:$M$2025,12,FALSE)</f>
        <v>267.92221999999998</v>
      </c>
      <c r="BK115" s="95">
        <f t="shared" si="7"/>
        <v>0</v>
      </c>
    </row>
    <row r="116" spans="47:63">
      <c r="AU116" s="20"/>
      <c r="AV116" s="21"/>
      <c r="AW116" s="22"/>
      <c r="AX116" s="22"/>
      <c r="AY116" s="23"/>
      <c r="AZ116" s="326" t="str">
        <f t="shared" si="5"/>
        <v/>
      </c>
      <c r="BA116" s="95"/>
      <c r="BB116" s="95" t="str">
        <f t="shared" si="4"/>
        <v/>
      </c>
      <c r="BD116" s="319">
        <f>OBJ!B351</f>
        <v>9256917</v>
      </c>
      <c r="BE116" s="21" t="str">
        <f>VLOOKUP(BD116,CENY!$B$11:$G$1054,2,FALSE)</f>
        <v>Quadro You(M) 500/P2O 30kg; EB21; ľavý</v>
      </c>
      <c r="BF116" s="22">
        <f>VLOOKUP(BD116,CENY!$B$11:$G$1054,3,FALSE)</f>
        <v>20</v>
      </c>
      <c r="BG116" s="22"/>
      <c r="BH116" s="23">
        <f>AY72</f>
        <v>0</v>
      </c>
      <c r="BI116" s="326">
        <f t="shared" si="6"/>
        <v>0</v>
      </c>
      <c r="BJ116" s="95">
        <f>VLOOKUP(BD116,CENY!$B$11:$M$2025,12,FALSE)</f>
        <v>265.52375999999998</v>
      </c>
      <c r="BK116" s="95">
        <f t="shared" si="7"/>
        <v>0</v>
      </c>
    </row>
    <row r="117" spans="47:63">
      <c r="AU117" s="20"/>
      <c r="AV117" s="21"/>
      <c r="AW117" s="22"/>
      <c r="AX117" s="22"/>
      <c r="AY117" s="23"/>
      <c r="AZ117" s="326" t="str">
        <f t="shared" si="5"/>
        <v/>
      </c>
      <c r="BA117" s="95"/>
      <c r="BB117" s="95" t="str">
        <f t="shared" si="4"/>
        <v/>
      </c>
      <c r="BD117" s="319">
        <f>OBJ!B352</f>
        <v>9256918</v>
      </c>
      <c r="BE117" s="21" t="str">
        <f>VLOOKUP(BD117,CENY!$B$11:$G$1054,2,FALSE)</f>
        <v>Quadro You(M) 500/P2O 30kg; EB21; pravý</v>
      </c>
      <c r="BF117" s="22">
        <f>VLOOKUP(BD117,CENY!$B$11:$G$1054,3,FALSE)</f>
        <v>20</v>
      </c>
      <c r="BG117" s="22"/>
      <c r="BH117" s="23">
        <f>AY72</f>
        <v>0</v>
      </c>
      <c r="BI117" s="326">
        <f t="shared" si="6"/>
        <v>0</v>
      </c>
      <c r="BJ117" s="95">
        <f>VLOOKUP(BD117,CENY!$B$11:$M$2025,12,FALSE)</f>
        <v>265.52375999999998</v>
      </c>
      <c r="BK117" s="95">
        <f t="shared" si="7"/>
        <v>0</v>
      </c>
    </row>
    <row r="118" spans="47:63">
      <c r="AU118" s="20"/>
      <c r="AV118" s="21"/>
      <c r="AW118" s="22"/>
      <c r="AX118" s="22"/>
      <c r="AY118" s="23"/>
      <c r="AZ118" s="326" t="str">
        <f t="shared" si="5"/>
        <v/>
      </c>
      <c r="BA118" s="95"/>
      <c r="BB118" s="95" t="str">
        <f t="shared" si="4"/>
        <v/>
      </c>
      <c r="BD118" s="319">
        <f>OBJ!B353</f>
        <v>9256921</v>
      </c>
      <c r="BE118" s="21" t="str">
        <f>VLOOKUP(BD118,CENY!$B$11:$G$1054,2,FALSE)</f>
        <v>Quadro You(M) 550/P2O 30kg; EB21; ľavý</v>
      </c>
      <c r="BF118" s="22">
        <f>VLOOKUP(BD118,CENY!$B$11:$G$1054,3,FALSE)</f>
        <v>20</v>
      </c>
      <c r="BG118" s="22"/>
      <c r="BH118" s="23">
        <f>AY73</f>
        <v>0</v>
      </c>
      <c r="BI118" s="326">
        <f t="shared" si="6"/>
        <v>0</v>
      </c>
      <c r="BJ118" s="95">
        <f>VLOOKUP(BD118,CENY!$B$11:$M$2025,12,FALSE)</f>
        <v>270.22431</v>
      </c>
      <c r="BK118" s="95">
        <f t="shared" si="7"/>
        <v>0</v>
      </c>
    </row>
    <row r="119" spans="47:63">
      <c r="AU119" s="20"/>
      <c r="AV119" s="21"/>
      <c r="AW119" s="22"/>
      <c r="AX119" s="22"/>
      <c r="AY119" s="23"/>
      <c r="AZ119" s="326" t="str">
        <f t="shared" si="5"/>
        <v/>
      </c>
      <c r="BA119" s="95"/>
      <c r="BB119" s="95" t="str">
        <f t="shared" si="4"/>
        <v/>
      </c>
      <c r="BD119" s="319">
        <f>OBJ!B354</f>
        <v>9256922</v>
      </c>
      <c r="BE119" s="21" t="str">
        <f>VLOOKUP(BD119,CENY!$B$11:$G$1054,2,FALSE)</f>
        <v>Quadro You(M) 550/P2O 30kg; EB21; pravý</v>
      </c>
      <c r="BF119" s="22">
        <f>VLOOKUP(BD119,CENY!$B$11:$G$1054,3,FALSE)</f>
        <v>20</v>
      </c>
      <c r="BG119" s="22"/>
      <c r="BH119" s="23">
        <f>AY73</f>
        <v>0</v>
      </c>
      <c r="BI119" s="326">
        <f t="shared" si="6"/>
        <v>0</v>
      </c>
      <c r="BJ119" s="95">
        <f>VLOOKUP(BD119,CENY!$B$11:$M$2025,12,FALSE)</f>
        <v>277.60748999999998</v>
      </c>
      <c r="BK119" s="95">
        <f t="shared" si="7"/>
        <v>0</v>
      </c>
    </row>
    <row r="120" spans="47:63">
      <c r="AU120" s="20"/>
      <c r="AV120" s="21"/>
      <c r="AW120" s="22"/>
      <c r="AX120" s="22"/>
      <c r="AY120" s="23"/>
      <c r="AZ120" s="326" t="str">
        <f t="shared" si="5"/>
        <v/>
      </c>
      <c r="BA120" s="95"/>
      <c r="BB120" s="95" t="str">
        <f t="shared" si="4"/>
        <v/>
      </c>
      <c r="BD120" s="319">
        <f>OBJ!B355</f>
        <v>9256925</v>
      </c>
      <c r="BE120" s="21" t="str">
        <f>VLOOKUP(BD120,CENY!$B$11:$G$1054,2,FALSE)</f>
        <v>Quadro You(M) 600/P2O 25kg; EB21; ľavý</v>
      </c>
      <c r="BF120" s="22">
        <f>VLOOKUP(BD120,CENY!$B$11:$G$1054,3,FALSE)</f>
        <v>20</v>
      </c>
      <c r="BG120" s="22"/>
      <c r="BH120" s="23">
        <f>AY74</f>
        <v>0</v>
      </c>
      <c r="BI120" s="326">
        <f t="shared" si="6"/>
        <v>0</v>
      </c>
      <c r="BJ120" s="95">
        <f>VLOOKUP(BD120,CENY!$B$11:$M$2025,12,FALSE)</f>
        <v>282.45375999999999</v>
      </c>
      <c r="BK120" s="95">
        <f t="shared" si="7"/>
        <v>0</v>
      </c>
    </row>
    <row r="121" spans="47:63">
      <c r="AU121" s="20"/>
      <c r="AV121" s="21"/>
      <c r="AW121" s="22"/>
      <c r="AX121" s="22"/>
      <c r="AY121" s="23"/>
      <c r="AZ121" s="326" t="str">
        <f t="shared" si="5"/>
        <v/>
      </c>
      <c r="BA121" s="95"/>
      <c r="BB121" s="95" t="str">
        <f t="shared" si="4"/>
        <v/>
      </c>
      <c r="BD121" s="319">
        <f>OBJ!B356</f>
        <v>9256926</v>
      </c>
      <c r="BE121" s="21" t="str">
        <f>VLOOKUP(BD121,CENY!$B$11:$G$1054,2,FALSE)</f>
        <v>Quadro You(M) 600/P2O 25kg; EB21; pravý</v>
      </c>
      <c r="BF121" s="22">
        <f>VLOOKUP(BD121,CENY!$B$11:$G$1054,3,FALSE)</f>
        <v>20</v>
      </c>
      <c r="BG121" s="22"/>
      <c r="BH121" s="23">
        <f>AY74</f>
        <v>0</v>
      </c>
      <c r="BI121" s="326">
        <f t="shared" si="6"/>
        <v>0</v>
      </c>
      <c r="BJ121" s="95">
        <f>VLOOKUP(BD121,CENY!$B$11:$M$2025,12,FALSE)</f>
        <v>282.45375999999999</v>
      </c>
      <c r="BK121" s="95">
        <f t="shared" si="7"/>
        <v>0</v>
      </c>
    </row>
    <row r="122" spans="47:63">
      <c r="AU122" s="20"/>
      <c r="AV122" s="21"/>
      <c r="AW122" s="22"/>
      <c r="AX122" s="22"/>
      <c r="AY122" s="23"/>
      <c r="AZ122" s="326" t="str">
        <f t="shared" si="5"/>
        <v/>
      </c>
      <c r="BA122" s="95"/>
      <c r="BB122" s="95" t="str">
        <f t="shared" si="4"/>
        <v/>
      </c>
      <c r="BD122" s="319"/>
      <c r="BE122" s="21"/>
      <c r="BF122" s="22"/>
      <c r="BG122" s="22"/>
      <c r="BH122" s="23"/>
      <c r="BI122" s="326" t="str">
        <f t="shared" si="6"/>
        <v/>
      </c>
      <c r="BJ122" s="95"/>
      <c r="BK122" s="95" t="str">
        <f t="shared" si="7"/>
        <v/>
      </c>
    </row>
    <row r="123" spans="47:63">
      <c r="AU123" s="20"/>
      <c r="AV123" s="21"/>
      <c r="AW123" s="22"/>
      <c r="AX123" s="22"/>
      <c r="AY123" s="23"/>
      <c r="AZ123" s="326" t="str">
        <f t="shared" si="5"/>
        <v/>
      </c>
      <c r="BA123" s="95"/>
      <c r="BB123" s="95" t="str">
        <f t="shared" si="4"/>
        <v/>
      </c>
      <c r="BD123" s="319">
        <f>OBJ!B358</f>
        <v>9219966</v>
      </c>
      <c r="BE123" s="21" t="str">
        <f>VLOOKUP(BD123,CENY!$B$11:$G$1054,2,FALSE)</f>
        <v>Push to open Synchro / adaptér typ A</v>
      </c>
      <c r="BF123" s="22">
        <f>VLOOKUP(BD123,CENY!$B$11:$G$1054,3,FALSE)</f>
        <v>200</v>
      </c>
      <c r="BG123" s="22"/>
      <c r="BH123" s="23">
        <f>AY76</f>
        <v>0</v>
      </c>
      <c r="BI123" s="326">
        <f t="shared" si="6"/>
        <v>0</v>
      </c>
      <c r="BJ123" s="95">
        <f>VLOOKUP(BD123,CENY!$B$11:$M$2025,12,FALSE)</f>
        <v>16.488900000000001</v>
      </c>
      <c r="BK123" s="95">
        <f t="shared" si="7"/>
        <v>0</v>
      </c>
    </row>
    <row r="124" spans="47:63">
      <c r="AU124" s="20"/>
      <c r="AV124" s="21"/>
      <c r="AW124" s="22"/>
      <c r="AX124" s="22"/>
      <c r="AY124" s="23"/>
      <c r="AZ124" s="326" t="str">
        <f t="shared" si="5"/>
        <v/>
      </c>
      <c r="BA124" s="95"/>
      <c r="BB124" s="95" t="str">
        <f t="shared" si="4"/>
        <v/>
      </c>
      <c r="BD124" s="319"/>
      <c r="BE124" s="21"/>
      <c r="BF124" s="22"/>
      <c r="BG124" s="22"/>
      <c r="BH124" s="23"/>
      <c r="BI124" s="326" t="str">
        <f t="shared" si="6"/>
        <v/>
      </c>
      <c r="BJ124" s="95"/>
      <c r="BK124" s="95" t="str">
        <f t="shared" si="7"/>
        <v/>
      </c>
    </row>
    <row r="125" spans="47:63">
      <c r="AU125" s="20"/>
      <c r="AV125" s="21"/>
      <c r="AW125" s="22"/>
      <c r="AX125" s="22"/>
      <c r="AY125" s="23"/>
      <c r="AZ125" s="326" t="str">
        <f t="shared" si="5"/>
        <v/>
      </c>
      <c r="BA125" s="95"/>
      <c r="BB125" s="95" t="str">
        <f t="shared" si="4"/>
        <v/>
      </c>
      <c r="BD125" s="319">
        <f>OBJ!B214</f>
        <v>0</v>
      </c>
      <c r="BE125" s="21" t="e">
        <f>VLOOKUP(BD125,CENY!$B$11:$G$1054,2,FALSE)</f>
        <v>#N/A</v>
      </c>
      <c r="BF125" s="22" t="e">
        <f>VLOOKUP(BD125,CENY!$B$11:$G$1054,3,FALSE)</f>
        <v>#N/A</v>
      </c>
      <c r="BG125" s="22"/>
      <c r="BH125" s="23">
        <f>AY80</f>
        <v>0</v>
      </c>
      <c r="BI125" s="326">
        <f t="shared" si="6"/>
        <v>0</v>
      </c>
      <c r="BJ125" s="324" t="str">
        <f>IF(BD125=0,"",VLOOKUP(BD125,CENY!$B$11:$M$2025,12,FALSE))</f>
        <v/>
      </c>
      <c r="BK125" s="95" t="str">
        <f t="shared" si="7"/>
        <v/>
      </c>
    </row>
    <row r="126" spans="47:63">
      <c r="AU126" s="20"/>
      <c r="AV126" s="21"/>
      <c r="AW126" s="22"/>
      <c r="AX126" s="22"/>
      <c r="AY126" s="23"/>
      <c r="AZ126" s="326" t="str">
        <f t="shared" si="5"/>
        <v/>
      </c>
      <c r="BA126" s="95"/>
      <c r="BB126" s="95" t="str">
        <f t="shared" si="4"/>
        <v/>
      </c>
      <c r="BD126" s="319"/>
      <c r="BE126" s="21"/>
      <c r="BF126" s="22"/>
      <c r="BG126" s="22"/>
      <c r="BH126" s="23"/>
      <c r="BI126" s="326" t="str">
        <f t="shared" si="6"/>
        <v/>
      </c>
      <c r="BJ126" s="95"/>
      <c r="BK126" s="95" t="str">
        <f t="shared" si="7"/>
        <v/>
      </c>
    </row>
    <row r="127" spans="47:63">
      <c r="AU127" s="319">
        <f>OBJ!B361</f>
        <v>45167</v>
      </c>
      <c r="AV127" s="21" t="str">
        <f>VLOOKUP(AU127,CENY!$B$11:$G$1054,2,FALSE)</f>
        <v>Skrutka s polgul.hlavou 3,5x12mm</v>
      </c>
      <c r="AW127" s="22">
        <f>VLOOKUP(AU127,CENY!$B$11:$G$1054,3,FALSE)</f>
        <v>200</v>
      </c>
      <c r="AX127" s="22"/>
      <c r="AY127" s="23">
        <f>SUMPRODUCT(AX5:AX13,AY5:AY13)</f>
        <v>0</v>
      </c>
      <c r="AZ127" s="326">
        <f t="shared" si="5"/>
        <v>0</v>
      </c>
      <c r="BA127" s="95">
        <f>VLOOKUP(AU127,CENY!$B$11:$M$2025,12,FALSE)</f>
        <v>0.84719999999999995</v>
      </c>
      <c r="BB127" s="95">
        <f t="shared" si="4"/>
        <v>0</v>
      </c>
      <c r="BC127" s="86" t="s">
        <v>396</v>
      </c>
      <c r="BD127" s="319">
        <f>OBJ!B361</f>
        <v>45167</v>
      </c>
      <c r="BE127" s="21" t="str">
        <f>VLOOKUP(BD127,CENY!$B$11:$G$1054,2,FALSE)</f>
        <v>Skrutka s polgul.hlavou 3,5x12mm</v>
      </c>
      <c r="BF127" s="22">
        <f>VLOOKUP(BD127,CENY!$B$11:$G$1054,3,FALSE)</f>
        <v>200</v>
      </c>
      <c r="BG127" s="22"/>
      <c r="BH127" s="23">
        <f>AY127+BH25*2</f>
        <v>0</v>
      </c>
      <c r="BI127" s="326">
        <f>IF(BH127="","",IF($AW$4=0,BH127,0))</f>
        <v>0</v>
      </c>
      <c r="BJ127" s="95">
        <f>VLOOKUP(BD127,CENY!$B$11:$M$2025,12,FALSE)</f>
        <v>0.84719999999999995</v>
      </c>
      <c r="BK127" s="95">
        <f>IF(BJ127="","",BJ127*BH127)</f>
        <v>0</v>
      </c>
    </row>
    <row r="128" spans="47:63">
      <c r="AU128" s="319">
        <f>OBJ!B362</f>
        <v>45168</v>
      </c>
      <c r="AV128" s="21" t="str">
        <f>VLOOKUP(AU128,CENY!$B$11:$G$1054,2,FALSE)</f>
        <v>Skrutka s polgul.hlavou 3,5x20mm</v>
      </c>
      <c r="AW128" s="22">
        <f>VLOOKUP(AU128,CENY!$B$11:$G$1054,3,FALSE)</f>
        <v>200</v>
      </c>
      <c r="AX128" s="22"/>
      <c r="AY128" s="360">
        <v>0</v>
      </c>
      <c r="AZ128" s="326">
        <f t="shared" si="5"/>
        <v>0</v>
      </c>
      <c r="BA128" s="95">
        <f>VLOOKUP(AU128,CENY!$B$11:$M$2025,12,FALSE)</f>
        <v>1.2154199999999999</v>
      </c>
      <c r="BB128" s="95">
        <f t="shared" si="4"/>
        <v>0</v>
      </c>
      <c r="BC128" s="86" t="s">
        <v>397</v>
      </c>
      <c r="BD128" s="319">
        <f>OBJ!B362</f>
        <v>45168</v>
      </c>
      <c r="BE128" s="21" t="str">
        <f>VLOOKUP(BD128,CENY!$B$11:$G$1054,2,FALSE)</f>
        <v>Skrutka s polgul.hlavou 3,5x20mm</v>
      </c>
      <c r="BF128" s="22">
        <f>VLOOKUP(BD128,CENY!$B$11:$G$1054,3,FALSE)</f>
        <v>200</v>
      </c>
      <c r="BG128" s="22"/>
      <c r="BH128" s="360">
        <f>IF(FORM!$AM$8=FORM!$AU$10,BH24*4,0)</f>
        <v>0</v>
      </c>
      <c r="BI128" s="326">
        <f>IF(BH128="","",IF($AW$4=0,BH128,0))</f>
        <v>0</v>
      </c>
      <c r="BJ128" s="95">
        <f>VLOOKUP(BD128,CENY!$B$11:$M$2025,12,FALSE)</f>
        <v>1.2154199999999999</v>
      </c>
      <c r="BK128" s="95">
        <f>IF(BJ128="","",BJ128*BH128)</f>
        <v>0</v>
      </c>
    </row>
    <row r="129" spans="47:63">
      <c r="AU129" s="319">
        <f>OBJ!B363</f>
        <v>9278224</v>
      </c>
      <c r="AV129" s="21" t="str">
        <f>VLOOKUP(AU129,CENY!$B$11:$G$1054,2,FALSE)</f>
        <v>Skrutka s polgul.hlavou 3,5x30mm</v>
      </c>
      <c r="AW129" s="22">
        <f>VLOOKUP(AU129,CENY!$B$11:$G$1054,3,FALSE)</f>
        <v>200</v>
      </c>
      <c r="AX129" s="22"/>
      <c r="AY129" s="360">
        <v>0</v>
      </c>
      <c r="AZ129" s="326">
        <f t="shared" si="5"/>
        <v>0</v>
      </c>
      <c r="BA129" s="95">
        <f>VLOOKUP(AU129,CENY!$B$11:$M$2025,12,FALSE)</f>
        <v>0.89337999999999995</v>
      </c>
      <c r="BB129" s="95">
        <f t="shared" si="4"/>
        <v>0</v>
      </c>
      <c r="BC129" s="86" t="s">
        <v>398</v>
      </c>
      <c r="BD129" s="319">
        <f>OBJ!B363</f>
        <v>9278224</v>
      </c>
      <c r="BE129" s="21" t="str">
        <f>VLOOKUP(BD129,CENY!$B$11:$G$1054,2,FALSE)</f>
        <v>Skrutka s polgul.hlavou 3,5x30mm</v>
      </c>
      <c r="BF129" s="22">
        <f>VLOOKUP(BD129,CENY!$B$11:$G$1054,3,FALSE)</f>
        <v>200</v>
      </c>
      <c r="BG129" s="22"/>
      <c r="BH129" s="360">
        <f>2*SUM(BH5:BH22)</f>
        <v>0</v>
      </c>
      <c r="BI129" s="326">
        <f>IF(BH129="","",IF($AW$4=0,BH129,0))</f>
        <v>0</v>
      </c>
      <c r="BJ129" s="95">
        <f>VLOOKUP(BD129,CENY!$B$11:$M$2025,12,FALSE)</f>
        <v>0.89337999999999995</v>
      </c>
      <c r="BK129" s="95">
        <f>IF(BJ129="","",BJ129*BH129)</f>
        <v>0</v>
      </c>
    </row>
    <row r="130" spans="47:63">
      <c r="AU130" s="319">
        <f>OBJ!B364</f>
        <v>9279197</v>
      </c>
      <c r="AV130" s="21" t="str">
        <f>VLOOKUP(AU130,CENY!$B$11:$G$1054,2,FALSE)</f>
        <v>Skrutka s polgul.hlavou M3,5x12mm</v>
      </c>
      <c r="AW130" s="22">
        <f>VLOOKUP(AU130,CENY!$B$11:$G$1054,3,FALSE)</f>
        <v>1000</v>
      </c>
      <c r="AX130" s="22"/>
      <c r="AY130" s="68">
        <v>0</v>
      </c>
      <c r="AZ130" s="326">
        <f t="shared" si="5"/>
        <v>0</v>
      </c>
      <c r="BA130" s="95">
        <f>VLOOKUP(AU130,CENY!$B$11:$M$2025,12,FALSE)</f>
        <v>0</v>
      </c>
      <c r="BB130" s="95">
        <f t="shared" si="4"/>
        <v>0</v>
      </c>
      <c r="BC130" s="86" t="s">
        <v>399</v>
      </c>
      <c r="BD130" s="319">
        <f>OBJ!B364</f>
        <v>9279197</v>
      </c>
      <c r="BE130" s="21" t="str">
        <f>VLOOKUP(BD130,CENY!$B$11:$G$1054,2,FALSE)</f>
        <v>Skrutka s polgul.hlavou M3,5x12mm</v>
      </c>
      <c r="BF130" s="22">
        <f>VLOOKUP(BD130,CENY!$B$11:$G$1054,3,FALSE)</f>
        <v>1000</v>
      </c>
      <c r="BG130" s="22"/>
      <c r="BH130" s="68">
        <f>AY130</f>
        <v>0</v>
      </c>
      <c r="BI130" s="326">
        <f>IF(BH130="","",IF($AW$4=0,BH130,0))</f>
        <v>0</v>
      </c>
      <c r="BJ130" s="95">
        <f>VLOOKUP(BD130,CENY!$B$11:$M$2025,12,FALSE)</f>
        <v>0</v>
      </c>
      <c r="BK130" s="95">
        <f>IF(BJ130="","",BJ130*BH130)</f>
        <v>0</v>
      </c>
    </row>
    <row r="131" spans="47:63">
      <c r="AU131" s="319">
        <f>OBJ!B365</f>
        <v>9137114</v>
      </c>
      <c r="AV131" s="21" t="str">
        <f>VLOOKUP(AU131,CENY!$B$11:$G$1054,2,FALSE)</f>
        <v>EURO-skrutka  6,0x14mm / niklovaná</v>
      </c>
      <c r="AW131" s="22">
        <f>VLOOKUP(AU131,CENY!$B$11:$G$1054,3,FALSE)</f>
        <v>200</v>
      </c>
      <c r="AX131" s="22"/>
      <c r="AY131" s="23">
        <f>SUMPRODUCT(AX25:AX74,AY25:AY74)</f>
        <v>0</v>
      </c>
      <c r="AZ131" s="326">
        <f t="shared" si="5"/>
        <v>0</v>
      </c>
      <c r="BA131" s="95">
        <f>VLOOKUP(AU131,CENY!$B$11:$M$2025,12,FALSE)</f>
        <v>1.8839300000000001</v>
      </c>
      <c r="BB131" s="95">
        <f>IF(BA131="","",BA131*AY131)</f>
        <v>0</v>
      </c>
      <c r="BC131" s="86" t="s">
        <v>400</v>
      </c>
      <c r="BD131" s="319">
        <f>OBJ!B365</f>
        <v>9137114</v>
      </c>
      <c r="BE131" s="21" t="str">
        <f>VLOOKUP(BD131,CENY!$B$11:$G$1054,2,FALSE)</f>
        <v>EURO-skrutka  6,0x14mm / niklovaná</v>
      </c>
      <c r="BF131" s="22">
        <f>VLOOKUP(BD131,CENY!$B$11:$G$1054,3,FALSE)</f>
        <v>200</v>
      </c>
      <c r="BG131" s="22"/>
      <c r="BH131" s="23">
        <f>AY131</f>
        <v>0</v>
      </c>
      <c r="BI131" s="326">
        <f>IF(BH131="","",IF($AW$4=0,BH131,0))</f>
        <v>0</v>
      </c>
      <c r="BJ131" s="95">
        <f>VLOOKUP(BD131,CENY!$B$11:$M$2025,12,FALSE)</f>
        <v>1.8839300000000001</v>
      </c>
      <c r="BK131" s="95">
        <f>IF(BJ131="","",BJ131*BH131)</f>
        <v>0</v>
      </c>
    </row>
    <row r="132" spans="47:63">
      <c r="AU132" s="20"/>
      <c r="AV132" s="21"/>
      <c r="AW132" s="22"/>
      <c r="AX132" s="22"/>
      <c r="AY132" s="23"/>
      <c r="AZ132" s="326" t="str">
        <f>IF(AY132="","",IF($AW$4=1,AY132,0))</f>
        <v/>
      </c>
      <c r="BA132" s="95"/>
      <c r="BB132" s="95" t="str">
        <f>IF(BA132="","",BA132*AY132)</f>
        <v/>
      </c>
      <c r="BD132" s="319"/>
      <c r="BE132" s="21"/>
      <c r="BF132" s="22"/>
      <c r="BG132" s="22"/>
      <c r="BH132" s="23"/>
      <c r="BI132" s="326" t="str">
        <f t="shared" si="6"/>
        <v/>
      </c>
      <c r="BJ132" s="95"/>
      <c r="BK132" s="95" t="str">
        <f t="shared" si="7"/>
        <v/>
      </c>
    </row>
    <row r="133" spans="47:63">
      <c r="AU133" s="20"/>
      <c r="AV133" s="21"/>
      <c r="AW133" s="22"/>
      <c r="AX133" s="22"/>
      <c r="AY133" s="23"/>
      <c r="AZ133" s="326" t="str">
        <f>IF(AY133="","",IF($AW$4=1,AY133,0))</f>
        <v/>
      </c>
      <c r="BA133" s="95"/>
      <c r="BB133" s="95" t="str">
        <f>IF(BA133="","",BA133*AY133)</f>
        <v/>
      </c>
      <c r="BD133" s="319"/>
      <c r="BE133" s="21"/>
      <c r="BF133" s="22"/>
      <c r="BG133" s="22"/>
      <c r="BH133" s="23"/>
      <c r="BI133" s="326" t="str">
        <f t="shared" si="6"/>
        <v/>
      </c>
      <c r="BJ133" s="95"/>
      <c r="BK133" s="95" t="str">
        <f t="shared" si="7"/>
        <v/>
      </c>
    </row>
    <row r="134" spans="47:63">
      <c r="BD134" s="319"/>
      <c r="BE134" s="21"/>
      <c r="BF134" s="22"/>
      <c r="BG134" s="22"/>
      <c r="BH134" s="23"/>
      <c r="BI134" s="326" t="str">
        <f>IF(BH134="","",IF($AW$4=0,BH134,0))</f>
        <v/>
      </c>
      <c r="BJ134" s="95"/>
      <c r="BK134" s="95" t="str">
        <f>IF(BJ134="","",BJ134*BH134)</f>
        <v/>
      </c>
    </row>
    <row r="135" spans="47:63">
      <c r="BD135" s="319"/>
      <c r="BE135" s="21"/>
      <c r="BF135" s="22"/>
      <c r="BG135" s="22"/>
      <c r="BH135" s="23"/>
      <c r="BI135" s="326" t="str">
        <f>IF(BH135="","",IF($AW$4=0,BH135,0))</f>
        <v/>
      </c>
      <c r="BJ135" s="95"/>
      <c r="BK135" s="95" t="str">
        <f>IF(BJ135="","",BJ135*BH135)</f>
        <v/>
      </c>
    </row>
  </sheetData>
  <sheetProtection algorithmName="SHA-512" hashValue="PETXBjZEssSYEDP6E7pG17nc+npJrcHjEl4GTSlGcmVz0Y9jqEikESnEP1QYdEbxEd7ftAa2U5i9fCR6nepeZw==" saltValue="qV+Xj7nMk+sMdsPbzeHI0A==" spinCount="100000" sheet="1" objects="1" scenarios="1"/>
  <mergeCells count="112">
    <mergeCell ref="Y30:Z30"/>
    <mergeCell ref="U28:V28"/>
    <mergeCell ref="W28:X28"/>
    <mergeCell ref="Y28:Z28"/>
    <mergeCell ref="AA28:AB28"/>
    <mergeCell ref="AA30:AB30"/>
    <mergeCell ref="AC30:AD30"/>
    <mergeCell ref="AN29:AO29"/>
    <mergeCell ref="B30:G30"/>
    <mergeCell ref="H30:L30"/>
    <mergeCell ref="M30:N30"/>
    <mergeCell ref="O30:P30"/>
    <mergeCell ref="Q30:R30"/>
    <mergeCell ref="S30:T30"/>
    <mergeCell ref="U30:V30"/>
    <mergeCell ref="W30:X30"/>
    <mergeCell ref="B27:G27"/>
    <mergeCell ref="H27:L27"/>
    <mergeCell ref="M27:N27"/>
    <mergeCell ref="O27:P27"/>
    <mergeCell ref="Q27:R27"/>
    <mergeCell ref="S27:T27"/>
    <mergeCell ref="AN27:AO27"/>
    <mergeCell ref="AC28:AD28"/>
    <mergeCell ref="AN28:AO28"/>
    <mergeCell ref="B28:G28"/>
    <mergeCell ref="H28:L28"/>
    <mergeCell ref="M28:N28"/>
    <mergeCell ref="O28:P28"/>
    <mergeCell ref="Q28:R28"/>
    <mergeCell ref="S28:T28"/>
    <mergeCell ref="AI25:AO25"/>
    <mergeCell ref="O26:P26"/>
    <mergeCell ref="Q26:R26"/>
    <mergeCell ref="S26:T26"/>
    <mergeCell ref="U26:V26"/>
    <mergeCell ref="W26:X26"/>
    <mergeCell ref="Y26:Z26"/>
    <mergeCell ref="AA26:AB26"/>
    <mergeCell ref="AC26:AD26"/>
    <mergeCell ref="AI26:AO26"/>
    <mergeCell ref="AN21:AO21"/>
    <mergeCell ref="B22:G22"/>
    <mergeCell ref="H22:L22"/>
    <mergeCell ref="M22:N22"/>
    <mergeCell ref="O22:P22"/>
    <mergeCell ref="Q22:R22"/>
    <mergeCell ref="S22:T22"/>
    <mergeCell ref="U22:V22"/>
    <mergeCell ref="W22:X22"/>
    <mergeCell ref="Y22:Z22"/>
    <mergeCell ref="AA22:AB22"/>
    <mergeCell ref="AC22:AD22"/>
    <mergeCell ref="AE22:AF22"/>
    <mergeCell ref="AN22:AO22"/>
    <mergeCell ref="B19:G19"/>
    <mergeCell ref="H19:L19"/>
    <mergeCell ref="M19:N19"/>
    <mergeCell ref="O19:P19"/>
    <mergeCell ref="Q19:R19"/>
    <mergeCell ref="S19:T19"/>
    <mergeCell ref="AN19:AO19"/>
    <mergeCell ref="B20:G20"/>
    <mergeCell ref="H20:L20"/>
    <mergeCell ref="M20:N20"/>
    <mergeCell ref="O20:P20"/>
    <mergeCell ref="Q20:R20"/>
    <mergeCell ref="S20:T20"/>
    <mergeCell ref="U20:V20"/>
    <mergeCell ref="W20:X20"/>
    <mergeCell ref="Y20:Z20"/>
    <mergeCell ref="AA20:AB20"/>
    <mergeCell ref="AC20:AD20"/>
    <mergeCell ref="AE20:AF20"/>
    <mergeCell ref="AN20:AO20"/>
    <mergeCell ref="B12:E12"/>
    <mergeCell ref="F12:I12"/>
    <mergeCell ref="J12:K12"/>
    <mergeCell ref="B13:E13"/>
    <mergeCell ref="F13:I13"/>
    <mergeCell ref="J13:K13"/>
    <mergeCell ref="O17:AF17"/>
    <mergeCell ref="AI17:AO17"/>
    <mergeCell ref="O18:P18"/>
    <mergeCell ref="Q18:R18"/>
    <mergeCell ref="S18:T18"/>
    <mergeCell ref="U18:V18"/>
    <mergeCell ref="W18:X18"/>
    <mergeCell ref="Y18:Z18"/>
    <mergeCell ref="AA18:AB18"/>
    <mergeCell ref="AC18:AD18"/>
    <mergeCell ref="AE18:AF18"/>
    <mergeCell ref="AI18:AO18"/>
    <mergeCell ref="B8:E8"/>
    <mergeCell ref="F8:K8"/>
    <mergeCell ref="B2:E2"/>
    <mergeCell ref="G2:K2"/>
    <mergeCell ref="B9:E9"/>
    <mergeCell ref="F9:K9"/>
    <mergeCell ref="B10:E10"/>
    <mergeCell ref="F10:K10"/>
    <mergeCell ref="B11:E11"/>
    <mergeCell ref="F11:K11"/>
    <mergeCell ref="U2:Y2"/>
    <mergeCell ref="AA2:AE2"/>
    <mergeCell ref="AI2:AM2"/>
    <mergeCell ref="AO2:AR2"/>
    <mergeCell ref="B6:E6"/>
    <mergeCell ref="F6:K6"/>
    <mergeCell ref="O2:S2"/>
    <mergeCell ref="B7:E7"/>
    <mergeCell ref="F7:K7"/>
  </mergeCells>
  <conditionalFormatting sqref="BH26:BH85 AY5:AY42 BH5:BH24 AZ6:AZ126 AZ132:AZ133">
    <cfRule type="cellIs" dxfId="866" priority="35" stopIfTrue="1" operator="equal">
      <formula>0</formula>
    </cfRule>
  </conditionalFormatting>
  <conditionalFormatting sqref="AY53:AY56 AY66:AY69 AY43:AY50">
    <cfRule type="cellIs" dxfId="865" priority="32" stopIfTrue="1" operator="equal">
      <formula>0</formula>
    </cfRule>
  </conditionalFormatting>
  <conditionalFormatting sqref="O17:AF17 O19:T19 O20:AD20 W22:AF22 O27:T27 O28:AD28 O30:AD30">
    <cfRule type="expression" dxfId="864" priority="34" stopIfTrue="1">
      <formula>$AW$4=0</formula>
    </cfRule>
  </conditionalFormatting>
  <conditionalFormatting sqref="AY76:AY77 AY79 AY81:AY83">
    <cfRule type="cellIs" dxfId="863" priority="31" stopIfTrue="1" operator="equal">
      <formula>0</formula>
    </cfRule>
  </conditionalFormatting>
  <conditionalFormatting sqref="AY84">
    <cfRule type="cellIs" dxfId="862" priority="30" stopIfTrue="1" operator="equal">
      <formula>0</formula>
    </cfRule>
  </conditionalFormatting>
  <conditionalFormatting sqref="AY88:AY97">
    <cfRule type="cellIs" dxfId="861" priority="29" stopIfTrue="1" operator="equal">
      <formula>0</formula>
    </cfRule>
  </conditionalFormatting>
  <conditionalFormatting sqref="BH25">
    <cfRule type="cellIs" dxfId="860" priority="28" stopIfTrue="1" operator="equal">
      <formula>0</formula>
    </cfRule>
  </conditionalFormatting>
  <conditionalFormatting sqref="AY51:AY52">
    <cfRule type="cellIs" dxfId="859" priority="27" stopIfTrue="1" operator="equal">
      <formula>0</formula>
    </cfRule>
  </conditionalFormatting>
  <conditionalFormatting sqref="AY57:AY63">
    <cfRule type="cellIs" dxfId="858" priority="26" stopIfTrue="1" operator="equal">
      <formula>0</formula>
    </cfRule>
  </conditionalFormatting>
  <conditionalFormatting sqref="AY70:AY73">
    <cfRule type="cellIs" dxfId="857" priority="25" stopIfTrue="1" operator="equal">
      <formula>0</formula>
    </cfRule>
  </conditionalFormatting>
  <conditionalFormatting sqref="AY74">
    <cfRule type="cellIs" dxfId="856" priority="24" stopIfTrue="1" operator="equal">
      <formula>0</formula>
    </cfRule>
  </conditionalFormatting>
  <conditionalFormatting sqref="AY75">
    <cfRule type="cellIs" dxfId="855" priority="23" stopIfTrue="1" operator="equal">
      <formula>0</formula>
    </cfRule>
  </conditionalFormatting>
  <conditionalFormatting sqref="AY78">
    <cfRule type="cellIs" dxfId="854" priority="22" stopIfTrue="1" operator="equal">
      <formula>0</formula>
    </cfRule>
  </conditionalFormatting>
  <conditionalFormatting sqref="AY85:AY87">
    <cfRule type="cellIs" dxfId="853" priority="21" stopIfTrue="1" operator="equal">
      <formula>0</formula>
    </cfRule>
  </conditionalFormatting>
  <conditionalFormatting sqref="BH101:BH106">
    <cfRule type="cellIs" dxfId="852" priority="20" stopIfTrue="1" operator="equal">
      <formula>0</formula>
    </cfRule>
  </conditionalFormatting>
  <conditionalFormatting sqref="BH122:BH124 BH126 BH132:BH135">
    <cfRule type="cellIs" dxfId="851" priority="19" stopIfTrue="1" operator="equal">
      <formula>0</formula>
    </cfRule>
  </conditionalFormatting>
  <conditionalFormatting sqref="AY98:AY126 AY132:AY133">
    <cfRule type="cellIs" dxfId="850" priority="18" stopIfTrue="1" operator="equal">
      <formula>0</formula>
    </cfRule>
  </conditionalFormatting>
  <conditionalFormatting sqref="AY64:AY65">
    <cfRule type="cellIs" dxfId="849" priority="17" stopIfTrue="1" operator="equal">
      <formula>0</formula>
    </cfRule>
  </conditionalFormatting>
  <conditionalFormatting sqref="BH86:BH100">
    <cfRule type="cellIs" dxfId="848" priority="16" stopIfTrue="1" operator="equal">
      <formula>0</formula>
    </cfRule>
  </conditionalFormatting>
  <conditionalFormatting sqref="BH107:BH121">
    <cfRule type="cellIs" dxfId="847" priority="15" stopIfTrue="1" operator="equal">
      <formula>0</formula>
    </cfRule>
  </conditionalFormatting>
  <conditionalFormatting sqref="AY80">
    <cfRule type="cellIs" dxfId="846" priority="14" stopIfTrue="1" operator="equal">
      <formula>0</formula>
    </cfRule>
  </conditionalFormatting>
  <conditionalFormatting sqref="BH125">
    <cfRule type="cellIs" dxfId="845" priority="13" stopIfTrue="1" operator="equal">
      <formula>0</formula>
    </cfRule>
  </conditionalFormatting>
  <conditionalFormatting sqref="F13:K13">
    <cfRule type="expression" dxfId="844" priority="12" stopIfTrue="1">
      <formula>$AW$4=1</formula>
    </cfRule>
  </conditionalFormatting>
  <conditionalFormatting sqref="AZ5">
    <cfRule type="cellIs" dxfId="843" priority="11" stopIfTrue="1" operator="equal">
      <formula>0</formula>
    </cfRule>
  </conditionalFormatting>
  <conditionalFormatting sqref="BI5">
    <cfRule type="cellIs" dxfId="842" priority="10" stopIfTrue="1" operator="equal">
      <formula>0</formula>
    </cfRule>
  </conditionalFormatting>
  <conditionalFormatting sqref="BI6:BI126 BI132:BI135">
    <cfRule type="cellIs" dxfId="841" priority="8" stopIfTrue="1" operator="equal">
      <formula>0</formula>
    </cfRule>
  </conditionalFormatting>
  <conditionalFormatting sqref="AZ127:AZ131">
    <cfRule type="cellIs" dxfId="840" priority="7" stopIfTrue="1" operator="equal">
      <formula>0</formula>
    </cfRule>
  </conditionalFormatting>
  <conditionalFormatting sqref="AY127:AY131">
    <cfRule type="cellIs" dxfId="839" priority="6" stopIfTrue="1" operator="equal">
      <formula>0</formula>
    </cfRule>
  </conditionalFormatting>
  <conditionalFormatting sqref="BH127 BH130:BH131">
    <cfRule type="cellIs" dxfId="838" priority="5" stopIfTrue="1" operator="equal">
      <formula>0</formula>
    </cfRule>
  </conditionalFormatting>
  <conditionalFormatting sqref="BI127:BI131">
    <cfRule type="cellIs" dxfId="837" priority="4" stopIfTrue="1" operator="equal">
      <formula>0</formula>
    </cfRule>
  </conditionalFormatting>
  <conditionalFormatting sqref="BH128:BH129">
    <cfRule type="cellIs" dxfId="836" priority="3" stopIfTrue="1" operator="equal">
      <formula>0</formula>
    </cfRule>
  </conditionalFormatting>
  <conditionalFormatting sqref="AI17:AO17">
    <cfRule type="expression" dxfId="835" priority="2" stopIfTrue="1">
      <formula>$AW$4=0</formula>
    </cfRule>
  </conditionalFormatting>
  <conditionalFormatting sqref="AI25:AO25">
    <cfRule type="expression" dxfId="834" priority="1" stopIfTrue="1">
      <formula>$AW$4=0</formula>
    </cfRule>
  </conditionalFormatting>
  <hyperlinks>
    <hyperlink ref="M4" location="MENU!A1" display="MENU!A1" xr:uid="{00000000-0004-0000-0700-000000000000}"/>
    <hyperlink ref="M10" location="OBJ!A1" display="OBJ!A1" xr:uid="{00000000-0004-0000-0700-000001000000}"/>
    <hyperlink ref="M9" location="suhrn!A1" display="suhrn!A1" xr:uid="{00000000-0004-0000-0700-000002000000}"/>
    <hyperlink ref="O2:S2" location="MENU!A5" display="MENU!A5" xr:uid="{00000000-0004-0000-0700-000003000000}"/>
  </hyperlinks>
  <printOptions horizontalCentered="1"/>
  <pageMargins left="0.19685039370078741" right="0.19685039370078741" top="0.19685039370078741" bottom="0.19685039370078741" header="0.31496062992125984" footer="0.31496062992125984"/>
  <pageSetup paperSize="9" orientation="landscape" r:id="rId1"/>
  <headerFooter>
    <oddHeader>&amp;R&amp;"Aptos"&amp;10&amp;K000000 Restricted&amp;1#_x000D_</oddHeader>
  </headerFooter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List51">
    <tabColor rgb="FFFFFF00"/>
  </sheetPr>
  <dimension ref="A1:BK107"/>
  <sheetViews>
    <sheetView showGridLines="0" showRowColHeaders="0" zoomScale="95" zoomScaleNormal="95" workbookViewId="0"/>
  </sheetViews>
  <sheetFormatPr defaultColWidth="9" defaultRowHeight="13.8"/>
  <cols>
    <col min="1" max="1" width="3.59765625" style="86" customWidth="1"/>
    <col min="2" max="4" width="3.09765625" style="86" customWidth="1"/>
    <col min="5" max="5" width="7.59765625" style="86" customWidth="1"/>
    <col min="6" max="44" width="3.09765625" style="86" customWidth="1"/>
    <col min="45" max="45" width="3.59765625" style="86" customWidth="1"/>
    <col min="46" max="46" width="9" style="86" customWidth="1"/>
    <col min="47" max="47" width="9" style="86" hidden="1" customWidth="1"/>
    <col min="48" max="48" width="32.5" style="86" hidden="1" customWidth="1"/>
    <col min="49" max="49" width="4.3984375" style="86" hidden="1" customWidth="1"/>
    <col min="50" max="50" width="2" style="86" hidden="1" customWidth="1"/>
    <col min="51" max="52" width="4.59765625" style="86" hidden="1" customWidth="1"/>
    <col min="53" max="54" width="9" style="86" hidden="1" customWidth="1"/>
    <col min="55" max="55" width="2.59765625" style="86" hidden="1" customWidth="1"/>
    <col min="56" max="56" width="9" style="86" hidden="1" customWidth="1"/>
    <col min="57" max="57" width="33.8984375" style="86" hidden="1" customWidth="1"/>
    <col min="58" max="58" width="4.3984375" style="86" hidden="1" customWidth="1"/>
    <col min="59" max="59" width="2" style="86" hidden="1" customWidth="1"/>
    <col min="60" max="61" width="4.59765625" style="86" hidden="1" customWidth="1"/>
    <col min="62" max="63" width="9" style="86" hidden="1" customWidth="1"/>
    <col min="64" max="75" width="9" style="86" customWidth="1"/>
    <col min="76" max="16384" width="9" style="86"/>
  </cols>
  <sheetData>
    <row r="1" spans="1:63" ht="12.9" customHeight="1" thickBot="1">
      <c r="AU1" s="140"/>
      <c r="AV1" s="279"/>
      <c r="AW1" s="279"/>
      <c r="AX1" s="140"/>
      <c r="AY1" s="140"/>
      <c r="AZ1" s="140"/>
      <c r="BA1" s="140"/>
      <c r="BB1" s="140"/>
      <c r="BC1" s="140"/>
      <c r="BD1" s="140"/>
      <c r="BE1" s="140"/>
      <c r="BF1" s="140"/>
      <c r="BG1" s="140"/>
      <c r="BH1" s="140"/>
      <c r="BI1" s="140"/>
      <c r="BJ1" s="140"/>
      <c r="BK1" s="140"/>
    </row>
    <row r="2" spans="1:63" ht="23.1" customHeight="1" thickBot="1">
      <c r="B2" s="475" t="str">
        <f>verze!E13</f>
        <v>&lt;&lt;  zpět</v>
      </c>
      <c r="C2" s="476"/>
      <c r="D2" s="476"/>
      <c r="E2" s="477"/>
      <c r="G2" s="513" t="str">
        <f>verze!E6</f>
        <v xml:space="preserve"> Úvod</v>
      </c>
      <c r="H2" s="514"/>
      <c r="I2" s="514"/>
      <c r="J2" s="514"/>
      <c r="K2" s="515"/>
      <c r="O2" s="500" t="str">
        <f>verze!E7</f>
        <v xml:space="preserve"> Výběr zásuvek</v>
      </c>
      <c r="P2" s="501"/>
      <c r="Q2" s="501"/>
      <c r="R2" s="501"/>
      <c r="S2" s="502"/>
      <c r="U2" s="513" t="str">
        <f>verze!E8</f>
        <v xml:space="preserve"> </v>
      </c>
      <c r="V2" s="514"/>
      <c r="W2" s="514"/>
      <c r="X2" s="514"/>
      <c r="Y2" s="515"/>
      <c r="AA2" s="513" t="str">
        <f>verze!E9</f>
        <v xml:space="preserve"> </v>
      </c>
      <c r="AB2" s="514"/>
      <c r="AC2" s="514"/>
      <c r="AD2" s="514"/>
      <c r="AE2" s="515"/>
      <c r="AI2" s="513" t="str">
        <f>verze!E10</f>
        <v xml:space="preserve"> Objednávka</v>
      </c>
      <c r="AJ2" s="514"/>
      <c r="AK2" s="514"/>
      <c r="AL2" s="514"/>
      <c r="AM2" s="515"/>
      <c r="AO2" s="475" t="str">
        <f>verze!E14</f>
        <v>vpřed  &gt;&gt;</v>
      </c>
      <c r="AP2" s="476"/>
      <c r="AQ2" s="476"/>
      <c r="AR2" s="477"/>
      <c r="AV2" s="143"/>
      <c r="AW2" s="143"/>
    </row>
    <row r="3" spans="1:63" ht="12.9" customHeight="1">
      <c r="AV3" s="143"/>
      <c r="AW3" s="143"/>
    </row>
    <row r="4" spans="1:63" ht="23.1" customHeight="1">
      <c r="A4" s="89"/>
      <c r="B4" s="93" t="str">
        <f>verze!E206&amp;" AVANTECH YOU  251"</f>
        <v>Zásuvka AVANTECH YOU  251</v>
      </c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U4" s="94" t="s">
        <v>33</v>
      </c>
      <c r="AW4" s="285">
        <f>IF(FORM!AU13=FORM!U18,1,0)</f>
        <v>1</v>
      </c>
      <c r="BB4" s="322">
        <f>SUM(BB5:BB962)</f>
        <v>0</v>
      </c>
      <c r="BD4" s="94" t="s">
        <v>34</v>
      </c>
      <c r="BK4" s="322">
        <f>SUM(BK5:BK953)</f>
        <v>0</v>
      </c>
    </row>
    <row r="5" spans="1:63" ht="14.4" customHeight="1">
      <c r="AU5" s="319">
        <f>OBJ!B143</f>
        <v>9353372</v>
      </c>
      <c r="AV5" s="21" t="str">
        <f>VLOOKUP(AU5,CENY!$B$11:$G$1054,2,FALSE)</f>
        <v>AvanY-sólo oceľ.boky-NW 251/350mm/strieb.</v>
      </c>
      <c r="AW5" s="22">
        <f>VLOOKUP(AU5,CENY!$B$11:$G$1054,3,FALSE)</f>
        <v>1</v>
      </c>
      <c r="AX5" s="362">
        <v>6</v>
      </c>
      <c r="AY5" s="23">
        <f>S19+S20+S27+S28+S30</f>
        <v>0</v>
      </c>
      <c r="AZ5" s="326">
        <f>IF(AY5="","",IF($AW$4=1,AY5,0))</f>
        <v>0</v>
      </c>
      <c r="BA5" s="95">
        <f>VLOOKUP(AU5,CENY!$B$11:$M$2025,12,FALSE)</f>
        <v>1154.06167</v>
      </c>
      <c r="BB5" s="95">
        <f t="shared" ref="BB5:BB62" si="0">IF(BA5="","",BA5*AY5)</f>
        <v>0</v>
      </c>
      <c r="BD5" s="319">
        <f>OBJ!B152</f>
        <v>9255066</v>
      </c>
      <c r="BE5" s="21" t="str">
        <f>VLOOKUP(BD5,CENY!$B$11:$G$1054,2,FALSE)</f>
        <v>AvanY-bok ľavý /v251/h350/ strieborná</v>
      </c>
      <c r="BF5" s="22">
        <f>VLOOKUP(BD5,CENY!$B$11:$G$1054,3,FALSE)</f>
        <v>10</v>
      </c>
      <c r="BG5" s="22"/>
      <c r="BH5" s="23">
        <f>AY5</f>
        <v>0</v>
      </c>
      <c r="BI5" s="326">
        <f>IF(BH5="","",IF($AW$4=0,BH5,0))</f>
        <v>0</v>
      </c>
      <c r="BJ5" s="95">
        <f>VLOOKUP(BD5,CENY!$B$11:$M$2025,12,FALSE)</f>
        <v>557.43890999999996</v>
      </c>
      <c r="BK5" s="95">
        <f>IF(BJ5="","",BJ5*BH5)</f>
        <v>0</v>
      </c>
    </row>
    <row r="6" spans="1:63" ht="14.4" customHeight="1">
      <c r="B6" s="549" t="str">
        <f>" "&amp;verze!E90</f>
        <v xml:space="preserve"> bočnice:</v>
      </c>
      <c r="C6" s="549"/>
      <c r="D6" s="549"/>
      <c r="E6" s="549"/>
      <c r="F6" s="564" t="s">
        <v>342</v>
      </c>
      <c r="G6" s="564"/>
      <c r="H6" s="564"/>
      <c r="I6" s="564"/>
      <c r="J6" s="564"/>
      <c r="K6" s="564"/>
      <c r="AU6" s="319">
        <f>OBJ!B144</f>
        <v>9353373</v>
      </c>
      <c r="AV6" s="21" t="str">
        <f>VLOOKUP(AU6,CENY!$B$11:$G$1054,2,FALSE)</f>
        <v>AvanY-sólo oceľ.boky-NW 251/400mm/strieb.</v>
      </c>
      <c r="AW6" s="22">
        <f>VLOOKUP(AU6,CENY!$B$11:$G$1054,3,FALSE)</f>
        <v>1</v>
      </c>
      <c r="AX6" s="362">
        <v>6</v>
      </c>
      <c r="AY6" s="23">
        <f>U20+U28+U30</f>
        <v>0</v>
      </c>
      <c r="AZ6" s="326">
        <f t="shared" ref="AZ6:AZ67" si="1">IF(AY6="","",IF($AW$4=1,AY6,0))</f>
        <v>0</v>
      </c>
      <c r="BA6" s="95">
        <f>VLOOKUP(AU6,CENY!$B$11:$M$2025,12,FALSE)</f>
        <v>1172.4555</v>
      </c>
      <c r="BB6" s="95">
        <f t="shared" si="0"/>
        <v>0</v>
      </c>
      <c r="BD6" s="319">
        <f>OBJ!B153</f>
        <v>9255067</v>
      </c>
      <c r="BE6" s="21" t="str">
        <f>VLOOKUP(BD6,CENY!$B$11:$G$1054,2,FALSE)</f>
        <v>AvanY-bok pravý /v251/h350/ strieborná</v>
      </c>
      <c r="BF6" s="22">
        <f>VLOOKUP(BD6,CENY!$B$11:$G$1054,3,FALSE)</f>
        <v>10</v>
      </c>
      <c r="BG6" s="22"/>
      <c r="BH6" s="23">
        <f>AY5</f>
        <v>0</v>
      </c>
      <c r="BI6" s="326">
        <f t="shared" ref="BI6:BI69" si="2">IF(BH6="","",IF($AW$4=0,BH6,0))</f>
        <v>0</v>
      </c>
      <c r="BJ6" s="95">
        <f>VLOOKUP(BD6,CENY!$B$11:$M$2025,12,FALSE)</f>
        <v>557.43890999999996</v>
      </c>
      <c r="BK6" s="95">
        <f t="shared" ref="BK6:BK66" si="3">IF(BJ6="","",BJ6*BH6)</f>
        <v>0</v>
      </c>
    </row>
    <row r="7" spans="1:63" ht="14.4" customHeight="1">
      <c r="B7" s="549" t="str">
        <f>" "&amp;verze!E56</f>
        <v xml:space="preserve"> barva:</v>
      </c>
      <c r="C7" s="549"/>
      <c r="D7" s="549"/>
      <c r="E7" s="549"/>
      <c r="F7" s="564" t="str">
        <f>" "&amp;FORM!U8</f>
        <v xml:space="preserve"> stříbrná</v>
      </c>
      <c r="G7" s="564"/>
      <c r="H7" s="564"/>
      <c r="I7" s="564"/>
      <c r="J7" s="564"/>
      <c r="K7" s="564"/>
      <c r="AU7" s="319">
        <f>OBJ!B145</f>
        <v>9353374</v>
      </c>
      <c r="AV7" s="21" t="str">
        <f>VLOOKUP(AU7,CENY!$B$11:$G$1054,2,FALSE)</f>
        <v>AvanY-sólo oceľ.boky-NW 251/450mm/strieb.</v>
      </c>
      <c r="AW7" s="22">
        <f>VLOOKUP(AU7,CENY!$B$11:$G$1054,3,FALSE)</f>
        <v>1</v>
      </c>
      <c r="AX7" s="362">
        <v>6</v>
      </c>
      <c r="AY7" s="23">
        <f>W20+W22+W28+W30</f>
        <v>0</v>
      </c>
      <c r="AZ7" s="326">
        <f t="shared" si="1"/>
        <v>0</v>
      </c>
      <c r="BA7" s="95">
        <f>VLOOKUP(AU7,CENY!$B$11:$M$2025,12,FALSE)</f>
        <v>1159.16713</v>
      </c>
      <c r="BB7" s="95">
        <f t="shared" si="0"/>
        <v>0</v>
      </c>
      <c r="BD7" s="319">
        <f>OBJ!B154</f>
        <v>9255068</v>
      </c>
      <c r="BE7" s="21" t="str">
        <f>VLOOKUP(BD7,CENY!$B$11:$G$1054,2,FALSE)</f>
        <v>AvanY-bok ľavý /v251/h400/ strieborná</v>
      </c>
      <c r="BF7" s="22">
        <f>VLOOKUP(BD7,CENY!$B$11:$G$1054,3,FALSE)</f>
        <v>10</v>
      </c>
      <c r="BG7" s="22"/>
      <c r="BH7" s="23">
        <f>AY6</f>
        <v>0</v>
      </c>
      <c r="BI7" s="326">
        <f t="shared" si="2"/>
        <v>0</v>
      </c>
      <c r="BJ7" s="95">
        <f>VLOOKUP(BD7,CENY!$B$11:$M$2025,12,FALSE)</f>
        <v>567.51482999999996</v>
      </c>
      <c r="BK7" s="95">
        <f t="shared" si="3"/>
        <v>0</v>
      </c>
    </row>
    <row r="8" spans="1:63" ht="14.4" customHeight="1">
      <c r="B8" s="549" t="str">
        <f>" "&amp;verze!E70</f>
        <v xml:space="preserve"> dekorativní profil:</v>
      </c>
      <c r="C8" s="549"/>
      <c r="D8" s="549"/>
      <c r="E8" s="549"/>
      <c r="F8" s="564" t="str">
        <f>" "&amp;FORM!AM18</f>
        <v xml:space="preserve"> v barvě bočnice</v>
      </c>
      <c r="G8" s="564"/>
      <c r="H8" s="564"/>
      <c r="I8" s="564"/>
      <c r="J8" s="564"/>
      <c r="K8" s="564"/>
      <c r="AU8" s="319">
        <f>OBJ!B146</f>
        <v>9353375</v>
      </c>
      <c r="AV8" s="21" t="str">
        <f>VLOOKUP(AU8,CENY!$B$11:$G$1054,2,FALSE)</f>
        <v>AvanY-sólo oceľ.boky-NW 251/500mm/strieb.</v>
      </c>
      <c r="AW8" s="22">
        <f>VLOOKUP(AU8,CENY!$B$11:$G$1054,3,FALSE)</f>
        <v>1</v>
      </c>
      <c r="AX8" s="362">
        <v>8</v>
      </c>
      <c r="AY8" s="23">
        <f>Y20+Y22+Y28+Y30</f>
        <v>0</v>
      </c>
      <c r="AZ8" s="326">
        <f t="shared" si="1"/>
        <v>0</v>
      </c>
      <c r="BA8" s="95">
        <f>VLOOKUP(AU8,CENY!$B$11:$M$2025,12,FALSE)</f>
        <v>1177.06744</v>
      </c>
      <c r="BB8" s="95">
        <f t="shared" si="0"/>
        <v>0</v>
      </c>
      <c r="BD8" s="319">
        <f>OBJ!B155</f>
        <v>9255069</v>
      </c>
      <c r="BE8" s="21" t="str">
        <f>VLOOKUP(BD8,CENY!$B$11:$G$1054,2,FALSE)</f>
        <v>AvanY-bok pravý /v251/h400/ strieborná</v>
      </c>
      <c r="BF8" s="22">
        <f>VLOOKUP(BD8,CENY!$B$11:$G$1054,3,FALSE)</f>
        <v>10</v>
      </c>
      <c r="BG8" s="22"/>
      <c r="BH8" s="23">
        <f>AY6</f>
        <v>0</v>
      </c>
      <c r="BI8" s="326">
        <f t="shared" si="2"/>
        <v>0</v>
      </c>
      <c r="BJ8" s="95">
        <f>VLOOKUP(BD8,CENY!$B$11:$M$2025,12,FALSE)</f>
        <v>567.51482999999996</v>
      </c>
      <c r="BK8" s="95">
        <f t="shared" si="3"/>
        <v>0</v>
      </c>
    </row>
    <row r="9" spans="1:63" ht="14.4" customHeight="1">
      <c r="B9" s="549"/>
      <c r="C9" s="549"/>
      <c r="D9" s="549"/>
      <c r="E9" s="549"/>
      <c r="F9" s="564"/>
      <c r="G9" s="564"/>
      <c r="H9" s="564"/>
      <c r="I9" s="564"/>
      <c r="J9" s="564"/>
      <c r="K9" s="564"/>
      <c r="AU9" s="319">
        <f>OBJ!B147</f>
        <v>9353376</v>
      </c>
      <c r="AV9" s="21" t="str">
        <f>VLOOKUP(AU9,CENY!$B$11:$G$1054,2,FALSE)</f>
        <v>AvanY-sólo oceľ.boky-NW 251/550mm/strieb.</v>
      </c>
      <c r="AW9" s="22">
        <f>VLOOKUP(AU9,CENY!$B$11:$G$1054,3,FALSE)</f>
        <v>1</v>
      </c>
      <c r="AX9" s="362">
        <v>8</v>
      </c>
      <c r="AY9" s="23">
        <f>AA20+AA22+AA28+AA30</f>
        <v>0</v>
      </c>
      <c r="AZ9" s="326">
        <f t="shared" si="1"/>
        <v>0</v>
      </c>
      <c r="BA9" s="95">
        <f>VLOOKUP(AU9,CENY!$B$11:$M$2025,12,FALSE)</f>
        <v>1227.6127799999999</v>
      </c>
      <c r="BB9" s="95">
        <f t="shared" si="0"/>
        <v>0</v>
      </c>
      <c r="BD9" s="319">
        <f>OBJ!B156</f>
        <v>9255070</v>
      </c>
      <c r="BE9" s="21" t="str">
        <f>VLOOKUP(BD9,CENY!$B$11:$G$1054,2,FALSE)</f>
        <v>AvanY-bok ľavý /v251/h450/ strieborná</v>
      </c>
      <c r="BF9" s="22">
        <f>VLOOKUP(BD9,CENY!$B$11:$G$1054,3,FALSE)</f>
        <v>10</v>
      </c>
      <c r="BG9" s="22"/>
      <c r="BH9" s="23">
        <f>AY7</f>
        <v>0</v>
      </c>
      <c r="BI9" s="326">
        <f t="shared" si="2"/>
        <v>0</v>
      </c>
      <c r="BJ9" s="95">
        <f>VLOOKUP(BD9,CENY!$B$11:$M$2025,12,FALSE)</f>
        <v>577.59074999999996</v>
      </c>
      <c r="BK9" s="95">
        <f t="shared" si="3"/>
        <v>0</v>
      </c>
    </row>
    <row r="10" spans="1:63" ht="14.4" customHeight="1">
      <c r="B10" s="549" t="str">
        <f>" "&amp;verze!E57</f>
        <v xml:space="preserve"> čelní kování:</v>
      </c>
      <c r="C10" s="549"/>
      <c r="D10" s="549"/>
      <c r="E10" s="549"/>
      <c r="F10" s="563" t="str">
        <f>" "&amp;FORM!AM8</f>
        <v xml:space="preserve"> na vruty</v>
      </c>
      <c r="G10" s="563"/>
      <c r="H10" s="563"/>
      <c r="I10" s="563"/>
      <c r="J10" s="563"/>
      <c r="K10" s="563"/>
      <c r="AU10" s="319">
        <f>OBJ!B148</f>
        <v>9353377</v>
      </c>
      <c r="AV10" s="21" t="str">
        <f>VLOOKUP(AU10,CENY!$B$11:$G$1054,2,FALSE)</f>
        <v>AvanY-sólo oceľ.boky-NW 251/600mm/strieb.</v>
      </c>
      <c r="AW10" s="22">
        <f>VLOOKUP(AU10,CENY!$B$11:$G$1054,3,FALSE)</f>
        <v>1</v>
      </c>
      <c r="AX10" s="362">
        <v>8</v>
      </c>
      <c r="AY10" s="23">
        <f>AC20+AC22+AC28+AC30</f>
        <v>0</v>
      </c>
      <c r="AZ10" s="326">
        <f t="shared" si="1"/>
        <v>0</v>
      </c>
      <c r="BA10" s="95">
        <f>VLOOKUP(AU10,CENY!$B$11:$M$2025,12,FALSE)</f>
        <v>1255.0867800000001</v>
      </c>
      <c r="BB10" s="95">
        <f t="shared" si="0"/>
        <v>0</v>
      </c>
      <c r="BD10" s="319">
        <f>OBJ!B157</f>
        <v>9255071</v>
      </c>
      <c r="BE10" s="21" t="str">
        <f>VLOOKUP(BD10,CENY!$B$11:$G$1054,2,FALSE)</f>
        <v>AvanY-bok pravý /v251/h450/ strieborná</v>
      </c>
      <c r="BF10" s="22">
        <f>VLOOKUP(BD10,CENY!$B$11:$G$1054,3,FALSE)</f>
        <v>10</v>
      </c>
      <c r="BG10" s="22"/>
      <c r="BH10" s="23">
        <f>AY7</f>
        <v>0</v>
      </c>
      <c r="BI10" s="326">
        <f t="shared" si="2"/>
        <v>0</v>
      </c>
      <c r="BJ10" s="95">
        <f>VLOOKUP(BD10,CENY!$B$11:$M$2025,12,FALSE)</f>
        <v>577.59074999999996</v>
      </c>
      <c r="BK10" s="95">
        <f t="shared" si="3"/>
        <v>0</v>
      </c>
    </row>
    <row r="11" spans="1:63" ht="14.4" customHeight="1">
      <c r="B11" s="549" t="str">
        <f>" "&amp;verze!E76</f>
        <v xml:space="preserve"> krytka:</v>
      </c>
      <c r="C11" s="549"/>
      <c r="D11" s="549"/>
      <c r="E11" s="549"/>
      <c r="F11" s="563" t="str">
        <f>" "&amp;FORM!AM21</f>
        <v xml:space="preserve"> žádná</v>
      </c>
      <c r="G11" s="563"/>
      <c r="H11" s="563"/>
      <c r="I11" s="563"/>
      <c r="J11" s="563"/>
      <c r="K11" s="563"/>
      <c r="AU11" s="319">
        <f>OBJ!B149</f>
        <v>9353378</v>
      </c>
      <c r="AV11" s="21" t="str">
        <f>VLOOKUP(AU11,CENY!$B$11:$G$1054,2,FALSE)</f>
        <v>AvanY-sólo oceľ.boky-NW 251/650mm/strieb.</v>
      </c>
      <c r="AW11" s="22">
        <f>VLOOKUP(AU11,CENY!$B$11:$G$1054,3,FALSE)</f>
        <v>1</v>
      </c>
      <c r="AX11" s="362">
        <v>10</v>
      </c>
      <c r="AY11" s="23">
        <f>AE22</f>
        <v>0</v>
      </c>
      <c r="AZ11" s="326">
        <f t="shared" si="1"/>
        <v>0</v>
      </c>
      <c r="BA11" s="95">
        <f>VLOOKUP(AU11,CENY!$B$11:$M$2025,12,FALSE)</f>
        <v>1293.44064</v>
      </c>
      <c r="BB11" s="95">
        <f t="shared" si="0"/>
        <v>0</v>
      </c>
      <c r="BD11" s="319">
        <f>OBJ!B158</f>
        <v>9255072</v>
      </c>
      <c r="BE11" s="21" t="str">
        <f>VLOOKUP(BD11,CENY!$B$11:$G$1054,2,FALSE)</f>
        <v>AvanY-bok ľavý /v251/h500/ strieborná</v>
      </c>
      <c r="BF11" s="22">
        <f>VLOOKUP(BD11,CENY!$B$11:$G$1054,3,FALSE)</f>
        <v>10</v>
      </c>
      <c r="BG11" s="22"/>
      <c r="BH11" s="23">
        <f>AY8</f>
        <v>0</v>
      </c>
      <c r="BI11" s="326">
        <f t="shared" si="2"/>
        <v>0</v>
      </c>
      <c r="BJ11" s="95">
        <f>VLOOKUP(BD11,CENY!$B$11:$M$2025,12,FALSE)</f>
        <v>572.03471999999999</v>
      </c>
      <c r="BK11" s="95">
        <f t="shared" si="3"/>
        <v>0</v>
      </c>
    </row>
    <row r="12" spans="1:63" ht="14.4" customHeight="1" thickBot="1">
      <c r="B12" s="549"/>
      <c r="C12" s="549"/>
      <c r="D12" s="549"/>
      <c r="E12" s="550"/>
      <c r="F12" s="564"/>
      <c r="G12" s="564"/>
      <c r="H12" s="564"/>
      <c r="I12" s="564"/>
      <c r="J12" s="564"/>
      <c r="K12" s="564"/>
      <c r="AU12" s="319"/>
      <c r="AV12" s="21"/>
      <c r="AW12" s="22"/>
      <c r="AX12" s="22"/>
      <c r="AY12" s="23"/>
      <c r="AZ12" s="326" t="str">
        <f t="shared" si="1"/>
        <v/>
      </c>
      <c r="BA12" s="95"/>
      <c r="BB12" s="95" t="str">
        <f t="shared" si="0"/>
        <v/>
      </c>
      <c r="BD12" s="319">
        <f>OBJ!B159</f>
        <v>9255073</v>
      </c>
      <c r="BE12" s="21" t="str">
        <f>VLOOKUP(BD12,CENY!$B$11:$G$1054,2,FALSE)</f>
        <v>AvanY-bok pravý /v251/h500/ strieborná</v>
      </c>
      <c r="BF12" s="22">
        <f>VLOOKUP(BD12,CENY!$B$11:$G$1054,3,FALSE)</f>
        <v>10</v>
      </c>
      <c r="BG12" s="22"/>
      <c r="BH12" s="23">
        <f>AY8</f>
        <v>0</v>
      </c>
      <c r="BI12" s="326">
        <f t="shared" si="2"/>
        <v>0</v>
      </c>
      <c r="BJ12" s="95">
        <f>VLOOKUP(BD12,CENY!$B$11:$M$2025,12,FALSE)</f>
        <v>572.03471999999999</v>
      </c>
      <c r="BK12" s="95">
        <f t="shared" si="3"/>
        <v>0</v>
      </c>
    </row>
    <row r="13" spans="1:63" ht="14.4" customHeight="1">
      <c r="B13" s="549" t="str">
        <f>" "&amp;verze!E92</f>
        <v xml:space="preserve"> cena kování:</v>
      </c>
      <c r="C13" s="549"/>
      <c r="D13" s="549"/>
      <c r="E13" s="550"/>
      <c r="F13" s="555">
        <f>IF(AW4=1,BB4,BK4)</f>
        <v>0</v>
      </c>
      <c r="G13" s="555"/>
      <c r="H13" s="555"/>
      <c r="I13" s="555"/>
      <c r="J13" s="556" t="str">
        <f>IF(verze!E1="CZK","CZK","EUR")</f>
        <v>CZK</v>
      </c>
      <c r="K13" s="557"/>
      <c r="AU13" s="319">
        <f>OBJ!B73</f>
        <v>9347504</v>
      </c>
      <c r="AV13" s="21" t="str">
        <f>VLOOKUP(AU13,CENY!$B$11:$G$1054,2,FALSE)</f>
        <v>AvanY-design ALprofil Hybrid na bok 350/ strieb.</v>
      </c>
      <c r="AW13" s="22">
        <f>VLOOKUP(AU13,CENY!$B$11:$G$1054,3,FALSE)</f>
        <v>200</v>
      </c>
      <c r="AX13" s="22"/>
      <c r="AY13" s="23">
        <f>IF(FORM!AM18=FORM!AU16,0,2*(S19+S20+S27+S28+S30))</f>
        <v>0</v>
      </c>
      <c r="AZ13" s="326">
        <f t="shared" si="1"/>
        <v>0</v>
      </c>
      <c r="BA13" s="95">
        <f>VLOOKUP(AU13,CENY!$B$11:$M$2025,12,FALSE)</f>
        <v>20.37642</v>
      </c>
      <c r="BB13" s="95">
        <f t="shared" si="0"/>
        <v>0</v>
      </c>
      <c r="BD13" s="319">
        <f>OBJ!B160</f>
        <v>9255074</v>
      </c>
      <c r="BE13" s="21" t="str">
        <f>VLOOKUP(BD13,CENY!$B$11:$G$1054,2,FALSE)</f>
        <v>AvanY-bok ľavý /v251/h550/ strieborná</v>
      </c>
      <c r="BF13" s="22">
        <f>VLOOKUP(BD13,CENY!$B$11:$G$1054,3,FALSE)</f>
        <v>10</v>
      </c>
      <c r="BG13" s="22"/>
      <c r="BH13" s="23">
        <f>AY9</f>
        <v>0</v>
      </c>
      <c r="BI13" s="326">
        <f t="shared" si="2"/>
        <v>0</v>
      </c>
      <c r="BJ13" s="95">
        <f>VLOOKUP(BD13,CENY!$B$11:$M$2025,12,FALSE)</f>
        <v>597.74</v>
      </c>
      <c r="BK13" s="95">
        <f t="shared" si="3"/>
        <v>0</v>
      </c>
    </row>
    <row r="14" spans="1:63" ht="14.4" customHeight="1">
      <c r="AU14" s="319">
        <f>OBJ!B74</f>
        <v>9347505</v>
      </c>
      <c r="AV14" s="21" t="str">
        <f>VLOOKUP(AU14,CENY!$B$11:$G$1054,2,FALSE)</f>
        <v>AvanY-design ALprofil Hybrid na bok 400/ strieb.</v>
      </c>
      <c r="AW14" s="22">
        <f>VLOOKUP(AU14,CENY!$B$11:$G$1054,3,FALSE)</f>
        <v>200</v>
      </c>
      <c r="AX14" s="22"/>
      <c r="AY14" s="23">
        <f>IF(FORM!AM18=FORM!AU16,0,2*(U20+U28+U30))</f>
        <v>0</v>
      </c>
      <c r="AZ14" s="326">
        <f t="shared" si="1"/>
        <v>0</v>
      </c>
      <c r="BA14" s="95">
        <f>VLOOKUP(AU14,CENY!$B$11:$M$2025,12,FALSE)</f>
        <v>20.742249999999999</v>
      </c>
      <c r="BB14" s="95">
        <f t="shared" si="0"/>
        <v>0</v>
      </c>
      <c r="BD14" s="319">
        <f>OBJ!B161</f>
        <v>9255075</v>
      </c>
      <c r="BE14" s="21" t="str">
        <f>VLOOKUP(BD14,CENY!$B$11:$G$1054,2,FALSE)</f>
        <v>AvanY-bok pravý /v251/h550/ strieborná</v>
      </c>
      <c r="BF14" s="22">
        <f>VLOOKUP(BD14,CENY!$B$11:$G$1054,3,FALSE)</f>
        <v>10</v>
      </c>
      <c r="BG14" s="22"/>
      <c r="BH14" s="23">
        <f>AY9</f>
        <v>0</v>
      </c>
      <c r="BI14" s="326">
        <f t="shared" si="2"/>
        <v>0</v>
      </c>
      <c r="BJ14" s="95">
        <f>VLOOKUP(BD14,CENY!$B$11:$M$2025,12,FALSE)</f>
        <v>597.74</v>
      </c>
      <c r="BK14" s="95">
        <f t="shared" si="3"/>
        <v>0</v>
      </c>
    </row>
    <row r="15" spans="1:63" ht="14.4" customHeight="1">
      <c r="AU15" s="319">
        <f>OBJ!B75</f>
        <v>9347506</v>
      </c>
      <c r="AV15" s="21" t="str">
        <f>VLOOKUP(AU15,CENY!$B$11:$G$1054,2,FALSE)</f>
        <v>AvanY-design ALprofil Hybrid na bok 450/ strieb.</v>
      </c>
      <c r="AW15" s="22">
        <f>VLOOKUP(AU15,CENY!$B$11:$G$1054,3,FALSE)</f>
        <v>200</v>
      </c>
      <c r="AX15" s="22"/>
      <c r="AY15" s="23">
        <f>IF(FORM!AM18=FORM!AU16,0,2*(W20+W22+W28+W30))</f>
        <v>0</v>
      </c>
      <c r="AZ15" s="326">
        <f t="shared" si="1"/>
        <v>0</v>
      </c>
      <c r="BA15" s="95">
        <f>VLOOKUP(AU15,CENY!$B$11:$M$2025,12,FALSE)</f>
        <v>21.111910000000002</v>
      </c>
      <c r="BB15" s="95">
        <f t="shared" si="0"/>
        <v>0</v>
      </c>
      <c r="BD15" s="319">
        <f>OBJ!B162</f>
        <v>9255076</v>
      </c>
      <c r="BE15" s="21" t="str">
        <f>VLOOKUP(BD15,CENY!$B$11:$G$1054,2,FALSE)</f>
        <v>AvanY-bok ľavý /v251/h600/ strieborná</v>
      </c>
      <c r="BF15" s="22">
        <f>VLOOKUP(BD15,CENY!$B$11:$G$1054,3,FALSE)</f>
        <v>10</v>
      </c>
      <c r="BG15" s="22"/>
      <c r="BH15" s="23">
        <f>AY10</f>
        <v>0</v>
      </c>
      <c r="BI15" s="326">
        <f t="shared" si="2"/>
        <v>0</v>
      </c>
      <c r="BJ15" s="95">
        <f>VLOOKUP(BD15,CENY!$B$11:$M$2025,12,FALSE)</f>
        <v>612.93876999999998</v>
      </c>
      <c r="BK15" s="95">
        <f t="shared" si="3"/>
        <v>0</v>
      </c>
    </row>
    <row r="16" spans="1:63" ht="14.4" customHeight="1">
      <c r="AU16" s="319">
        <f>OBJ!B76</f>
        <v>9347507</v>
      </c>
      <c r="AV16" s="21" t="str">
        <f>VLOOKUP(AU16,CENY!$B$11:$G$1054,2,FALSE)</f>
        <v>AvanY-design ALprofil Hybrid na bok 500/ strieb.</v>
      </c>
      <c r="AW16" s="22">
        <f>VLOOKUP(AU16,CENY!$B$11:$G$1054,3,FALSE)</f>
        <v>200</v>
      </c>
      <c r="AX16" s="22"/>
      <c r="AY16" s="23">
        <f>IF(FORM!AM18=FORM!AU16,0,2*(Y20+Y22+Y28+Y30))</f>
        <v>0</v>
      </c>
      <c r="AZ16" s="326">
        <f t="shared" si="1"/>
        <v>0</v>
      </c>
      <c r="BA16" s="95">
        <f>VLOOKUP(AU16,CENY!$B$11:$M$2025,12,FALSE)</f>
        <v>21.479700000000001</v>
      </c>
      <c r="BB16" s="95">
        <f t="shared" si="0"/>
        <v>0</v>
      </c>
      <c r="BD16" s="319">
        <f>OBJ!B163</f>
        <v>9255077</v>
      </c>
      <c r="BE16" s="21" t="str">
        <f>VLOOKUP(BD16,CENY!$B$11:$G$1054,2,FALSE)</f>
        <v>AvanY-bok pravý /v251/h600/ strieborná</v>
      </c>
      <c r="BF16" s="22">
        <f>VLOOKUP(BD16,CENY!$B$11:$G$1054,3,FALSE)</f>
        <v>10</v>
      </c>
      <c r="BG16" s="22"/>
      <c r="BH16" s="23">
        <f>AY10</f>
        <v>0</v>
      </c>
      <c r="BI16" s="326">
        <f t="shared" si="2"/>
        <v>0</v>
      </c>
      <c r="BJ16" s="95">
        <f>VLOOKUP(BD16,CENY!$B$11:$M$2025,12,FALSE)</f>
        <v>612.93876999999998</v>
      </c>
      <c r="BK16" s="95">
        <f t="shared" si="3"/>
        <v>0</v>
      </c>
    </row>
    <row r="17" spans="2:63" ht="14.4" customHeight="1" thickBot="1">
      <c r="B17" s="1" t="s">
        <v>284</v>
      </c>
      <c r="O17" s="547" t="str">
        <f>FORM!U18</f>
        <v>flexibilní sety</v>
      </c>
      <c r="P17" s="548"/>
      <c r="Q17" s="548"/>
      <c r="R17" s="548"/>
      <c r="S17" s="548"/>
      <c r="T17" s="548"/>
      <c r="U17" s="548"/>
      <c r="V17" s="548"/>
      <c r="W17" s="548"/>
      <c r="X17" s="548"/>
      <c r="Y17" s="548"/>
      <c r="Z17" s="548"/>
      <c r="AA17" s="548"/>
      <c r="AB17" s="548"/>
      <c r="AC17" s="548"/>
      <c r="AD17" s="548"/>
      <c r="AE17" s="548"/>
      <c r="AF17" s="548"/>
      <c r="AI17" s="540" t="str">
        <f>verze!E198</f>
        <v>P2O Silent pro Actro</v>
      </c>
      <c r="AJ17" s="541"/>
      <c r="AK17" s="541"/>
      <c r="AL17" s="541"/>
      <c r="AM17" s="541"/>
      <c r="AN17" s="541"/>
      <c r="AO17" s="541"/>
      <c r="AU17" s="319">
        <f>OBJ!B77</f>
        <v>9347508</v>
      </c>
      <c r="AV17" s="21" t="str">
        <f>VLOOKUP(AU17,CENY!$B$11:$G$1054,2,FALSE)</f>
        <v>AvanY-design ALprofil Hybrid na bok 550/ strieb.</v>
      </c>
      <c r="AW17" s="22">
        <f>VLOOKUP(AU17,CENY!$B$11:$G$1054,3,FALSE)</f>
        <v>200</v>
      </c>
      <c r="AX17" s="22"/>
      <c r="AY17" s="23">
        <f>IF(FORM!AM18=FORM!AU16,0,2*(AA20+AA22+AA28+AA30))</f>
        <v>0</v>
      </c>
      <c r="AZ17" s="326">
        <f t="shared" si="1"/>
        <v>0</v>
      </c>
      <c r="BA17" s="95">
        <f>VLOOKUP(AU17,CENY!$B$11:$M$2025,12,FALSE)</f>
        <v>21.84564</v>
      </c>
      <c r="BB17" s="95">
        <f t="shared" si="0"/>
        <v>0</v>
      </c>
      <c r="BD17" s="319">
        <f>OBJ!B164</f>
        <v>9255078</v>
      </c>
      <c r="BE17" s="21" t="str">
        <f>VLOOKUP(BD17,CENY!$B$11:$G$1054,2,FALSE)</f>
        <v>AvanY-bok ľavý /v251/h650/ strieborná</v>
      </c>
      <c r="BF17" s="22">
        <f>VLOOKUP(BD17,CENY!$B$11:$G$1054,3,FALSE)</f>
        <v>10</v>
      </c>
      <c r="BG17" s="22"/>
      <c r="BH17" s="23">
        <f>AY11</f>
        <v>0</v>
      </c>
      <c r="BI17" s="326">
        <f t="shared" si="2"/>
        <v>0</v>
      </c>
      <c r="BJ17" s="95">
        <f>VLOOKUP(BD17,CENY!$B$11:$M$2025,12,FALSE)</f>
        <v>633.59735999999998</v>
      </c>
      <c r="BK17" s="95">
        <f t="shared" si="3"/>
        <v>0</v>
      </c>
    </row>
    <row r="18" spans="2:63" ht="14.4" customHeight="1" thickBot="1">
      <c r="B18" s="96"/>
      <c r="C18" s="96"/>
      <c r="D18" s="96"/>
      <c r="E18" s="96"/>
      <c r="F18" s="96"/>
      <c r="G18" s="96"/>
      <c r="H18" s="72"/>
      <c r="I18" s="72"/>
      <c r="J18" s="72"/>
      <c r="K18" s="72"/>
      <c r="L18" s="72"/>
      <c r="M18" s="72"/>
      <c r="N18" s="72" t="str">
        <f>verze!$E$20&amp;" "</f>
        <v xml:space="preserve">Jmenovitá délka: </v>
      </c>
      <c r="O18" s="535">
        <v>270</v>
      </c>
      <c r="P18" s="536"/>
      <c r="Q18" s="535">
        <v>300</v>
      </c>
      <c r="R18" s="536"/>
      <c r="S18" s="535">
        <v>350</v>
      </c>
      <c r="T18" s="536"/>
      <c r="U18" s="535">
        <v>400</v>
      </c>
      <c r="V18" s="536"/>
      <c r="W18" s="535">
        <v>450</v>
      </c>
      <c r="X18" s="536"/>
      <c r="Y18" s="537">
        <v>500</v>
      </c>
      <c r="Z18" s="538"/>
      <c r="AA18" s="535">
        <v>550</v>
      </c>
      <c r="AB18" s="536"/>
      <c r="AC18" s="535">
        <v>600</v>
      </c>
      <c r="AD18" s="536"/>
      <c r="AE18" s="535">
        <v>650</v>
      </c>
      <c r="AF18" s="536"/>
      <c r="AI18" s="543" t="s">
        <v>299</v>
      </c>
      <c r="AJ18" s="543"/>
      <c r="AK18" s="543"/>
      <c r="AL18" s="543"/>
      <c r="AM18" s="543"/>
      <c r="AN18" s="543"/>
      <c r="AO18" s="543"/>
      <c r="AU18" s="319">
        <f>OBJ!B78</f>
        <v>9347509</v>
      </c>
      <c r="AV18" s="21" t="str">
        <f>VLOOKUP(AU18,CENY!$B$11:$G$1054,2,FALSE)</f>
        <v>AvanY-design ALprofil Hybrid na bok 600/ strieb.</v>
      </c>
      <c r="AW18" s="22">
        <f>VLOOKUP(AU18,CENY!$B$11:$G$1054,3,FALSE)</f>
        <v>200</v>
      </c>
      <c r="AX18" s="22"/>
      <c r="AY18" s="23">
        <f>IF(FORM!AM18=FORM!AU16,0,2*(AC20+AC22+AC28+AC30))</f>
        <v>0</v>
      </c>
      <c r="AZ18" s="326">
        <f t="shared" si="1"/>
        <v>0</v>
      </c>
      <c r="BA18" s="95">
        <f>VLOOKUP(AU18,CENY!$B$11:$M$2025,12,FALSE)</f>
        <v>22.79205</v>
      </c>
      <c r="BB18" s="95">
        <f t="shared" si="0"/>
        <v>0</v>
      </c>
      <c r="BD18" s="319">
        <f>OBJ!B165</f>
        <v>9255079</v>
      </c>
      <c r="BE18" s="21" t="str">
        <f>VLOOKUP(BD18,CENY!$B$11:$G$1054,2,FALSE)</f>
        <v>AvanY-bok pravý /v251/h650/ strieborná</v>
      </c>
      <c r="BF18" s="22">
        <f>VLOOKUP(BD18,CENY!$B$11:$G$1054,3,FALSE)</f>
        <v>10</v>
      </c>
      <c r="BG18" s="22"/>
      <c r="BH18" s="23">
        <f>AY11</f>
        <v>0</v>
      </c>
      <c r="BI18" s="326">
        <f t="shared" si="2"/>
        <v>0</v>
      </c>
      <c r="BJ18" s="95">
        <f>VLOOKUP(BD18,CENY!$B$11:$M$2025,12,FALSE)</f>
        <v>633.59735999999998</v>
      </c>
      <c r="BK18" s="95">
        <f t="shared" si="3"/>
        <v>0</v>
      </c>
    </row>
    <row r="19" spans="2:63" ht="14.4" customHeight="1" thickBot="1">
      <c r="B19" s="530" t="s">
        <v>289</v>
      </c>
      <c r="C19" s="530"/>
      <c r="D19" s="530"/>
      <c r="E19" s="530"/>
      <c r="F19" s="530"/>
      <c r="G19" s="530"/>
      <c r="H19" s="531" t="str">
        <f>verze!E18</f>
        <v>plnovýsuv</v>
      </c>
      <c r="I19" s="531"/>
      <c r="J19" s="531"/>
      <c r="K19" s="531"/>
      <c r="L19" s="531"/>
      <c r="M19" s="532" t="s">
        <v>286</v>
      </c>
      <c r="N19" s="533"/>
      <c r="O19" s="569"/>
      <c r="P19" s="570"/>
      <c r="Q19" s="569"/>
      <c r="R19" s="570"/>
      <c r="S19" s="567"/>
      <c r="T19" s="568"/>
      <c r="U19" s="283"/>
      <c r="V19" s="284"/>
      <c r="W19" s="283"/>
      <c r="X19" s="284"/>
      <c r="Y19" s="283"/>
      <c r="Z19" s="284"/>
      <c r="AA19" s="283"/>
      <c r="AB19" s="284"/>
      <c r="AC19" s="283"/>
      <c r="AD19" s="284"/>
      <c r="AE19" s="280"/>
      <c r="AF19" s="281"/>
      <c r="AI19" s="289"/>
      <c r="AJ19" s="290"/>
      <c r="AK19" s="289"/>
      <c r="AL19" s="290"/>
      <c r="AM19" s="291" t="s">
        <v>295</v>
      </c>
      <c r="AN19" s="534"/>
      <c r="AO19" s="534"/>
      <c r="AU19" s="319">
        <f>OBJ!B79</f>
        <v>9347510</v>
      </c>
      <c r="AV19" s="21" t="str">
        <f>VLOOKUP(AU19,CENY!$B$11:$G$1054,2,FALSE)</f>
        <v>AvanY-design ALprofil Hybrid na bok 650/ strieb.</v>
      </c>
      <c r="AW19" s="22">
        <f>VLOOKUP(AU19,CENY!$B$11:$G$1054,3,FALSE)</f>
        <v>200</v>
      </c>
      <c r="AX19" s="22"/>
      <c r="AY19" s="23">
        <f>IF(FORM!AM18=FORM!AU16,0,2*(AE22))</f>
        <v>0</v>
      </c>
      <c r="AZ19" s="326">
        <f t="shared" si="1"/>
        <v>0</v>
      </c>
      <c r="BA19" s="95">
        <f>VLOOKUP(AU19,CENY!$B$11:$M$2025,12,FALSE)</f>
        <v>24.580449999999999</v>
      </c>
      <c r="BB19" s="95">
        <f t="shared" si="0"/>
        <v>0</v>
      </c>
      <c r="BD19" s="319"/>
      <c r="BE19" s="21"/>
      <c r="BF19" s="22"/>
      <c r="BG19" s="22"/>
      <c r="BH19" s="23"/>
      <c r="BI19" s="326" t="str">
        <f t="shared" si="2"/>
        <v/>
      </c>
      <c r="BJ19" s="95"/>
      <c r="BK19" s="95" t="str">
        <f t="shared" si="3"/>
        <v/>
      </c>
    </row>
    <row r="20" spans="2:63" ht="14.4" customHeight="1" thickBot="1">
      <c r="B20" s="521" t="s">
        <v>290</v>
      </c>
      <c r="C20" s="521"/>
      <c r="D20" s="521"/>
      <c r="E20" s="521"/>
      <c r="F20" s="521"/>
      <c r="G20" s="521"/>
      <c r="H20" s="522" t="str">
        <f>verze!E18</f>
        <v>plnovýsuv</v>
      </c>
      <c r="I20" s="522"/>
      <c r="J20" s="522"/>
      <c r="K20" s="522"/>
      <c r="L20" s="522"/>
      <c r="M20" s="523" t="s">
        <v>287</v>
      </c>
      <c r="N20" s="546"/>
      <c r="O20" s="518"/>
      <c r="P20" s="519"/>
      <c r="Q20" s="518"/>
      <c r="R20" s="519"/>
      <c r="S20" s="516"/>
      <c r="T20" s="517"/>
      <c r="U20" s="516"/>
      <c r="V20" s="517"/>
      <c r="W20" s="516"/>
      <c r="X20" s="517"/>
      <c r="Y20" s="516"/>
      <c r="Z20" s="517"/>
      <c r="AA20" s="516"/>
      <c r="AB20" s="517"/>
      <c r="AC20" s="565"/>
      <c r="AD20" s="566"/>
      <c r="AE20" s="518"/>
      <c r="AF20" s="519"/>
      <c r="AI20" s="287"/>
      <c r="AJ20" s="288"/>
      <c r="AK20" s="287"/>
      <c r="AL20" s="288"/>
      <c r="AM20" s="286" t="s">
        <v>294</v>
      </c>
      <c r="AN20" s="520"/>
      <c r="AO20" s="520"/>
      <c r="AU20" s="319"/>
      <c r="AV20" s="21"/>
      <c r="AW20" s="22"/>
      <c r="AX20" s="22"/>
      <c r="AY20" s="23"/>
      <c r="AZ20" s="326" t="str">
        <f t="shared" si="1"/>
        <v/>
      </c>
      <c r="BA20" s="95"/>
      <c r="BB20" s="95" t="str">
        <f t="shared" si="0"/>
        <v/>
      </c>
      <c r="BD20" s="319">
        <f>OBJ!B141</f>
        <v>9255838</v>
      </c>
      <c r="BE20" s="21" t="str">
        <f>VLOOKUP(BD20,CENY!$B$11:$G$1054,2,FALSE)</f>
        <v>AvanY-prích.čela k naskrutk./ v187-251</v>
      </c>
      <c r="BF20" s="22">
        <f>VLOOKUP(BD20,CENY!$B$11:$G$1054,3,FALSE)</f>
        <v>200</v>
      </c>
      <c r="BG20" s="22"/>
      <c r="BH20" s="23">
        <f>2*(SUM(S19)+SUM(S20:AD20)+SUM(W22:AF22)+SUM(S27)+SUM(S28:AD28)+SUM(S30:AD30))</f>
        <v>0</v>
      </c>
      <c r="BI20" s="326">
        <f t="shared" si="2"/>
        <v>0</v>
      </c>
      <c r="BJ20" s="95">
        <f>VLOOKUP(BD20,CENY!$B$11:$M$2025,12,FALSE)</f>
        <v>49.383429999999997</v>
      </c>
      <c r="BK20" s="95">
        <f t="shared" si="3"/>
        <v>0</v>
      </c>
    </row>
    <row r="21" spans="2:63" ht="14.4" customHeight="1" thickBot="1">
      <c r="O21" s="283"/>
      <c r="P21" s="284"/>
      <c r="Q21" s="283"/>
      <c r="R21" s="284"/>
      <c r="S21" s="283"/>
      <c r="T21" s="284"/>
      <c r="U21" s="283"/>
      <c r="V21" s="284"/>
      <c r="W21" s="283"/>
      <c r="X21" s="284"/>
      <c r="Y21" s="283"/>
      <c r="Z21" s="284"/>
      <c r="AA21" s="283"/>
      <c r="AB21" s="284"/>
      <c r="AC21" s="283"/>
      <c r="AD21" s="284"/>
      <c r="AE21" s="283"/>
      <c r="AF21" s="284"/>
      <c r="AI21" s="287"/>
      <c r="AJ21" s="288"/>
      <c r="AK21" s="287"/>
      <c r="AL21" s="288"/>
      <c r="AM21" s="286" t="s">
        <v>296</v>
      </c>
      <c r="AN21" s="542"/>
      <c r="AO21" s="542"/>
      <c r="AU21" s="319">
        <f>OBJ!B235</f>
        <v>9318160</v>
      </c>
      <c r="AV21" s="21" t="str">
        <f>VLOOKUP(AU21,CENY!$B$11:$G$1054,2,FALSE)</f>
        <v>Actro You(S) 350/SiSy 10kg; EB21</v>
      </c>
      <c r="AW21" s="22">
        <f>VLOOKUP(AU21,CENY!$B$11:$G$1054,3,FALSE)</f>
        <v>1</v>
      </c>
      <c r="AX21" s="362">
        <v>4</v>
      </c>
      <c r="AY21" s="23">
        <f>S19</f>
        <v>0</v>
      </c>
      <c r="AZ21" s="326">
        <f t="shared" si="1"/>
        <v>0</v>
      </c>
      <c r="BA21" s="95">
        <f>VLOOKUP(AU21,CENY!$B$11:$M$2025,12,FALSE)</f>
        <v>657.45060999999998</v>
      </c>
      <c r="BB21" s="95">
        <f t="shared" si="0"/>
        <v>0</v>
      </c>
      <c r="BD21" s="319">
        <f>OBJ!B166</f>
        <v>9257887</v>
      </c>
      <c r="BE21" s="21" t="str">
        <f>VLOOKUP(BD21,CENY!$B$11:$G$1054,2,FALSE)</f>
        <v>AvanY-stabiliz.čela k naskrutk./ v251</v>
      </c>
      <c r="BF21" s="22">
        <f>VLOOKUP(BD21,CENY!$B$11:$G$1054,3,FALSE)</f>
        <v>200</v>
      </c>
      <c r="BG21" s="22"/>
      <c r="BH21" s="23">
        <f>BH20</f>
        <v>0</v>
      </c>
      <c r="BI21" s="326">
        <f t="shared" si="2"/>
        <v>0</v>
      </c>
      <c r="BJ21" s="95">
        <f>VLOOKUP(BD21,CENY!$B$11:$M$2025,12,FALSE)</f>
        <v>10.61486</v>
      </c>
      <c r="BK21" s="95">
        <f>IF(BJ21="","",BJ21*BH21)</f>
        <v>0</v>
      </c>
    </row>
    <row r="22" spans="2:63" ht="14.4" customHeight="1" thickBot="1">
      <c r="B22" s="544" t="s">
        <v>291</v>
      </c>
      <c r="C22" s="544"/>
      <c r="D22" s="544"/>
      <c r="E22" s="544"/>
      <c r="F22" s="544"/>
      <c r="G22" s="544"/>
      <c r="H22" s="545" t="str">
        <f>verze!E18</f>
        <v>plnovýsuv</v>
      </c>
      <c r="I22" s="545"/>
      <c r="J22" s="545"/>
      <c r="K22" s="545"/>
      <c r="L22" s="545"/>
      <c r="M22" s="523" t="s">
        <v>288</v>
      </c>
      <c r="N22" s="524"/>
      <c r="O22" s="518"/>
      <c r="P22" s="519"/>
      <c r="Q22" s="518"/>
      <c r="R22" s="519"/>
      <c r="S22" s="518"/>
      <c r="T22" s="519"/>
      <c r="U22" s="518"/>
      <c r="V22" s="519"/>
      <c r="W22" s="516"/>
      <c r="X22" s="517"/>
      <c r="Y22" s="516"/>
      <c r="Z22" s="517"/>
      <c r="AA22" s="516"/>
      <c r="AB22" s="517"/>
      <c r="AC22" s="516"/>
      <c r="AD22" s="517"/>
      <c r="AE22" s="516"/>
      <c r="AF22" s="517"/>
      <c r="AI22" s="287"/>
      <c r="AJ22" s="288"/>
      <c r="AK22" s="287"/>
      <c r="AL22" s="288"/>
      <c r="AM22" s="286" t="s">
        <v>297</v>
      </c>
      <c r="AN22" s="539"/>
      <c r="AO22" s="539"/>
      <c r="AU22" s="319"/>
      <c r="AV22" s="21"/>
      <c r="AW22" s="22"/>
      <c r="AX22" s="22"/>
      <c r="AY22" s="23"/>
      <c r="AZ22" s="326" t="str">
        <f t="shared" si="1"/>
        <v/>
      </c>
      <c r="BA22" s="95"/>
      <c r="BB22" s="95" t="str">
        <f t="shared" si="0"/>
        <v/>
      </c>
      <c r="BD22" s="319">
        <f>OBJ!B48</f>
        <v>9257702</v>
      </c>
      <c r="BE22" s="21" t="str">
        <f>VLOOKUP(BD22,CENY!$B$11:$G$1054,2,FALSE)</f>
        <v>AvanY-stabilizátor chrbáta</v>
      </c>
      <c r="BF22" s="22">
        <f>VLOOKUP(BD22,CENY!$B$11:$G$1054,3,FALSE)</f>
        <v>200</v>
      </c>
      <c r="BG22" s="22"/>
      <c r="BH22" s="23">
        <f>2*(SUM(S19)+SUM(S20:AD20)+SUM(W22:AF22)+SUM(S27)+SUM(S28:AD28)+SUM(S30:AD30))</f>
        <v>0</v>
      </c>
      <c r="BI22" s="326">
        <f t="shared" si="2"/>
        <v>0</v>
      </c>
      <c r="BJ22" s="95">
        <f>VLOOKUP(BD22,CENY!$B$11:$M$2025,12,FALSE)</f>
        <v>15.54837</v>
      </c>
      <c r="BK22" s="95">
        <f t="shared" si="3"/>
        <v>0</v>
      </c>
    </row>
    <row r="23" spans="2:63" ht="14.4" customHeight="1">
      <c r="O23" s="4"/>
      <c r="P23" s="4"/>
      <c r="AU23" s="319">
        <f>OBJ!B245</f>
        <v>9318188</v>
      </c>
      <c r="AV23" s="21" t="str">
        <f>VLOOKUP(AU23,CENY!$B$11:$G$1054,2,FALSE)</f>
        <v>Actro You(L) 350/SiSy 40kg; EB21</v>
      </c>
      <c r="AW23" s="22">
        <f>VLOOKUP(AU23,CENY!$B$11:$G$1054,3,FALSE)</f>
        <v>1</v>
      </c>
      <c r="AX23" s="362">
        <v>8</v>
      </c>
      <c r="AY23" s="23">
        <f>S20</f>
        <v>0</v>
      </c>
      <c r="AZ23" s="326">
        <f t="shared" si="1"/>
        <v>0</v>
      </c>
      <c r="BA23" s="95">
        <f>VLOOKUP(AU23,CENY!$B$11:$M$2025,12,FALSE)</f>
        <v>657.45060999999998</v>
      </c>
      <c r="BB23" s="95">
        <f t="shared" si="0"/>
        <v>0</v>
      </c>
      <c r="BD23" s="319"/>
      <c r="BE23" s="21"/>
      <c r="BF23" s="22"/>
      <c r="BG23" s="22"/>
      <c r="BH23" s="23"/>
      <c r="BI23" s="326" t="str">
        <f t="shared" si="2"/>
        <v/>
      </c>
      <c r="BJ23" s="95"/>
      <c r="BK23" s="95" t="str">
        <f t="shared" si="3"/>
        <v/>
      </c>
    </row>
    <row r="24" spans="2:63" ht="14.4" customHeight="1">
      <c r="AU24" s="319">
        <f>OBJ!B246</f>
        <v>9318190</v>
      </c>
      <c r="AV24" s="21" t="str">
        <f>VLOOKUP(AU24,CENY!$B$11:$G$1054,2,FALSE)</f>
        <v>Actro You(L) 400/SiSy 40kg; EB21</v>
      </c>
      <c r="AW24" s="22">
        <f>VLOOKUP(AU24,CENY!$B$11:$G$1054,3,FALSE)</f>
        <v>1</v>
      </c>
      <c r="AX24" s="362">
        <v>8</v>
      </c>
      <c r="AY24" s="23">
        <f>U20</f>
        <v>0</v>
      </c>
      <c r="AZ24" s="326">
        <f t="shared" si="1"/>
        <v>0</v>
      </c>
      <c r="BA24" s="95">
        <f>VLOOKUP(AU24,CENY!$B$11:$M$2025,12,FALSE)</f>
        <v>664.73978</v>
      </c>
      <c r="BB24" s="95">
        <f t="shared" si="0"/>
        <v>0</v>
      </c>
      <c r="BD24" s="319">
        <f>OBJ!B73</f>
        <v>9347504</v>
      </c>
      <c r="BE24" s="21" t="str">
        <f>VLOOKUP(BD24,CENY!$B$11:$G$1054,2,FALSE)</f>
        <v>AvanY-design ALprofil Hybrid na bok 350/ strieb.</v>
      </c>
      <c r="BF24" s="22">
        <f>VLOOKUP(BD24,CENY!$B$11:$G$1054,3,FALSE)</f>
        <v>200</v>
      </c>
      <c r="BG24" s="22"/>
      <c r="BH24" s="23">
        <f>2*(S19+S20+S27+S28+S30)</f>
        <v>0</v>
      </c>
      <c r="BI24" s="326">
        <f t="shared" si="2"/>
        <v>0</v>
      </c>
      <c r="BJ24" s="95">
        <f>VLOOKUP(BD24,CENY!$B$11:$M$2025,12,FALSE)</f>
        <v>20.37642</v>
      </c>
      <c r="BK24" s="95">
        <f t="shared" si="3"/>
        <v>0</v>
      </c>
    </row>
    <row r="25" spans="2:63" ht="14.4" customHeight="1" thickBot="1">
      <c r="B25" s="2" t="s">
        <v>285</v>
      </c>
      <c r="AI25" s="540" t="str">
        <f>verze!E199</f>
        <v>P2O Silent pro Quadro</v>
      </c>
      <c r="AJ25" s="541"/>
      <c r="AK25" s="541"/>
      <c r="AL25" s="541"/>
      <c r="AM25" s="541"/>
      <c r="AN25" s="541"/>
      <c r="AO25" s="541"/>
      <c r="AU25" s="319">
        <f>OBJ!B247</f>
        <v>9318191</v>
      </c>
      <c r="AV25" s="21" t="str">
        <f>VLOOKUP(AU25,CENY!$B$11:$G$1054,2,FALSE)</f>
        <v>Actro You(L) 450/SiSy 40kg; EB21</v>
      </c>
      <c r="AW25" s="22">
        <f>VLOOKUP(AU25,CENY!$B$11:$G$1054,3,FALSE)</f>
        <v>1</v>
      </c>
      <c r="AX25" s="362">
        <v>10</v>
      </c>
      <c r="AY25" s="23">
        <f>W20</f>
        <v>0</v>
      </c>
      <c r="AZ25" s="326">
        <f t="shared" si="1"/>
        <v>0</v>
      </c>
      <c r="BA25" s="95">
        <f>VLOOKUP(AU25,CENY!$B$11:$M$2025,12,FALSE)</f>
        <v>671.97520999999995</v>
      </c>
      <c r="BB25" s="95">
        <f t="shared" si="0"/>
        <v>0</v>
      </c>
      <c r="BD25" s="319">
        <f>OBJ!B74</f>
        <v>9347505</v>
      </c>
      <c r="BE25" s="21" t="str">
        <f>VLOOKUP(BD25,CENY!$B$11:$G$1054,2,FALSE)</f>
        <v>AvanY-design ALprofil Hybrid na bok 400/ strieb.</v>
      </c>
      <c r="BF25" s="22">
        <f>VLOOKUP(BD25,CENY!$B$11:$G$1054,3,FALSE)</f>
        <v>200</v>
      </c>
      <c r="BG25" s="22"/>
      <c r="BH25" s="23">
        <f>2*(U20+U28+U30)</f>
        <v>0</v>
      </c>
      <c r="BI25" s="326">
        <f t="shared" si="2"/>
        <v>0</v>
      </c>
      <c r="BJ25" s="95">
        <f>VLOOKUP(BD25,CENY!$B$11:$M$2025,12,FALSE)</f>
        <v>20.742249999999999</v>
      </c>
      <c r="BK25" s="95">
        <f t="shared" si="3"/>
        <v>0</v>
      </c>
    </row>
    <row r="26" spans="2:63" ht="14.4" customHeight="1" thickBot="1">
      <c r="B26" s="96"/>
      <c r="C26" s="96"/>
      <c r="D26" s="96"/>
      <c r="E26" s="96"/>
      <c r="F26" s="96"/>
      <c r="G26" s="96"/>
      <c r="H26" s="72"/>
      <c r="I26" s="72"/>
      <c r="J26" s="72"/>
      <c r="K26" s="72"/>
      <c r="L26" s="72"/>
      <c r="M26" s="72"/>
      <c r="N26" s="72" t="str">
        <f>verze!$E$20&amp;" "</f>
        <v xml:space="preserve">Jmenovitá délka: </v>
      </c>
      <c r="O26" s="535">
        <v>270</v>
      </c>
      <c r="P26" s="536"/>
      <c r="Q26" s="535">
        <v>300</v>
      </c>
      <c r="R26" s="536"/>
      <c r="S26" s="535">
        <v>350</v>
      </c>
      <c r="T26" s="536"/>
      <c r="U26" s="535">
        <v>400</v>
      </c>
      <c r="V26" s="536"/>
      <c r="W26" s="535">
        <v>450</v>
      </c>
      <c r="X26" s="536"/>
      <c r="Y26" s="537">
        <v>500</v>
      </c>
      <c r="Z26" s="538"/>
      <c r="AA26" s="535">
        <v>550</v>
      </c>
      <c r="AB26" s="536"/>
      <c r="AC26" s="535">
        <v>600</v>
      </c>
      <c r="AD26" s="536"/>
      <c r="AI26" s="543" t="s">
        <v>299</v>
      </c>
      <c r="AJ26" s="543"/>
      <c r="AK26" s="543"/>
      <c r="AL26" s="543"/>
      <c r="AM26" s="543"/>
      <c r="AN26" s="543"/>
      <c r="AO26" s="543"/>
      <c r="AU26" s="319">
        <f>OBJ!B248</f>
        <v>9318192</v>
      </c>
      <c r="AV26" s="21" t="str">
        <f>VLOOKUP(AU26,CENY!$B$11:$G$1054,2,FALSE)</f>
        <v>Actro You(L) 500/SiSy 40kg; EB21</v>
      </c>
      <c r="AW26" s="22">
        <f>VLOOKUP(AU26,CENY!$B$11:$G$1054,3,FALSE)</f>
        <v>1</v>
      </c>
      <c r="AX26" s="362">
        <v>10</v>
      </c>
      <c r="AY26" s="23">
        <f>Y20</f>
        <v>0</v>
      </c>
      <c r="AZ26" s="326">
        <f t="shared" si="1"/>
        <v>0</v>
      </c>
      <c r="BA26" s="95">
        <f>VLOOKUP(AU26,CENY!$B$11:$M$2025,12,FALSE)</f>
        <v>164.23333</v>
      </c>
      <c r="BB26" s="95">
        <f t="shared" si="0"/>
        <v>0</v>
      </c>
      <c r="BD26" s="319">
        <f>OBJ!B75</f>
        <v>9347506</v>
      </c>
      <c r="BE26" s="21" t="str">
        <f>VLOOKUP(BD26,CENY!$B$11:$G$1054,2,FALSE)</f>
        <v>AvanY-design ALprofil Hybrid na bok 450/ strieb.</v>
      </c>
      <c r="BF26" s="22">
        <f>VLOOKUP(BD26,CENY!$B$11:$G$1054,3,FALSE)</f>
        <v>200</v>
      </c>
      <c r="BG26" s="22"/>
      <c r="BH26" s="23">
        <f>2*(W20+W22+W28+W30)</f>
        <v>0</v>
      </c>
      <c r="BI26" s="326">
        <f t="shared" si="2"/>
        <v>0</v>
      </c>
      <c r="BJ26" s="95">
        <f>VLOOKUP(BD26,CENY!$B$11:$M$2025,12,FALSE)</f>
        <v>21.111910000000002</v>
      </c>
      <c r="BK26" s="95">
        <f t="shared" si="3"/>
        <v>0</v>
      </c>
    </row>
    <row r="27" spans="2:63" ht="14.4" customHeight="1" thickBot="1">
      <c r="B27" s="530" t="s">
        <v>292</v>
      </c>
      <c r="C27" s="530"/>
      <c r="D27" s="530"/>
      <c r="E27" s="530"/>
      <c r="F27" s="530"/>
      <c r="G27" s="530"/>
      <c r="H27" s="531" t="str">
        <f>verze!E18</f>
        <v>plnovýsuv</v>
      </c>
      <c r="I27" s="531"/>
      <c r="J27" s="531"/>
      <c r="K27" s="531"/>
      <c r="L27" s="531"/>
      <c r="M27" s="532" t="s">
        <v>286</v>
      </c>
      <c r="N27" s="533"/>
      <c r="O27" s="573"/>
      <c r="P27" s="574"/>
      <c r="Q27" s="573"/>
      <c r="R27" s="574"/>
      <c r="S27" s="567"/>
      <c r="T27" s="568"/>
      <c r="U27" s="283"/>
      <c r="V27" s="284"/>
      <c r="W27" s="283"/>
      <c r="X27" s="284"/>
      <c r="Y27" s="283"/>
      <c r="Z27" s="284"/>
      <c r="AA27" s="283"/>
      <c r="AB27" s="284"/>
      <c r="AC27" s="283"/>
      <c r="AD27" s="284"/>
      <c r="AI27" s="289"/>
      <c r="AJ27" s="290"/>
      <c r="AK27" s="289"/>
      <c r="AL27" s="290"/>
      <c r="AM27" s="291" t="s">
        <v>295</v>
      </c>
      <c r="AN27" s="534"/>
      <c r="AO27" s="534"/>
      <c r="AU27" s="319">
        <f>OBJ!B249</f>
        <v>9318194</v>
      </c>
      <c r="AV27" s="21" t="str">
        <f>VLOOKUP(AU27,CENY!$B$11:$G$1054,2,FALSE)</f>
        <v>Actro You(L) 550/SiSy 40kg; EB21</v>
      </c>
      <c r="AW27" s="22">
        <f>VLOOKUP(AU27,CENY!$B$11:$G$1054,3,FALSE)</f>
        <v>1</v>
      </c>
      <c r="AX27" s="362">
        <v>10</v>
      </c>
      <c r="AY27" s="23">
        <f>AA20</f>
        <v>0</v>
      </c>
      <c r="AZ27" s="326">
        <f t="shared" si="1"/>
        <v>0</v>
      </c>
      <c r="BA27" s="95">
        <f>VLOOKUP(AU27,CENY!$B$11:$M$2025,12,FALSE)</f>
        <v>173.62268</v>
      </c>
      <c r="BB27" s="95">
        <f t="shared" si="0"/>
        <v>0</v>
      </c>
      <c r="BD27" s="319">
        <f>OBJ!B76</f>
        <v>9347507</v>
      </c>
      <c r="BE27" s="21" t="str">
        <f>VLOOKUP(BD27,CENY!$B$11:$G$1054,2,FALSE)</f>
        <v>AvanY-design ALprofil Hybrid na bok 500/ strieb.</v>
      </c>
      <c r="BF27" s="22">
        <f>VLOOKUP(BD27,CENY!$B$11:$G$1054,3,FALSE)</f>
        <v>200</v>
      </c>
      <c r="BG27" s="22"/>
      <c r="BH27" s="23">
        <f>2*(Y20+Y22+Y28+Y30)</f>
        <v>0</v>
      </c>
      <c r="BI27" s="326">
        <f t="shared" si="2"/>
        <v>0</v>
      </c>
      <c r="BJ27" s="95">
        <f>VLOOKUP(BD27,CENY!$B$11:$M$2025,12,FALSE)</f>
        <v>21.479700000000001</v>
      </c>
      <c r="BK27" s="95">
        <f t="shared" si="3"/>
        <v>0</v>
      </c>
    </row>
    <row r="28" spans="2:63" ht="14.4" customHeight="1" thickBot="1">
      <c r="B28" s="521" t="s">
        <v>372</v>
      </c>
      <c r="C28" s="521"/>
      <c r="D28" s="521"/>
      <c r="E28" s="521"/>
      <c r="F28" s="521"/>
      <c r="G28" s="521"/>
      <c r="H28" s="522" t="str">
        <f>verze!E18</f>
        <v>plnovýsuv</v>
      </c>
      <c r="I28" s="522"/>
      <c r="J28" s="522"/>
      <c r="K28" s="522"/>
      <c r="L28" s="522"/>
      <c r="M28" s="523" t="s">
        <v>1</v>
      </c>
      <c r="N28" s="524"/>
      <c r="O28" s="571"/>
      <c r="P28" s="572"/>
      <c r="Q28" s="571"/>
      <c r="R28" s="572"/>
      <c r="S28" s="516"/>
      <c r="T28" s="517"/>
      <c r="U28" s="516"/>
      <c r="V28" s="517"/>
      <c r="W28" s="516"/>
      <c r="X28" s="517"/>
      <c r="Y28" s="516"/>
      <c r="Z28" s="517"/>
      <c r="AA28" s="516"/>
      <c r="AB28" s="517"/>
      <c r="AC28" s="516"/>
      <c r="AD28" s="517"/>
      <c r="AI28" s="287"/>
      <c r="AJ28" s="288"/>
      <c r="AK28" s="287"/>
      <c r="AL28" s="288"/>
      <c r="AM28" s="286" t="s">
        <v>294</v>
      </c>
      <c r="AN28" s="520"/>
      <c r="AO28" s="520"/>
      <c r="AU28" s="319">
        <f>OBJ!B250</f>
        <v>9318196</v>
      </c>
      <c r="AV28" s="21" t="str">
        <f>VLOOKUP(AU28,CENY!$B$11:$G$1054,2,FALSE)</f>
        <v>Actro You(L) 600/SiSy 40kg; EB21</v>
      </c>
      <c r="AW28" s="22">
        <f>VLOOKUP(AU28,CENY!$B$11:$G$1054,3,FALSE)</f>
        <v>1</v>
      </c>
      <c r="AX28" s="362">
        <v>10</v>
      </c>
      <c r="AY28" s="23">
        <f>AC20</f>
        <v>0</v>
      </c>
      <c r="AZ28" s="326">
        <f t="shared" si="1"/>
        <v>0</v>
      </c>
      <c r="BA28" s="95">
        <f>VLOOKUP(AU28,CENY!$B$11:$M$2025,12,FALSE)</f>
        <v>726.70140000000004</v>
      </c>
      <c r="BB28" s="95">
        <f t="shared" si="0"/>
        <v>0</v>
      </c>
      <c r="BD28" s="319">
        <f>OBJ!B77</f>
        <v>9347508</v>
      </c>
      <c r="BE28" s="21" t="str">
        <f>VLOOKUP(BD28,CENY!$B$11:$G$1054,2,FALSE)</f>
        <v>AvanY-design ALprofil Hybrid na bok 550/ strieb.</v>
      </c>
      <c r="BF28" s="22">
        <f>VLOOKUP(BD28,CENY!$B$11:$G$1054,3,FALSE)</f>
        <v>200</v>
      </c>
      <c r="BG28" s="22"/>
      <c r="BH28" s="23">
        <f>2*(AA20+AA22+AA28+AA30)</f>
        <v>0</v>
      </c>
      <c r="BI28" s="326">
        <f t="shared" si="2"/>
        <v>0</v>
      </c>
      <c r="BJ28" s="95">
        <f>VLOOKUP(BD28,CENY!$B$11:$M$2025,12,FALSE)</f>
        <v>21.84564</v>
      </c>
      <c r="BK28" s="95">
        <f t="shared" si="3"/>
        <v>0</v>
      </c>
    </row>
    <row r="29" spans="2:63" ht="14.4" customHeight="1" thickBot="1">
      <c r="O29" s="283"/>
      <c r="P29" s="284"/>
      <c r="Q29" s="283"/>
      <c r="R29" s="284"/>
      <c r="S29" s="283"/>
      <c r="T29" s="284"/>
      <c r="U29" s="283"/>
      <c r="V29" s="284"/>
      <c r="W29" s="283"/>
      <c r="X29" s="284"/>
      <c r="Y29" s="283"/>
      <c r="Z29" s="284"/>
      <c r="AA29" s="283"/>
      <c r="AB29" s="284"/>
      <c r="AC29" s="283"/>
      <c r="AD29" s="284"/>
      <c r="AI29" s="287"/>
      <c r="AJ29" s="288"/>
      <c r="AK29" s="287"/>
      <c r="AL29" s="288"/>
      <c r="AM29" s="286" t="s">
        <v>298</v>
      </c>
      <c r="AN29" s="527"/>
      <c r="AO29" s="527"/>
      <c r="AU29" s="319"/>
      <c r="AV29" s="21"/>
      <c r="AW29" s="22"/>
      <c r="AX29" s="22"/>
      <c r="AY29" s="23"/>
      <c r="AZ29" s="326" t="str">
        <f t="shared" si="1"/>
        <v/>
      </c>
      <c r="BA29" s="95"/>
      <c r="BB29" s="95" t="str">
        <f t="shared" si="0"/>
        <v/>
      </c>
      <c r="BD29" s="319">
        <f>OBJ!B78</f>
        <v>9347509</v>
      </c>
      <c r="BE29" s="21" t="str">
        <f>VLOOKUP(BD29,CENY!$B$11:$G$1054,2,FALSE)</f>
        <v>AvanY-design ALprofil Hybrid na bok 600/ strieb.</v>
      </c>
      <c r="BF29" s="22">
        <f>VLOOKUP(BD29,CENY!$B$11:$G$1054,3,FALSE)</f>
        <v>200</v>
      </c>
      <c r="BG29" s="22"/>
      <c r="BH29" s="23">
        <f>2*(AC20+AC22+AC28+AC30)</f>
        <v>0</v>
      </c>
      <c r="BI29" s="326">
        <f t="shared" si="2"/>
        <v>0</v>
      </c>
      <c r="BJ29" s="95">
        <f>VLOOKUP(BD29,CENY!$B$11:$M$2025,12,FALSE)</f>
        <v>22.79205</v>
      </c>
      <c r="BK29" s="95">
        <f t="shared" si="3"/>
        <v>0</v>
      </c>
    </row>
    <row r="30" spans="2:63" ht="14.4" customHeight="1" thickBot="1">
      <c r="B30" s="528" t="s">
        <v>373</v>
      </c>
      <c r="C30" s="528"/>
      <c r="D30" s="528"/>
      <c r="E30" s="528"/>
      <c r="F30" s="528"/>
      <c r="G30" s="528"/>
      <c r="H30" s="529" t="str">
        <f>verze!E18</f>
        <v>plnovýsuv</v>
      </c>
      <c r="I30" s="529"/>
      <c r="J30" s="529"/>
      <c r="K30" s="529"/>
      <c r="L30" s="529"/>
      <c r="M30" s="523" t="s">
        <v>1</v>
      </c>
      <c r="N30" s="524"/>
      <c r="O30" s="283"/>
      <c r="P30" s="284"/>
      <c r="Q30" s="283"/>
      <c r="R30" s="284"/>
      <c r="S30" s="516"/>
      <c r="T30" s="517"/>
      <c r="U30" s="516"/>
      <c r="V30" s="517"/>
      <c r="W30" s="516"/>
      <c r="X30" s="517"/>
      <c r="Y30" s="516"/>
      <c r="Z30" s="517"/>
      <c r="AA30" s="516"/>
      <c r="AB30" s="517"/>
      <c r="AC30" s="565"/>
      <c r="AD30" s="566"/>
      <c r="AU30" s="319">
        <f>OBJ!B268</f>
        <v>9318215</v>
      </c>
      <c r="AV30" s="21" t="str">
        <f>VLOOKUP(AU30,CENY!$B$11:$G$1054,2,FALSE)</f>
        <v>Actro You(XL) 450/SiSy 70kg; EB21</v>
      </c>
      <c r="AW30" s="22">
        <f>VLOOKUP(AU30,CENY!$B$11:$G$1054,3,FALSE)</f>
        <v>1</v>
      </c>
      <c r="AX30" s="362">
        <v>10</v>
      </c>
      <c r="AY30" s="23">
        <f>W22</f>
        <v>0</v>
      </c>
      <c r="AZ30" s="326">
        <f t="shared" si="1"/>
        <v>0</v>
      </c>
      <c r="BA30" s="95">
        <f>VLOOKUP(AU30,CENY!$B$11:$M$2025,12,FALSE)</f>
        <v>197.37184999999999</v>
      </c>
      <c r="BB30" s="95">
        <f t="shared" si="0"/>
        <v>0</v>
      </c>
      <c r="BD30" s="319">
        <f>OBJ!B79</f>
        <v>9347510</v>
      </c>
      <c r="BE30" s="21" t="str">
        <f>VLOOKUP(BD30,CENY!$B$11:$G$1054,2,FALSE)</f>
        <v>AvanY-design ALprofil Hybrid na bok 650/ strieb.</v>
      </c>
      <c r="BF30" s="22">
        <f>VLOOKUP(BD30,CENY!$B$11:$G$1054,3,FALSE)</f>
        <v>200</v>
      </c>
      <c r="BG30" s="22"/>
      <c r="BH30" s="23">
        <f>2*(AE22)</f>
        <v>0</v>
      </c>
      <c r="BI30" s="326">
        <f t="shared" si="2"/>
        <v>0</v>
      </c>
      <c r="BJ30" s="95">
        <f>VLOOKUP(BD30,CENY!$B$11:$M$2025,12,FALSE)</f>
        <v>24.580449999999999</v>
      </c>
      <c r="BK30" s="95">
        <f t="shared" si="3"/>
        <v>0</v>
      </c>
    </row>
    <row r="31" spans="2:63" ht="14.4" customHeight="1">
      <c r="AU31" s="319">
        <f>OBJ!B269</f>
        <v>9318216</v>
      </c>
      <c r="AV31" s="21" t="str">
        <f>VLOOKUP(AU31,CENY!$B$11:$G$1054,2,FALSE)</f>
        <v>Actro You(XL) 500/SiSy 70kg; EB21</v>
      </c>
      <c r="AW31" s="22">
        <f>VLOOKUP(AU31,CENY!$B$11:$G$1054,3,FALSE)</f>
        <v>1</v>
      </c>
      <c r="AX31" s="362">
        <v>10</v>
      </c>
      <c r="AY31" s="23">
        <f>Y22</f>
        <v>0</v>
      </c>
      <c r="AZ31" s="326">
        <f t="shared" si="1"/>
        <v>0</v>
      </c>
      <c r="BA31" s="95">
        <f>VLOOKUP(AU31,CENY!$B$11:$M$2025,12,FALSE)</f>
        <v>823.68502000000001</v>
      </c>
      <c r="BB31" s="95">
        <f t="shared" si="0"/>
        <v>0</v>
      </c>
      <c r="BD31" s="319"/>
      <c r="BE31" s="21"/>
      <c r="BF31" s="22"/>
      <c r="BG31" s="22"/>
      <c r="BH31" s="23"/>
      <c r="BI31" s="326" t="str">
        <f t="shared" si="2"/>
        <v/>
      </c>
      <c r="BJ31" s="95"/>
      <c r="BK31" s="95" t="str">
        <f t="shared" si="3"/>
        <v/>
      </c>
    </row>
    <row r="32" spans="2:63" ht="14.4" customHeight="1">
      <c r="B32" s="366" t="str">
        <f>verze!E201</f>
        <v>SiSy = tlumení Silent System</v>
      </c>
      <c r="AU32" s="319">
        <f>OBJ!B270</f>
        <v>9318217</v>
      </c>
      <c r="AV32" s="21" t="str">
        <f>VLOOKUP(AU32,CENY!$B$11:$G$1054,2,FALSE)</f>
        <v>Actro You(XL) 550/SiSy 70kg; EB21</v>
      </c>
      <c r="AW32" s="22">
        <f>VLOOKUP(AU32,CENY!$B$11:$G$1054,3,FALSE)</f>
        <v>1</v>
      </c>
      <c r="AX32" s="362">
        <v>10</v>
      </c>
      <c r="AY32" s="23">
        <f>AA22</f>
        <v>0</v>
      </c>
      <c r="AZ32" s="326">
        <f t="shared" si="1"/>
        <v>0</v>
      </c>
      <c r="BA32" s="95">
        <f>VLOOKUP(AU32,CENY!$B$11:$M$2025,12,FALSE)</f>
        <v>862.82307000000003</v>
      </c>
      <c r="BB32" s="95">
        <f t="shared" si="0"/>
        <v>0</v>
      </c>
      <c r="BD32" s="319">
        <f>OBJ!B240</f>
        <v>9318149</v>
      </c>
      <c r="BE32" s="21" t="str">
        <f>VLOOKUP(BD32,CENY!$B$11:$G$1054,2,FALSE)</f>
        <v>Actro You(S) 350/SiSy 10kg; EB21; ľavý</v>
      </c>
      <c r="BF32" s="22">
        <f>VLOOKUP(BD32,CENY!$B$11:$G$1054,3,FALSE)</f>
        <v>10</v>
      </c>
      <c r="BG32" s="22"/>
      <c r="BH32" s="23">
        <f>AY21</f>
        <v>0</v>
      </c>
      <c r="BI32" s="326">
        <f t="shared" si="2"/>
        <v>0</v>
      </c>
      <c r="BJ32" s="95">
        <f>VLOOKUP(BD32,CENY!$B$11:$M$2025,12,FALSE)</f>
        <v>298.88173999999998</v>
      </c>
      <c r="BK32" s="95">
        <f t="shared" si="3"/>
        <v>0</v>
      </c>
    </row>
    <row r="33" spans="2:63" ht="14.4" customHeight="1">
      <c r="B33" s="366" t="str">
        <f>verze!E204</f>
        <v>P2O = otvírání bez úchytky Push to open</v>
      </c>
      <c r="AU33" s="319">
        <f>OBJ!B271</f>
        <v>9318218</v>
      </c>
      <c r="AV33" s="21" t="str">
        <f>VLOOKUP(AU33,CENY!$B$11:$G$1054,2,FALSE)</f>
        <v>Actro You(XL) 600/SiSy 70kg; EB21</v>
      </c>
      <c r="AW33" s="22">
        <f>VLOOKUP(AU33,CENY!$B$11:$G$1054,3,FALSE)</f>
        <v>1</v>
      </c>
      <c r="AX33" s="362">
        <v>10</v>
      </c>
      <c r="AY33" s="23">
        <f>AC22</f>
        <v>0</v>
      </c>
      <c r="AZ33" s="326">
        <f t="shared" si="1"/>
        <v>0</v>
      </c>
      <c r="BA33" s="95">
        <f>VLOOKUP(AU33,CENY!$B$11:$M$2025,12,FALSE)</f>
        <v>941.88580999999999</v>
      </c>
      <c r="BB33" s="95">
        <f t="shared" si="0"/>
        <v>0</v>
      </c>
      <c r="BD33" s="319">
        <f>OBJ!B241</f>
        <v>9318150</v>
      </c>
      <c r="BE33" s="21" t="str">
        <f>VLOOKUP(BD33,CENY!$B$11:$G$1054,2,FALSE)</f>
        <v>Actro You(S) 350/SiSy 10kg; EB21; pravý</v>
      </c>
      <c r="BF33" s="22">
        <f>VLOOKUP(BD33,CENY!$B$11:$G$1054,3,FALSE)</f>
        <v>10</v>
      </c>
      <c r="BG33" s="22"/>
      <c r="BH33" s="23">
        <f>AY21</f>
        <v>0</v>
      </c>
      <c r="BI33" s="326">
        <f t="shared" si="2"/>
        <v>0</v>
      </c>
      <c r="BJ33" s="95">
        <f>VLOOKUP(BD33,CENY!$B$11:$M$2025,12,FALSE)</f>
        <v>298.88173999999998</v>
      </c>
      <c r="BK33" s="95">
        <f t="shared" si="3"/>
        <v>0</v>
      </c>
    </row>
    <row r="34" spans="2:63" ht="14.4" customHeight="1">
      <c r="B34" s="366" t="str">
        <f>verze!E203</f>
        <v>P2O Silent = tlumení s otvíráním bez úchytky Push to open Silent</v>
      </c>
      <c r="AU34" s="319">
        <f>OBJ!B272</f>
        <v>9318219</v>
      </c>
      <c r="AV34" s="21" t="str">
        <f>VLOOKUP(AU34,CENY!$B$11:$G$1054,2,FALSE)</f>
        <v>Actro You(XL) 650/SiSy 70kg; EB21</v>
      </c>
      <c r="AW34" s="22">
        <f>VLOOKUP(AU34,CENY!$B$11:$G$1054,3,FALSE)</f>
        <v>1</v>
      </c>
      <c r="AX34" s="362">
        <v>10</v>
      </c>
      <c r="AY34" s="23">
        <f>AE22</f>
        <v>0</v>
      </c>
      <c r="AZ34" s="326">
        <f t="shared" si="1"/>
        <v>0</v>
      </c>
      <c r="BA34" s="95">
        <f>VLOOKUP(AU34,CENY!$B$11:$M$2025,12,FALSE)</f>
        <v>977.56314999999995</v>
      </c>
      <c r="BB34" s="95">
        <f t="shared" si="0"/>
        <v>0</v>
      </c>
      <c r="BD34" s="319"/>
      <c r="BE34" s="21"/>
      <c r="BF34" s="22"/>
      <c r="BG34" s="22"/>
      <c r="BH34" s="23"/>
      <c r="BI34" s="326" t="str">
        <f t="shared" si="2"/>
        <v/>
      </c>
      <c r="BJ34" s="95"/>
      <c r="BK34" s="95" t="str">
        <f t="shared" si="3"/>
        <v/>
      </c>
    </row>
    <row r="35" spans="2:63" ht="14.4" customHeight="1">
      <c r="AU35" s="319"/>
      <c r="AV35" s="21"/>
      <c r="AW35" s="22"/>
      <c r="AX35" s="22"/>
      <c r="AY35" s="23"/>
      <c r="AZ35" s="326" t="str">
        <f t="shared" si="1"/>
        <v/>
      </c>
      <c r="BA35" s="95"/>
      <c r="BB35" s="95" t="str">
        <f t="shared" si="0"/>
        <v/>
      </c>
      <c r="BD35" s="319">
        <f>OBJ!B255</f>
        <v>9318173</v>
      </c>
      <c r="BE35" s="21" t="str">
        <f>VLOOKUP(BD35,CENY!$B$11:$G$1054,2,FALSE)</f>
        <v>Actro You(L) 350/SiSy 40kg; EB21; ľavý</v>
      </c>
      <c r="BF35" s="22">
        <f>VLOOKUP(BD35,CENY!$B$11:$G$1054,3,FALSE)</f>
        <v>10</v>
      </c>
      <c r="BG35" s="22"/>
      <c r="BH35" s="23">
        <f>AY23</f>
        <v>0</v>
      </c>
      <c r="BI35" s="326">
        <f t="shared" si="2"/>
        <v>0</v>
      </c>
      <c r="BJ35" s="95">
        <f>VLOOKUP(BD35,CENY!$B$11:$M$2025,12,FALSE)</f>
        <v>298.88173999999998</v>
      </c>
      <c r="BK35" s="95">
        <f t="shared" si="3"/>
        <v>0</v>
      </c>
    </row>
    <row r="36" spans="2:63" ht="14.4" customHeight="1">
      <c r="AU36" s="319">
        <f>OBJ!B284</f>
        <v>9257890</v>
      </c>
      <c r="AV36" s="21" t="str">
        <f>VLOOKUP(AU36,CENY!$B$11:$G$1054,2,FALSE)</f>
        <v>Actro You - Push to open Silent; &lt;10kg</v>
      </c>
      <c r="AW36" s="22">
        <f>VLOOKUP(AU36,CENY!$B$11:$G$1054,3,FALSE)</f>
        <v>1</v>
      </c>
      <c r="AX36" s="22"/>
      <c r="AY36" s="23">
        <f>AN19</f>
        <v>0</v>
      </c>
      <c r="AZ36" s="326">
        <f t="shared" si="1"/>
        <v>0</v>
      </c>
      <c r="BA36" s="95">
        <f>VLOOKUP(AU36,CENY!$B$11:$M$2025,12,FALSE)</f>
        <v>481.81412999999998</v>
      </c>
      <c r="BB36" s="95">
        <f t="shared" si="0"/>
        <v>0</v>
      </c>
      <c r="BD36" s="319">
        <f>OBJ!B256</f>
        <v>9318174</v>
      </c>
      <c r="BE36" s="21" t="str">
        <f>VLOOKUP(BD36,CENY!$B$11:$G$1054,2,FALSE)</f>
        <v>Actro You(L) 350/SiSy 40kg; EB21; pravý</v>
      </c>
      <c r="BF36" s="22">
        <f>VLOOKUP(BD36,CENY!$B$11:$G$1054,3,FALSE)</f>
        <v>10</v>
      </c>
      <c r="BG36" s="22"/>
      <c r="BH36" s="23">
        <f>AY23</f>
        <v>0</v>
      </c>
      <c r="BI36" s="326">
        <f t="shared" si="2"/>
        <v>0</v>
      </c>
      <c r="BJ36" s="95">
        <f>VLOOKUP(BD36,CENY!$B$11:$M$2025,12,FALSE)</f>
        <v>298.88173999999998</v>
      </c>
      <c r="BK36" s="95">
        <f t="shared" si="3"/>
        <v>0</v>
      </c>
    </row>
    <row r="37" spans="2:63" ht="14.4" customHeight="1">
      <c r="AU37" s="319">
        <f>OBJ!B285</f>
        <v>9257891</v>
      </c>
      <c r="AV37" s="21" t="str">
        <f>VLOOKUP(AU37,CENY!$B$11:$G$1054,2,FALSE)</f>
        <v>Actro You - Push to open Silent; 8-20kg</v>
      </c>
      <c r="AW37" s="22">
        <f>VLOOKUP(AU37,CENY!$B$11:$G$1054,3,FALSE)</f>
        <v>1</v>
      </c>
      <c r="AX37" s="22"/>
      <c r="AY37" s="23">
        <f>AN20</f>
        <v>0</v>
      </c>
      <c r="AZ37" s="326">
        <f t="shared" si="1"/>
        <v>0</v>
      </c>
      <c r="BA37" s="95">
        <f>VLOOKUP(AU37,CENY!$B$11:$M$2025,12,FALSE)</f>
        <v>481.81412999999998</v>
      </c>
      <c r="BB37" s="95">
        <f t="shared" si="0"/>
        <v>0</v>
      </c>
      <c r="BD37" s="319">
        <f>OBJ!B257</f>
        <v>9318175</v>
      </c>
      <c r="BE37" s="21" t="str">
        <f>VLOOKUP(BD37,CENY!$B$11:$G$1054,2,FALSE)</f>
        <v>Actro You(L) 400/SiSy 40kg; EB21; ľavý</v>
      </c>
      <c r="BF37" s="22">
        <f>VLOOKUP(BD37,CENY!$B$11:$G$1054,3,FALSE)</f>
        <v>10</v>
      </c>
      <c r="BG37" s="22"/>
      <c r="BH37" s="23">
        <f>AY24</f>
        <v>0</v>
      </c>
      <c r="BI37" s="326">
        <f t="shared" si="2"/>
        <v>0</v>
      </c>
      <c r="BJ37" s="95">
        <f>VLOOKUP(BD37,CENY!$B$11:$M$2025,12,FALSE)</f>
        <v>302.69770999999997</v>
      </c>
      <c r="BK37" s="95">
        <f t="shared" si="3"/>
        <v>0</v>
      </c>
    </row>
    <row r="38" spans="2:63" ht="14.4" customHeight="1">
      <c r="AU38" s="319">
        <f>OBJ!B286</f>
        <v>9257892</v>
      </c>
      <c r="AV38" s="21" t="str">
        <f>VLOOKUP(AU38,CENY!$B$11:$G$1054,2,FALSE)</f>
        <v>Actro You - Push to open Silent; 10-40kg</v>
      </c>
      <c r="AW38" s="22">
        <f>VLOOKUP(AU38,CENY!$B$11:$G$1054,3,FALSE)</f>
        <v>1</v>
      </c>
      <c r="AX38" s="22"/>
      <c r="AY38" s="23">
        <f>AN21</f>
        <v>0</v>
      </c>
      <c r="AZ38" s="326">
        <f t="shared" si="1"/>
        <v>0</v>
      </c>
      <c r="BA38" s="95">
        <f>VLOOKUP(AU38,CENY!$B$11:$M$2025,12,FALSE)</f>
        <v>481.81412999999998</v>
      </c>
      <c r="BB38" s="95">
        <f t="shared" si="0"/>
        <v>0</v>
      </c>
      <c r="BD38" s="319">
        <f>OBJ!B258</f>
        <v>9318176</v>
      </c>
      <c r="BE38" s="21" t="str">
        <f>VLOOKUP(BD38,CENY!$B$11:$G$1054,2,FALSE)</f>
        <v>Actro You(L) 400/SiSy 40kg; EB21; pravý</v>
      </c>
      <c r="BF38" s="22">
        <f>VLOOKUP(BD38,CENY!$B$11:$G$1054,3,FALSE)</f>
        <v>10</v>
      </c>
      <c r="BG38" s="22"/>
      <c r="BH38" s="23">
        <f>AY24</f>
        <v>0</v>
      </c>
      <c r="BI38" s="326">
        <f t="shared" si="2"/>
        <v>0</v>
      </c>
      <c r="BJ38" s="95">
        <f>VLOOKUP(BD38,CENY!$B$11:$M$2025,12,FALSE)</f>
        <v>302.69770999999997</v>
      </c>
      <c r="BK38" s="95">
        <f t="shared" si="3"/>
        <v>0</v>
      </c>
    </row>
    <row r="39" spans="2:63" ht="14.4" customHeight="1">
      <c r="AU39" s="319">
        <f>OBJ!B287</f>
        <v>9257893</v>
      </c>
      <c r="AV39" s="21" t="str">
        <f>VLOOKUP(AU39,CENY!$B$11:$G$1054,2,FALSE)</f>
        <v>Actro You - Push to open Silent; 20-70kg</v>
      </c>
      <c r="AW39" s="22">
        <f>VLOOKUP(AU39,CENY!$B$11:$G$1054,3,FALSE)</f>
        <v>1</v>
      </c>
      <c r="AX39" s="22"/>
      <c r="AY39" s="23">
        <f>AN22</f>
        <v>0</v>
      </c>
      <c r="AZ39" s="326">
        <f t="shared" si="1"/>
        <v>0</v>
      </c>
      <c r="BA39" s="95">
        <f>VLOOKUP(AU39,CENY!$B$11:$M$2025,12,FALSE)</f>
        <v>481.81412999999998</v>
      </c>
      <c r="BB39" s="95">
        <f t="shared" si="0"/>
        <v>0</v>
      </c>
      <c r="BD39" s="319">
        <f>OBJ!B259</f>
        <v>9318177</v>
      </c>
      <c r="BE39" s="21" t="str">
        <f>VLOOKUP(BD39,CENY!$B$11:$G$1054,2,FALSE)</f>
        <v>Actro You(L) 450/SiSy 40kg; EB21; ľavý</v>
      </c>
      <c r="BF39" s="22">
        <f>VLOOKUP(BD39,CENY!$B$11:$G$1054,3,FALSE)</f>
        <v>10</v>
      </c>
      <c r="BG39" s="22"/>
      <c r="BH39" s="23">
        <f>AY25</f>
        <v>0</v>
      </c>
      <c r="BI39" s="326">
        <f t="shared" si="2"/>
        <v>0</v>
      </c>
      <c r="BJ39" s="95">
        <f>VLOOKUP(BD39,CENY!$B$11:$M$2025,12,FALSE)</f>
        <v>298.33073999999999</v>
      </c>
      <c r="BK39" s="95">
        <f t="shared" si="3"/>
        <v>0</v>
      </c>
    </row>
    <row r="40" spans="2:63" ht="14.4" customHeight="1">
      <c r="AU40" s="319">
        <f>OBJ!B288</f>
        <v>9236718</v>
      </c>
      <c r="AV40" s="21" t="str">
        <f>VLOOKUP(AU40,CENY!$B$11:$G$1054,2,FALSE)</f>
        <v>Push to open Synchro / tyč 2.000 mm</v>
      </c>
      <c r="AW40" s="22">
        <f>VLOOKUP(AU40,CENY!$B$11:$G$1054,3,FALSE)</f>
        <v>100</v>
      </c>
      <c r="AX40" s="22"/>
      <c r="AY40" s="23">
        <f>SUM(AN19:AO22)+SUM(AN27:AO29)+SUM(S30:AD30)</f>
        <v>0</v>
      </c>
      <c r="AZ40" s="326">
        <f t="shared" si="1"/>
        <v>0</v>
      </c>
      <c r="BA40" s="95">
        <f>VLOOKUP(AU40,CENY!$B$11:$M$2025,12,FALSE)</f>
        <v>182.03933000000001</v>
      </c>
      <c r="BB40" s="95">
        <f t="shared" si="0"/>
        <v>0</v>
      </c>
      <c r="BD40" s="319">
        <f>OBJ!B260</f>
        <v>9318178</v>
      </c>
      <c r="BE40" s="21" t="str">
        <f>VLOOKUP(BD40,CENY!$B$11:$G$1054,2,FALSE)</f>
        <v>Actro You(L) 450/SiSy 40kg; EB21; pravý</v>
      </c>
      <c r="BF40" s="22">
        <f>VLOOKUP(BD40,CENY!$B$11:$G$1054,3,FALSE)</f>
        <v>10</v>
      </c>
      <c r="BG40" s="22"/>
      <c r="BH40" s="23">
        <f>AY25</f>
        <v>0</v>
      </c>
      <c r="BI40" s="326">
        <f t="shared" si="2"/>
        <v>0</v>
      </c>
      <c r="BJ40" s="95">
        <f>VLOOKUP(BD40,CENY!$B$11:$M$2025,12,FALSE)</f>
        <v>298.33073999999999</v>
      </c>
      <c r="BK40" s="95">
        <f t="shared" si="3"/>
        <v>0</v>
      </c>
    </row>
    <row r="41" spans="2:63" ht="14.4" customHeight="1">
      <c r="AU41" s="319"/>
      <c r="AV41" s="21"/>
      <c r="AW41" s="22"/>
      <c r="AX41" s="22"/>
      <c r="AY41" s="23"/>
      <c r="AZ41" s="326" t="str">
        <f t="shared" si="1"/>
        <v/>
      </c>
      <c r="BA41" s="95"/>
      <c r="BB41" s="95" t="str">
        <f t="shared" si="0"/>
        <v/>
      </c>
      <c r="BD41" s="319">
        <f>OBJ!B261</f>
        <v>9318179</v>
      </c>
      <c r="BE41" s="21" t="str">
        <f>VLOOKUP(BD41,CENY!$B$11:$G$1054,2,FALSE)</f>
        <v>Actro You(L) 500/SiSy 40kg; EB21; ľavý</v>
      </c>
      <c r="BF41" s="22">
        <f>VLOOKUP(BD41,CENY!$B$11:$G$1054,3,FALSE)</f>
        <v>10</v>
      </c>
      <c r="BG41" s="22"/>
      <c r="BH41" s="23">
        <f>AY26</f>
        <v>0</v>
      </c>
      <c r="BI41" s="326">
        <f t="shared" si="2"/>
        <v>0</v>
      </c>
      <c r="BJ41" s="95">
        <f>VLOOKUP(BD41,CENY!$B$11:$M$2025,12,FALSE)</f>
        <v>296.00905</v>
      </c>
      <c r="BK41" s="95">
        <f t="shared" si="3"/>
        <v>0</v>
      </c>
    </row>
    <row r="42" spans="2:63" ht="14.4" customHeight="1">
      <c r="AU42" s="319">
        <f>OBJ!B296</f>
        <v>9256956</v>
      </c>
      <c r="AV42" s="21" t="str">
        <f>VLOOKUP(AU42,CENY!$B$11:$G$1054,2,FALSE)</f>
        <v>Quadro You(S) 350/SiSy 10kg; EB21</v>
      </c>
      <c r="AW42" s="22">
        <f>VLOOKUP(AU42,CENY!$B$11:$G$1054,3,FALSE)</f>
        <v>1</v>
      </c>
      <c r="AX42" s="362">
        <v>4</v>
      </c>
      <c r="AY42" s="23">
        <f>S27</f>
        <v>0</v>
      </c>
      <c r="AZ42" s="326">
        <f t="shared" si="1"/>
        <v>0</v>
      </c>
      <c r="BA42" s="95">
        <f>VLOOKUP(AU42,CENY!$B$11:$M$2025,12,FALSE)</f>
        <v>489.27857</v>
      </c>
      <c r="BB42" s="95">
        <f t="shared" si="0"/>
        <v>0</v>
      </c>
      <c r="BD42" s="319">
        <f>OBJ!B262</f>
        <v>9318180</v>
      </c>
      <c r="BE42" s="21" t="str">
        <f>VLOOKUP(BD42,CENY!$B$11:$G$1054,2,FALSE)</f>
        <v>Actro You(L) 500/SiSy 40kg; EB21; pravý</v>
      </c>
      <c r="BF42" s="22">
        <f>VLOOKUP(BD42,CENY!$B$11:$G$1054,3,FALSE)</f>
        <v>10</v>
      </c>
      <c r="BG42" s="22"/>
      <c r="BH42" s="23">
        <f>AY26</f>
        <v>0</v>
      </c>
      <c r="BI42" s="326">
        <f t="shared" si="2"/>
        <v>0</v>
      </c>
      <c r="BJ42" s="95">
        <f>VLOOKUP(BD42,CENY!$B$11:$M$2025,12,FALSE)</f>
        <v>296.00905</v>
      </c>
      <c r="BK42" s="95">
        <f t="shared" si="3"/>
        <v>0</v>
      </c>
    </row>
    <row r="43" spans="2:63" ht="14.4" customHeight="1">
      <c r="AU43" s="319"/>
      <c r="AV43" s="21"/>
      <c r="AW43" s="22"/>
      <c r="AX43" s="22"/>
      <c r="AY43" s="23"/>
      <c r="AZ43" s="326" t="str">
        <f t="shared" si="1"/>
        <v/>
      </c>
      <c r="BA43" s="95"/>
      <c r="BB43" s="95" t="str">
        <f t="shared" si="0"/>
        <v/>
      </c>
      <c r="BD43" s="319">
        <f>OBJ!B263</f>
        <v>9318181</v>
      </c>
      <c r="BE43" s="21" t="str">
        <f>VLOOKUP(BD43,CENY!$B$11:$G$1054,2,FALSE)</f>
        <v>Actro You(L) 550/SiSy 40kg; EB21; ľavý</v>
      </c>
      <c r="BF43" s="22">
        <f>VLOOKUP(BD43,CENY!$B$11:$G$1054,3,FALSE)</f>
        <v>10</v>
      </c>
      <c r="BG43" s="22"/>
      <c r="BH43" s="23">
        <f>AY27</f>
        <v>0</v>
      </c>
      <c r="BI43" s="326">
        <f t="shared" si="2"/>
        <v>0</v>
      </c>
      <c r="BJ43" s="95">
        <f>VLOOKUP(BD43,CENY!$B$11:$M$2025,12,FALSE)</f>
        <v>321.83461999999997</v>
      </c>
      <c r="BK43" s="95">
        <f t="shared" si="3"/>
        <v>0</v>
      </c>
    </row>
    <row r="44" spans="2:63" ht="14.4" customHeight="1">
      <c r="AU44" s="319">
        <f>OBJ!B306</f>
        <v>9256886</v>
      </c>
      <c r="AV44" s="21" t="str">
        <f>VLOOKUP(AU44,CENY!$B$11:$G$1054,2,FALSE)</f>
        <v>Quadro You(M) 350/SiSy 25kg; EB21</v>
      </c>
      <c r="AW44" s="22">
        <f>VLOOKUP(AU44,CENY!$B$11:$G$1054,3,FALSE)</f>
        <v>1</v>
      </c>
      <c r="AX44" s="362">
        <v>8</v>
      </c>
      <c r="AY44" s="23">
        <f>S28</f>
        <v>0</v>
      </c>
      <c r="AZ44" s="326">
        <f t="shared" si="1"/>
        <v>0</v>
      </c>
      <c r="BA44" s="95">
        <f>VLOOKUP(AU44,CENY!$B$11:$M$2025,12,FALSE)</f>
        <v>489.27857</v>
      </c>
      <c r="BB44" s="95">
        <f t="shared" si="0"/>
        <v>0</v>
      </c>
      <c r="BD44" s="319">
        <f>OBJ!B264</f>
        <v>9318182</v>
      </c>
      <c r="BE44" s="21" t="str">
        <f>VLOOKUP(BD44,CENY!$B$11:$G$1054,2,FALSE)</f>
        <v>Actro You(L) 550/SiSy 40kg; EB21; pravý</v>
      </c>
      <c r="BF44" s="22">
        <f>VLOOKUP(BD44,CENY!$B$11:$G$1054,3,FALSE)</f>
        <v>10</v>
      </c>
      <c r="BG44" s="22"/>
      <c r="BH44" s="23">
        <f>AY27</f>
        <v>0</v>
      </c>
      <c r="BI44" s="326">
        <f t="shared" si="2"/>
        <v>0</v>
      </c>
      <c r="BJ44" s="95">
        <f>VLOOKUP(BD44,CENY!$B$11:$M$2025,12,FALSE)</f>
        <v>321.83461999999997</v>
      </c>
      <c r="BK44" s="95">
        <f t="shared" si="3"/>
        <v>0</v>
      </c>
    </row>
    <row r="45" spans="2:63" ht="14.4" customHeight="1">
      <c r="AU45" s="319">
        <f>OBJ!B307</f>
        <v>9256888</v>
      </c>
      <c r="AV45" s="21" t="str">
        <f>VLOOKUP(AU45,CENY!$B$11:$G$1054,2,FALSE)</f>
        <v>Quadro You(M) 400/SiSy 30kg; EB21</v>
      </c>
      <c r="AW45" s="22">
        <f>VLOOKUP(AU45,CENY!$B$11:$G$1054,3,FALSE)</f>
        <v>1</v>
      </c>
      <c r="AX45" s="362">
        <v>8</v>
      </c>
      <c r="AY45" s="23">
        <f>U28</f>
        <v>0</v>
      </c>
      <c r="AZ45" s="326">
        <f t="shared" si="1"/>
        <v>0</v>
      </c>
      <c r="BA45" s="95">
        <f>VLOOKUP(AU45,CENY!$B$11:$M$2025,12,FALSE)</f>
        <v>498.97861999999998</v>
      </c>
      <c r="BB45" s="95">
        <f t="shared" si="0"/>
        <v>0</v>
      </c>
      <c r="BD45" s="319">
        <f>OBJ!B265</f>
        <v>9318183</v>
      </c>
      <c r="BE45" s="21" t="str">
        <f>VLOOKUP(BD45,CENY!$B$11:$G$1054,2,FALSE)</f>
        <v>Actro You(L) 600/SiSy 40kg; EB21; ľavý</v>
      </c>
      <c r="BF45" s="22">
        <f>VLOOKUP(BD45,CENY!$B$11:$G$1054,3,FALSE)</f>
        <v>10</v>
      </c>
      <c r="BG45" s="22"/>
      <c r="BH45" s="23">
        <f>AY28</f>
        <v>0</v>
      </c>
      <c r="BI45" s="326">
        <f t="shared" si="2"/>
        <v>0</v>
      </c>
      <c r="BJ45" s="95">
        <f>VLOOKUP(BD45,CENY!$B$11:$M$2025,12,FALSE)</f>
        <v>326.21229</v>
      </c>
      <c r="BK45" s="95">
        <f t="shared" si="3"/>
        <v>0</v>
      </c>
    </row>
    <row r="46" spans="2:63" ht="14.4" customHeight="1">
      <c r="AU46" s="319">
        <f>OBJ!B308</f>
        <v>9256890</v>
      </c>
      <c r="AV46" s="21" t="str">
        <f>VLOOKUP(AU46,CENY!$B$11:$G$1054,2,FALSE)</f>
        <v>Quadro You(M) 450/SiSy 30kg; EB21</v>
      </c>
      <c r="AW46" s="22">
        <f>VLOOKUP(AU46,CENY!$B$11:$G$1054,3,FALSE)</f>
        <v>1</v>
      </c>
      <c r="AX46" s="362">
        <v>8</v>
      </c>
      <c r="AY46" s="23">
        <f>W28</f>
        <v>0</v>
      </c>
      <c r="AZ46" s="326">
        <f t="shared" si="1"/>
        <v>0</v>
      </c>
      <c r="BA46" s="95">
        <f>VLOOKUP(AU46,CENY!$B$11:$M$2025,12,FALSE)</f>
        <v>122.98869999999999</v>
      </c>
      <c r="BB46" s="95">
        <f t="shared" si="0"/>
        <v>0</v>
      </c>
      <c r="BD46" s="319">
        <f>OBJ!B266</f>
        <v>9318184</v>
      </c>
      <c r="BE46" s="21" t="str">
        <f>VLOOKUP(BD46,CENY!$B$11:$G$1054,2,FALSE)</f>
        <v>Actro You(L) 600/SiSy 40kg; EB21; pravý</v>
      </c>
      <c r="BF46" s="22">
        <f>VLOOKUP(BD46,CENY!$B$11:$G$1054,3,FALSE)</f>
        <v>10</v>
      </c>
      <c r="BG46" s="22"/>
      <c r="BH46" s="23">
        <f>AY28</f>
        <v>0</v>
      </c>
      <c r="BI46" s="326">
        <f t="shared" si="2"/>
        <v>0</v>
      </c>
      <c r="BJ46" s="95">
        <f>VLOOKUP(BD46,CENY!$B$11:$M$2025,12,FALSE)</f>
        <v>326.21229</v>
      </c>
      <c r="BK46" s="95">
        <f t="shared" si="3"/>
        <v>0</v>
      </c>
    </row>
    <row r="47" spans="2:63" ht="14.4" customHeight="1">
      <c r="AU47" s="319">
        <f>OBJ!B309</f>
        <v>9256892</v>
      </c>
      <c r="AV47" s="21" t="str">
        <f>VLOOKUP(AU47,CENY!$B$11:$G$1054,2,FALSE)</f>
        <v>Quadro You(M) 500/SiSy 30kg; EB21</v>
      </c>
      <c r="AW47" s="22">
        <f>VLOOKUP(AU47,CENY!$B$11:$G$1054,3,FALSE)</f>
        <v>1</v>
      </c>
      <c r="AX47" s="362">
        <v>8</v>
      </c>
      <c r="AY47" s="23">
        <f>Y28</f>
        <v>0</v>
      </c>
      <c r="AZ47" s="326">
        <f t="shared" si="1"/>
        <v>0</v>
      </c>
      <c r="BA47" s="95">
        <f>VLOOKUP(AU47,CENY!$B$11:$M$2025,12,FALSE)</f>
        <v>504.59701000000001</v>
      </c>
      <c r="BB47" s="95">
        <f t="shared" si="0"/>
        <v>0</v>
      </c>
      <c r="BD47" s="319"/>
      <c r="BE47" s="21"/>
      <c r="BF47" s="22"/>
      <c r="BG47" s="22"/>
      <c r="BH47" s="23"/>
      <c r="BI47" s="326" t="str">
        <f t="shared" si="2"/>
        <v/>
      </c>
      <c r="BJ47" s="95"/>
      <c r="BK47" s="95" t="str">
        <f t="shared" si="3"/>
        <v/>
      </c>
    </row>
    <row r="48" spans="2:63" ht="14.4" customHeight="1">
      <c r="AU48" s="319">
        <f>OBJ!B310</f>
        <v>9256894</v>
      </c>
      <c r="AV48" s="21" t="str">
        <f>VLOOKUP(AU48,CENY!$B$11:$G$1054,2,FALSE)</f>
        <v>Quadro You(M) 550/SiSy 30kg; EB21</v>
      </c>
      <c r="AW48" s="22">
        <f>VLOOKUP(AU48,CENY!$B$11:$G$1054,3,FALSE)</f>
        <v>1</v>
      </c>
      <c r="AX48" s="362">
        <v>8</v>
      </c>
      <c r="AY48" s="23">
        <f>AA28</f>
        <v>0</v>
      </c>
      <c r="AZ48" s="326">
        <f t="shared" si="1"/>
        <v>0</v>
      </c>
      <c r="BA48" s="95">
        <f>VLOOKUP(AU48,CENY!$B$11:$M$2025,12,FALSE)</f>
        <v>127.68105</v>
      </c>
      <c r="BB48" s="95">
        <f t="shared" si="0"/>
        <v>0</v>
      </c>
      <c r="BD48" s="319">
        <f>OBJ!B273</f>
        <v>9318198</v>
      </c>
      <c r="BE48" s="21" t="str">
        <f>VLOOKUP(BD48,CENY!$B$11:$G$1054,2,FALSE)</f>
        <v>Actro You(XL) 450/SiSy 70kg; EB21; ľavý</v>
      </c>
      <c r="BF48" s="22">
        <f>VLOOKUP(BD48,CENY!$B$11:$G$1054,3,FALSE)</f>
        <v>10</v>
      </c>
      <c r="BG48" s="22"/>
      <c r="BH48" s="23">
        <f>AY30</f>
        <v>0</v>
      </c>
      <c r="BI48" s="326">
        <f t="shared" si="2"/>
        <v>0</v>
      </c>
      <c r="BJ48" s="95">
        <f>VLOOKUP(BD48,CENY!$B$11:$M$2025,12,FALSE)</f>
        <v>368.62277</v>
      </c>
      <c r="BK48" s="95">
        <f t="shared" si="3"/>
        <v>0</v>
      </c>
    </row>
    <row r="49" spans="47:63" ht="14.4" customHeight="1">
      <c r="AU49" s="319">
        <f>OBJ!B311</f>
        <v>9256896</v>
      </c>
      <c r="AV49" s="21" t="str">
        <f>VLOOKUP(AU49,CENY!$B$11:$G$1054,2,FALSE)</f>
        <v>Quadro You(M) 600/SiSy 25kg; EB21</v>
      </c>
      <c r="AW49" s="22">
        <f>VLOOKUP(AU49,CENY!$B$11:$G$1054,3,FALSE)</f>
        <v>1</v>
      </c>
      <c r="AX49" s="362">
        <v>8</v>
      </c>
      <c r="AY49" s="23">
        <f>AC28</f>
        <v>0</v>
      </c>
      <c r="AZ49" s="326">
        <f t="shared" si="1"/>
        <v>0</v>
      </c>
      <c r="BA49" s="95">
        <f>VLOOKUP(AU49,CENY!$B$11:$M$2025,12,FALSE)</f>
        <v>537.79395</v>
      </c>
      <c r="BB49" s="95">
        <f t="shared" si="0"/>
        <v>0</v>
      </c>
      <c r="BD49" s="319">
        <f>OBJ!B274</f>
        <v>9318199</v>
      </c>
      <c r="BE49" s="21" t="str">
        <f>VLOOKUP(BD49,CENY!$B$11:$G$1054,2,FALSE)</f>
        <v>Actro You(XL) 450/SiSy 70kg; EB21; pravý</v>
      </c>
      <c r="BF49" s="22">
        <f>VLOOKUP(BD49,CENY!$B$11:$G$1054,3,FALSE)</f>
        <v>10</v>
      </c>
      <c r="BG49" s="22"/>
      <c r="BH49" s="23">
        <f>AY30</f>
        <v>0</v>
      </c>
      <c r="BI49" s="326">
        <f t="shared" si="2"/>
        <v>0</v>
      </c>
      <c r="BJ49" s="95">
        <f>VLOOKUP(BD49,CENY!$B$11:$M$2025,12,FALSE)</f>
        <v>368.62277</v>
      </c>
      <c r="BK49" s="95">
        <f t="shared" si="3"/>
        <v>0</v>
      </c>
    </row>
    <row r="50" spans="47:63" ht="14.4" customHeight="1">
      <c r="AU50" s="319"/>
      <c r="AV50" s="21"/>
      <c r="AW50" s="22"/>
      <c r="AX50" s="22"/>
      <c r="AY50" s="23"/>
      <c r="AZ50" s="326" t="str">
        <f t="shared" si="1"/>
        <v/>
      </c>
      <c r="BA50" s="95"/>
      <c r="BB50" s="95" t="str">
        <f t="shared" si="0"/>
        <v/>
      </c>
      <c r="BD50" s="319">
        <f>OBJ!B275</f>
        <v>9318201</v>
      </c>
      <c r="BE50" s="21" t="str">
        <f>VLOOKUP(BD50,CENY!$B$11:$G$1054,2,FALSE)</f>
        <v>Actro You(XL) 500/SiSy 70kg; EB21; ľavý</v>
      </c>
      <c r="BF50" s="22">
        <f>VLOOKUP(BD50,CENY!$B$11:$G$1054,3,FALSE)</f>
        <v>10</v>
      </c>
      <c r="BG50" s="22"/>
      <c r="BH50" s="23">
        <f>AY31</f>
        <v>0</v>
      </c>
      <c r="BI50" s="326">
        <f t="shared" si="2"/>
        <v>0</v>
      </c>
      <c r="BJ50" s="95">
        <f>VLOOKUP(BD50,CENY!$B$11:$M$2025,12,FALSE)</f>
        <v>372.33726999999999</v>
      </c>
      <c r="BK50" s="95">
        <f t="shared" si="3"/>
        <v>0</v>
      </c>
    </row>
    <row r="51" spans="47:63" ht="14.4" customHeight="1">
      <c r="AU51" s="319">
        <f>OBJ!B329</f>
        <v>9257894</v>
      </c>
      <c r="AV51" s="21" t="str">
        <f>VLOOKUP(AU51,CENY!$B$11:$G$1054,2,FALSE)</f>
        <v>Quadro You - Push to open Silent; &lt;10kg</v>
      </c>
      <c r="AW51" s="22">
        <f>VLOOKUP(AU51,CENY!$B$11:$G$1054,3,FALSE)</f>
        <v>1</v>
      </c>
      <c r="AX51" s="22"/>
      <c r="AY51" s="23">
        <f>AN27</f>
        <v>0</v>
      </c>
      <c r="AZ51" s="326">
        <f t="shared" si="1"/>
        <v>0</v>
      </c>
      <c r="BA51" s="95">
        <f>VLOOKUP(AU51,CENY!$B$11:$M$2025,12,FALSE)</f>
        <v>480.50922000000003</v>
      </c>
      <c r="BB51" s="95">
        <f t="shared" si="0"/>
        <v>0</v>
      </c>
      <c r="BD51" s="319">
        <f>OBJ!B276</f>
        <v>9318203</v>
      </c>
      <c r="BE51" s="21" t="str">
        <f>VLOOKUP(BD51,CENY!$B$11:$G$1054,2,FALSE)</f>
        <v>Actro You(XL) 500/SiSy 70kg; EB21; pravý</v>
      </c>
      <c r="BF51" s="22">
        <f>VLOOKUP(BD51,CENY!$B$11:$G$1054,3,FALSE)</f>
        <v>10</v>
      </c>
      <c r="BG51" s="22"/>
      <c r="BH51" s="23">
        <f>AY31</f>
        <v>0</v>
      </c>
      <c r="BI51" s="326">
        <f t="shared" si="2"/>
        <v>0</v>
      </c>
      <c r="BJ51" s="95">
        <f>VLOOKUP(BD51,CENY!$B$11:$M$2025,12,FALSE)</f>
        <v>372.33726999999999</v>
      </c>
      <c r="BK51" s="95">
        <f t="shared" si="3"/>
        <v>0</v>
      </c>
    </row>
    <row r="52" spans="47:63" ht="14.4" customHeight="1">
      <c r="AU52" s="319">
        <f>OBJ!B330</f>
        <v>9257895</v>
      </c>
      <c r="AV52" s="21" t="str">
        <f>VLOOKUP(AU52,CENY!$B$11:$G$1054,2,FALSE)</f>
        <v>Quadro You - Push to open Silent; 8-20kg</v>
      </c>
      <c r="AW52" s="22">
        <f>VLOOKUP(AU52,CENY!$B$11:$G$1054,3,FALSE)</f>
        <v>1</v>
      </c>
      <c r="AX52" s="22"/>
      <c r="AY52" s="23">
        <f>AN28</f>
        <v>0</v>
      </c>
      <c r="AZ52" s="326">
        <f t="shared" si="1"/>
        <v>0</v>
      </c>
      <c r="BA52" s="95">
        <f>VLOOKUP(AU52,CENY!$B$11:$M$2025,12,FALSE)</f>
        <v>480.50922000000003</v>
      </c>
      <c r="BB52" s="95">
        <f t="shared" si="0"/>
        <v>0</v>
      </c>
      <c r="BD52" s="319">
        <f>OBJ!B277</f>
        <v>9318208</v>
      </c>
      <c r="BE52" s="21" t="str">
        <f>VLOOKUP(BD52,CENY!$B$11:$G$1054,2,FALSE)</f>
        <v>Actro You(XL) 550/SiSy 70kg; EB21; ľavý</v>
      </c>
      <c r="BF52" s="22">
        <f>VLOOKUP(BD52,CENY!$B$11:$G$1054,3,FALSE)</f>
        <v>10</v>
      </c>
      <c r="BG52" s="22"/>
      <c r="BH52" s="23">
        <f>AY32</f>
        <v>0</v>
      </c>
      <c r="BI52" s="326">
        <f t="shared" si="2"/>
        <v>0</v>
      </c>
      <c r="BJ52" s="95">
        <f>VLOOKUP(BD52,CENY!$B$11:$M$2025,12,FALSE)</f>
        <v>392.11943000000002</v>
      </c>
      <c r="BK52" s="95">
        <f t="shared" si="3"/>
        <v>0</v>
      </c>
    </row>
    <row r="53" spans="47:63" ht="14.4" customHeight="1">
      <c r="AU53" s="319">
        <f>OBJ!B331</f>
        <v>9257896</v>
      </c>
      <c r="AV53" s="21" t="str">
        <f>VLOOKUP(AU53,CENY!$B$11:$G$1054,2,FALSE)</f>
        <v>Quadro You - Push to open Silent; 10-30kg</v>
      </c>
      <c r="AW53" s="22">
        <f>VLOOKUP(AU53,CENY!$B$11:$G$1054,3,FALSE)</f>
        <v>1</v>
      </c>
      <c r="AX53" s="22"/>
      <c r="AY53" s="23">
        <f>AN29</f>
        <v>0</v>
      </c>
      <c r="AZ53" s="326">
        <f t="shared" si="1"/>
        <v>0</v>
      </c>
      <c r="BA53" s="95">
        <f>VLOOKUP(AU53,CENY!$B$11:$M$2025,12,FALSE)</f>
        <v>480.50922000000003</v>
      </c>
      <c r="BB53" s="95">
        <f t="shared" si="0"/>
        <v>0</v>
      </c>
      <c r="BD53" s="319">
        <f>OBJ!B278</f>
        <v>9318209</v>
      </c>
      <c r="BE53" s="21" t="str">
        <f>VLOOKUP(BD53,CENY!$B$11:$G$1054,2,FALSE)</f>
        <v>Actro You(XL) 550/SiSy 70kg; EB21; pravý</v>
      </c>
      <c r="BF53" s="22">
        <f>VLOOKUP(BD53,CENY!$B$11:$G$1054,3,FALSE)</f>
        <v>10</v>
      </c>
      <c r="BG53" s="22"/>
      <c r="BH53" s="23">
        <f>AY32</f>
        <v>0</v>
      </c>
      <c r="BI53" s="326">
        <f t="shared" si="2"/>
        <v>0</v>
      </c>
      <c r="BJ53" s="95">
        <f>VLOOKUP(BD53,CENY!$B$11:$M$2025,12,FALSE)</f>
        <v>392.11943000000002</v>
      </c>
      <c r="BK53" s="95">
        <f t="shared" si="3"/>
        <v>0</v>
      </c>
    </row>
    <row r="54" spans="47:63" ht="14.4" customHeight="1">
      <c r="AU54" s="319"/>
      <c r="AV54" s="21"/>
      <c r="AW54" s="22"/>
      <c r="AX54" s="22"/>
      <c r="AY54" s="23"/>
      <c r="AZ54" s="326" t="str">
        <f t="shared" si="1"/>
        <v/>
      </c>
      <c r="BA54" s="95"/>
      <c r="BB54" s="95" t="str">
        <f t="shared" si="0"/>
        <v/>
      </c>
      <c r="BD54" s="319">
        <f>OBJ!B279</f>
        <v>9318211</v>
      </c>
      <c r="BE54" s="21" t="str">
        <f>VLOOKUP(BD54,CENY!$B$11:$G$1054,2,FALSE)</f>
        <v>Actro You(XL) 600/SiSy 70kg; EB21; ľavý</v>
      </c>
      <c r="BF54" s="22">
        <f>VLOOKUP(BD54,CENY!$B$11:$G$1054,3,FALSE)</f>
        <v>10</v>
      </c>
      <c r="BG54" s="22"/>
      <c r="BH54" s="23">
        <f>AY33</f>
        <v>0</v>
      </c>
      <c r="BI54" s="326">
        <f t="shared" si="2"/>
        <v>0</v>
      </c>
      <c r="BJ54" s="95">
        <f>VLOOKUP(BD54,CENY!$B$11:$M$2025,12,FALSE)</f>
        <v>443.89010999999999</v>
      </c>
      <c r="BK54" s="95">
        <f t="shared" si="3"/>
        <v>0</v>
      </c>
    </row>
    <row r="55" spans="47:63" ht="14.4" customHeight="1">
      <c r="AU55" s="319">
        <f>OBJ!B335</f>
        <v>9256931</v>
      </c>
      <c r="AV55" s="21" t="str">
        <f>VLOOKUP(AU55,CENY!$B$11:$G$1054,2,FALSE)</f>
        <v>Quadro You(M) 350/P2O 25kg; EB21</v>
      </c>
      <c r="AW55" s="22">
        <f>VLOOKUP(AU55,CENY!$B$11:$G$1054,3,FALSE)</f>
        <v>1</v>
      </c>
      <c r="AX55" s="362">
        <v>8</v>
      </c>
      <c r="AY55" s="23">
        <f>S30</f>
        <v>0</v>
      </c>
      <c r="AZ55" s="326">
        <f t="shared" si="1"/>
        <v>0</v>
      </c>
      <c r="BA55" s="95">
        <f>VLOOKUP(AU55,CENY!$B$11:$M$2025,12,FALSE)</f>
        <v>547.49897999999996</v>
      </c>
      <c r="BB55" s="95">
        <f t="shared" si="0"/>
        <v>0</v>
      </c>
      <c r="BD55" s="319">
        <f>OBJ!B280</f>
        <v>9318212</v>
      </c>
      <c r="BE55" s="21" t="str">
        <f>VLOOKUP(BD55,CENY!$B$11:$G$1054,2,FALSE)</f>
        <v>Actro You(XL) 600/SiSy 70kg; EB21; pravý</v>
      </c>
      <c r="BF55" s="22">
        <f>VLOOKUP(BD55,CENY!$B$11:$G$1054,3,FALSE)</f>
        <v>10</v>
      </c>
      <c r="BG55" s="22"/>
      <c r="BH55" s="23">
        <f>AY33</f>
        <v>0</v>
      </c>
      <c r="BI55" s="326">
        <f t="shared" si="2"/>
        <v>0</v>
      </c>
      <c r="BJ55" s="95">
        <f>VLOOKUP(BD55,CENY!$B$11:$M$2025,12,FALSE)</f>
        <v>443.89010999999999</v>
      </c>
      <c r="BK55" s="95">
        <f t="shared" si="3"/>
        <v>0</v>
      </c>
    </row>
    <row r="56" spans="47:63" ht="14.4" customHeight="1">
      <c r="AU56" s="319">
        <f>OBJ!B336</f>
        <v>9256933</v>
      </c>
      <c r="AV56" s="21" t="str">
        <f>VLOOKUP(AU56,CENY!$B$11:$G$1054,2,FALSE)</f>
        <v>Quadro You(M) 400/P2O 30kg; EB21</v>
      </c>
      <c r="AW56" s="22">
        <f>VLOOKUP(AU56,CENY!$B$11:$G$1054,3,FALSE)</f>
        <v>1</v>
      </c>
      <c r="AX56" s="362">
        <v>8</v>
      </c>
      <c r="AY56" s="23">
        <f>U30</f>
        <v>0</v>
      </c>
      <c r="AZ56" s="326">
        <f t="shared" si="1"/>
        <v>0</v>
      </c>
      <c r="BA56" s="95">
        <f>VLOOKUP(AU56,CENY!$B$11:$M$2025,12,FALSE)</f>
        <v>557.20162000000005</v>
      </c>
      <c r="BB56" s="95">
        <f t="shared" si="0"/>
        <v>0</v>
      </c>
      <c r="BD56" s="319">
        <f>OBJ!B281</f>
        <v>9318213</v>
      </c>
      <c r="BE56" s="21" t="str">
        <f>VLOOKUP(BD56,CENY!$B$11:$G$1054,2,FALSE)</f>
        <v>Actro You(XL) 650/SiSy 70kg; EB21; ľavý</v>
      </c>
      <c r="BF56" s="22">
        <f>VLOOKUP(BD56,CENY!$B$11:$G$1054,3,FALSE)</f>
        <v>5</v>
      </c>
      <c r="BG56" s="22"/>
      <c r="BH56" s="23">
        <f>AY34</f>
        <v>0</v>
      </c>
      <c r="BI56" s="326">
        <f t="shared" si="2"/>
        <v>0</v>
      </c>
      <c r="BJ56" s="95">
        <f>VLOOKUP(BD56,CENY!$B$11:$M$2025,12,FALSE)</f>
        <v>462.41142000000002</v>
      </c>
      <c r="BK56" s="95">
        <f t="shared" si="3"/>
        <v>0</v>
      </c>
    </row>
    <row r="57" spans="47:63" ht="14.4" customHeight="1">
      <c r="AU57" s="319">
        <f>OBJ!B337</f>
        <v>9256935</v>
      </c>
      <c r="AV57" s="21" t="str">
        <f>VLOOKUP(AU57,CENY!$B$11:$G$1054,2,FALSE)</f>
        <v>Quadro You(M) 450/P2O 30kg; EB21</v>
      </c>
      <c r="AW57" s="22">
        <f>VLOOKUP(AU57,CENY!$B$11:$G$1054,3,FALSE)</f>
        <v>1</v>
      </c>
      <c r="AX57" s="362">
        <v>8</v>
      </c>
      <c r="AY57" s="23">
        <f>W30</f>
        <v>0</v>
      </c>
      <c r="AZ57" s="326">
        <f t="shared" si="1"/>
        <v>0</v>
      </c>
      <c r="BA57" s="95">
        <f>VLOOKUP(AU57,CENY!$B$11:$M$2025,12,FALSE)</f>
        <v>566.90911000000006</v>
      </c>
      <c r="BB57" s="95">
        <f t="shared" si="0"/>
        <v>0</v>
      </c>
      <c r="BD57" s="319">
        <f>OBJ!B282</f>
        <v>9318214</v>
      </c>
      <c r="BE57" s="21" t="str">
        <f>VLOOKUP(BD57,CENY!$B$11:$G$1054,2,FALSE)</f>
        <v>Actro You(XL) 650/SiSy 70kg; EB21; pravý</v>
      </c>
      <c r="BF57" s="22">
        <f>VLOOKUP(BD57,CENY!$B$11:$G$1054,3,FALSE)</f>
        <v>5</v>
      </c>
      <c r="BG57" s="22"/>
      <c r="BH57" s="23">
        <f>AY34</f>
        <v>0</v>
      </c>
      <c r="BI57" s="326">
        <f t="shared" si="2"/>
        <v>0</v>
      </c>
      <c r="BJ57" s="95">
        <f>VLOOKUP(BD57,CENY!$B$11:$M$2025,12,FALSE)</f>
        <v>462.41142000000002</v>
      </c>
      <c r="BK57" s="95">
        <f t="shared" si="3"/>
        <v>0</v>
      </c>
    </row>
    <row r="58" spans="47:63" ht="14.4" customHeight="1">
      <c r="AU58" s="319">
        <f>OBJ!B338</f>
        <v>9256937</v>
      </c>
      <c r="AV58" s="21" t="str">
        <f>VLOOKUP(AU58,CENY!$B$11:$G$1054,2,FALSE)</f>
        <v>Quadro You(M) 500/P2O 30kg; EB21</v>
      </c>
      <c r="AW58" s="22">
        <f>VLOOKUP(AU58,CENY!$B$11:$G$1054,3,FALSE)</f>
        <v>1</v>
      </c>
      <c r="AX58" s="362">
        <v>8</v>
      </c>
      <c r="AY58" s="23">
        <f>Y30</f>
        <v>0</v>
      </c>
      <c r="AZ58" s="326">
        <f t="shared" si="1"/>
        <v>0</v>
      </c>
      <c r="BA58" s="95">
        <f>VLOOKUP(AU58,CENY!$B$11:$M$2025,12,FALSE)</f>
        <v>139.41228000000001</v>
      </c>
      <c r="BB58" s="95">
        <f t="shared" si="0"/>
        <v>0</v>
      </c>
      <c r="BD58" s="319"/>
      <c r="BE58" s="21"/>
      <c r="BF58" s="22"/>
      <c r="BG58" s="22"/>
      <c r="BH58" s="23"/>
      <c r="BI58" s="326" t="str">
        <f t="shared" si="2"/>
        <v/>
      </c>
      <c r="BJ58" s="95"/>
      <c r="BK58" s="95" t="str">
        <f t="shared" si="3"/>
        <v/>
      </c>
    </row>
    <row r="59" spans="47:63" ht="14.4" customHeight="1">
      <c r="AU59" s="319">
        <f>OBJ!B339</f>
        <v>9256939</v>
      </c>
      <c r="AV59" s="21" t="str">
        <f>VLOOKUP(AU59,CENY!$B$11:$G$1054,2,FALSE)</f>
        <v>Quadro You(M) 550/P2O 30kg; EB21</v>
      </c>
      <c r="AW59" s="22">
        <f>VLOOKUP(AU59,CENY!$B$11:$G$1054,3,FALSE)</f>
        <v>1</v>
      </c>
      <c r="AX59" s="362">
        <v>8</v>
      </c>
      <c r="AY59" s="23">
        <f>AA30</f>
        <v>0</v>
      </c>
      <c r="AZ59" s="326">
        <f t="shared" si="1"/>
        <v>0</v>
      </c>
      <c r="BA59" s="95">
        <f>VLOOKUP(AU59,CENY!$B$11:$M$2025,12,FALSE)</f>
        <v>586.3143</v>
      </c>
      <c r="BB59" s="95">
        <f t="shared" si="0"/>
        <v>0</v>
      </c>
      <c r="BD59" s="319">
        <f>OBJ!B284</f>
        <v>9257890</v>
      </c>
      <c r="BE59" s="21" t="str">
        <f>VLOOKUP(BD59,CENY!$B$11:$G$1054,2,FALSE)</f>
        <v>Actro You - Push to open Silent; &lt;10kg</v>
      </c>
      <c r="BF59" s="22">
        <f>VLOOKUP(BD59,CENY!$B$11:$G$1054,3,FALSE)</f>
        <v>1</v>
      </c>
      <c r="BG59" s="22"/>
      <c r="BH59" s="23">
        <f>AY36</f>
        <v>0</v>
      </c>
      <c r="BI59" s="326">
        <f t="shared" si="2"/>
        <v>0</v>
      </c>
      <c r="BJ59" s="95">
        <f>VLOOKUP(BD59,CENY!$B$11:$M$2025,12,FALSE)</f>
        <v>481.81412999999998</v>
      </c>
      <c r="BK59" s="95">
        <f t="shared" si="3"/>
        <v>0</v>
      </c>
    </row>
    <row r="60" spans="47:63" ht="14.4" customHeight="1">
      <c r="AU60" s="319">
        <f>OBJ!B340</f>
        <v>9256941</v>
      </c>
      <c r="AV60" s="21" t="str">
        <f>VLOOKUP(AU60,CENY!$B$11:$G$1054,2,FALSE)</f>
        <v>Quadro You(M) 600/P2O 25kg; EB21</v>
      </c>
      <c r="AW60" s="22">
        <f>VLOOKUP(AU60,CENY!$B$11:$G$1054,3,FALSE)</f>
        <v>1</v>
      </c>
      <c r="AX60" s="362">
        <v>8</v>
      </c>
      <c r="AY60" s="23">
        <f>AC30</f>
        <v>0</v>
      </c>
      <c r="AZ60" s="326">
        <f t="shared" si="1"/>
        <v>0</v>
      </c>
      <c r="BA60" s="95">
        <f>VLOOKUP(AU60,CENY!$B$11:$M$2025,12,FALSE)</f>
        <v>596.01683000000003</v>
      </c>
      <c r="BB60" s="95">
        <f t="shared" si="0"/>
        <v>0</v>
      </c>
      <c r="BD60" s="319">
        <f>OBJ!B285</f>
        <v>9257891</v>
      </c>
      <c r="BE60" s="21" t="str">
        <f>VLOOKUP(BD60,CENY!$B$11:$G$1054,2,FALSE)</f>
        <v>Actro You - Push to open Silent; 8-20kg</v>
      </c>
      <c r="BF60" s="22">
        <f>VLOOKUP(BD60,CENY!$B$11:$G$1054,3,FALSE)</f>
        <v>1</v>
      </c>
      <c r="BG60" s="22"/>
      <c r="BH60" s="23">
        <f>AY37</f>
        <v>0</v>
      </c>
      <c r="BI60" s="326">
        <f t="shared" si="2"/>
        <v>0</v>
      </c>
      <c r="BJ60" s="95">
        <f>VLOOKUP(BD60,CENY!$B$11:$M$2025,12,FALSE)</f>
        <v>481.81412999999998</v>
      </c>
      <c r="BK60" s="95">
        <f t="shared" si="3"/>
        <v>0</v>
      </c>
    </row>
    <row r="61" spans="47:63" ht="14.4" customHeight="1">
      <c r="AU61" s="319"/>
      <c r="AV61" s="21"/>
      <c r="AW61" s="22"/>
      <c r="AX61" s="22"/>
      <c r="AY61" s="23"/>
      <c r="AZ61" s="326" t="str">
        <f t="shared" si="1"/>
        <v/>
      </c>
      <c r="BA61" s="95"/>
      <c r="BB61" s="95" t="str">
        <f t="shared" si="0"/>
        <v/>
      </c>
      <c r="BD61" s="319">
        <f>OBJ!B286</f>
        <v>9257892</v>
      </c>
      <c r="BE61" s="21" t="str">
        <f>VLOOKUP(BD61,CENY!$B$11:$G$1054,2,FALSE)</f>
        <v>Actro You - Push to open Silent; 10-40kg</v>
      </c>
      <c r="BF61" s="22">
        <f>VLOOKUP(BD61,CENY!$B$11:$G$1054,3,FALSE)</f>
        <v>1</v>
      </c>
      <c r="BG61" s="22"/>
      <c r="BH61" s="23">
        <f>AY38</f>
        <v>0</v>
      </c>
      <c r="BI61" s="326">
        <f t="shared" si="2"/>
        <v>0</v>
      </c>
      <c r="BJ61" s="95">
        <f>VLOOKUP(BD61,CENY!$B$11:$M$2025,12,FALSE)</f>
        <v>481.81412999999998</v>
      </c>
      <c r="BK61" s="95">
        <f t="shared" si="3"/>
        <v>0</v>
      </c>
    </row>
    <row r="62" spans="47:63" ht="14.4" customHeight="1">
      <c r="AU62" s="319">
        <f>OBJ!B358</f>
        <v>9219966</v>
      </c>
      <c r="AV62" s="21" t="str">
        <f>VLOOKUP(AU62,CENY!$B$11:$G$1054,2,FALSE)</f>
        <v>Push to open Synchro / adaptér typ A</v>
      </c>
      <c r="AW62" s="22">
        <f>VLOOKUP(AU62,CENY!$B$11:$G$1054,3,FALSE)</f>
        <v>200</v>
      </c>
      <c r="AX62" s="22"/>
      <c r="AY62" s="23">
        <f>2*SUM(Q30:AD30)</f>
        <v>0</v>
      </c>
      <c r="AZ62" s="326">
        <f t="shared" si="1"/>
        <v>0</v>
      </c>
      <c r="BA62" s="95">
        <f>VLOOKUP(AU62,CENY!$B$11:$M$2025,12,FALSE)</f>
        <v>16.488900000000001</v>
      </c>
      <c r="BB62" s="95">
        <f t="shared" si="0"/>
        <v>0</v>
      </c>
      <c r="BD62" s="319">
        <f>OBJ!B287</f>
        <v>9257893</v>
      </c>
      <c r="BE62" s="21" t="str">
        <f>VLOOKUP(BD62,CENY!$B$11:$G$1054,2,FALSE)</f>
        <v>Actro You - Push to open Silent; 20-70kg</v>
      </c>
      <c r="BF62" s="22">
        <f>VLOOKUP(BD62,CENY!$B$11:$G$1054,3,FALSE)</f>
        <v>1</v>
      </c>
      <c r="BG62" s="22"/>
      <c r="BH62" s="23">
        <f>AY39</f>
        <v>0</v>
      </c>
      <c r="BI62" s="326">
        <f t="shared" si="2"/>
        <v>0</v>
      </c>
      <c r="BJ62" s="95">
        <f>VLOOKUP(BD62,CENY!$B$11:$M$2025,12,FALSE)</f>
        <v>481.81412999999998</v>
      </c>
      <c r="BK62" s="95">
        <f t="shared" si="3"/>
        <v>0</v>
      </c>
    </row>
    <row r="63" spans="47:63" ht="14.4" customHeight="1">
      <c r="AU63" s="319"/>
      <c r="AV63" s="21"/>
      <c r="AW63" s="22"/>
      <c r="AX63" s="22"/>
      <c r="AY63" s="23"/>
      <c r="AZ63" s="326" t="str">
        <f t="shared" si="1"/>
        <v/>
      </c>
      <c r="BA63" s="95"/>
      <c r="BB63" s="95" t="str">
        <f t="shared" ref="BB63:BB102" si="4">IF(BA63="","",BA63*AY63)</f>
        <v/>
      </c>
      <c r="BD63" s="319">
        <f>OBJ!B288</f>
        <v>9236718</v>
      </c>
      <c r="BE63" s="21" t="str">
        <f>VLOOKUP(BD63,CENY!$B$11:$G$1054,2,FALSE)</f>
        <v>Push to open Synchro / tyč 2.000 mm</v>
      </c>
      <c r="BF63" s="22">
        <f>VLOOKUP(BD63,CENY!$B$11:$G$1054,3,FALSE)</f>
        <v>100</v>
      </c>
      <c r="BG63" s="22"/>
      <c r="BH63" s="23">
        <f>AY40</f>
        <v>0</v>
      </c>
      <c r="BI63" s="326">
        <f t="shared" si="2"/>
        <v>0</v>
      </c>
      <c r="BJ63" s="95">
        <f>VLOOKUP(BD63,CENY!$B$11:$M$2025,12,FALSE)</f>
        <v>182.03933000000001</v>
      </c>
      <c r="BK63" s="95">
        <f t="shared" si="3"/>
        <v>0</v>
      </c>
    </row>
    <row r="64" spans="47:63" ht="14.4" customHeight="1">
      <c r="AU64" s="442">
        <f>OBJ!B150</f>
        <v>9359507</v>
      </c>
      <c r="AV64" s="443" t="str">
        <f>VLOOKUP(AU64,CENY!$B$11:$G$1054,2,FALSE)</f>
        <v>AvanY-prích.čela k naskrutk./ v251 (kompl)</v>
      </c>
      <c r="AW64" s="22">
        <f>VLOOKUP(AU64,CENY!$B$11:$G$1054,3,FALSE)</f>
        <v>1</v>
      </c>
      <c r="AX64" s="22"/>
      <c r="AY64" s="68">
        <f>1*(SUM(S19)+SUM(S20:AD20)+SUM(W22:AF22)+SUM(S27)+SUM(S28:AD28)+SUM(S30:AD30))</f>
        <v>0</v>
      </c>
      <c r="AZ64" s="326">
        <f t="shared" si="1"/>
        <v>0</v>
      </c>
      <c r="BA64" s="95">
        <f>VLOOKUP(AU64,CENY!$B$11:$M$2025,12,FALSE)</f>
        <v>28.618980000000001</v>
      </c>
      <c r="BB64" s="95">
        <f t="shared" si="4"/>
        <v>0</v>
      </c>
      <c r="BD64" s="319"/>
      <c r="BE64" s="21"/>
      <c r="BF64" s="22"/>
      <c r="BG64" s="22"/>
      <c r="BH64" s="23"/>
      <c r="BI64" s="326" t="str">
        <f t="shared" si="2"/>
        <v/>
      </c>
      <c r="BJ64" s="95"/>
      <c r="BK64" s="95" t="str">
        <f t="shared" si="3"/>
        <v/>
      </c>
    </row>
    <row r="65" spans="47:63" ht="14.4" customHeight="1">
      <c r="AU65" s="454">
        <v>9257888</v>
      </c>
      <c r="AV65" s="455" t="str">
        <f>VLOOKUP(AU65,CENY!$B$11:$G$1054,2,FALSE)</f>
        <v>AvanY-stabiliz.čela s rozp.púzdrom/ v251</v>
      </c>
      <c r="AW65" s="456">
        <f>VLOOKUP(AU65,CENY!$B$11:$G$1054,3,FALSE)</f>
        <v>200</v>
      </c>
      <c r="AX65" s="456"/>
      <c r="AY65" s="457"/>
      <c r="AZ65" s="458" t="str">
        <f t="shared" si="1"/>
        <v/>
      </c>
      <c r="BA65" s="459">
        <f>VLOOKUP(AU65,CENY!$B$11:$M$2025,12,FALSE)</f>
        <v>11.40666</v>
      </c>
      <c r="BB65" s="459">
        <f>IF(BA65="","",BA65*AY65)</f>
        <v>0</v>
      </c>
      <c r="BD65" s="319">
        <f>OBJ!B301</f>
        <v>9256950</v>
      </c>
      <c r="BE65" s="21" t="str">
        <f>VLOOKUP(BD65,CENY!$B$11:$G$1054,2,FALSE)</f>
        <v>Quadro You(S) 350/SiSy 10kg; EB21; ľavý</v>
      </c>
      <c r="BF65" s="22">
        <f>VLOOKUP(BD65,CENY!$B$11:$G$1054,3,FALSE)</f>
        <v>20</v>
      </c>
      <c r="BG65" s="22"/>
      <c r="BH65" s="23">
        <f>AY42</f>
        <v>0</v>
      </c>
      <c r="BI65" s="326">
        <f t="shared" si="2"/>
        <v>0</v>
      </c>
      <c r="BJ65" s="95">
        <f>VLOOKUP(BD65,CENY!$B$11:$M$2025,12,FALSE)</f>
        <v>229.11434</v>
      </c>
      <c r="BK65" s="95">
        <f t="shared" si="3"/>
        <v>0</v>
      </c>
    </row>
    <row r="66" spans="47:63" ht="14.4" customHeight="1">
      <c r="AU66" s="319"/>
      <c r="AV66" s="21"/>
      <c r="AW66" s="22"/>
      <c r="AX66" s="22"/>
      <c r="AY66" s="23"/>
      <c r="AZ66" s="326" t="str">
        <f t="shared" si="1"/>
        <v/>
      </c>
      <c r="BA66" s="95"/>
      <c r="BB66" s="95" t="str">
        <f t="shared" si="4"/>
        <v/>
      </c>
      <c r="BD66" s="319">
        <f>OBJ!B302</f>
        <v>9256951</v>
      </c>
      <c r="BE66" s="21" t="str">
        <f>VLOOKUP(BD66,CENY!$B$11:$G$1054,2,FALSE)</f>
        <v>Quadro You(S) 350/SiSy 10kg; EB21; pravý</v>
      </c>
      <c r="BF66" s="22">
        <f>VLOOKUP(BD66,CENY!$B$11:$G$1054,3,FALSE)</f>
        <v>20</v>
      </c>
      <c r="BG66" s="22"/>
      <c r="BH66" s="23">
        <f>AY42</f>
        <v>0</v>
      </c>
      <c r="BI66" s="326">
        <f t="shared" si="2"/>
        <v>0</v>
      </c>
      <c r="BJ66" s="95">
        <f>VLOOKUP(BD66,CENY!$B$11:$M$2025,12,FALSE)</f>
        <v>229.11434</v>
      </c>
      <c r="BK66" s="95">
        <f t="shared" si="3"/>
        <v>0</v>
      </c>
    </row>
    <row r="67" spans="47:63" ht="14.4" customHeight="1">
      <c r="AU67" s="320">
        <f>OBJ!B214</f>
        <v>0</v>
      </c>
      <c r="AV67" s="321" t="e">
        <f>VLOOKUP(AU67,CENY!$B$11:$G$1054,2,FALSE)</f>
        <v>#N/A</v>
      </c>
      <c r="AW67" s="22" t="e">
        <f>VLOOKUP(AU67,CENY!$B$11:$G$1054,3,FALSE)</f>
        <v>#N/A</v>
      </c>
      <c r="AX67" s="22"/>
      <c r="AY67" s="68">
        <f>IF(FORM!AM21&lt;&gt;FORM!AW16,(2*(+SUM(O19:T19)+SUM(O20:AD20)+SUM(W22:AF22)+SUM(O27:T27)+SUM(O28:AD28)+SUM(O30:AD30))),0)</f>
        <v>0</v>
      </c>
      <c r="AZ67" s="326">
        <f t="shared" si="1"/>
        <v>0</v>
      </c>
      <c r="BA67" s="324" t="str">
        <f>IF(AU67=0,"",VLOOKUP(AU67,CENY!$B$11:$M$2025,12,FALSE))</f>
        <v/>
      </c>
      <c r="BB67" s="95" t="str">
        <f t="shared" si="4"/>
        <v/>
      </c>
      <c r="BD67" s="319"/>
      <c r="BE67" s="21"/>
      <c r="BF67" s="22"/>
      <c r="BG67" s="22"/>
      <c r="BH67" s="23"/>
      <c r="BI67" s="326" t="str">
        <f t="shared" si="2"/>
        <v/>
      </c>
      <c r="BJ67" s="95"/>
      <c r="BK67" s="95" t="str">
        <f t="shared" ref="BK67:BK101" si="5">IF(BJ67="","",BJ67*BH67)</f>
        <v/>
      </c>
    </row>
    <row r="68" spans="47:63" ht="14.4" customHeight="1">
      <c r="AU68" s="319"/>
      <c r="AV68" s="21"/>
      <c r="AW68" s="22"/>
      <c r="AX68" s="22"/>
      <c r="AY68" s="23"/>
      <c r="AZ68" s="326" t="str">
        <f t="shared" ref="AZ68:AZ106" si="6">IF(AY68="","",IF($AW$4=1,AY68,0))</f>
        <v/>
      </c>
      <c r="BA68" s="95"/>
      <c r="BB68" s="95" t="str">
        <f t="shared" si="4"/>
        <v/>
      </c>
      <c r="BD68" s="319">
        <f>OBJ!B316</f>
        <v>9256860</v>
      </c>
      <c r="BE68" s="21" t="str">
        <f>VLOOKUP(BD68,CENY!$B$11:$G$1054,2,FALSE)</f>
        <v>Quadro You(M) 350/SiSy 25kg; EB21; ľavý</v>
      </c>
      <c r="BF68" s="22">
        <f>VLOOKUP(BD68,CENY!$B$11:$G$1054,3,FALSE)</f>
        <v>20</v>
      </c>
      <c r="BG68" s="22"/>
      <c r="BH68" s="23">
        <f>AY44</f>
        <v>0</v>
      </c>
      <c r="BI68" s="326">
        <f t="shared" si="2"/>
        <v>0</v>
      </c>
      <c r="BJ68" s="95">
        <f>VLOOKUP(BD68,CENY!$B$11:$M$2025,12,FALSE)</f>
        <v>229.11434</v>
      </c>
      <c r="BK68" s="95">
        <f t="shared" si="5"/>
        <v>0</v>
      </c>
    </row>
    <row r="69" spans="47:63" ht="14.4" customHeight="1">
      <c r="AU69" s="319"/>
      <c r="AV69" s="21"/>
      <c r="AW69" s="22"/>
      <c r="AX69" s="22"/>
      <c r="AY69" s="23"/>
      <c r="AZ69" s="326" t="str">
        <f t="shared" si="6"/>
        <v/>
      </c>
      <c r="BA69" s="95"/>
      <c r="BB69" s="95" t="str">
        <f t="shared" si="4"/>
        <v/>
      </c>
      <c r="BD69" s="319">
        <f>OBJ!B317</f>
        <v>9256861</v>
      </c>
      <c r="BE69" s="21" t="str">
        <f>VLOOKUP(BD69,CENY!$B$11:$G$1054,2,FALSE)</f>
        <v>Quadro You(M) 350/SiSy 25kg; EB21; pravý</v>
      </c>
      <c r="BF69" s="22">
        <f>VLOOKUP(BD69,CENY!$B$11:$G$1054,3,FALSE)</f>
        <v>20</v>
      </c>
      <c r="BG69" s="22"/>
      <c r="BH69" s="23">
        <f>AY44</f>
        <v>0</v>
      </c>
      <c r="BI69" s="326">
        <f t="shared" si="2"/>
        <v>0</v>
      </c>
      <c r="BJ69" s="95">
        <f>VLOOKUP(BD69,CENY!$B$11:$M$2025,12,FALSE)</f>
        <v>229.11434</v>
      </c>
      <c r="BK69" s="95">
        <f t="shared" si="5"/>
        <v>0</v>
      </c>
    </row>
    <row r="70" spans="47:63" ht="14.4" customHeight="1">
      <c r="AU70" s="319"/>
      <c r="AV70" s="21"/>
      <c r="AW70" s="22"/>
      <c r="AX70" s="22"/>
      <c r="AY70" s="23"/>
      <c r="AZ70" s="326" t="str">
        <f t="shared" si="6"/>
        <v/>
      </c>
      <c r="BA70" s="95"/>
      <c r="BB70" s="95" t="str">
        <f t="shared" si="4"/>
        <v/>
      </c>
      <c r="BD70" s="319">
        <f>OBJ!B318</f>
        <v>9256864</v>
      </c>
      <c r="BE70" s="21" t="str">
        <f>VLOOKUP(BD70,CENY!$B$11:$G$1054,2,FALSE)</f>
        <v>Quadro You(M) 400/SiSy 30kg; EB21; ľavý</v>
      </c>
      <c r="BF70" s="22">
        <f>VLOOKUP(BD70,CENY!$B$11:$G$1054,3,FALSE)</f>
        <v>20</v>
      </c>
      <c r="BG70" s="22"/>
      <c r="BH70" s="23">
        <f>AY45</f>
        <v>0</v>
      </c>
      <c r="BI70" s="326">
        <f t="shared" ref="BI70:BI107" si="7">IF(BH70="","",IF($AW$4=0,BH70,0))</f>
        <v>0</v>
      </c>
      <c r="BJ70" s="95">
        <f>VLOOKUP(BD70,CENY!$B$11:$M$2025,12,FALSE)</f>
        <v>233.96566000000001</v>
      </c>
      <c r="BK70" s="95">
        <f t="shared" si="5"/>
        <v>0</v>
      </c>
    </row>
    <row r="71" spans="47:63" ht="14.4" customHeight="1">
      <c r="AU71" s="319"/>
      <c r="AV71" s="21"/>
      <c r="AW71" s="22"/>
      <c r="AX71" s="22"/>
      <c r="AY71" s="23"/>
      <c r="AZ71" s="326" t="str">
        <f t="shared" si="6"/>
        <v/>
      </c>
      <c r="BA71" s="95"/>
      <c r="BB71" s="95" t="str">
        <f t="shared" si="4"/>
        <v/>
      </c>
      <c r="BD71" s="319">
        <f>OBJ!B319</f>
        <v>9256865</v>
      </c>
      <c r="BE71" s="21" t="str">
        <f>VLOOKUP(BD71,CENY!$B$11:$G$1054,2,FALSE)</f>
        <v>Quadro You(M) 400/SiSy 30kg; EB21; pravý</v>
      </c>
      <c r="BF71" s="22">
        <f>VLOOKUP(BD71,CENY!$B$11:$G$1054,3,FALSE)</f>
        <v>20</v>
      </c>
      <c r="BG71" s="22"/>
      <c r="BH71" s="23">
        <f>AY45</f>
        <v>0</v>
      </c>
      <c r="BI71" s="326">
        <f t="shared" si="7"/>
        <v>0</v>
      </c>
      <c r="BJ71" s="95">
        <f>VLOOKUP(BD71,CENY!$B$11:$M$2025,12,FALSE)</f>
        <v>233.96566000000001</v>
      </c>
      <c r="BK71" s="95">
        <f t="shared" si="5"/>
        <v>0</v>
      </c>
    </row>
    <row r="72" spans="47:63" ht="14.4" customHeight="1">
      <c r="AU72" s="319"/>
      <c r="AV72" s="21"/>
      <c r="AW72" s="22"/>
      <c r="AX72" s="22"/>
      <c r="AY72" s="23"/>
      <c r="AZ72" s="326" t="str">
        <f t="shared" si="6"/>
        <v/>
      </c>
      <c r="BA72" s="95"/>
      <c r="BB72" s="95" t="str">
        <f t="shared" si="4"/>
        <v/>
      </c>
      <c r="BD72" s="319">
        <f>OBJ!B320</f>
        <v>9256868</v>
      </c>
      <c r="BE72" s="21" t="str">
        <f>VLOOKUP(BD72,CENY!$B$11:$G$1054,2,FALSE)</f>
        <v>Quadro You(M) 450/SiSy 30kg; EB21; ľavý</v>
      </c>
      <c r="BF72" s="22">
        <f>VLOOKUP(BD72,CENY!$B$11:$G$1054,3,FALSE)</f>
        <v>20</v>
      </c>
      <c r="BG72" s="22"/>
      <c r="BH72" s="23">
        <f>AY46</f>
        <v>0</v>
      </c>
      <c r="BI72" s="326">
        <f t="shared" si="7"/>
        <v>0</v>
      </c>
      <c r="BJ72" s="95">
        <f>VLOOKUP(BD72,CENY!$B$11:$M$2025,12,FALSE)</f>
        <v>238.81201999999999</v>
      </c>
      <c r="BK72" s="95">
        <f t="shared" si="5"/>
        <v>0</v>
      </c>
    </row>
    <row r="73" spans="47:63" ht="14.4" customHeight="1">
      <c r="AU73" s="319"/>
      <c r="AV73" s="21"/>
      <c r="AW73" s="22"/>
      <c r="AX73" s="22"/>
      <c r="AY73" s="23"/>
      <c r="AZ73" s="326" t="str">
        <f t="shared" si="6"/>
        <v/>
      </c>
      <c r="BA73" s="95"/>
      <c r="BB73" s="95" t="str">
        <f t="shared" si="4"/>
        <v/>
      </c>
      <c r="BD73" s="319">
        <f>OBJ!B321</f>
        <v>9256869</v>
      </c>
      <c r="BE73" s="21" t="str">
        <f>VLOOKUP(BD73,CENY!$B$11:$G$1054,2,FALSE)</f>
        <v>Quadro You(M) 450/SiSy 30kg; EB21; pravý</v>
      </c>
      <c r="BF73" s="22">
        <f>VLOOKUP(BD73,CENY!$B$11:$G$1054,3,FALSE)</f>
        <v>20</v>
      </c>
      <c r="BG73" s="22"/>
      <c r="BH73" s="23">
        <f>AY46</f>
        <v>0</v>
      </c>
      <c r="BI73" s="326">
        <f t="shared" si="7"/>
        <v>0</v>
      </c>
      <c r="BJ73" s="95">
        <f>VLOOKUP(BD73,CENY!$B$11:$M$2025,12,FALSE)</f>
        <v>238.81201999999999</v>
      </c>
      <c r="BK73" s="95">
        <f t="shared" si="5"/>
        <v>0</v>
      </c>
    </row>
    <row r="74" spans="47:63" ht="14.4" customHeight="1">
      <c r="AU74" s="319"/>
      <c r="AV74" s="21"/>
      <c r="AW74" s="22"/>
      <c r="AX74" s="22"/>
      <c r="AY74" s="23"/>
      <c r="AZ74" s="326" t="str">
        <f t="shared" si="6"/>
        <v/>
      </c>
      <c r="BA74" s="95"/>
      <c r="BB74" s="95" t="str">
        <f t="shared" si="4"/>
        <v/>
      </c>
      <c r="BD74" s="319">
        <f>OBJ!B322</f>
        <v>9256872</v>
      </c>
      <c r="BE74" s="21" t="str">
        <f>VLOOKUP(BD74,CENY!$B$11:$G$1054,2,FALSE)</f>
        <v>Quadro You(M) 500/SiSy 30kg; EB21; ľavý</v>
      </c>
      <c r="BF74" s="22">
        <f>VLOOKUP(BD74,CENY!$B$11:$G$1054,3,FALSE)</f>
        <v>20</v>
      </c>
      <c r="BG74" s="22"/>
      <c r="BH74" s="23">
        <f>AY47</f>
        <v>0</v>
      </c>
      <c r="BI74" s="326">
        <f t="shared" si="7"/>
        <v>0</v>
      </c>
      <c r="BJ74" s="95">
        <f>VLOOKUP(BD74,CENY!$B$11:$M$2025,12,FALSE)</f>
        <v>237.18776</v>
      </c>
      <c r="BK74" s="95">
        <f t="shared" si="5"/>
        <v>0</v>
      </c>
    </row>
    <row r="75" spans="47:63" ht="14.4" customHeight="1">
      <c r="AU75" s="319"/>
      <c r="AV75" s="21"/>
      <c r="AW75" s="22"/>
      <c r="AX75" s="22"/>
      <c r="AY75" s="23"/>
      <c r="AZ75" s="326" t="str">
        <f t="shared" si="6"/>
        <v/>
      </c>
      <c r="BA75" s="95"/>
      <c r="BB75" s="95" t="str">
        <f t="shared" si="4"/>
        <v/>
      </c>
      <c r="BD75" s="319">
        <f>OBJ!B323</f>
        <v>9256873</v>
      </c>
      <c r="BE75" s="21" t="str">
        <f>VLOOKUP(BD75,CENY!$B$11:$G$1054,2,FALSE)</f>
        <v>Quadro You(M) 500/SiSy 30kg; EB21; pravý</v>
      </c>
      <c r="BF75" s="22">
        <f>VLOOKUP(BD75,CENY!$B$11:$G$1054,3,FALSE)</f>
        <v>20</v>
      </c>
      <c r="BG75" s="22"/>
      <c r="BH75" s="23">
        <f>AY47</f>
        <v>0</v>
      </c>
      <c r="BI75" s="326">
        <f t="shared" si="7"/>
        <v>0</v>
      </c>
      <c r="BJ75" s="95">
        <f>VLOOKUP(BD75,CENY!$B$11:$M$2025,12,FALSE)</f>
        <v>237.18776</v>
      </c>
      <c r="BK75" s="95">
        <f t="shared" si="5"/>
        <v>0</v>
      </c>
    </row>
    <row r="76" spans="47:63" ht="14.4" customHeight="1">
      <c r="AU76" s="319"/>
      <c r="AV76" s="21"/>
      <c r="AW76" s="22"/>
      <c r="AX76" s="22"/>
      <c r="AY76" s="23"/>
      <c r="AZ76" s="326" t="str">
        <f t="shared" si="6"/>
        <v/>
      </c>
      <c r="BA76" s="95"/>
      <c r="BB76" s="95" t="str">
        <f t="shared" si="4"/>
        <v/>
      </c>
      <c r="BD76" s="319">
        <f>OBJ!B324</f>
        <v>9256876</v>
      </c>
      <c r="BE76" s="21" t="str">
        <f>VLOOKUP(BD76,CENY!$B$11:$G$1054,2,FALSE)</f>
        <v>Quadro You(M) 550/SiSy 30kg; EB21; ľavý</v>
      </c>
      <c r="BF76" s="22">
        <f>VLOOKUP(BD76,CENY!$B$11:$G$1054,3,FALSE)</f>
        <v>20</v>
      </c>
      <c r="BG76" s="22"/>
      <c r="BH76" s="23">
        <f>AY48</f>
        <v>0</v>
      </c>
      <c r="BI76" s="326">
        <f t="shared" si="7"/>
        <v>0</v>
      </c>
      <c r="BJ76" s="95">
        <f>VLOOKUP(BD76,CENY!$B$11:$M$2025,12,FALSE)</f>
        <v>241.90996999999999</v>
      </c>
      <c r="BK76" s="95">
        <f t="shared" si="5"/>
        <v>0</v>
      </c>
    </row>
    <row r="77" spans="47:63" ht="14.4" customHeight="1">
      <c r="AU77" s="319"/>
      <c r="AV77" s="21"/>
      <c r="AW77" s="22"/>
      <c r="AX77" s="22"/>
      <c r="AY77" s="23"/>
      <c r="AZ77" s="326" t="str">
        <f t="shared" si="6"/>
        <v/>
      </c>
      <c r="BA77" s="95"/>
      <c r="BB77" s="95" t="str">
        <f t="shared" si="4"/>
        <v/>
      </c>
      <c r="BD77" s="319">
        <f>OBJ!B325</f>
        <v>9256877</v>
      </c>
      <c r="BE77" s="21" t="str">
        <f>VLOOKUP(BD77,CENY!$B$11:$G$1054,2,FALSE)</f>
        <v>Quadro You(M) 550/SiSy 30kg; EB21; pravý</v>
      </c>
      <c r="BF77" s="22">
        <f>VLOOKUP(BD77,CENY!$B$11:$G$1054,3,FALSE)</f>
        <v>20</v>
      </c>
      <c r="BG77" s="22"/>
      <c r="BH77" s="23">
        <f>AY48</f>
        <v>0</v>
      </c>
      <c r="BI77" s="326">
        <f t="shared" si="7"/>
        <v>0</v>
      </c>
      <c r="BJ77" s="95">
        <f>VLOOKUP(BD77,CENY!$B$11:$M$2025,12,FALSE)</f>
        <v>248.51953</v>
      </c>
      <c r="BK77" s="95">
        <f t="shared" si="5"/>
        <v>0</v>
      </c>
    </row>
    <row r="78" spans="47:63" ht="14.4" customHeight="1">
      <c r="AU78" s="319"/>
      <c r="AV78" s="21"/>
      <c r="AW78" s="22"/>
      <c r="AX78" s="22"/>
      <c r="AY78" s="23"/>
      <c r="AZ78" s="326" t="str">
        <f t="shared" si="6"/>
        <v/>
      </c>
      <c r="BA78" s="95"/>
      <c r="BB78" s="95" t="str">
        <f t="shared" si="4"/>
        <v/>
      </c>
      <c r="BD78" s="319">
        <f>OBJ!B326</f>
        <v>9256880</v>
      </c>
      <c r="BE78" s="21" t="str">
        <f>VLOOKUP(BD78,CENY!$B$11:$G$1054,2,FALSE)</f>
        <v>Quadro You(M) 600/SiSy 25kg; EB21; ľavý</v>
      </c>
      <c r="BF78" s="22">
        <f>VLOOKUP(BD78,CENY!$B$11:$G$1054,3,FALSE)</f>
        <v>20</v>
      </c>
      <c r="BG78" s="22"/>
      <c r="BH78" s="23">
        <f>AY49</f>
        <v>0</v>
      </c>
      <c r="BI78" s="326">
        <f t="shared" si="7"/>
        <v>0</v>
      </c>
      <c r="BJ78" s="95">
        <f>VLOOKUP(BD78,CENY!$B$11:$M$2025,12,FALSE)</f>
        <v>253.36837</v>
      </c>
      <c r="BK78" s="95">
        <f t="shared" si="5"/>
        <v>0</v>
      </c>
    </row>
    <row r="79" spans="47:63" ht="14.4" customHeight="1">
      <c r="AU79" s="319"/>
      <c r="AV79" s="21"/>
      <c r="AW79" s="22"/>
      <c r="AX79" s="22"/>
      <c r="AY79" s="23"/>
      <c r="AZ79" s="326" t="str">
        <f t="shared" si="6"/>
        <v/>
      </c>
      <c r="BA79" s="95"/>
      <c r="BB79" s="95" t="str">
        <f t="shared" si="4"/>
        <v/>
      </c>
      <c r="BD79" s="319">
        <f>OBJ!B327</f>
        <v>9256881</v>
      </c>
      <c r="BE79" s="21" t="str">
        <f>VLOOKUP(BD79,CENY!$B$11:$G$1054,2,FALSE)</f>
        <v>Quadro You(M) 600/SiSy 25kg; EB21; pravý</v>
      </c>
      <c r="BF79" s="22">
        <f>VLOOKUP(BD79,CENY!$B$11:$G$1054,3,FALSE)</f>
        <v>20</v>
      </c>
      <c r="BG79" s="22"/>
      <c r="BH79" s="23">
        <f>AY49</f>
        <v>0</v>
      </c>
      <c r="BI79" s="326">
        <f t="shared" si="7"/>
        <v>0</v>
      </c>
      <c r="BJ79" s="95">
        <f>VLOOKUP(BD79,CENY!$B$11:$M$2025,12,FALSE)</f>
        <v>253.36837</v>
      </c>
      <c r="BK79" s="95">
        <f t="shared" si="5"/>
        <v>0</v>
      </c>
    </row>
    <row r="80" spans="47:63" ht="14.4" customHeight="1">
      <c r="AU80" s="319"/>
      <c r="AV80" s="21"/>
      <c r="AW80" s="22"/>
      <c r="AX80" s="22"/>
      <c r="AY80" s="23"/>
      <c r="AZ80" s="326" t="str">
        <f t="shared" si="6"/>
        <v/>
      </c>
      <c r="BA80" s="95"/>
      <c r="BB80" s="95" t="str">
        <f t="shared" si="4"/>
        <v/>
      </c>
      <c r="BD80" s="319"/>
      <c r="BE80" s="21"/>
      <c r="BF80" s="22"/>
      <c r="BG80" s="22"/>
      <c r="BH80" s="23"/>
      <c r="BI80" s="326" t="str">
        <f t="shared" si="7"/>
        <v/>
      </c>
      <c r="BJ80" s="95"/>
      <c r="BK80" s="95" t="str">
        <f t="shared" si="5"/>
        <v/>
      </c>
    </row>
    <row r="81" spans="47:63" ht="14.4" customHeight="1">
      <c r="AU81" s="319"/>
      <c r="AV81" s="21"/>
      <c r="AW81" s="22"/>
      <c r="AX81" s="22"/>
      <c r="AY81" s="23"/>
      <c r="AZ81" s="326" t="str">
        <f t="shared" si="6"/>
        <v/>
      </c>
      <c r="BA81" s="95"/>
      <c r="BB81" s="95" t="str">
        <f t="shared" si="4"/>
        <v/>
      </c>
      <c r="BD81" s="319">
        <f>OBJ!B329</f>
        <v>9257894</v>
      </c>
      <c r="BE81" s="21" t="str">
        <f>VLOOKUP(BD81,CENY!$B$11:$G$1054,2,FALSE)</f>
        <v>Quadro You - Push to open Silent; &lt;10kg</v>
      </c>
      <c r="BF81" s="22">
        <f>VLOOKUP(BD81,CENY!$B$11:$G$1054,3,FALSE)</f>
        <v>1</v>
      </c>
      <c r="BG81" s="22"/>
      <c r="BH81" s="23">
        <f>AY51</f>
        <v>0</v>
      </c>
      <c r="BI81" s="326">
        <f t="shared" si="7"/>
        <v>0</v>
      </c>
      <c r="BJ81" s="95">
        <f>VLOOKUP(BD81,CENY!$B$11:$M$2025,12,FALSE)</f>
        <v>480.50922000000003</v>
      </c>
      <c r="BK81" s="95">
        <f t="shared" si="5"/>
        <v>0</v>
      </c>
    </row>
    <row r="82" spans="47:63" ht="14.4" customHeight="1">
      <c r="AU82" s="319"/>
      <c r="AV82" s="21"/>
      <c r="AW82" s="22"/>
      <c r="AX82" s="22"/>
      <c r="AY82" s="23"/>
      <c r="AZ82" s="326" t="str">
        <f t="shared" si="6"/>
        <v/>
      </c>
      <c r="BA82" s="95"/>
      <c r="BB82" s="95" t="str">
        <f t="shared" si="4"/>
        <v/>
      </c>
      <c r="BD82" s="319">
        <f>OBJ!B330</f>
        <v>9257895</v>
      </c>
      <c r="BE82" s="21" t="str">
        <f>VLOOKUP(BD82,CENY!$B$11:$G$1054,2,FALSE)</f>
        <v>Quadro You - Push to open Silent; 8-20kg</v>
      </c>
      <c r="BF82" s="22">
        <f>VLOOKUP(BD82,CENY!$B$11:$G$1054,3,FALSE)</f>
        <v>1</v>
      </c>
      <c r="BG82" s="22"/>
      <c r="BH82" s="23">
        <f>AY52</f>
        <v>0</v>
      </c>
      <c r="BI82" s="326">
        <f t="shared" si="7"/>
        <v>0</v>
      </c>
      <c r="BJ82" s="95">
        <f>VLOOKUP(BD82,CENY!$B$11:$M$2025,12,FALSE)</f>
        <v>480.50922000000003</v>
      </c>
      <c r="BK82" s="95">
        <f t="shared" si="5"/>
        <v>0</v>
      </c>
    </row>
    <row r="83" spans="47:63" ht="14.4" customHeight="1">
      <c r="AU83" s="319"/>
      <c r="AV83" s="21"/>
      <c r="AW83" s="22"/>
      <c r="AX83" s="22"/>
      <c r="AY83" s="23"/>
      <c r="AZ83" s="326" t="str">
        <f t="shared" si="6"/>
        <v/>
      </c>
      <c r="BA83" s="95"/>
      <c r="BB83" s="95" t="str">
        <f t="shared" si="4"/>
        <v/>
      </c>
      <c r="BD83" s="319">
        <f>OBJ!B331</f>
        <v>9257896</v>
      </c>
      <c r="BE83" s="21" t="str">
        <f>VLOOKUP(BD83,CENY!$B$11:$G$1054,2,FALSE)</f>
        <v>Quadro You - Push to open Silent; 10-30kg</v>
      </c>
      <c r="BF83" s="22">
        <f>VLOOKUP(BD83,CENY!$B$11:$G$1054,3,FALSE)</f>
        <v>1</v>
      </c>
      <c r="BG83" s="22"/>
      <c r="BH83" s="23">
        <f>AY53</f>
        <v>0</v>
      </c>
      <c r="BI83" s="326">
        <f t="shared" si="7"/>
        <v>0</v>
      </c>
      <c r="BJ83" s="95">
        <f>VLOOKUP(BD83,CENY!$B$11:$M$2025,12,FALSE)</f>
        <v>480.50922000000003</v>
      </c>
      <c r="BK83" s="95">
        <f t="shared" si="5"/>
        <v>0</v>
      </c>
    </row>
    <row r="84" spans="47:63" ht="14.4" customHeight="1">
      <c r="AU84" s="319"/>
      <c r="AV84" s="21"/>
      <c r="AW84" s="22"/>
      <c r="AX84" s="22"/>
      <c r="AY84" s="23"/>
      <c r="AZ84" s="326" t="str">
        <f t="shared" si="6"/>
        <v/>
      </c>
      <c r="BA84" s="95"/>
      <c r="BB84" s="95" t="str">
        <f t="shared" si="4"/>
        <v/>
      </c>
      <c r="BD84" s="319"/>
      <c r="BE84" s="21"/>
      <c r="BF84" s="22"/>
      <c r="BG84" s="22"/>
      <c r="BH84" s="23"/>
      <c r="BI84" s="326" t="str">
        <f t="shared" si="7"/>
        <v/>
      </c>
      <c r="BJ84" s="95"/>
      <c r="BK84" s="95" t="str">
        <f t="shared" si="5"/>
        <v/>
      </c>
    </row>
    <row r="85" spans="47:63" ht="14.4" customHeight="1">
      <c r="AU85" s="20"/>
      <c r="AV85" s="21"/>
      <c r="AW85" s="22"/>
      <c r="AX85" s="22"/>
      <c r="AY85" s="23"/>
      <c r="AZ85" s="326" t="str">
        <f t="shared" si="6"/>
        <v/>
      </c>
      <c r="BA85" s="95"/>
      <c r="BB85" s="95" t="str">
        <f t="shared" si="4"/>
        <v/>
      </c>
      <c r="BD85" s="319">
        <f>OBJ!B345</f>
        <v>9256905</v>
      </c>
      <c r="BE85" s="21" t="str">
        <f>VLOOKUP(BD85,CENY!$B$11:$G$1054,2,FALSE)</f>
        <v>Quadro You(M) 350/P2O 25kg; EB21; ľavý</v>
      </c>
      <c r="BF85" s="22">
        <f>VLOOKUP(BD85,CENY!$B$11:$G$1054,3,FALSE)</f>
        <v>20</v>
      </c>
      <c r="BG85" s="22"/>
      <c r="BH85" s="23">
        <f>AY55</f>
        <v>0</v>
      </c>
      <c r="BI85" s="326">
        <f t="shared" si="7"/>
        <v>0</v>
      </c>
      <c r="BJ85" s="95">
        <f>VLOOKUP(BD85,CENY!$B$11:$M$2025,12,FALSE)</f>
        <v>258.22465999999997</v>
      </c>
      <c r="BK85" s="95">
        <f t="shared" si="5"/>
        <v>0</v>
      </c>
    </row>
    <row r="86" spans="47:63" ht="14.4" customHeight="1">
      <c r="AU86" s="20"/>
      <c r="AV86" s="21"/>
      <c r="AW86" s="22"/>
      <c r="AX86" s="22"/>
      <c r="AY86" s="23"/>
      <c r="AZ86" s="326" t="str">
        <f t="shared" si="6"/>
        <v/>
      </c>
      <c r="BA86" s="95"/>
      <c r="BB86" s="95" t="str">
        <f t="shared" si="4"/>
        <v/>
      </c>
      <c r="BD86" s="319">
        <f>OBJ!B346</f>
        <v>9256906</v>
      </c>
      <c r="BE86" s="21" t="str">
        <f>VLOOKUP(BD86,CENY!$B$11:$G$1054,2,FALSE)</f>
        <v>Quadro You(M) 350/P2O 25kg; EB21; pravý</v>
      </c>
      <c r="BF86" s="22">
        <f>VLOOKUP(BD86,CENY!$B$11:$G$1054,3,FALSE)</f>
        <v>20</v>
      </c>
      <c r="BG86" s="22"/>
      <c r="BH86" s="23">
        <f>AY55</f>
        <v>0</v>
      </c>
      <c r="BI86" s="326">
        <f t="shared" si="7"/>
        <v>0</v>
      </c>
      <c r="BJ86" s="95">
        <f>VLOOKUP(BD86,CENY!$B$11:$M$2025,12,FALSE)</f>
        <v>258.22465999999997</v>
      </c>
      <c r="BK86" s="95">
        <f t="shared" si="5"/>
        <v>0</v>
      </c>
    </row>
    <row r="87" spans="47:63" ht="14.4" customHeight="1">
      <c r="AU87" s="20"/>
      <c r="AV87" s="21"/>
      <c r="AW87" s="22"/>
      <c r="AX87" s="22"/>
      <c r="AY87" s="23"/>
      <c r="AZ87" s="326" t="str">
        <f t="shared" si="6"/>
        <v/>
      </c>
      <c r="BA87" s="95"/>
      <c r="BB87" s="95" t="str">
        <f t="shared" si="4"/>
        <v/>
      </c>
      <c r="BD87" s="319">
        <f>OBJ!B347</f>
        <v>9256909</v>
      </c>
      <c r="BE87" s="21" t="str">
        <f>VLOOKUP(BD87,CENY!$B$11:$G$1054,2,FALSE)</f>
        <v>Quadro You(M) 400/P2O 30kg; EB21; ľavý</v>
      </c>
      <c r="BF87" s="22">
        <f>VLOOKUP(BD87,CENY!$B$11:$G$1054,3,FALSE)</f>
        <v>20</v>
      </c>
      <c r="BG87" s="22"/>
      <c r="BH87" s="23">
        <f>AY56</f>
        <v>0</v>
      </c>
      <c r="BI87" s="326">
        <f t="shared" si="7"/>
        <v>0</v>
      </c>
      <c r="BJ87" s="95">
        <f>VLOOKUP(BD87,CENY!$B$11:$M$2025,12,FALSE)</f>
        <v>263.07337999999999</v>
      </c>
      <c r="BK87" s="95">
        <f t="shared" si="5"/>
        <v>0</v>
      </c>
    </row>
    <row r="88" spans="47:63" ht="14.4" customHeight="1">
      <c r="AU88" s="20"/>
      <c r="AV88" s="21"/>
      <c r="AW88" s="22"/>
      <c r="AX88" s="22"/>
      <c r="AY88" s="23"/>
      <c r="AZ88" s="326" t="str">
        <f t="shared" si="6"/>
        <v/>
      </c>
      <c r="BA88" s="95"/>
      <c r="BB88" s="95" t="str">
        <f t="shared" si="4"/>
        <v/>
      </c>
      <c r="BD88" s="319">
        <f>OBJ!B348</f>
        <v>9256910</v>
      </c>
      <c r="BE88" s="21" t="str">
        <f>VLOOKUP(BD88,CENY!$B$11:$G$1054,2,FALSE)</f>
        <v>Quadro You(M) 400/P2O 30kg; EB21; pravý</v>
      </c>
      <c r="BF88" s="22">
        <f>VLOOKUP(BD88,CENY!$B$11:$G$1054,3,FALSE)</f>
        <v>20</v>
      </c>
      <c r="BG88" s="22"/>
      <c r="BH88" s="23">
        <f>AY56</f>
        <v>0</v>
      </c>
      <c r="BI88" s="326">
        <f t="shared" si="7"/>
        <v>0</v>
      </c>
      <c r="BJ88" s="95">
        <f>VLOOKUP(BD88,CENY!$B$11:$M$2025,12,FALSE)</f>
        <v>263.07337999999999</v>
      </c>
      <c r="BK88" s="95">
        <f t="shared" si="5"/>
        <v>0</v>
      </c>
    </row>
    <row r="89" spans="47:63" ht="14.4" customHeight="1">
      <c r="AU89" s="20"/>
      <c r="AV89" s="21"/>
      <c r="AW89" s="22"/>
      <c r="AX89" s="22"/>
      <c r="AY89" s="23"/>
      <c r="AZ89" s="326" t="str">
        <f t="shared" si="6"/>
        <v/>
      </c>
      <c r="BA89" s="95"/>
      <c r="BB89" s="95" t="str">
        <f t="shared" si="4"/>
        <v/>
      </c>
      <c r="BD89" s="319">
        <f>OBJ!B349</f>
        <v>9256913</v>
      </c>
      <c r="BE89" s="21" t="str">
        <f>VLOOKUP(BD89,CENY!$B$11:$G$1054,2,FALSE)</f>
        <v>Quadro You(M) 450/P2O 30kg; EB21; ľavý</v>
      </c>
      <c r="BF89" s="22">
        <f>VLOOKUP(BD89,CENY!$B$11:$G$1054,3,FALSE)</f>
        <v>20</v>
      </c>
      <c r="BG89" s="22"/>
      <c r="BH89" s="23">
        <f>AY57</f>
        <v>0</v>
      </c>
      <c r="BI89" s="326">
        <f t="shared" si="7"/>
        <v>0</v>
      </c>
      <c r="BJ89" s="95">
        <f>VLOOKUP(BD89,CENY!$B$11:$M$2025,12,FALSE)</f>
        <v>267.92221999999998</v>
      </c>
      <c r="BK89" s="95">
        <f t="shared" si="5"/>
        <v>0</v>
      </c>
    </row>
    <row r="90" spans="47:63" ht="14.4" customHeight="1">
      <c r="AU90" s="20"/>
      <c r="AV90" s="21"/>
      <c r="AW90" s="22"/>
      <c r="AX90" s="22"/>
      <c r="AY90" s="23"/>
      <c r="AZ90" s="326" t="str">
        <f t="shared" si="6"/>
        <v/>
      </c>
      <c r="BA90" s="95"/>
      <c r="BB90" s="95" t="str">
        <f t="shared" si="4"/>
        <v/>
      </c>
      <c r="BD90" s="319">
        <f>OBJ!B350</f>
        <v>9256914</v>
      </c>
      <c r="BE90" s="21" t="str">
        <f>VLOOKUP(BD90,CENY!$B$11:$G$1054,2,FALSE)</f>
        <v>Quadro You(M) 450/P2O 30kg; EB21; pravý</v>
      </c>
      <c r="BF90" s="22">
        <f>VLOOKUP(BD90,CENY!$B$11:$G$1054,3,FALSE)</f>
        <v>20</v>
      </c>
      <c r="BG90" s="22"/>
      <c r="BH90" s="23">
        <f>AY57</f>
        <v>0</v>
      </c>
      <c r="BI90" s="326">
        <f t="shared" si="7"/>
        <v>0</v>
      </c>
      <c r="BJ90" s="95">
        <f>VLOOKUP(BD90,CENY!$B$11:$M$2025,12,FALSE)</f>
        <v>267.92221999999998</v>
      </c>
      <c r="BK90" s="95">
        <f t="shared" si="5"/>
        <v>0</v>
      </c>
    </row>
    <row r="91" spans="47:63" ht="14.4" customHeight="1">
      <c r="AU91" s="20"/>
      <c r="AV91" s="21"/>
      <c r="AW91" s="22"/>
      <c r="AX91" s="22"/>
      <c r="AY91" s="23"/>
      <c r="AZ91" s="326" t="str">
        <f t="shared" si="6"/>
        <v/>
      </c>
      <c r="BA91" s="95"/>
      <c r="BB91" s="95" t="str">
        <f t="shared" si="4"/>
        <v/>
      </c>
      <c r="BD91" s="319">
        <f>OBJ!B351</f>
        <v>9256917</v>
      </c>
      <c r="BE91" s="21" t="str">
        <f>VLOOKUP(BD91,CENY!$B$11:$G$1054,2,FALSE)</f>
        <v>Quadro You(M) 500/P2O 30kg; EB21; ľavý</v>
      </c>
      <c r="BF91" s="22">
        <f>VLOOKUP(BD91,CENY!$B$11:$G$1054,3,FALSE)</f>
        <v>20</v>
      </c>
      <c r="BG91" s="22"/>
      <c r="BH91" s="23">
        <f>AY58</f>
        <v>0</v>
      </c>
      <c r="BI91" s="326">
        <f t="shared" si="7"/>
        <v>0</v>
      </c>
      <c r="BJ91" s="95">
        <f>VLOOKUP(BD91,CENY!$B$11:$M$2025,12,FALSE)</f>
        <v>265.52375999999998</v>
      </c>
      <c r="BK91" s="95">
        <f t="shared" si="5"/>
        <v>0</v>
      </c>
    </row>
    <row r="92" spans="47:63" ht="14.4" customHeight="1">
      <c r="AU92" s="20"/>
      <c r="AV92" s="21"/>
      <c r="AW92" s="22"/>
      <c r="AX92" s="22"/>
      <c r="AY92" s="23"/>
      <c r="AZ92" s="326" t="str">
        <f t="shared" si="6"/>
        <v/>
      </c>
      <c r="BA92" s="95"/>
      <c r="BB92" s="95" t="str">
        <f t="shared" si="4"/>
        <v/>
      </c>
      <c r="BD92" s="319">
        <f>OBJ!B352</f>
        <v>9256918</v>
      </c>
      <c r="BE92" s="21" t="str">
        <f>VLOOKUP(BD92,CENY!$B$11:$G$1054,2,FALSE)</f>
        <v>Quadro You(M) 500/P2O 30kg; EB21; pravý</v>
      </c>
      <c r="BF92" s="22">
        <f>VLOOKUP(BD92,CENY!$B$11:$G$1054,3,FALSE)</f>
        <v>20</v>
      </c>
      <c r="BG92" s="22"/>
      <c r="BH92" s="23">
        <f>AY58</f>
        <v>0</v>
      </c>
      <c r="BI92" s="326">
        <f t="shared" si="7"/>
        <v>0</v>
      </c>
      <c r="BJ92" s="95">
        <f>VLOOKUP(BD92,CENY!$B$11:$M$2025,12,FALSE)</f>
        <v>265.52375999999998</v>
      </c>
      <c r="BK92" s="95">
        <f t="shared" si="5"/>
        <v>0</v>
      </c>
    </row>
    <row r="93" spans="47:63" ht="14.4" customHeight="1">
      <c r="AU93" s="20"/>
      <c r="AV93" s="21"/>
      <c r="AW93" s="22"/>
      <c r="AX93" s="22"/>
      <c r="AY93" s="23"/>
      <c r="AZ93" s="326" t="str">
        <f t="shared" si="6"/>
        <v/>
      </c>
      <c r="BA93" s="95"/>
      <c r="BB93" s="95" t="str">
        <f t="shared" si="4"/>
        <v/>
      </c>
      <c r="BD93" s="319">
        <f>OBJ!B353</f>
        <v>9256921</v>
      </c>
      <c r="BE93" s="21" t="str">
        <f>VLOOKUP(BD93,CENY!$B$11:$G$1054,2,FALSE)</f>
        <v>Quadro You(M) 550/P2O 30kg; EB21; ľavý</v>
      </c>
      <c r="BF93" s="22">
        <f>VLOOKUP(BD93,CENY!$B$11:$G$1054,3,FALSE)</f>
        <v>20</v>
      </c>
      <c r="BG93" s="22"/>
      <c r="BH93" s="23">
        <f>AY59</f>
        <v>0</v>
      </c>
      <c r="BI93" s="326">
        <f t="shared" si="7"/>
        <v>0</v>
      </c>
      <c r="BJ93" s="95">
        <f>VLOOKUP(BD93,CENY!$B$11:$M$2025,12,FALSE)</f>
        <v>270.22431</v>
      </c>
      <c r="BK93" s="95">
        <f t="shared" si="5"/>
        <v>0</v>
      </c>
    </row>
    <row r="94" spans="47:63" ht="14.4" customHeight="1">
      <c r="AU94" s="20"/>
      <c r="AV94" s="21"/>
      <c r="AW94" s="22"/>
      <c r="AX94" s="22"/>
      <c r="AY94" s="23"/>
      <c r="AZ94" s="326" t="str">
        <f t="shared" si="6"/>
        <v/>
      </c>
      <c r="BA94" s="95"/>
      <c r="BB94" s="95" t="str">
        <f t="shared" si="4"/>
        <v/>
      </c>
      <c r="BD94" s="319">
        <f>OBJ!B354</f>
        <v>9256922</v>
      </c>
      <c r="BE94" s="21" t="str">
        <f>VLOOKUP(BD94,CENY!$B$11:$G$1054,2,FALSE)</f>
        <v>Quadro You(M) 550/P2O 30kg; EB21; pravý</v>
      </c>
      <c r="BF94" s="22">
        <f>VLOOKUP(BD94,CENY!$B$11:$G$1054,3,FALSE)</f>
        <v>20</v>
      </c>
      <c r="BG94" s="22"/>
      <c r="BH94" s="23">
        <f>AY59</f>
        <v>0</v>
      </c>
      <c r="BI94" s="326">
        <f t="shared" si="7"/>
        <v>0</v>
      </c>
      <c r="BJ94" s="95">
        <f>VLOOKUP(BD94,CENY!$B$11:$M$2025,12,FALSE)</f>
        <v>277.60748999999998</v>
      </c>
      <c r="BK94" s="95">
        <f t="shared" si="5"/>
        <v>0</v>
      </c>
    </row>
    <row r="95" spans="47:63" ht="14.4" customHeight="1">
      <c r="AU95" s="20"/>
      <c r="AV95" s="21"/>
      <c r="AW95" s="22"/>
      <c r="AX95" s="22"/>
      <c r="AY95" s="23"/>
      <c r="AZ95" s="326" t="str">
        <f t="shared" si="6"/>
        <v/>
      </c>
      <c r="BA95" s="95"/>
      <c r="BB95" s="95" t="str">
        <f t="shared" si="4"/>
        <v/>
      </c>
      <c r="BD95" s="319">
        <f>OBJ!B355</f>
        <v>9256925</v>
      </c>
      <c r="BE95" s="21" t="str">
        <f>VLOOKUP(BD95,CENY!$B$11:$G$1054,2,FALSE)</f>
        <v>Quadro You(M) 600/P2O 25kg; EB21; ľavý</v>
      </c>
      <c r="BF95" s="22">
        <f>VLOOKUP(BD95,CENY!$B$11:$G$1054,3,FALSE)</f>
        <v>20</v>
      </c>
      <c r="BG95" s="22"/>
      <c r="BH95" s="23">
        <f>AY60</f>
        <v>0</v>
      </c>
      <c r="BI95" s="326">
        <f t="shared" si="7"/>
        <v>0</v>
      </c>
      <c r="BJ95" s="95">
        <f>VLOOKUP(BD95,CENY!$B$11:$M$2025,12,FALSE)</f>
        <v>282.45375999999999</v>
      </c>
      <c r="BK95" s="95">
        <f t="shared" si="5"/>
        <v>0</v>
      </c>
    </row>
    <row r="96" spans="47:63" ht="14.4" customHeight="1">
      <c r="AU96" s="20"/>
      <c r="AV96" s="21"/>
      <c r="AW96" s="22"/>
      <c r="AX96" s="22"/>
      <c r="AY96" s="23"/>
      <c r="AZ96" s="326" t="str">
        <f t="shared" si="6"/>
        <v/>
      </c>
      <c r="BA96" s="95"/>
      <c r="BB96" s="95" t="str">
        <f t="shared" si="4"/>
        <v/>
      </c>
      <c r="BD96" s="319">
        <f>OBJ!B356</f>
        <v>9256926</v>
      </c>
      <c r="BE96" s="21" t="str">
        <f>VLOOKUP(BD96,CENY!$B$11:$G$1054,2,FALSE)</f>
        <v>Quadro You(M) 600/P2O 25kg; EB21; pravý</v>
      </c>
      <c r="BF96" s="22">
        <f>VLOOKUP(BD96,CENY!$B$11:$G$1054,3,FALSE)</f>
        <v>20</v>
      </c>
      <c r="BG96" s="22"/>
      <c r="BH96" s="23">
        <f>AY60</f>
        <v>0</v>
      </c>
      <c r="BI96" s="326">
        <f t="shared" si="7"/>
        <v>0</v>
      </c>
      <c r="BJ96" s="95">
        <f>VLOOKUP(BD96,CENY!$B$11:$M$2025,12,FALSE)</f>
        <v>282.45375999999999</v>
      </c>
      <c r="BK96" s="95">
        <f t="shared" si="5"/>
        <v>0</v>
      </c>
    </row>
    <row r="97" spans="47:63" ht="14.4" customHeight="1">
      <c r="AU97" s="20"/>
      <c r="AV97" s="21"/>
      <c r="AW97" s="22"/>
      <c r="AX97" s="22"/>
      <c r="AY97" s="23"/>
      <c r="AZ97" s="326" t="str">
        <f t="shared" si="6"/>
        <v/>
      </c>
      <c r="BA97" s="95"/>
      <c r="BB97" s="95" t="str">
        <f t="shared" si="4"/>
        <v/>
      </c>
      <c r="BD97" s="319"/>
      <c r="BE97" s="21"/>
      <c r="BF97" s="22"/>
      <c r="BG97" s="22"/>
      <c r="BH97" s="23"/>
      <c r="BI97" s="326" t="str">
        <f t="shared" si="7"/>
        <v/>
      </c>
      <c r="BJ97" s="95"/>
      <c r="BK97" s="95" t="str">
        <f t="shared" si="5"/>
        <v/>
      </c>
    </row>
    <row r="98" spans="47:63" ht="14.4" customHeight="1">
      <c r="AU98" s="20"/>
      <c r="AV98" s="21"/>
      <c r="AW98" s="22"/>
      <c r="AX98" s="22"/>
      <c r="AY98" s="23"/>
      <c r="AZ98" s="326" t="str">
        <f t="shared" si="6"/>
        <v/>
      </c>
      <c r="BA98" s="95"/>
      <c r="BB98" s="95" t="str">
        <f t="shared" si="4"/>
        <v/>
      </c>
      <c r="BD98" s="319">
        <f>OBJ!B358</f>
        <v>9219966</v>
      </c>
      <c r="BE98" s="21" t="str">
        <f>VLOOKUP(BD98,CENY!$B$11:$G$1054,2,FALSE)</f>
        <v>Push to open Synchro / adaptér typ A</v>
      </c>
      <c r="BF98" s="22">
        <f>VLOOKUP(BD98,CENY!$B$11:$G$1054,3,FALSE)</f>
        <v>200</v>
      </c>
      <c r="BG98" s="22"/>
      <c r="BH98" s="23">
        <f>AY62</f>
        <v>0</v>
      </c>
      <c r="BI98" s="326">
        <f t="shared" si="7"/>
        <v>0</v>
      </c>
      <c r="BJ98" s="95">
        <f>VLOOKUP(BD98,CENY!$B$11:$M$2025,12,FALSE)</f>
        <v>16.488900000000001</v>
      </c>
      <c r="BK98" s="95">
        <f t="shared" si="5"/>
        <v>0</v>
      </c>
    </row>
    <row r="99" spans="47:63" ht="14.4" customHeight="1">
      <c r="AU99" s="20"/>
      <c r="AV99" s="21"/>
      <c r="AW99" s="22"/>
      <c r="AX99" s="22"/>
      <c r="AY99" s="23"/>
      <c r="AZ99" s="326" t="str">
        <f t="shared" si="6"/>
        <v/>
      </c>
      <c r="BA99" s="95"/>
      <c r="BB99" s="95" t="str">
        <f t="shared" si="4"/>
        <v/>
      </c>
      <c r="BD99" s="319"/>
      <c r="BE99" s="21"/>
      <c r="BF99" s="22"/>
      <c r="BG99" s="22"/>
      <c r="BH99" s="23"/>
      <c r="BI99" s="326" t="str">
        <f t="shared" si="7"/>
        <v/>
      </c>
      <c r="BJ99" s="95"/>
      <c r="BK99" s="95" t="str">
        <f t="shared" si="5"/>
        <v/>
      </c>
    </row>
    <row r="100" spans="47:63" ht="14.4" customHeight="1">
      <c r="AU100" s="20"/>
      <c r="AV100" s="21"/>
      <c r="AW100" s="22"/>
      <c r="AX100" s="22"/>
      <c r="AY100" s="23"/>
      <c r="AZ100" s="326" t="str">
        <f t="shared" si="6"/>
        <v/>
      </c>
      <c r="BA100" s="95"/>
      <c r="BB100" s="95" t="str">
        <f t="shared" si="4"/>
        <v/>
      </c>
      <c r="BD100" s="319">
        <f>OBJ!B214</f>
        <v>0</v>
      </c>
      <c r="BE100" s="21" t="e">
        <f>VLOOKUP(BD100,CENY!$B$11:$G$1054,2,FALSE)</f>
        <v>#N/A</v>
      </c>
      <c r="BF100" s="22" t="e">
        <f>VLOOKUP(BD100,CENY!$B$11:$G$1054,3,FALSE)</f>
        <v>#N/A</v>
      </c>
      <c r="BG100" s="22"/>
      <c r="BH100" s="23">
        <f>AY67</f>
        <v>0</v>
      </c>
      <c r="BI100" s="326">
        <f t="shared" si="7"/>
        <v>0</v>
      </c>
      <c r="BJ100" s="324" t="str">
        <f>IF(BD100=0,"",VLOOKUP(BD100,CENY!$B$11:$M$2025,12,FALSE))</f>
        <v/>
      </c>
      <c r="BK100" s="95" t="str">
        <f t="shared" si="5"/>
        <v/>
      </c>
    </row>
    <row r="101" spans="47:63">
      <c r="AU101" s="20"/>
      <c r="AV101" s="21"/>
      <c r="AW101" s="22"/>
      <c r="AX101" s="22"/>
      <c r="AY101" s="23"/>
      <c r="AZ101" s="326" t="str">
        <f t="shared" si="6"/>
        <v/>
      </c>
      <c r="BA101" s="95"/>
      <c r="BB101" s="95" t="str">
        <f t="shared" si="4"/>
        <v/>
      </c>
      <c r="BD101" s="319"/>
      <c r="BE101" s="21"/>
      <c r="BF101" s="22"/>
      <c r="BG101" s="22"/>
      <c r="BH101" s="23"/>
      <c r="BI101" s="326" t="str">
        <f t="shared" si="7"/>
        <v/>
      </c>
      <c r="BJ101" s="95"/>
      <c r="BK101" s="95" t="str">
        <f t="shared" si="5"/>
        <v/>
      </c>
    </row>
    <row r="102" spans="47:63">
      <c r="AU102" s="319">
        <f>OBJ!B361</f>
        <v>45167</v>
      </c>
      <c r="AV102" s="21" t="str">
        <f>VLOOKUP(AU102,CENY!$B$11:$G$1054,2,FALSE)</f>
        <v>Skrutka s polgul.hlavou 3,5x12mm</v>
      </c>
      <c r="AW102" s="22">
        <f>VLOOKUP(AU102,CENY!$B$11:$G$1054,3,FALSE)</f>
        <v>200</v>
      </c>
      <c r="AX102" s="22"/>
      <c r="AY102" s="23">
        <f>SUMPRODUCT(AX5:AX11,AY5:AY11)</f>
        <v>0</v>
      </c>
      <c r="AZ102" s="326">
        <f t="shared" si="6"/>
        <v>0</v>
      </c>
      <c r="BA102" s="95">
        <f>VLOOKUP(AU102,CENY!$B$11:$M$2025,12,FALSE)</f>
        <v>0.84719999999999995</v>
      </c>
      <c r="BB102" s="95">
        <f t="shared" si="4"/>
        <v>0</v>
      </c>
      <c r="BC102" s="86" t="s">
        <v>396</v>
      </c>
      <c r="BD102" s="319">
        <f>OBJ!B361</f>
        <v>45167</v>
      </c>
      <c r="BE102" s="21" t="str">
        <f>VLOOKUP(BD102,CENY!$B$11:$G$1054,2,FALSE)</f>
        <v>Skrutka s polgul.hlavou 3,5x12mm</v>
      </c>
      <c r="BF102" s="22">
        <f>VLOOKUP(BD102,CENY!$B$11:$G$1054,3,FALSE)</f>
        <v>200</v>
      </c>
      <c r="BG102" s="22"/>
      <c r="BH102" s="23">
        <f>AY102+BH22*2</f>
        <v>0</v>
      </c>
      <c r="BI102" s="326">
        <f>IF(BH102="","",IF($AW$4=0,BH102,0))</f>
        <v>0</v>
      </c>
      <c r="BJ102" s="95">
        <f>VLOOKUP(BD102,CENY!$B$11:$M$2025,12,FALSE)</f>
        <v>0.84719999999999995</v>
      </c>
      <c r="BK102" s="95">
        <f t="shared" ref="BK102:BK107" si="8">IF(BJ102="","",BJ102*BH102)</f>
        <v>0</v>
      </c>
    </row>
    <row r="103" spans="47:63">
      <c r="AU103" s="319">
        <f>OBJ!B362</f>
        <v>45168</v>
      </c>
      <c r="AV103" s="21" t="str">
        <f>VLOOKUP(AU103,CENY!$B$11:$G$1054,2,FALSE)</f>
        <v>Skrutka s polgul.hlavou 3,5x20mm</v>
      </c>
      <c r="AW103" s="22">
        <f>VLOOKUP(AU103,CENY!$B$11:$G$1054,3,FALSE)</f>
        <v>200</v>
      </c>
      <c r="AX103" s="22"/>
      <c r="AY103" s="360">
        <v>0</v>
      </c>
      <c r="AZ103" s="326">
        <f t="shared" si="6"/>
        <v>0</v>
      </c>
      <c r="BA103" s="95">
        <f>VLOOKUP(AU103,CENY!$B$11:$M$2025,12,FALSE)</f>
        <v>1.2154199999999999</v>
      </c>
      <c r="BB103" s="95">
        <f>IF(BA103="","",BA103*AY103)</f>
        <v>0</v>
      </c>
      <c r="BC103" s="86" t="s">
        <v>397</v>
      </c>
      <c r="BD103" s="319">
        <f>OBJ!B362</f>
        <v>45168</v>
      </c>
      <c r="BE103" s="21" t="str">
        <f>VLOOKUP(BD103,CENY!$B$11:$G$1054,2,FALSE)</f>
        <v>Skrutka s polgul.hlavou 3,5x20mm</v>
      </c>
      <c r="BF103" s="22">
        <f>VLOOKUP(BD103,CENY!$B$11:$G$1054,3,FALSE)</f>
        <v>200</v>
      </c>
      <c r="BG103" s="22"/>
      <c r="BH103" s="360">
        <f>IF(FORM!$AM$8=FORM!$AU$10,(BH20*4+BH21*2),0)</f>
        <v>0</v>
      </c>
      <c r="BI103" s="326">
        <f>IF(BH103="","",IF($AW$4=0,BH103,0))</f>
        <v>0</v>
      </c>
      <c r="BJ103" s="95">
        <f>VLOOKUP(BD103,CENY!$B$11:$M$2025,12,FALSE)</f>
        <v>1.2154199999999999</v>
      </c>
      <c r="BK103" s="95">
        <f t="shared" si="8"/>
        <v>0</v>
      </c>
    </row>
    <row r="104" spans="47:63">
      <c r="AU104" s="319">
        <f>OBJ!B363</f>
        <v>9278224</v>
      </c>
      <c r="AV104" s="21" t="str">
        <f>VLOOKUP(AU104,CENY!$B$11:$G$1054,2,FALSE)</f>
        <v>Skrutka s polgul.hlavou 3,5x30mm</v>
      </c>
      <c r="AW104" s="22">
        <f>VLOOKUP(AU104,CENY!$B$11:$G$1054,3,FALSE)</f>
        <v>200</v>
      </c>
      <c r="AX104" s="22"/>
      <c r="AY104" s="360">
        <v>0</v>
      </c>
      <c r="AZ104" s="326">
        <f t="shared" si="6"/>
        <v>0</v>
      </c>
      <c r="BA104" s="95">
        <f>VLOOKUP(AU104,CENY!$B$11:$M$2025,12,FALSE)</f>
        <v>0.89337999999999995</v>
      </c>
      <c r="BB104" s="95">
        <f>IF(BA104="","",BA104*AY104)</f>
        <v>0</v>
      </c>
      <c r="BC104" s="86" t="s">
        <v>398</v>
      </c>
      <c r="BD104" s="319">
        <f>OBJ!B363</f>
        <v>9278224</v>
      </c>
      <c r="BE104" s="21" t="str">
        <f>VLOOKUP(BD104,CENY!$B$11:$G$1054,2,FALSE)</f>
        <v>Skrutka s polgul.hlavou 3,5x30mm</v>
      </c>
      <c r="BF104" s="22">
        <f>VLOOKUP(BD104,CENY!$B$11:$G$1054,3,FALSE)</f>
        <v>200</v>
      </c>
      <c r="BG104" s="22"/>
      <c r="BH104" s="360">
        <f>3*SUM(BH5:BH18)</f>
        <v>0</v>
      </c>
      <c r="BI104" s="326">
        <f>IF(BH104="","",IF($AW$4=0,BH104,0))</f>
        <v>0</v>
      </c>
      <c r="BJ104" s="95">
        <f>VLOOKUP(BD104,CENY!$B$11:$M$2025,12,FALSE)</f>
        <v>0.89337999999999995</v>
      </c>
      <c r="BK104" s="95">
        <f t="shared" si="8"/>
        <v>0</v>
      </c>
    </row>
    <row r="105" spans="47:63">
      <c r="AU105" s="319">
        <f>OBJ!B364</f>
        <v>9279197</v>
      </c>
      <c r="AV105" s="21" t="str">
        <f>VLOOKUP(AU105,CENY!$B$11:$G$1054,2,FALSE)</f>
        <v>Skrutka s polgul.hlavou M3,5x12mm</v>
      </c>
      <c r="AW105" s="22">
        <f>VLOOKUP(AU105,CENY!$B$11:$G$1054,3,FALSE)</f>
        <v>1000</v>
      </c>
      <c r="AX105" s="22"/>
      <c r="AY105" s="68">
        <v>0</v>
      </c>
      <c r="AZ105" s="326">
        <f t="shared" si="6"/>
        <v>0</v>
      </c>
      <c r="BA105" s="95">
        <f>VLOOKUP(AU105,CENY!$B$11:$M$2025,12,FALSE)</f>
        <v>0</v>
      </c>
      <c r="BB105" s="95">
        <f>IF(BA105="","",BA105*AY105)</f>
        <v>0</v>
      </c>
      <c r="BC105" s="86" t="s">
        <v>399</v>
      </c>
      <c r="BD105" s="319">
        <f>OBJ!B364</f>
        <v>9279197</v>
      </c>
      <c r="BE105" s="21" t="str">
        <f>VLOOKUP(BD105,CENY!$B$11:$G$1054,2,FALSE)</f>
        <v>Skrutka s polgul.hlavou M3,5x12mm</v>
      </c>
      <c r="BF105" s="22">
        <f>VLOOKUP(BD105,CENY!$B$11:$G$1054,3,FALSE)</f>
        <v>1000</v>
      </c>
      <c r="BG105" s="22"/>
      <c r="BH105" s="68">
        <f>AY105</f>
        <v>0</v>
      </c>
      <c r="BI105" s="326">
        <f>IF(BH105="","",IF($AW$4=0,BH105,0))</f>
        <v>0</v>
      </c>
      <c r="BJ105" s="95">
        <f>VLOOKUP(BD105,CENY!$B$11:$M$2025,12,FALSE)</f>
        <v>0</v>
      </c>
      <c r="BK105" s="95">
        <f t="shared" si="8"/>
        <v>0</v>
      </c>
    </row>
    <row r="106" spans="47:63">
      <c r="AU106" s="319">
        <f>OBJ!B365</f>
        <v>9137114</v>
      </c>
      <c r="AV106" s="21" t="str">
        <f>VLOOKUP(AU106,CENY!$B$11:$G$1054,2,FALSE)</f>
        <v>EURO-skrutka  6,0x14mm / niklovaná</v>
      </c>
      <c r="AW106" s="22">
        <f>VLOOKUP(AU106,CENY!$B$11:$G$1054,3,FALSE)</f>
        <v>200</v>
      </c>
      <c r="AX106" s="22"/>
      <c r="AY106" s="23">
        <f>SUMPRODUCT(AX21:AX60,AY21:AY60)</f>
        <v>0</v>
      </c>
      <c r="AZ106" s="326">
        <f t="shared" si="6"/>
        <v>0</v>
      </c>
      <c r="BA106" s="95">
        <f>VLOOKUP(AU106,CENY!$B$11:$M$2025,12,FALSE)</f>
        <v>1.8839300000000001</v>
      </c>
      <c r="BB106" s="95">
        <f>IF(BA106="","",BA106*AY106)</f>
        <v>0</v>
      </c>
      <c r="BC106" s="86" t="s">
        <v>400</v>
      </c>
      <c r="BD106" s="319">
        <f>OBJ!B365</f>
        <v>9137114</v>
      </c>
      <c r="BE106" s="21" t="str">
        <f>VLOOKUP(BD106,CENY!$B$11:$G$1054,2,FALSE)</f>
        <v>EURO-skrutka  6,0x14mm / niklovaná</v>
      </c>
      <c r="BF106" s="22">
        <f>VLOOKUP(BD106,CENY!$B$11:$G$1054,3,FALSE)</f>
        <v>200</v>
      </c>
      <c r="BG106" s="22"/>
      <c r="BH106" s="23">
        <f>AY106</f>
        <v>0</v>
      </c>
      <c r="BI106" s="326">
        <f>IF(BH106="","",IF($AW$4=0,BH106,0))</f>
        <v>0</v>
      </c>
      <c r="BJ106" s="95">
        <f>VLOOKUP(BD106,CENY!$B$11:$M$2025,12,FALSE)</f>
        <v>1.8839300000000001</v>
      </c>
      <c r="BK106" s="95">
        <f t="shared" si="8"/>
        <v>0</v>
      </c>
    </row>
    <row r="107" spans="47:63">
      <c r="AU107" s="20"/>
      <c r="AV107" s="21"/>
      <c r="AW107" s="22"/>
      <c r="AX107" s="22"/>
      <c r="AY107" s="23"/>
      <c r="AZ107" s="326" t="str">
        <f>IF(AY107="","",IF($AW$4=1,AY107,0))</f>
        <v/>
      </c>
      <c r="BA107" s="95"/>
      <c r="BB107" s="95" t="str">
        <f>IF(BA107="","",BA107*AY107)</f>
        <v/>
      </c>
      <c r="BD107" s="319"/>
      <c r="BE107" s="21"/>
      <c r="BF107" s="22"/>
      <c r="BG107" s="22"/>
      <c r="BH107" s="23"/>
      <c r="BI107" s="326" t="str">
        <f t="shared" si="7"/>
        <v/>
      </c>
      <c r="BJ107" s="95"/>
      <c r="BK107" s="95" t="str">
        <f t="shared" si="8"/>
        <v/>
      </c>
    </row>
  </sheetData>
  <sheetProtection algorithmName="SHA-512" hashValue="eS9SWww+LvHC23jn5FVtw+AVa3tJjN4ZuC3jZJj1GI7radRBJwLb6sbGTyMO8o754Bm24svqWCOuYDr2ehfdQg==" saltValue="/S9Q7yGqNL41M4G9pnfhcQ==" spinCount="100000" sheet="1" objects="1" scenarios="1"/>
  <mergeCells count="109">
    <mergeCell ref="AC30:AD30"/>
    <mergeCell ref="O20:P20"/>
    <mergeCell ref="O19:P19"/>
    <mergeCell ref="O27:P27"/>
    <mergeCell ref="O28:P28"/>
    <mergeCell ref="Y28:Z28"/>
    <mergeCell ref="AA28:AB28"/>
    <mergeCell ref="AC28:AD28"/>
    <mergeCell ref="B30:G30"/>
    <mergeCell ref="H30:L30"/>
    <mergeCell ref="M30:N30"/>
    <mergeCell ref="S30:T30"/>
    <mergeCell ref="U30:V30"/>
    <mergeCell ref="W28:X28"/>
    <mergeCell ref="W30:X30"/>
    <mergeCell ref="Y30:Z30"/>
    <mergeCell ref="AA30:AB30"/>
    <mergeCell ref="B27:G27"/>
    <mergeCell ref="H27:L27"/>
    <mergeCell ref="M27:N27"/>
    <mergeCell ref="Q27:R27"/>
    <mergeCell ref="S27:T27"/>
    <mergeCell ref="B19:G19"/>
    <mergeCell ref="H19:L19"/>
    <mergeCell ref="AN27:AO27"/>
    <mergeCell ref="AN28:AO28"/>
    <mergeCell ref="AN29:AO29"/>
    <mergeCell ref="B28:G28"/>
    <mergeCell ref="H28:L28"/>
    <mergeCell ref="M28:N28"/>
    <mergeCell ref="Q28:R28"/>
    <mergeCell ref="S28:T28"/>
    <mergeCell ref="U28:V28"/>
    <mergeCell ref="AI25:AO25"/>
    <mergeCell ref="O26:P26"/>
    <mergeCell ref="Q26:R26"/>
    <mergeCell ref="S26:T26"/>
    <mergeCell ref="U26:V26"/>
    <mergeCell ref="W26:X26"/>
    <mergeCell ref="Y26:Z26"/>
    <mergeCell ref="AA26:AB26"/>
    <mergeCell ref="AC26:AD26"/>
    <mergeCell ref="AI26:AO26"/>
    <mergeCell ref="AN21:AO21"/>
    <mergeCell ref="B22:G22"/>
    <mergeCell ref="H22:L22"/>
    <mergeCell ref="M22:N22"/>
    <mergeCell ref="O22:P22"/>
    <mergeCell ref="Q22:R22"/>
    <mergeCell ref="S22:T22"/>
    <mergeCell ref="U22:V22"/>
    <mergeCell ref="W22:X22"/>
    <mergeCell ref="Y22:Z22"/>
    <mergeCell ref="AA22:AB22"/>
    <mergeCell ref="AC22:AD22"/>
    <mergeCell ref="AE22:AF22"/>
    <mergeCell ref="AN22:AO22"/>
    <mergeCell ref="M19:N19"/>
    <mergeCell ref="Q19:R19"/>
    <mergeCell ref="S19:T19"/>
    <mergeCell ref="AN19:AO19"/>
    <mergeCell ref="B20:G20"/>
    <mergeCell ref="H20:L20"/>
    <mergeCell ref="M20:N20"/>
    <mergeCell ref="Q20:R20"/>
    <mergeCell ref="S20:T20"/>
    <mergeCell ref="U20:V20"/>
    <mergeCell ref="W20:X20"/>
    <mergeCell ref="Y20:Z20"/>
    <mergeCell ref="AA20:AB20"/>
    <mergeCell ref="AC20:AD20"/>
    <mergeCell ref="AE20:AF20"/>
    <mergeCell ref="AN20:AO20"/>
    <mergeCell ref="B12:E12"/>
    <mergeCell ref="F12:K12"/>
    <mergeCell ref="B13:E13"/>
    <mergeCell ref="F13:I13"/>
    <mergeCell ref="J13:K13"/>
    <mergeCell ref="O17:AF17"/>
    <mergeCell ref="AI17:AO17"/>
    <mergeCell ref="O18:P18"/>
    <mergeCell ref="Q18:R18"/>
    <mergeCell ref="S18:T18"/>
    <mergeCell ref="U18:V18"/>
    <mergeCell ref="W18:X18"/>
    <mergeCell ref="Y18:Z18"/>
    <mergeCell ref="AA18:AB18"/>
    <mergeCell ref="AC18:AD18"/>
    <mergeCell ref="AE18:AF18"/>
    <mergeCell ref="AI18:AO18"/>
    <mergeCell ref="B8:E8"/>
    <mergeCell ref="F8:K8"/>
    <mergeCell ref="B2:E2"/>
    <mergeCell ref="G2:K2"/>
    <mergeCell ref="B9:E9"/>
    <mergeCell ref="F9:K9"/>
    <mergeCell ref="B10:E10"/>
    <mergeCell ref="F10:K10"/>
    <mergeCell ref="B11:E11"/>
    <mergeCell ref="F11:K11"/>
    <mergeCell ref="U2:Y2"/>
    <mergeCell ref="AA2:AE2"/>
    <mergeCell ref="AI2:AM2"/>
    <mergeCell ref="AO2:AR2"/>
    <mergeCell ref="B6:E6"/>
    <mergeCell ref="F6:K6"/>
    <mergeCell ref="O2:S2"/>
    <mergeCell ref="B7:E7"/>
    <mergeCell ref="F7:K7"/>
  </mergeCells>
  <conditionalFormatting sqref="AY24:AY29 AY37:AY40 BH36:BH41 BH43:BH48 BH73:BH78 BH22:BH23 AY31:AY35 BH50:BH58 AY15:AY22 AY54:AY57 BH31:BH34 BH64:BH71 BH80:BH93 BH5:BH20 AY5:AY13 AZ6:AZ101">
    <cfRule type="cellIs" dxfId="833" priority="67" stopIfTrue="1" operator="equal">
      <formula>0</formula>
    </cfRule>
  </conditionalFormatting>
  <conditionalFormatting sqref="AY50:AY53 AY63 AY42:AY43 AY47 AY66 AY45">
    <cfRule type="cellIs" dxfId="832" priority="65" stopIfTrue="1" operator="equal">
      <formula>0</formula>
    </cfRule>
  </conditionalFormatting>
  <conditionalFormatting sqref="O17:AF17 S19:T19 S20:AD20 W22:AD22 S27:T27 S28:AD28 S30:AD30">
    <cfRule type="expression" dxfId="831" priority="66" stopIfTrue="1">
      <formula>$AW$4=0</formula>
    </cfRule>
  </conditionalFormatting>
  <conditionalFormatting sqref="AY73 AY79:AY80">
    <cfRule type="cellIs" dxfId="830" priority="64" stopIfTrue="1" operator="equal">
      <formula>0</formula>
    </cfRule>
  </conditionalFormatting>
  <conditionalFormatting sqref="AY81">
    <cfRule type="cellIs" dxfId="829" priority="63" stopIfTrue="1" operator="equal">
      <formula>0</formula>
    </cfRule>
  </conditionalFormatting>
  <conditionalFormatting sqref="AY85:AY94">
    <cfRule type="cellIs" dxfId="828" priority="62" stopIfTrue="1" operator="equal">
      <formula>0</formula>
    </cfRule>
  </conditionalFormatting>
  <conditionalFormatting sqref="AY48:AY49">
    <cfRule type="cellIs" dxfId="827" priority="61" stopIfTrue="1" operator="equal">
      <formula>0</formula>
    </cfRule>
  </conditionalFormatting>
  <conditionalFormatting sqref="AY59">
    <cfRule type="cellIs" dxfId="826" priority="60" stopIfTrue="1" operator="equal">
      <formula>0</formula>
    </cfRule>
  </conditionalFormatting>
  <conditionalFormatting sqref="AY68:AY70">
    <cfRule type="cellIs" dxfId="825" priority="59" stopIfTrue="1" operator="equal">
      <formula>0</formula>
    </cfRule>
  </conditionalFormatting>
  <conditionalFormatting sqref="AY71">
    <cfRule type="cellIs" dxfId="824" priority="58" stopIfTrue="1" operator="equal">
      <formula>0</formula>
    </cfRule>
  </conditionalFormatting>
  <conditionalFormatting sqref="AY72">
    <cfRule type="cellIs" dxfId="823" priority="57" stopIfTrue="1" operator="equal">
      <formula>0</formula>
    </cfRule>
  </conditionalFormatting>
  <conditionalFormatting sqref="AY82:AY84">
    <cfRule type="cellIs" dxfId="822" priority="56" stopIfTrue="1" operator="equal">
      <formula>0</formula>
    </cfRule>
  </conditionalFormatting>
  <conditionalFormatting sqref="BH95:BH97 BH99">
    <cfRule type="cellIs" dxfId="821" priority="55" stopIfTrue="1" operator="equal">
      <formula>0</formula>
    </cfRule>
  </conditionalFormatting>
  <conditionalFormatting sqref="AY95:AY101">
    <cfRule type="cellIs" dxfId="820" priority="53" stopIfTrue="1" operator="equal">
      <formula>0</formula>
    </cfRule>
  </conditionalFormatting>
  <conditionalFormatting sqref="AY60:AY61">
    <cfRule type="cellIs" dxfId="819" priority="52" stopIfTrue="1" operator="equal">
      <formula>0</formula>
    </cfRule>
  </conditionalFormatting>
  <conditionalFormatting sqref="BH100:BH101">
    <cfRule type="cellIs" dxfId="818" priority="50" stopIfTrue="1" operator="equal">
      <formula>0</formula>
    </cfRule>
  </conditionalFormatting>
  <conditionalFormatting sqref="AY14">
    <cfRule type="cellIs" dxfId="817" priority="48" stopIfTrue="1" operator="equal">
      <formula>0</formula>
    </cfRule>
  </conditionalFormatting>
  <conditionalFormatting sqref="AY23">
    <cfRule type="cellIs" dxfId="816" priority="46" stopIfTrue="1" operator="equal">
      <formula>0</formula>
    </cfRule>
  </conditionalFormatting>
  <conditionalFormatting sqref="AY36">
    <cfRule type="cellIs" dxfId="815" priority="45" stopIfTrue="1" operator="equal">
      <formula>0</formula>
    </cfRule>
  </conditionalFormatting>
  <conditionalFormatting sqref="AY41">
    <cfRule type="cellIs" dxfId="814" priority="44" stopIfTrue="1" operator="equal">
      <formula>0</formula>
    </cfRule>
  </conditionalFormatting>
  <conditionalFormatting sqref="AY46">
    <cfRule type="cellIs" dxfId="813" priority="43" stopIfTrue="1" operator="equal">
      <formula>0</formula>
    </cfRule>
  </conditionalFormatting>
  <conditionalFormatting sqref="AY58">
    <cfRule type="cellIs" dxfId="812" priority="42" stopIfTrue="1" operator="equal">
      <formula>0</formula>
    </cfRule>
  </conditionalFormatting>
  <conditionalFormatting sqref="AY62">
    <cfRule type="cellIs" dxfId="811" priority="41" stopIfTrue="1" operator="equal">
      <formula>0</formula>
    </cfRule>
  </conditionalFormatting>
  <conditionalFormatting sqref="AY64">
    <cfRule type="cellIs" dxfId="810" priority="40" stopIfTrue="1" operator="equal">
      <formula>0</formula>
    </cfRule>
  </conditionalFormatting>
  <conditionalFormatting sqref="AY67">
    <cfRule type="cellIs" dxfId="809" priority="39" stopIfTrue="1" operator="equal">
      <formula>0</formula>
    </cfRule>
  </conditionalFormatting>
  <conditionalFormatting sqref="AY74:AY78">
    <cfRule type="cellIs" dxfId="808" priority="38" stopIfTrue="1" operator="equal">
      <formula>0</formula>
    </cfRule>
  </conditionalFormatting>
  <conditionalFormatting sqref="F13:K13">
    <cfRule type="expression" dxfId="807" priority="37" stopIfTrue="1">
      <formula>$AW$4=1</formula>
    </cfRule>
  </conditionalFormatting>
  <conditionalFormatting sqref="BH24:BH27">
    <cfRule type="cellIs" dxfId="806" priority="36" stopIfTrue="1" operator="equal">
      <formula>0</formula>
    </cfRule>
  </conditionalFormatting>
  <conditionalFormatting sqref="BH28">
    <cfRule type="cellIs" dxfId="805" priority="35" stopIfTrue="1" operator="equal">
      <formula>0</formula>
    </cfRule>
  </conditionalFormatting>
  <conditionalFormatting sqref="BH29">
    <cfRule type="cellIs" dxfId="804" priority="34" stopIfTrue="1" operator="equal">
      <formula>0</formula>
    </cfRule>
  </conditionalFormatting>
  <conditionalFormatting sqref="BH30">
    <cfRule type="cellIs" dxfId="803" priority="33" stopIfTrue="1" operator="equal">
      <formula>0</formula>
    </cfRule>
  </conditionalFormatting>
  <conditionalFormatting sqref="BH35">
    <cfRule type="cellIs" dxfId="802" priority="31" stopIfTrue="1" operator="equal">
      <formula>0</formula>
    </cfRule>
  </conditionalFormatting>
  <conditionalFormatting sqref="BH42">
    <cfRule type="cellIs" dxfId="801" priority="30" stopIfTrue="1" operator="equal">
      <formula>0</formula>
    </cfRule>
  </conditionalFormatting>
  <conditionalFormatting sqref="BH59">
    <cfRule type="cellIs" dxfId="800" priority="29" stopIfTrue="1" operator="equal">
      <formula>0</formula>
    </cfRule>
  </conditionalFormatting>
  <conditionalFormatting sqref="BH60:BH63">
    <cfRule type="cellIs" dxfId="799" priority="28" stopIfTrue="1" operator="equal">
      <formula>0</formula>
    </cfRule>
  </conditionalFormatting>
  <conditionalFormatting sqref="BH72">
    <cfRule type="cellIs" dxfId="798" priority="26" stopIfTrue="1" operator="equal">
      <formula>0</formula>
    </cfRule>
  </conditionalFormatting>
  <conditionalFormatting sqref="BH79">
    <cfRule type="cellIs" dxfId="797" priority="25" stopIfTrue="1" operator="equal">
      <formula>0</formula>
    </cfRule>
  </conditionalFormatting>
  <conditionalFormatting sqref="BH94">
    <cfRule type="cellIs" dxfId="796" priority="24" stopIfTrue="1" operator="equal">
      <formula>0</formula>
    </cfRule>
  </conditionalFormatting>
  <conditionalFormatting sqref="BH98">
    <cfRule type="cellIs" dxfId="795" priority="23" stopIfTrue="1" operator="equal">
      <formula>0</formula>
    </cfRule>
  </conditionalFormatting>
  <conditionalFormatting sqref="AE22:AF22">
    <cfRule type="expression" dxfId="794" priority="21" stopIfTrue="1">
      <formula>$AW$4=0</formula>
    </cfRule>
  </conditionalFormatting>
  <conditionalFormatting sqref="BH21">
    <cfRule type="cellIs" dxfId="793" priority="20" stopIfTrue="1" operator="equal">
      <formula>0</formula>
    </cfRule>
  </conditionalFormatting>
  <conditionalFormatting sqref="AY65">
    <cfRule type="cellIs" dxfId="792" priority="19" stopIfTrue="1" operator="equal">
      <formula>0</formula>
    </cfRule>
  </conditionalFormatting>
  <conditionalFormatting sqref="AY44">
    <cfRule type="cellIs" dxfId="791" priority="16" stopIfTrue="1" operator="equal">
      <formula>0</formula>
    </cfRule>
  </conditionalFormatting>
  <conditionalFormatting sqref="AY30">
    <cfRule type="cellIs" dxfId="790" priority="18" stopIfTrue="1" operator="equal">
      <formula>0</formula>
    </cfRule>
  </conditionalFormatting>
  <conditionalFormatting sqref="BH49">
    <cfRule type="cellIs" dxfId="789" priority="17" stopIfTrue="1" operator="equal">
      <formula>0</formula>
    </cfRule>
  </conditionalFormatting>
  <conditionalFormatting sqref="AZ5">
    <cfRule type="cellIs" dxfId="788" priority="15" stopIfTrue="1" operator="equal">
      <formula>0</formula>
    </cfRule>
  </conditionalFormatting>
  <conditionalFormatting sqref="BI5">
    <cfRule type="cellIs" dxfId="787" priority="14" stopIfTrue="1" operator="equal">
      <formula>0</formula>
    </cfRule>
  </conditionalFormatting>
  <conditionalFormatting sqref="BI6:BI101">
    <cfRule type="cellIs" dxfId="786" priority="12" stopIfTrue="1" operator="equal">
      <formula>0</formula>
    </cfRule>
  </conditionalFormatting>
  <conditionalFormatting sqref="BH107">
    <cfRule type="cellIs" dxfId="785" priority="11" stopIfTrue="1" operator="equal">
      <formula>0</formula>
    </cfRule>
  </conditionalFormatting>
  <conditionalFormatting sqref="BI107">
    <cfRule type="cellIs" dxfId="784" priority="10" stopIfTrue="1" operator="equal">
      <formula>0</formula>
    </cfRule>
  </conditionalFormatting>
  <conditionalFormatting sqref="AZ102:AZ106">
    <cfRule type="cellIs" dxfId="783" priority="9" stopIfTrue="1" operator="equal">
      <formula>0</formula>
    </cfRule>
  </conditionalFormatting>
  <conditionalFormatting sqref="AY102:AY106">
    <cfRule type="cellIs" dxfId="782" priority="8" stopIfTrue="1" operator="equal">
      <formula>0</formula>
    </cfRule>
  </conditionalFormatting>
  <conditionalFormatting sqref="BH102 BH105:BH106">
    <cfRule type="cellIs" dxfId="781" priority="7" stopIfTrue="1" operator="equal">
      <formula>0</formula>
    </cfRule>
  </conditionalFormatting>
  <conditionalFormatting sqref="BI102:BI106">
    <cfRule type="cellIs" dxfId="780" priority="6" stopIfTrue="1" operator="equal">
      <formula>0</formula>
    </cfRule>
  </conditionalFormatting>
  <conditionalFormatting sqref="BH103:BH104">
    <cfRule type="cellIs" dxfId="779" priority="5" stopIfTrue="1" operator="equal">
      <formula>0</formula>
    </cfRule>
  </conditionalFormatting>
  <conditionalFormatting sqref="AZ107">
    <cfRule type="cellIs" dxfId="778" priority="4" stopIfTrue="1" operator="equal">
      <formula>0</formula>
    </cfRule>
  </conditionalFormatting>
  <conditionalFormatting sqref="AY107">
    <cfRule type="cellIs" dxfId="777" priority="3" stopIfTrue="1" operator="equal">
      <formula>0</formula>
    </cfRule>
  </conditionalFormatting>
  <conditionalFormatting sqref="AI17:AO17">
    <cfRule type="expression" dxfId="776" priority="2" stopIfTrue="1">
      <formula>$AW$4=0</formula>
    </cfRule>
  </conditionalFormatting>
  <conditionalFormatting sqref="AI25:AO25">
    <cfRule type="expression" dxfId="775" priority="1" stopIfTrue="1">
      <formula>$AW$4=0</formula>
    </cfRule>
  </conditionalFormatting>
  <hyperlinks>
    <hyperlink ref="M4" location="MENU!A1" display="MENU!A1" xr:uid="{00000000-0004-0000-0800-000000000000}"/>
    <hyperlink ref="M10" location="OBJ!A1" display="OBJ!A1" xr:uid="{00000000-0004-0000-0800-000001000000}"/>
    <hyperlink ref="M9" location="suhrn!A1" display="suhrn!A1" xr:uid="{00000000-0004-0000-0800-000002000000}"/>
    <hyperlink ref="O2:S2" location="MENU!A5" display="MENU!A5" xr:uid="{00000000-0004-0000-0800-000003000000}"/>
  </hyperlinks>
  <printOptions horizontalCentered="1"/>
  <pageMargins left="0.19685039370078741" right="0.19685039370078741" top="0.19685039370078741" bottom="0.19685039370078741" header="0.31496062992125984" footer="0.31496062992125984"/>
  <pageSetup paperSize="9" orientation="landscape" r:id="rId1"/>
  <headerFooter>
    <oddHeader>&amp;R&amp;"Aptos"&amp;10&amp;K000000 Restricted&amp;1#_x000D_</oddHeader>
  </headerFooter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List52">
    <tabColor theme="3" tint="0.39997558519241921"/>
  </sheetPr>
  <dimension ref="A1:BK108"/>
  <sheetViews>
    <sheetView showGridLines="0" showRowColHeaders="0" zoomScale="95" zoomScaleNormal="95" workbookViewId="0"/>
  </sheetViews>
  <sheetFormatPr defaultColWidth="9" defaultRowHeight="13.8"/>
  <cols>
    <col min="1" max="1" width="3.59765625" style="86" customWidth="1"/>
    <col min="2" max="4" width="3.09765625" style="86" customWidth="1"/>
    <col min="5" max="5" width="7.59765625" style="86" customWidth="1"/>
    <col min="6" max="44" width="3.09765625" style="86" customWidth="1"/>
    <col min="45" max="45" width="3.59765625" style="86" customWidth="1"/>
    <col min="46" max="46" width="9" style="86" customWidth="1"/>
    <col min="47" max="47" width="9" style="86" hidden="1" customWidth="1"/>
    <col min="48" max="48" width="32.5" style="86" hidden="1" customWidth="1"/>
    <col min="49" max="49" width="4.3984375" style="86" hidden="1" customWidth="1"/>
    <col min="50" max="50" width="2" style="86" hidden="1" customWidth="1"/>
    <col min="51" max="52" width="4.59765625" style="86" hidden="1" customWidth="1"/>
    <col min="53" max="54" width="9" style="86" hidden="1" customWidth="1"/>
    <col min="55" max="55" width="2.59765625" style="86" hidden="1" customWidth="1"/>
    <col min="56" max="56" width="9" style="86" hidden="1" customWidth="1"/>
    <col min="57" max="57" width="33.8984375" style="86" hidden="1" customWidth="1"/>
    <col min="58" max="58" width="4.3984375" style="86" hidden="1" customWidth="1"/>
    <col min="59" max="59" width="2" style="86" hidden="1" customWidth="1"/>
    <col min="60" max="61" width="4.59765625" style="86" hidden="1" customWidth="1"/>
    <col min="62" max="63" width="9" style="86" hidden="1" customWidth="1"/>
    <col min="64" max="75" width="9" style="86" customWidth="1"/>
    <col min="76" max="16384" width="9" style="86"/>
  </cols>
  <sheetData>
    <row r="1" spans="1:63" ht="12.9" customHeight="1" thickBot="1">
      <c r="AU1" s="140"/>
      <c r="AV1" s="279"/>
      <c r="AW1" s="279"/>
      <c r="AX1" s="140"/>
      <c r="AY1" s="140"/>
      <c r="AZ1" s="140"/>
      <c r="BA1" s="140"/>
      <c r="BB1" s="140"/>
      <c r="BC1" s="140"/>
      <c r="BD1" s="140"/>
      <c r="BE1" s="140"/>
      <c r="BF1" s="140"/>
      <c r="BG1" s="140"/>
      <c r="BH1" s="140"/>
      <c r="BI1" s="140"/>
      <c r="BJ1" s="140"/>
      <c r="BK1" s="140"/>
    </row>
    <row r="2" spans="1:63" ht="23.1" customHeight="1" thickBot="1">
      <c r="B2" s="475" t="str">
        <f>verze!E13</f>
        <v>&lt;&lt;  zpět</v>
      </c>
      <c r="C2" s="476"/>
      <c r="D2" s="476"/>
      <c r="E2" s="477"/>
      <c r="G2" s="513" t="str">
        <f>verze!E6</f>
        <v xml:space="preserve"> Úvod</v>
      </c>
      <c r="H2" s="514"/>
      <c r="I2" s="514"/>
      <c r="J2" s="514"/>
      <c r="K2" s="515"/>
      <c r="O2" s="500" t="str">
        <f>verze!E7</f>
        <v xml:space="preserve"> Výběr zásuvek</v>
      </c>
      <c r="P2" s="501"/>
      <c r="Q2" s="501"/>
      <c r="R2" s="501"/>
      <c r="S2" s="502"/>
      <c r="U2" s="513" t="str">
        <f>verze!E8</f>
        <v xml:space="preserve"> </v>
      </c>
      <c r="V2" s="514"/>
      <c r="W2" s="514"/>
      <c r="X2" s="514"/>
      <c r="Y2" s="515"/>
      <c r="AA2" s="513" t="str">
        <f>verze!E9</f>
        <v xml:space="preserve"> </v>
      </c>
      <c r="AB2" s="514"/>
      <c r="AC2" s="514"/>
      <c r="AD2" s="514"/>
      <c r="AE2" s="515"/>
      <c r="AI2" s="513" t="str">
        <f>verze!E10</f>
        <v xml:space="preserve"> Objednávka</v>
      </c>
      <c r="AJ2" s="514"/>
      <c r="AK2" s="514"/>
      <c r="AL2" s="514"/>
      <c r="AM2" s="515"/>
      <c r="AO2" s="475" t="str">
        <f>verze!E14</f>
        <v>vpřed  &gt;&gt;</v>
      </c>
      <c r="AP2" s="476"/>
      <c r="AQ2" s="476"/>
      <c r="AR2" s="477"/>
      <c r="AV2" s="143"/>
      <c r="AW2" s="143"/>
    </row>
    <row r="3" spans="1:63" ht="12.9" customHeight="1">
      <c r="AV3" s="143"/>
      <c r="AW3" s="143"/>
    </row>
    <row r="4" spans="1:63" ht="23.1" customHeight="1">
      <c r="A4" s="89"/>
      <c r="B4" s="93" t="str">
        <f>verze!E206&amp;" AVANTECH YOU  187 Inlay"</f>
        <v>Zásuvka AVANTECH YOU  187 Inlay</v>
      </c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U4" s="94" t="s">
        <v>33</v>
      </c>
      <c r="AW4" s="285">
        <f>IF(FORM!AU13=FORM!U18,1,0)</f>
        <v>1</v>
      </c>
      <c r="BB4" s="322">
        <f>SUM(BB5:BB963)</f>
        <v>0</v>
      </c>
      <c r="BD4" s="94" t="s">
        <v>34</v>
      </c>
      <c r="BK4" s="322">
        <f>SUM(BK5:BK954)</f>
        <v>0</v>
      </c>
    </row>
    <row r="5" spans="1:63" ht="14.4" customHeight="1">
      <c r="AU5" s="319">
        <f>OBJ!B168</f>
        <v>9353283</v>
      </c>
      <c r="AV5" s="21" t="str">
        <f>VLOOKUP(AU5,CENY!$B$11:$G$1054,2,FALSE)</f>
        <v>AvanY-sólo boky Inlay-NW 187/350mm/strieb.</v>
      </c>
      <c r="AW5" s="22">
        <f>VLOOKUP(AU5,CENY!$B$11:$G$1054,3,FALSE)</f>
        <v>1</v>
      </c>
      <c r="AX5" s="362">
        <v>6</v>
      </c>
      <c r="AY5" s="23">
        <f>S19+S20+S27+S28+S30</f>
        <v>0</v>
      </c>
      <c r="AZ5" s="326">
        <f>IF(AY5="","",IF($AW$4=1,AY5,0))</f>
        <v>0</v>
      </c>
      <c r="BA5" s="95">
        <f>VLOOKUP(AU5,CENY!$B$11:$M$2025,12,FALSE)</f>
        <v>840.18591000000004</v>
      </c>
      <c r="BB5" s="95">
        <f t="shared" ref="BB5:BB67" si="0">IF(BA5="","",BA5*AY5)</f>
        <v>0</v>
      </c>
      <c r="BD5" s="319">
        <f>OBJ!B176</f>
        <v>9257131</v>
      </c>
      <c r="BE5" s="21" t="str">
        <f>VLOOKUP(BD5,CENY!$B$11:$G$1054,2,FALSE)</f>
        <v>AvanY-bok Inlay ľavý /v187/h350/ strieb.</v>
      </c>
      <c r="BF5" s="22">
        <f>VLOOKUP(BD5,CENY!$B$11:$G$1054,3,FALSE)</f>
        <v>10</v>
      </c>
      <c r="BG5" s="22"/>
      <c r="BH5" s="23">
        <f>AY5</f>
        <v>0</v>
      </c>
      <c r="BI5" s="326">
        <f>IF(BH5="","",IF($AW$4=0,BH5,0))</f>
        <v>0</v>
      </c>
      <c r="BJ5" s="95">
        <f>VLOOKUP(BD5,CENY!$B$11:$M$2025,12,FALSE)</f>
        <v>380.11588</v>
      </c>
      <c r="BK5" s="95">
        <f>IF(BJ5="","",BJ5*BH5)</f>
        <v>0</v>
      </c>
    </row>
    <row r="6" spans="1:63" ht="14.4" customHeight="1">
      <c r="B6" s="549" t="str">
        <f>" "&amp;verze!E90</f>
        <v xml:space="preserve"> bočnice:</v>
      </c>
      <c r="C6" s="549"/>
      <c r="D6" s="549"/>
      <c r="E6" s="549"/>
      <c r="F6" s="564" t="s">
        <v>343</v>
      </c>
      <c r="G6" s="564"/>
      <c r="H6" s="564"/>
      <c r="I6" s="564"/>
      <c r="J6" s="564"/>
      <c r="K6" s="564"/>
      <c r="AU6" s="319">
        <f>OBJ!B169</f>
        <v>9353284</v>
      </c>
      <c r="AV6" s="21" t="str">
        <f>VLOOKUP(AU6,CENY!$B$11:$G$1054,2,FALSE)</f>
        <v>AvanY-sólo boky Inlay-NW 187/400mm/strieb.</v>
      </c>
      <c r="AW6" s="22">
        <f>VLOOKUP(AU6,CENY!$B$11:$G$1054,3,FALSE)</f>
        <v>1</v>
      </c>
      <c r="AX6" s="362">
        <v>6</v>
      </c>
      <c r="AY6" s="23">
        <f>U20+U28+U30</f>
        <v>0</v>
      </c>
      <c r="AZ6" s="326">
        <f t="shared" ref="AZ6:AZ68" si="1">IF(AY6="","",IF($AW$4=1,AY6,0))</f>
        <v>0</v>
      </c>
      <c r="BA6" s="95">
        <f>VLOOKUP(AU6,CENY!$B$11:$M$2025,12,FALSE)</f>
        <v>852.13201000000004</v>
      </c>
      <c r="BB6" s="95">
        <f t="shared" si="0"/>
        <v>0</v>
      </c>
      <c r="BD6" s="319">
        <f>OBJ!B177</f>
        <v>9257132</v>
      </c>
      <c r="BE6" s="21" t="str">
        <f>VLOOKUP(BD6,CENY!$B$11:$G$1054,2,FALSE)</f>
        <v>AvanY-bok Inlay pravý /v187/h350/ strieb.</v>
      </c>
      <c r="BF6" s="22">
        <f>VLOOKUP(BD6,CENY!$B$11:$G$1054,3,FALSE)</f>
        <v>10</v>
      </c>
      <c r="BG6" s="22"/>
      <c r="BH6" s="23">
        <f>AY5</f>
        <v>0</v>
      </c>
      <c r="BI6" s="326">
        <f t="shared" ref="BI6:BI68" si="2">IF(BH6="","",IF($AW$4=0,BH6,0))</f>
        <v>0</v>
      </c>
      <c r="BJ6" s="95">
        <f>VLOOKUP(BD6,CENY!$B$11:$M$2025,12,FALSE)</f>
        <v>380.11588</v>
      </c>
      <c r="BK6" s="95">
        <f t="shared" ref="BK6:BK68" si="3">IF(BJ6="","",BJ6*BH6)</f>
        <v>0</v>
      </c>
    </row>
    <row r="7" spans="1:63" ht="14.4" customHeight="1">
      <c r="B7" s="549" t="str">
        <f>" "&amp;verze!E56</f>
        <v xml:space="preserve"> barva:</v>
      </c>
      <c r="C7" s="549"/>
      <c r="D7" s="549"/>
      <c r="E7" s="549"/>
      <c r="F7" s="564" t="str">
        <f>" "&amp;FORM!U8</f>
        <v xml:space="preserve"> stříbrná</v>
      </c>
      <c r="G7" s="564"/>
      <c r="H7" s="564"/>
      <c r="I7" s="564"/>
      <c r="J7" s="564"/>
      <c r="K7" s="564"/>
      <c r="AU7" s="319">
        <f>OBJ!B170</f>
        <v>9353285</v>
      </c>
      <c r="AV7" s="21" t="str">
        <f>VLOOKUP(AU7,CENY!$B$11:$G$1054,2,FALSE)</f>
        <v>AvanY-sólo boky Inlay-NW 187/450mm/strieb.</v>
      </c>
      <c r="AW7" s="22">
        <f>VLOOKUP(AU7,CENY!$B$11:$G$1054,3,FALSE)</f>
        <v>1</v>
      </c>
      <c r="AX7" s="362">
        <v>6</v>
      </c>
      <c r="AY7" s="23">
        <f>W20+W22+W28+W30</f>
        <v>0</v>
      </c>
      <c r="AZ7" s="326">
        <f t="shared" si="1"/>
        <v>0</v>
      </c>
      <c r="BA7" s="95">
        <f>VLOOKUP(AU7,CENY!$B$11:$M$2025,12,FALSE)</f>
        <v>841.09733000000006</v>
      </c>
      <c r="BB7" s="95">
        <f t="shared" si="0"/>
        <v>0</v>
      </c>
      <c r="BD7" s="319">
        <f>OBJ!B178</f>
        <v>9257133</v>
      </c>
      <c r="BE7" s="21" t="str">
        <f>VLOOKUP(BD7,CENY!$B$11:$G$1054,2,FALSE)</f>
        <v>AvanY-bok Inlay ľavý /v187/h400/ strieb.</v>
      </c>
      <c r="BF7" s="22">
        <f>VLOOKUP(BD7,CENY!$B$11:$G$1054,3,FALSE)</f>
        <v>10</v>
      </c>
      <c r="BG7" s="22"/>
      <c r="BH7" s="23">
        <f>AY6</f>
        <v>0</v>
      </c>
      <c r="BI7" s="326">
        <f t="shared" si="2"/>
        <v>0</v>
      </c>
      <c r="BJ7" s="95">
        <f>VLOOKUP(BD7,CENY!$B$11:$M$2025,12,FALSE)</f>
        <v>386.98174</v>
      </c>
      <c r="BK7" s="95">
        <f t="shared" si="3"/>
        <v>0</v>
      </c>
    </row>
    <row r="8" spans="1:63" ht="14.4" customHeight="1">
      <c r="B8" s="549" t="str">
        <f>" "&amp;verze!E70</f>
        <v xml:space="preserve"> dekorativní profil:</v>
      </c>
      <c r="C8" s="549"/>
      <c r="D8" s="549"/>
      <c r="E8" s="549"/>
      <c r="F8" s="564" t="str">
        <f>" "&amp;FORM!AM18</f>
        <v xml:space="preserve"> v barvě bočnice</v>
      </c>
      <c r="G8" s="564"/>
      <c r="H8" s="564"/>
      <c r="I8" s="564"/>
      <c r="J8" s="564"/>
      <c r="K8" s="564"/>
      <c r="AU8" s="319">
        <f>OBJ!B171</f>
        <v>9353286</v>
      </c>
      <c r="AV8" s="21" t="str">
        <f>VLOOKUP(AU8,CENY!$B$11:$G$1054,2,FALSE)</f>
        <v>AvanY-sólo boky Inlay-NW 187/500mm/strieb.</v>
      </c>
      <c r="AW8" s="22">
        <f>VLOOKUP(AU8,CENY!$B$11:$G$1054,3,FALSE)</f>
        <v>1</v>
      </c>
      <c r="AX8" s="362">
        <v>8</v>
      </c>
      <c r="AY8" s="23">
        <f>Y20+Y22+Y28+Y30</f>
        <v>0</v>
      </c>
      <c r="AZ8" s="326">
        <f t="shared" si="1"/>
        <v>0</v>
      </c>
      <c r="BA8" s="95">
        <f>VLOOKUP(AU8,CENY!$B$11:$M$2025,12,FALSE)</f>
        <v>852.72563000000002</v>
      </c>
      <c r="BB8" s="95">
        <f t="shared" si="0"/>
        <v>0</v>
      </c>
      <c r="BD8" s="319">
        <f>OBJ!B179</f>
        <v>9257134</v>
      </c>
      <c r="BE8" s="21" t="str">
        <f>VLOOKUP(BD8,CENY!$B$11:$G$1054,2,FALSE)</f>
        <v>AvanY-bok Inlay pravý /v187/h400/ strieb.</v>
      </c>
      <c r="BF8" s="22">
        <f>VLOOKUP(BD8,CENY!$B$11:$G$1054,3,FALSE)</f>
        <v>10</v>
      </c>
      <c r="BG8" s="22"/>
      <c r="BH8" s="23">
        <f>AY6</f>
        <v>0</v>
      </c>
      <c r="BI8" s="326">
        <f t="shared" si="2"/>
        <v>0</v>
      </c>
      <c r="BJ8" s="95">
        <f>VLOOKUP(BD8,CENY!$B$11:$M$2025,12,FALSE)</f>
        <v>386.98174</v>
      </c>
      <c r="BK8" s="95">
        <f t="shared" si="3"/>
        <v>0</v>
      </c>
    </row>
    <row r="9" spans="1:63" ht="14.4" customHeight="1">
      <c r="B9" s="549"/>
      <c r="C9" s="549"/>
      <c r="D9" s="549"/>
      <c r="E9" s="549"/>
      <c r="F9" s="564"/>
      <c r="G9" s="564"/>
      <c r="H9" s="564"/>
      <c r="I9" s="564"/>
      <c r="J9" s="564"/>
      <c r="K9" s="564"/>
      <c r="AU9" s="319">
        <f>OBJ!B172</f>
        <v>9353287</v>
      </c>
      <c r="AV9" s="21" t="str">
        <f>VLOOKUP(AU9,CENY!$B$11:$G$1054,2,FALSE)</f>
        <v>AvanY-sólo boky Inlay-NW 187/550mm/strieb.</v>
      </c>
      <c r="AW9" s="22">
        <f>VLOOKUP(AU9,CENY!$B$11:$G$1054,3,FALSE)</f>
        <v>1</v>
      </c>
      <c r="AX9" s="362">
        <v>8</v>
      </c>
      <c r="AY9" s="23">
        <f>AA20+AA22+AA28+AA30</f>
        <v>0</v>
      </c>
      <c r="AZ9" s="326">
        <f t="shared" si="1"/>
        <v>0</v>
      </c>
      <c r="BA9" s="95">
        <f>VLOOKUP(AU9,CENY!$B$11:$M$2025,12,FALSE)</f>
        <v>887.97243000000003</v>
      </c>
      <c r="BB9" s="95">
        <f t="shared" si="0"/>
        <v>0</v>
      </c>
      <c r="BD9" s="319">
        <f>OBJ!B180</f>
        <v>9257135</v>
      </c>
      <c r="BE9" s="21" t="str">
        <f>VLOOKUP(BD9,CENY!$B$11:$G$1054,2,FALSE)</f>
        <v>AvanY-bok Inlay ľavý /v187/h450/ strieb.</v>
      </c>
      <c r="BF9" s="22">
        <f>VLOOKUP(BD9,CENY!$B$11:$G$1054,3,FALSE)</f>
        <v>10</v>
      </c>
      <c r="BG9" s="22"/>
      <c r="BH9" s="23">
        <f>AY7</f>
        <v>0</v>
      </c>
      <c r="BI9" s="326">
        <f t="shared" si="2"/>
        <v>0</v>
      </c>
      <c r="BJ9" s="95">
        <f>VLOOKUP(BD9,CENY!$B$11:$M$2025,12,FALSE)</f>
        <v>393.85784000000001</v>
      </c>
      <c r="BK9" s="95">
        <f t="shared" si="3"/>
        <v>0</v>
      </c>
    </row>
    <row r="10" spans="1:63" ht="14.4" customHeight="1">
      <c r="B10" s="549" t="str">
        <f>" "&amp;verze!E57</f>
        <v xml:space="preserve"> čelní kování:</v>
      </c>
      <c r="C10" s="549"/>
      <c r="D10" s="549"/>
      <c r="E10" s="549"/>
      <c r="F10" s="563" t="str">
        <f>" "&amp;FORM!AM8</f>
        <v xml:space="preserve"> na vruty</v>
      </c>
      <c r="G10" s="563"/>
      <c r="H10" s="563"/>
      <c r="I10" s="563"/>
      <c r="J10" s="563"/>
      <c r="K10" s="563"/>
      <c r="AU10" s="319">
        <f>OBJ!B173</f>
        <v>9353288</v>
      </c>
      <c r="AV10" s="21" t="str">
        <f>VLOOKUP(AU10,CENY!$B$11:$G$1054,2,FALSE)</f>
        <v>AvanY-sólo boky Inlay-NW 187/600mm/strieb.</v>
      </c>
      <c r="AW10" s="22">
        <f>VLOOKUP(AU10,CENY!$B$11:$G$1054,3,FALSE)</f>
        <v>1</v>
      </c>
      <c r="AX10" s="362">
        <v>8</v>
      </c>
      <c r="AY10" s="23">
        <f>AC20+AC22+AC28+AC30</f>
        <v>0</v>
      </c>
      <c r="AZ10" s="326">
        <f t="shared" si="1"/>
        <v>0</v>
      </c>
      <c r="BA10" s="95">
        <f>VLOOKUP(AU10,CENY!$B$11:$M$2025,12,FALSE)</f>
        <v>905.98955999999998</v>
      </c>
      <c r="BB10" s="95">
        <f t="shared" si="0"/>
        <v>0</v>
      </c>
      <c r="BD10" s="319">
        <f>OBJ!B181</f>
        <v>9257136</v>
      </c>
      <c r="BE10" s="21" t="str">
        <f>VLOOKUP(BD10,CENY!$B$11:$G$1054,2,FALSE)</f>
        <v>AvanY-bok Inlay pravý /v187/h450/ strieb.</v>
      </c>
      <c r="BF10" s="22">
        <f>VLOOKUP(BD10,CENY!$B$11:$G$1054,3,FALSE)</f>
        <v>10</v>
      </c>
      <c r="BG10" s="22"/>
      <c r="BH10" s="23">
        <f>AY7</f>
        <v>0</v>
      </c>
      <c r="BI10" s="326">
        <f t="shared" si="2"/>
        <v>0</v>
      </c>
      <c r="BJ10" s="95">
        <f>VLOOKUP(BD10,CENY!$B$11:$M$2025,12,FALSE)</f>
        <v>393.85784000000001</v>
      </c>
      <c r="BK10" s="95">
        <f t="shared" si="3"/>
        <v>0</v>
      </c>
    </row>
    <row r="11" spans="1:63" ht="14.4" customHeight="1">
      <c r="B11" s="549" t="str">
        <f>" "&amp;verze!E76</f>
        <v xml:space="preserve"> krytka:</v>
      </c>
      <c r="C11" s="549"/>
      <c r="D11" s="549"/>
      <c r="E11" s="549"/>
      <c r="F11" s="563" t="str">
        <f>" "&amp;FORM!AM21</f>
        <v xml:space="preserve"> žádná</v>
      </c>
      <c r="G11" s="563"/>
      <c r="H11" s="563"/>
      <c r="I11" s="563"/>
      <c r="J11" s="563"/>
      <c r="K11" s="563"/>
      <c r="AU11" s="319">
        <f>OBJ!B174</f>
        <v>9353289</v>
      </c>
      <c r="AV11" s="21" t="str">
        <f>VLOOKUP(AU11,CENY!$B$11:$G$1054,2,FALSE)</f>
        <v>AvanY-sólo boky Inlay-NW 187/650mm/strieb.</v>
      </c>
      <c r="AW11" s="22">
        <f>VLOOKUP(AU11,CENY!$B$11:$G$1054,3,FALSE)</f>
        <v>1</v>
      </c>
      <c r="AX11" s="362">
        <v>10</v>
      </c>
      <c r="AY11" s="23">
        <f>AE22</f>
        <v>0</v>
      </c>
      <c r="AZ11" s="326">
        <f t="shared" si="1"/>
        <v>0</v>
      </c>
      <c r="BA11" s="95">
        <f>VLOOKUP(AU11,CENY!$B$11:$M$2025,12,FALSE)</f>
        <v>930.49195999999995</v>
      </c>
      <c r="BB11" s="95">
        <f t="shared" si="0"/>
        <v>0</v>
      </c>
      <c r="BD11" s="319">
        <f>OBJ!B182</f>
        <v>9257137</v>
      </c>
      <c r="BE11" s="21" t="str">
        <f>VLOOKUP(BD11,CENY!$B$11:$G$1054,2,FALSE)</f>
        <v>AvanY-bok Inlay ľavý /v187/h500/ strieb.</v>
      </c>
      <c r="BF11" s="22">
        <f>VLOOKUP(BD11,CENY!$B$11:$G$1054,3,FALSE)</f>
        <v>10</v>
      </c>
      <c r="BG11" s="22"/>
      <c r="BH11" s="23">
        <f>AY8</f>
        <v>0</v>
      </c>
      <c r="BI11" s="326">
        <f t="shared" si="2"/>
        <v>0</v>
      </c>
      <c r="BJ11" s="95">
        <f>VLOOKUP(BD11,CENY!$B$11:$M$2025,12,FALSE)</f>
        <v>390.06617</v>
      </c>
      <c r="BK11" s="95">
        <f t="shared" si="3"/>
        <v>0</v>
      </c>
    </row>
    <row r="12" spans="1:63" ht="14.4" customHeight="1" thickBot="1">
      <c r="B12" s="549"/>
      <c r="C12" s="549"/>
      <c r="D12" s="549"/>
      <c r="E12" s="550"/>
      <c r="F12" s="564"/>
      <c r="G12" s="564"/>
      <c r="H12" s="564"/>
      <c r="I12" s="564"/>
      <c r="J12" s="564"/>
      <c r="K12" s="564"/>
      <c r="AU12" s="319"/>
      <c r="AV12" s="21"/>
      <c r="AW12" s="22"/>
      <c r="AX12" s="22"/>
      <c r="AY12" s="23"/>
      <c r="AZ12" s="326" t="str">
        <f t="shared" si="1"/>
        <v/>
      </c>
      <c r="BA12" s="95"/>
      <c r="BB12" s="95" t="str">
        <f t="shared" si="0"/>
        <v/>
      </c>
      <c r="BD12" s="319">
        <f>OBJ!B183</f>
        <v>9257138</v>
      </c>
      <c r="BE12" s="21" t="str">
        <f>VLOOKUP(BD12,CENY!$B$11:$G$1054,2,FALSE)</f>
        <v>AvanY-bok Inlay pravý /v187/h500/ strieb.</v>
      </c>
      <c r="BF12" s="22">
        <f>VLOOKUP(BD12,CENY!$B$11:$G$1054,3,FALSE)</f>
        <v>10</v>
      </c>
      <c r="BG12" s="22"/>
      <c r="BH12" s="23">
        <f>AY8</f>
        <v>0</v>
      </c>
      <c r="BI12" s="326">
        <f t="shared" si="2"/>
        <v>0</v>
      </c>
      <c r="BJ12" s="95">
        <f>VLOOKUP(BD12,CENY!$B$11:$M$2025,12,FALSE)</f>
        <v>390.06617</v>
      </c>
      <c r="BK12" s="95">
        <f t="shared" si="3"/>
        <v>0</v>
      </c>
    </row>
    <row r="13" spans="1:63" ht="14.4" customHeight="1">
      <c r="B13" s="549" t="str">
        <f>" "&amp;verze!E92</f>
        <v xml:space="preserve"> cena kování:</v>
      </c>
      <c r="C13" s="549"/>
      <c r="D13" s="549"/>
      <c r="E13" s="550"/>
      <c r="F13" s="555">
        <f>IF(AW4=1,BB4,BK4)</f>
        <v>0</v>
      </c>
      <c r="G13" s="555"/>
      <c r="H13" s="555"/>
      <c r="I13" s="555"/>
      <c r="J13" s="556" t="str">
        <f>IF(verze!E1="CZK","CZK","EUR")</f>
        <v>CZK</v>
      </c>
      <c r="K13" s="557"/>
      <c r="AU13" s="319">
        <f>OBJ!B216</f>
        <v>9283178</v>
      </c>
      <c r="AV13" s="21" t="str">
        <f>VLOOKUP(AU13,CENY!$B$11:$G$1054,2,FALSE)</f>
        <v>AvanY-Inlay sklenené boky 350mm; 2 x sklo</v>
      </c>
      <c r="AW13" s="22">
        <f>VLOOKUP(AU13,CENY!$B$11:$G$1054,3,FALSE)</f>
        <v>1</v>
      </c>
      <c r="AX13" s="22"/>
      <c r="AY13" s="23">
        <f>1*(S19+S20+S27+S28+S30)</f>
        <v>0</v>
      </c>
      <c r="AZ13" s="326">
        <f t="shared" si="1"/>
        <v>0</v>
      </c>
      <c r="BA13" s="95">
        <f>VLOOKUP(AU13,CENY!$B$11:$M$2025,12,FALSE)</f>
        <v>825.32597999999996</v>
      </c>
      <c r="BB13" s="95">
        <f t="shared" si="0"/>
        <v>0</v>
      </c>
      <c r="BD13" s="319">
        <f>OBJ!B184</f>
        <v>9257139</v>
      </c>
      <c r="BE13" s="21" t="str">
        <f>VLOOKUP(BD13,CENY!$B$11:$G$1054,2,FALSE)</f>
        <v>AvanY-bok Inlay ľavý /v187/h550/ strieb.</v>
      </c>
      <c r="BF13" s="22">
        <f>VLOOKUP(BD13,CENY!$B$11:$G$1054,3,FALSE)</f>
        <v>10</v>
      </c>
      <c r="BG13" s="22"/>
      <c r="BH13" s="23">
        <f>AY9</f>
        <v>0</v>
      </c>
      <c r="BI13" s="326">
        <f t="shared" si="2"/>
        <v>0</v>
      </c>
      <c r="BJ13" s="95">
        <f>VLOOKUP(BD13,CENY!$B$11:$M$2025,12,FALSE)</f>
        <v>407.58967999999999</v>
      </c>
      <c r="BK13" s="95">
        <f t="shared" si="3"/>
        <v>0</v>
      </c>
    </row>
    <row r="14" spans="1:63" ht="14.4" customHeight="1">
      <c r="AU14" s="319">
        <f>OBJ!B217</f>
        <v>9283179</v>
      </c>
      <c r="AV14" s="21" t="str">
        <f>VLOOKUP(AU14,CENY!$B$11:$G$1054,2,FALSE)</f>
        <v>AvanY-Inlay sklenené boky 400mm; 2 x sklo</v>
      </c>
      <c r="AW14" s="22">
        <f>VLOOKUP(AU14,CENY!$B$11:$G$1054,3,FALSE)</f>
        <v>1</v>
      </c>
      <c r="AX14" s="22"/>
      <c r="AY14" s="23">
        <f>1*(U20+U28+U30)</f>
        <v>0</v>
      </c>
      <c r="AZ14" s="326">
        <f t="shared" si="1"/>
        <v>0</v>
      </c>
      <c r="BA14" s="95">
        <f>VLOOKUP(AU14,CENY!$B$11:$M$2025,12,FALSE)</f>
        <v>872.05524000000003</v>
      </c>
      <c r="BB14" s="95">
        <f t="shared" si="0"/>
        <v>0</v>
      </c>
      <c r="BD14" s="319">
        <f>OBJ!B185</f>
        <v>9257140</v>
      </c>
      <c r="BE14" s="21" t="str">
        <f>VLOOKUP(BD14,CENY!$B$11:$G$1054,2,FALSE)</f>
        <v>AvanY-bok Inlay pravý /v187/h550/ strieb.</v>
      </c>
      <c r="BF14" s="22">
        <f>VLOOKUP(BD14,CENY!$B$11:$G$1054,3,FALSE)</f>
        <v>10</v>
      </c>
      <c r="BG14" s="22"/>
      <c r="BH14" s="23">
        <f>AY9</f>
        <v>0</v>
      </c>
      <c r="BI14" s="326">
        <f t="shared" si="2"/>
        <v>0</v>
      </c>
      <c r="BJ14" s="95">
        <f>VLOOKUP(BD14,CENY!$B$11:$M$2025,12,FALSE)</f>
        <v>407.58967999999999</v>
      </c>
      <c r="BK14" s="95">
        <f t="shared" si="3"/>
        <v>0</v>
      </c>
    </row>
    <row r="15" spans="1:63" ht="14.4" customHeight="1">
      <c r="AU15" s="319">
        <f>OBJ!B218</f>
        <v>9283180</v>
      </c>
      <c r="AV15" s="21" t="str">
        <f>VLOOKUP(AU15,CENY!$B$11:$G$1054,2,FALSE)</f>
        <v>AvanY-Inlay sklenené boky 450mm; 2 x sklo</v>
      </c>
      <c r="AW15" s="22">
        <f>VLOOKUP(AU15,CENY!$B$11:$G$1054,3,FALSE)</f>
        <v>1</v>
      </c>
      <c r="AX15" s="22"/>
      <c r="AY15" s="23">
        <f>1*(W20+W22+W28+W30)</f>
        <v>0</v>
      </c>
      <c r="AZ15" s="326">
        <f t="shared" si="1"/>
        <v>0</v>
      </c>
      <c r="BA15" s="95">
        <f>VLOOKUP(AU15,CENY!$B$11:$M$2025,12,FALSE)</f>
        <v>918.78985999999998</v>
      </c>
      <c r="BB15" s="95">
        <f t="shared" si="0"/>
        <v>0</v>
      </c>
      <c r="BD15" s="319">
        <f>OBJ!B186</f>
        <v>9257141</v>
      </c>
      <c r="BE15" s="21" t="str">
        <f>VLOOKUP(BD15,CENY!$B$11:$G$1054,2,FALSE)</f>
        <v>AvanY-bok Inlay ľavý /v187/h600/ strieb.</v>
      </c>
      <c r="BF15" s="22">
        <f>VLOOKUP(BD15,CENY!$B$11:$G$1054,3,FALSE)</f>
        <v>10</v>
      </c>
      <c r="BG15" s="22"/>
      <c r="BH15" s="23">
        <f>AY10</f>
        <v>0</v>
      </c>
      <c r="BI15" s="326">
        <f t="shared" si="2"/>
        <v>0</v>
      </c>
      <c r="BJ15" s="95">
        <f>VLOOKUP(BD15,CENY!$B$11:$M$2025,12,FALSE)</f>
        <v>417.95686000000001</v>
      </c>
      <c r="BK15" s="95">
        <f t="shared" si="3"/>
        <v>0</v>
      </c>
    </row>
    <row r="16" spans="1:63" ht="14.4" customHeight="1">
      <c r="AU16" s="319">
        <f>OBJ!B219</f>
        <v>9283181</v>
      </c>
      <c r="AV16" s="21" t="str">
        <f>VLOOKUP(AU16,CENY!$B$11:$G$1054,2,FALSE)</f>
        <v>AvanY-Inlay sklenené boky 500mm; 2 x sklo</v>
      </c>
      <c r="AW16" s="22">
        <f>VLOOKUP(AU16,CENY!$B$11:$G$1054,3,FALSE)</f>
        <v>1</v>
      </c>
      <c r="AX16" s="22"/>
      <c r="AY16" s="23">
        <f>1*(Y20+Y22+Y28+Y30)</f>
        <v>0</v>
      </c>
      <c r="AZ16" s="326">
        <f t="shared" si="1"/>
        <v>0</v>
      </c>
      <c r="BA16" s="95">
        <f>VLOOKUP(AU16,CENY!$B$11:$M$2025,12,FALSE)</f>
        <v>965.52719000000002</v>
      </c>
      <c r="BB16" s="95">
        <f t="shared" si="0"/>
        <v>0</v>
      </c>
      <c r="BD16" s="319">
        <f>OBJ!B187</f>
        <v>9257142</v>
      </c>
      <c r="BE16" s="21" t="str">
        <f>VLOOKUP(BD16,CENY!$B$11:$G$1054,2,FALSE)</f>
        <v>AvanY-bok Inlay pravý /v187/h600/ strieb.</v>
      </c>
      <c r="BF16" s="22">
        <f>VLOOKUP(BD16,CENY!$B$11:$G$1054,3,FALSE)</f>
        <v>10</v>
      </c>
      <c r="BG16" s="22"/>
      <c r="BH16" s="23">
        <f>AY10</f>
        <v>0</v>
      </c>
      <c r="BI16" s="326">
        <f t="shared" si="2"/>
        <v>0</v>
      </c>
      <c r="BJ16" s="95">
        <f>VLOOKUP(BD16,CENY!$B$11:$M$2025,12,FALSE)</f>
        <v>417.95686000000001</v>
      </c>
      <c r="BK16" s="95">
        <f t="shared" si="3"/>
        <v>0</v>
      </c>
    </row>
    <row r="17" spans="2:63" ht="14.4" customHeight="1" thickBot="1">
      <c r="B17" s="1" t="s">
        <v>284</v>
      </c>
      <c r="O17" s="547" t="str">
        <f>FORM!U18</f>
        <v>flexibilní sety</v>
      </c>
      <c r="P17" s="548"/>
      <c r="Q17" s="548"/>
      <c r="R17" s="548"/>
      <c r="S17" s="548"/>
      <c r="T17" s="548"/>
      <c r="U17" s="548"/>
      <c r="V17" s="548"/>
      <c r="W17" s="548"/>
      <c r="X17" s="548"/>
      <c r="Y17" s="548"/>
      <c r="Z17" s="548"/>
      <c r="AA17" s="548"/>
      <c r="AB17" s="548"/>
      <c r="AC17" s="548"/>
      <c r="AD17" s="548"/>
      <c r="AE17" s="548"/>
      <c r="AF17" s="548"/>
      <c r="AI17" s="540" t="str">
        <f>verze!E198</f>
        <v>P2O Silent pro Actro</v>
      </c>
      <c r="AJ17" s="541"/>
      <c r="AK17" s="541"/>
      <c r="AL17" s="541"/>
      <c r="AM17" s="541"/>
      <c r="AN17" s="541"/>
      <c r="AO17" s="541"/>
      <c r="AU17" s="319">
        <f>OBJ!B220</f>
        <v>9283182</v>
      </c>
      <c r="AV17" s="21" t="str">
        <f>VLOOKUP(AU17,CENY!$B$11:$G$1054,2,FALSE)</f>
        <v>AvanY-Inlay sklenené boky 550mm; 2 x sklo</v>
      </c>
      <c r="AW17" s="22">
        <f>VLOOKUP(AU17,CENY!$B$11:$G$1054,3,FALSE)</f>
        <v>1</v>
      </c>
      <c r="AX17" s="22"/>
      <c r="AY17" s="23">
        <f>1*(AA20+AA22+AA28+AA30)</f>
        <v>0</v>
      </c>
      <c r="AZ17" s="326">
        <f t="shared" si="1"/>
        <v>0</v>
      </c>
      <c r="BA17" s="95">
        <f>VLOOKUP(AU17,CENY!$B$11:$M$2025,12,FALSE)</f>
        <v>1058.9617900000001</v>
      </c>
      <c r="BB17" s="95">
        <f t="shared" si="0"/>
        <v>0</v>
      </c>
      <c r="BD17" s="319">
        <f>OBJ!B188</f>
        <v>9257143</v>
      </c>
      <c r="BE17" s="21" t="str">
        <f>VLOOKUP(BD17,CENY!$B$11:$G$1054,2,FALSE)</f>
        <v>AvanY-bok Inlay ľavý /v187/h650/ strieb.</v>
      </c>
      <c r="BF17" s="22">
        <f>VLOOKUP(BD17,CENY!$B$11:$G$1054,3,FALSE)</f>
        <v>10</v>
      </c>
      <c r="BG17" s="22"/>
      <c r="BH17" s="23">
        <f>AY11</f>
        <v>0</v>
      </c>
      <c r="BI17" s="326">
        <f t="shared" si="2"/>
        <v>0</v>
      </c>
      <c r="BJ17" s="95">
        <f>VLOOKUP(BD17,CENY!$B$11:$M$2025,12,FALSE)</f>
        <v>432.04088000000002</v>
      </c>
      <c r="BK17" s="95">
        <f t="shared" si="3"/>
        <v>0</v>
      </c>
    </row>
    <row r="18" spans="2:63" ht="14.4" customHeight="1" thickBot="1">
      <c r="B18" s="96"/>
      <c r="C18" s="96"/>
      <c r="D18" s="96"/>
      <c r="E18" s="96"/>
      <c r="F18" s="96"/>
      <c r="G18" s="96"/>
      <c r="H18" s="72"/>
      <c r="I18" s="72"/>
      <c r="J18" s="72"/>
      <c r="K18" s="72"/>
      <c r="L18" s="72"/>
      <c r="M18" s="72"/>
      <c r="N18" s="72" t="str">
        <f>verze!$E$20&amp;" "</f>
        <v xml:space="preserve">Jmenovitá délka: </v>
      </c>
      <c r="O18" s="535">
        <v>270</v>
      </c>
      <c r="P18" s="536"/>
      <c r="Q18" s="535">
        <v>300</v>
      </c>
      <c r="R18" s="536"/>
      <c r="S18" s="535">
        <v>350</v>
      </c>
      <c r="T18" s="536"/>
      <c r="U18" s="535">
        <v>400</v>
      </c>
      <c r="V18" s="536"/>
      <c r="W18" s="535">
        <v>450</v>
      </c>
      <c r="X18" s="536"/>
      <c r="Y18" s="537">
        <v>500</v>
      </c>
      <c r="Z18" s="538"/>
      <c r="AA18" s="535">
        <v>550</v>
      </c>
      <c r="AB18" s="536"/>
      <c r="AC18" s="535">
        <v>600</v>
      </c>
      <c r="AD18" s="536"/>
      <c r="AE18" s="535">
        <v>650</v>
      </c>
      <c r="AF18" s="536"/>
      <c r="AI18" s="543" t="s">
        <v>299</v>
      </c>
      <c r="AJ18" s="543"/>
      <c r="AK18" s="543"/>
      <c r="AL18" s="543"/>
      <c r="AM18" s="543"/>
      <c r="AN18" s="543"/>
      <c r="AO18" s="543"/>
      <c r="AU18" s="319">
        <f>OBJ!B221</f>
        <v>9283183</v>
      </c>
      <c r="AV18" s="21" t="str">
        <f>VLOOKUP(AU18,CENY!$B$11:$G$1054,2,FALSE)</f>
        <v>AvanY-Inlay sklenené boky 600mm; 2 x sklo</v>
      </c>
      <c r="AW18" s="22">
        <f>VLOOKUP(AU18,CENY!$B$11:$G$1054,3,FALSE)</f>
        <v>1</v>
      </c>
      <c r="AX18" s="22"/>
      <c r="AY18" s="23">
        <f>1*(AC20+AC22+AC28+AC30)</f>
        <v>0</v>
      </c>
      <c r="AZ18" s="326">
        <f t="shared" si="1"/>
        <v>0</v>
      </c>
      <c r="BA18" s="95">
        <f>VLOOKUP(AU18,CENY!$B$11:$M$2025,12,FALSE)</f>
        <v>1152.39642</v>
      </c>
      <c r="BB18" s="95">
        <f t="shared" si="0"/>
        <v>0</v>
      </c>
      <c r="BD18" s="319">
        <f>OBJ!B189</f>
        <v>9257144</v>
      </c>
      <c r="BE18" s="21" t="str">
        <f>VLOOKUP(BD18,CENY!$B$11:$G$1054,2,FALSE)</f>
        <v>AvanY-bok Inlay pravý /v187/h650/ strieb.</v>
      </c>
      <c r="BF18" s="22">
        <f>VLOOKUP(BD18,CENY!$B$11:$G$1054,3,FALSE)</f>
        <v>10</v>
      </c>
      <c r="BG18" s="22"/>
      <c r="BH18" s="23">
        <f>AY11</f>
        <v>0</v>
      </c>
      <c r="BI18" s="326">
        <f t="shared" si="2"/>
        <v>0</v>
      </c>
      <c r="BJ18" s="95">
        <f>VLOOKUP(BD18,CENY!$B$11:$M$2025,12,FALSE)</f>
        <v>432.04088000000002</v>
      </c>
      <c r="BK18" s="95">
        <f t="shared" si="3"/>
        <v>0</v>
      </c>
    </row>
    <row r="19" spans="2:63" ht="14.4" customHeight="1" thickBot="1">
      <c r="B19" s="530" t="s">
        <v>289</v>
      </c>
      <c r="C19" s="530"/>
      <c r="D19" s="530"/>
      <c r="E19" s="530"/>
      <c r="F19" s="530"/>
      <c r="G19" s="530"/>
      <c r="H19" s="531" t="str">
        <f>verze!E18</f>
        <v>plnovýsuv</v>
      </c>
      <c r="I19" s="531"/>
      <c r="J19" s="531"/>
      <c r="K19" s="531"/>
      <c r="L19" s="531"/>
      <c r="M19" s="532" t="s">
        <v>286</v>
      </c>
      <c r="N19" s="533"/>
      <c r="O19" s="569"/>
      <c r="P19" s="570"/>
      <c r="Q19" s="569"/>
      <c r="R19" s="570"/>
      <c r="S19" s="567"/>
      <c r="T19" s="568"/>
      <c r="U19" s="283"/>
      <c r="V19" s="284"/>
      <c r="W19" s="283"/>
      <c r="X19" s="284"/>
      <c r="Y19" s="283"/>
      <c r="Z19" s="284"/>
      <c r="AA19" s="283"/>
      <c r="AB19" s="284"/>
      <c r="AC19" s="283"/>
      <c r="AD19" s="284"/>
      <c r="AE19" s="280"/>
      <c r="AF19" s="281"/>
      <c r="AI19" s="289"/>
      <c r="AJ19" s="290"/>
      <c r="AK19" s="289"/>
      <c r="AL19" s="290"/>
      <c r="AM19" s="291" t="s">
        <v>295</v>
      </c>
      <c r="AN19" s="534"/>
      <c r="AO19" s="534"/>
      <c r="AU19" s="319">
        <f>OBJ!B222</f>
        <v>9283184</v>
      </c>
      <c r="AV19" s="21" t="str">
        <f>VLOOKUP(AU19,CENY!$B$11:$G$1054,2,FALSE)</f>
        <v>AvanY-Inlay sklenené boky 650mm; 2 x sklo</v>
      </c>
      <c r="AW19" s="22">
        <f>VLOOKUP(AU19,CENY!$B$11:$G$1054,3,FALSE)</f>
        <v>1</v>
      </c>
      <c r="AX19" s="22"/>
      <c r="AY19" s="23">
        <f>1*(AE22)</f>
        <v>0</v>
      </c>
      <c r="AZ19" s="326">
        <f t="shared" si="1"/>
        <v>0</v>
      </c>
      <c r="BA19" s="95">
        <f>VLOOKUP(AU19,CENY!$B$11:$M$2025,12,FALSE)</f>
        <v>1245.8336200000001</v>
      </c>
      <c r="BB19" s="95">
        <f t="shared" si="0"/>
        <v>0</v>
      </c>
      <c r="BD19" s="319"/>
      <c r="BE19" s="21"/>
      <c r="BF19" s="22"/>
      <c r="BG19" s="22"/>
      <c r="BH19" s="23"/>
      <c r="BI19" s="326" t="str">
        <f t="shared" si="2"/>
        <v/>
      </c>
      <c r="BJ19" s="95"/>
      <c r="BK19" s="95" t="str">
        <f t="shared" si="3"/>
        <v/>
      </c>
    </row>
    <row r="20" spans="2:63" ht="14.4" customHeight="1" thickBot="1">
      <c r="B20" s="521" t="s">
        <v>290</v>
      </c>
      <c r="C20" s="521"/>
      <c r="D20" s="521"/>
      <c r="E20" s="521"/>
      <c r="F20" s="521"/>
      <c r="G20" s="521"/>
      <c r="H20" s="522" t="str">
        <f>verze!E18</f>
        <v>plnovýsuv</v>
      </c>
      <c r="I20" s="522"/>
      <c r="J20" s="522"/>
      <c r="K20" s="522"/>
      <c r="L20" s="522"/>
      <c r="M20" s="523" t="s">
        <v>287</v>
      </c>
      <c r="N20" s="546"/>
      <c r="O20" s="518"/>
      <c r="P20" s="519"/>
      <c r="Q20" s="518"/>
      <c r="R20" s="519"/>
      <c r="S20" s="516"/>
      <c r="T20" s="517"/>
      <c r="U20" s="516"/>
      <c r="V20" s="517"/>
      <c r="W20" s="516"/>
      <c r="X20" s="517"/>
      <c r="Y20" s="516"/>
      <c r="Z20" s="517"/>
      <c r="AA20" s="516"/>
      <c r="AB20" s="517"/>
      <c r="AC20" s="565"/>
      <c r="AD20" s="566"/>
      <c r="AE20" s="518"/>
      <c r="AF20" s="519"/>
      <c r="AI20" s="287"/>
      <c r="AJ20" s="288"/>
      <c r="AK20" s="287"/>
      <c r="AL20" s="288"/>
      <c r="AM20" s="286" t="s">
        <v>294</v>
      </c>
      <c r="AN20" s="520"/>
      <c r="AO20" s="520"/>
      <c r="AU20" s="319"/>
      <c r="AV20" s="21"/>
      <c r="AW20" s="22"/>
      <c r="AX20" s="22"/>
      <c r="AY20" s="23"/>
      <c r="AZ20" s="326" t="str">
        <f t="shared" si="1"/>
        <v/>
      </c>
      <c r="BA20" s="95"/>
      <c r="BB20" s="95" t="str">
        <f t="shared" si="0"/>
        <v/>
      </c>
      <c r="BD20" s="319">
        <f>OBJ!B191</f>
        <v>9257257</v>
      </c>
      <c r="BE20" s="21" t="str">
        <f>VLOOKUP(BD20,CENY!$B$11:$G$1054,2,FALSE)</f>
        <v>AvanY-prích.čela Inlay k naskrutk./ v187</v>
      </c>
      <c r="BF20" s="22">
        <f>VLOOKUP(BD20,CENY!$B$11:$G$1054,3,FALSE)</f>
        <v>100</v>
      </c>
      <c r="BG20" s="22"/>
      <c r="BH20" s="23">
        <f>2*(SUM(S19)+SUM(S20:AD20)+SUM(W22:AF22)+SUM(S27)+SUM(S28:AD28)+SUM(S30:AD30))</f>
        <v>0</v>
      </c>
      <c r="BI20" s="326">
        <f t="shared" si="2"/>
        <v>0</v>
      </c>
      <c r="BJ20" s="95">
        <f>VLOOKUP(BD20,CENY!$B$11:$M$2025,12,FALSE)</f>
        <v>50.732700000000001</v>
      </c>
      <c r="BK20" s="95">
        <f t="shared" si="3"/>
        <v>0</v>
      </c>
    </row>
    <row r="21" spans="2:63" ht="14.4" customHeight="1" thickBot="1">
      <c r="O21" s="283"/>
      <c r="P21" s="284"/>
      <c r="Q21" s="283"/>
      <c r="R21" s="284"/>
      <c r="S21" s="283"/>
      <c r="T21" s="284"/>
      <c r="U21" s="283"/>
      <c r="V21" s="284"/>
      <c r="W21" s="283"/>
      <c r="X21" s="284"/>
      <c r="Y21" s="283"/>
      <c r="Z21" s="284"/>
      <c r="AA21" s="283"/>
      <c r="AB21" s="284"/>
      <c r="AC21" s="283"/>
      <c r="AD21" s="284"/>
      <c r="AE21" s="283"/>
      <c r="AF21" s="284"/>
      <c r="AI21" s="287"/>
      <c r="AJ21" s="288"/>
      <c r="AK21" s="287"/>
      <c r="AL21" s="288"/>
      <c r="AM21" s="286" t="s">
        <v>296</v>
      </c>
      <c r="AN21" s="542"/>
      <c r="AO21" s="542"/>
      <c r="AU21" s="319">
        <f>OBJ!B235</f>
        <v>9318160</v>
      </c>
      <c r="AV21" s="21" t="str">
        <f>VLOOKUP(AU21,CENY!$B$11:$G$1054,2,FALSE)</f>
        <v>Actro You(S) 350/SiSy 10kg; EB21</v>
      </c>
      <c r="AW21" s="22">
        <f>VLOOKUP(AU21,CENY!$B$11:$G$1054,3,FALSE)</f>
        <v>1</v>
      </c>
      <c r="AX21" s="362">
        <v>4</v>
      </c>
      <c r="AY21" s="23">
        <f>S19</f>
        <v>0</v>
      </c>
      <c r="AZ21" s="326">
        <f t="shared" si="1"/>
        <v>0</v>
      </c>
      <c r="BA21" s="95">
        <f>VLOOKUP(AU21,CENY!$B$11:$M$2025,12,FALSE)</f>
        <v>657.45060999999998</v>
      </c>
      <c r="BB21" s="95">
        <f t="shared" si="0"/>
        <v>0</v>
      </c>
      <c r="BD21" s="319">
        <f>OBJ!B48</f>
        <v>9257702</v>
      </c>
      <c r="BE21" s="21" t="str">
        <f>VLOOKUP(BD21,CENY!$B$11:$G$1054,2,FALSE)</f>
        <v>AvanY-stabilizátor chrbáta</v>
      </c>
      <c r="BF21" s="22">
        <f>VLOOKUP(BD21,CENY!$B$11:$G$1054,3,FALSE)</f>
        <v>200</v>
      </c>
      <c r="BG21" s="22"/>
      <c r="BH21" s="23">
        <f>2*(SUM(S19)+SUM(S20:AD20)+SUM(W22:AF22)+SUM(S27)+SUM(S28:AD28)+SUM(S30:AD30))</f>
        <v>0</v>
      </c>
      <c r="BI21" s="326">
        <f t="shared" si="2"/>
        <v>0</v>
      </c>
      <c r="BJ21" s="95">
        <f>VLOOKUP(BD21,CENY!$B$11:$M$2025,12,FALSE)</f>
        <v>15.54837</v>
      </c>
      <c r="BK21" s="95">
        <f t="shared" si="3"/>
        <v>0</v>
      </c>
    </row>
    <row r="22" spans="2:63" ht="14.4" customHeight="1" thickBot="1">
      <c r="B22" s="544" t="s">
        <v>291</v>
      </c>
      <c r="C22" s="544"/>
      <c r="D22" s="544"/>
      <c r="E22" s="544"/>
      <c r="F22" s="544"/>
      <c r="G22" s="544"/>
      <c r="H22" s="545" t="str">
        <f>verze!E18</f>
        <v>plnovýsuv</v>
      </c>
      <c r="I22" s="545"/>
      <c r="J22" s="545"/>
      <c r="K22" s="545"/>
      <c r="L22" s="545"/>
      <c r="M22" s="523" t="s">
        <v>288</v>
      </c>
      <c r="N22" s="524"/>
      <c r="O22" s="518"/>
      <c r="P22" s="519"/>
      <c r="Q22" s="518"/>
      <c r="R22" s="519"/>
      <c r="S22" s="518"/>
      <c r="T22" s="519"/>
      <c r="U22" s="518"/>
      <c r="V22" s="519"/>
      <c r="W22" s="516"/>
      <c r="X22" s="517"/>
      <c r="Y22" s="516"/>
      <c r="Z22" s="517"/>
      <c r="AA22" s="516"/>
      <c r="AB22" s="517"/>
      <c r="AC22" s="516"/>
      <c r="AD22" s="517"/>
      <c r="AE22" s="516"/>
      <c r="AF22" s="517"/>
      <c r="AI22" s="287"/>
      <c r="AJ22" s="288"/>
      <c r="AK22" s="287"/>
      <c r="AL22" s="288"/>
      <c r="AM22" s="286" t="s">
        <v>297</v>
      </c>
      <c r="AN22" s="539"/>
      <c r="AO22" s="539"/>
      <c r="AU22" s="319"/>
      <c r="AV22" s="21"/>
      <c r="AW22" s="22"/>
      <c r="AX22" s="22"/>
      <c r="AY22" s="23"/>
      <c r="AZ22" s="326" t="str">
        <f t="shared" si="1"/>
        <v/>
      </c>
      <c r="BA22" s="95"/>
      <c r="BB22" s="95" t="str">
        <f t="shared" si="0"/>
        <v/>
      </c>
      <c r="BD22" s="319"/>
      <c r="BE22" s="21"/>
      <c r="BF22" s="22"/>
      <c r="BG22" s="22"/>
      <c r="BH22" s="23"/>
      <c r="BI22" s="326" t="str">
        <f t="shared" si="2"/>
        <v/>
      </c>
      <c r="BJ22" s="95"/>
      <c r="BK22" s="95" t="str">
        <f t="shared" si="3"/>
        <v/>
      </c>
    </row>
    <row r="23" spans="2:63" ht="14.4" customHeight="1">
      <c r="O23" s="4"/>
      <c r="P23" s="4"/>
      <c r="AU23" s="319">
        <f>OBJ!B245</f>
        <v>9318188</v>
      </c>
      <c r="AV23" s="21" t="str">
        <f>VLOOKUP(AU23,CENY!$B$11:$G$1054,2,FALSE)</f>
        <v>Actro You(L) 350/SiSy 40kg; EB21</v>
      </c>
      <c r="AW23" s="22">
        <f>VLOOKUP(AU23,CENY!$B$11:$G$1054,3,FALSE)</f>
        <v>1</v>
      </c>
      <c r="AX23" s="362">
        <v>8</v>
      </c>
      <c r="AY23" s="23">
        <f>S20</f>
        <v>0</v>
      </c>
      <c r="AZ23" s="326">
        <f t="shared" si="1"/>
        <v>0</v>
      </c>
      <c r="BA23" s="95">
        <f>VLOOKUP(AU23,CENY!$B$11:$M$2025,12,FALSE)</f>
        <v>657.45060999999998</v>
      </c>
      <c r="BB23" s="95">
        <f t="shared" si="0"/>
        <v>0</v>
      </c>
      <c r="BD23" s="319">
        <f>OBJ!B216</f>
        <v>9283178</v>
      </c>
      <c r="BE23" s="21" t="str">
        <f>VLOOKUP(BD23,CENY!$B$11:$G$1054,2,FALSE)</f>
        <v>AvanY-Inlay sklenené boky 350mm; 2 x sklo</v>
      </c>
      <c r="BF23" s="22">
        <f>VLOOKUP(BD23,CENY!$B$11:$G$1054,3,FALSE)</f>
        <v>1</v>
      </c>
      <c r="BG23" s="22"/>
      <c r="BH23" s="23">
        <f>1*(S19+S20+S27+S28+S30)</f>
        <v>0</v>
      </c>
      <c r="BI23" s="326">
        <f t="shared" si="2"/>
        <v>0</v>
      </c>
      <c r="BJ23" s="95">
        <f>VLOOKUP(BD23,CENY!$B$11:$M$2025,12,FALSE)</f>
        <v>825.32597999999996</v>
      </c>
      <c r="BK23" s="95">
        <f t="shared" si="3"/>
        <v>0</v>
      </c>
    </row>
    <row r="24" spans="2:63" ht="14.4" customHeight="1">
      <c r="AU24" s="319">
        <f>OBJ!B246</f>
        <v>9318190</v>
      </c>
      <c r="AV24" s="21" t="str">
        <f>VLOOKUP(AU24,CENY!$B$11:$G$1054,2,FALSE)</f>
        <v>Actro You(L) 400/SiSy 40kg; EB21</v>
      </c>
      <c r="AW24" s="22">
        <f>VLOOKUP(AU24,CENY!$B$11:$G$1054,3,FALSE)</f>
        <v>1</v>
      </c>
      <c r="AX24" s="362">
        <v>8</v>
      </c>
      <c r="AY24" s="23">
        <f>U20</f>
        <v>0</v>
      </c>
      <c r="AZ24" s="326">
        <f t="shared" si="1"/>
        <v>0</v>
      </c>
      <c r="BA24" s="95">
        <f>VLOOKUP(AU24,CENY!$B$11:$M$2025,12,FALSE)</f>
        <v>664.73978</v>
      </c>
      <c r="BB24" s="95">
        <f t="shared" si="0"/>
        <v>0</v>
      </c>
      <c r="BD24" s="319">
        <f>OBJ!B217</f>
        <v>9283179</v>
      </c>
      <c r="BE24" s="21" t="str">
        <f>VLOOKUP(BD24,CENY!$B$11:$G$1054,2,FALSE)</f>
        <v>AvanY-Inlay sklenené boky 400mm; 2 x sklo</v>
      </c>
      <c r="BF24" s="22">
        <f>VLOOKUP(BD24,CENY!$B$11:$G$1054,3,FALSE)</f>
        <v>1</v>
      </c>
      <c r="BG24" s="22"/>
      <c r="BH24" s="23">
        <f>1*(U20+U28+U30)</f>
        <v>0</v>
      </c>
      <c r="BI24" s="326">
        <f t="shared" si="2"/>
        <v>0</v>
      </c>
      <c r="BJ24" s="95">
        <f>VLOOKUP(BD24,CENY!$B$11:$M$2025,12,FALSE)</f>
        <v>872.05524000000003</v>
      </c>
      <c r="BK24" s="95">
        <f t="shared" si="3"/>
        <v>0</v>
      </c>
    </row>
    <row r="25" spans="2:63" ht="14.4" customHeight="1" thickBot="1">
      <c r="B25" s="2" t="s">
        <v>285</v>
      </c>
      <c r="AI25" s="540" t="str">
        <f>verze!E199</f>
        <v>P2O Silent pro Quadro</v>
      </c>
      <c r="AJ25" s="541"/>
      <c r="AK25" s="541"/>
      <c r="AL25" s="541"/>
      <c r="AM25" s="541"/>
      <c r="AN25" s="541"/>
      <c r="AO25" s="541"/>
      <c r="AU25" s="319">
        <f>OBJ!B247</f>
        <v>9318191</v>
      </c>
      <c r="AV25" s="21" t="str">
        <f>VLOOKUP(AU25,CENY!$B$11:$G$1054,2,FALSE)</f>
        <v>Actro You(L) 450/SiSy 40kg; EB21</v>
      </c>
      <c r="AW25" s="22">
        <f>VLOOKUP(AU25,CENY!$B$11:$G$1054,3,FALSE)</f>
        <v>1</v>
      </c>
      <c r="AX25" s="362">
        <v>10</v>
      </c>
      <c r="AY25" s="23">
        <f>W20</f>
        <v>0</v>
      </c>
      <c r="AZ25" s="326">
        <f t="shared" si="1"/>
        <v>0</v>
      </c>
      <c r="BA25" s="95">
        <f>VLOOKUP(AU25,CENY!$B$11:$M$2025,12,FALSE)</f>
        <v>671.97520999999995</v>
      </c>
      <c r="BB25" s="95">
        <f t="shared" si="0"/>
        <v>0</v>
      </c>
      <c r="BD25" s="319">
        <f>OBJ!B218</f>
        <v>9283180</v>
      </c>
      <c r="BE25" s="21" t="str">
        <f>VLOOKUP(BD25,CENY!$B$11:$G$1054,2,FALSE)</f>
        <v>AvanY-Inlay sklenené boky 450mm; 2 x sklo</v>
      </c>
      <c r="BF25" s="22">
        <f>VLOOKUP(BD25,CENY!$B$11:$G$1054,3,FALSE)</f>
        <v>1</v>
      </c>
      <c r="BG25" s="22"/>
      <c r="BH25" s="23">
        <f>1*(W20+W22+W28+W30)</f>
        <v>0</v>
      </c>
      <c r="BI25" s="326">
        <f t="shared" si="2"/>
        <v>0</v>
      </c>
      <c r="BJ25" s="95">
        <f>VLOOKUP(BD25,CENY!$B$11:$M$2025,12,FALSE)</f>
        <v>918.78985999999998</v>
      </c>
      <c r="BK25" s="95">
        <f t="shared" si="3"/>
        <v>0</v>
      </c>
    </row>
    <row r="26" spans="2:63" ht="14.4" customHeight="1" thickBot="1">
      <c r="B26" s="96"/>
      <c r="C26" s="96"/>
      <c r="D26" s="96"/>
      <c r="E26" s="96"/>
      <c r="F26" s="96"/>
      <c r="G26" s="96"/>
      <c r="H26" s="72"/>
      <c r="I26" s="72"/>
      <c r="J26" s="72"/>
      <c r="K26" s="72"/>
      <c r="L26" s="72"/>
      <c r="M26" s="72"/>
      <c r="N26" s="72" t="str">
        <f>verze!$E$20&amp;" "</f>
        <v xml:space="preserve">Jmenovitá délka: </v>
      </c>
      <c r="O26" s="535">
        <v>270</v>
      </c>
      <c r="P26" s="536"/>
      <c r="Q26" s="535">
        <v>300</v>
      </c>
      <c r="R26" s="536"/>
      <c r="S26" s="535">
        <v>350</v>
      </c>
      <c r="T26" s="536"/>
      <c r="U26" s="535">
        <v>400</v>
      </c>
      <c r="V26" s="536"/>
      <c r="W26" s="535">
        <v>450</v>
      </c>
      <c r="X26" s="536"/>
      <c r="Y26" s="537">
        <v>500</v>
      </c>
      <c r="Z26" s="538"/>
      <c r="AA26" s="535">
        <v>550</v>
      </c>
      <c r="AB26" s="536"/>
      <c r="AC26" s="535">
        <v>600</v>
      </c>
      <c r="AD26" s="536"/>
      <c r="AI26" s="543" t="s">
        <v>299</v>
      </c>
      <c r="AJ26" s="543"/>
      <c r="AK26" s="543"/>
      <c r="AL26" s="543"/>
      <c r="AM26" s="543"/>
      <c r="AN26" s="543"/>
      <c r="AO26" s="543"/>
      <c r="AU26" s="319">
        <f>OBJ!B248</f>
        <v>9318192</v>
      </c>
      <c r="AV26" s="21" t="str">
        <f>VLOOKUP(AU26,CENY!$B$11:$G$1054,2,FALSE)</f>
        <v>Actro You(L) 500/SiSy 40kg; EB21</v>
      </c>
      <c r="AW26" s="22">
        <f>VLOOKUP(AU26,CENY!$B$11:$G$1054,3,FALSE)</f>
        <v>1</v>
      </c>
      <c r="AX26" s="362">
        <v>10</v>
      </c>
      <c r="AY26" s="23">
        <f>Y20</f>
        <v>0</v>
      </c>
      <c r="AZ26" s="326">
        <f t="shared" si="1"/>
        <v>0</v>
      </c>
      <c r="BA26" s="95">
        <f>VLOOKUP(AU26,CENY!$B$11:$M$2025,12,FALSE)</f>
        <v>164.23333</v>
      </c>
      <c r="BB26" s="95">
        <f t="shared" si="0"/>
        <v>0</v>
      </c>
      <c r="BD26" s="319">
        <f>OBJ!B219</f>
        <v>9283181</v>
      </c>
      <c r="BE26" s="21" t="str">
        <f>VLOOKUP(BD26,CENY!$B$11:$G$1054,2,FALSE)</f>
        <v>AvanY-Inlay sklenené boky 500mm; 2 x sklo</v>
      </c>
      <c r="BF26" s="22">
        <f>VLOOKUP(BD26,CENY!$B$11:$G$1054,3,FALSE)</f>
        <v>1</v>
      </c>
      <c r="BG26" s="22"/>
      <c r="BH26" s="23">
        <f>1*(Y20+Y22+Y28+Y30)</f>
        <v>0</v>
      </c>
      <c r="BI26" s="326">
        <f t="shared" si="2"/>
        <v>0</v>
      </c>
      <c r="BJ26" s="95">
        <f>VLOOKUP(BD26,CENY!$B$11:$M$2025,12,FALSE)</f>
        <v>965.52719000000002</v>
      </c>
      <c r="BK26" s="95">
        <f t="shared" si="3"/>
        <v>0</v>
      </c>
    </row>
    <row r="27" spans="2:63" ht="14.4" customHeight="1" thickBot="1">
      <c r="B27" s="530" t="s">
        <v>292</v>
      </c>
      <c r="C27" s="530"/>
      <c r="D27" s="530"/>
      <c r="E27" s="530"/>
      <c r="F27" s="530"/>
      <c r="G27" s="530"/>
      <c r="H27" s="531" t="str">
        <f>verze!E18</f>
        <v>plnovýsuv</v>
      </c>
      <c r="I27" s="531"/>
      <c r="J27" s="531"/>
      <c r="K27" s="531"/>
      <c r="L27" s="531"/>
      <c r="M27" s="532" t="s">
        <v>286</v>
      </c>
      <c r="N27" s="533"/>
      <c r="O27" s="573"/>
      <c r="P27" s="574"/>
      <c r="Q27" s="573"/>
      <c r="R27" s="574"/>
      <c r="S27" s="567"/>
      <c r="T27" s="568"/>
      <c r="U27" s="283"/>
      <c r="V27" s="284"/>
      <c r="W27" s="283"/>
      <c r="X27" s="284"/>
      <c r="Y27" s="283"/>
      <c r="Z27" s="284"/>
      <c r="AA27" s="283"/>
      <c r="AB27" s="284"/>
      <c r="AC27" s="283"/>
      <c r="AD27" s="284"/>
      <c r="AI27" s="289"/>
      <c r="AJ27" s="290"/>
      <c r="AK27" s="289"/>
      <c r="AL27" s="290"/>
      <c r="AM27" s="291" t="s">
        <v>295</v>
      </c>
      <c r="AN27" s="534"/>
      <c r="AO27" s="534"/>
      <c r="AU27" s="319">
        <f>OBJ!B249</f>
        <v>9318194</v>
      </c>
      <c r="AV27" s="21" t="str">
        <f>VLOOKUP(AU27,CENY!$B$11:$G$1054,2,FALSE)</f>
        <v>Actro You(L) 550/SiSy 40kg; EB21</v>
      </c>
      <c r="AW27" s="22">
        <f>VLOOKUP(AU27,CENY!$B$11:$G$1054,3,FALSE)</f>
        <v>1</v>
      </c>
      <c r="AX27" s="362">
        <v>10</v>
      </c>
      <c r="AY27" s="23">
        <f>AA20</f>
        <v>0</v>
      </c>
      <c r="AZ27" s="326">
        <f t="shared" si="1"/>
        <v>0</v>
      </c>
      <c r="BA27" s="95">
        <f>VLOOKUP(AU27,CENY!$B$11:$M$2025,12,FALSE)</f>
        <v>173.62268</v>
      </c>
      <c r="BB27" s="95">
        <f t="shared" si="0"/>
        <v>0</v>
      </c>
      <c r="BD27" s="319">
        <f>OBJ!B220</f>
        <v>9283182</v>
      </c>
      <c r="BE27" s="21" t="str">
        <f>VLOOKUP(BD27,CENY!$B$11:$G$1054,2,FALSE)</f>
        <v>AvanY-Inlay sklenené boky 550mm; 2 x sklo</v>
      </c>
      <c r="BF27" s="22">
        <f>VLOOKUP(BD27,CENY!$B$11:$G$1054,3,FALSE)</f>
        <v>1</v>
      </c>
      <c r="BG27" s="22"/>
      <c r="BH27" s="23">
        <f>1*(AA20+AA22+AA28+AA30)</f>
        <v>0</v>
      </c>
      <c r="BI27" s="326">
        <f t="shared" si="2"/>
        <v>0</v>
      </c>
      <c r="BJ27" s="95">
        <f>VLOOKUP(BD27,CENY!$B$11:$M$2025,12,FALSE)</f>
        <v>1058.9617900000001</v>
      </c>
      <c r="BK27" s="95">
        <f t="shared" si="3"/>
        <v>0</v>
      </c>
    </row>
    <row r="28" spans="2:63" ht="14.4" customHeight="1" thickBot="1">
      <c r="B28" s="521" t="s">
        <v>372</v>
      </c>
      <c r="C28" s="521"/>
      <c r="D28" s="521"/>
      <c r="E28" s="521"/>
      <c r="F28" s="521"/>
      <c r="G28" s="521"/>
      <c r="H28" s="522" t="str">
        <f>verze!E18</f>
        <v>plnovýsuv</v>
      </c>
      <c r="I28" s="522"/>
      <c r="J28" s="522"/>
      <c r="K28" s="522"/>
      <c r="L28" s="522"/>
      <c r="M28" s="523" t="s">
        <v>1</v>
      </c>
      <c r="N28" s="524"/>
      <c r="O28" s="571"/>
      <c r="P28" s="572"/>
      <c r="Q28" s="571"/>
      <c r="R28" s="572"/>
      <c r="S28" s="516"/>
      <c r="T28" s="517"/>
      <c r="U28" s="516"/>
      <c r="V28" s="517"/>
      <c r="W28" s="516"/>
      <c r="X28" s="517"/>
      <c r="Y28" s="516"/>
      <c r="Z28" s="517"/>
      <c r="AA28" s="516"/>
      <c r="AB28" s="517"/>
      <c r="AC28" s="516"/>
      <c r="AD28" s="517"/>
      <c r="AI28" s="287"/>
      <c r="AJ28" s="288"/>
      <c r="AK28" s="287"/>
      <c r="AL28" s="288"/>
      <c r="AM28" s="286" t="s">
        <v>294</v>
      </c>
      <c r="AN28" s="520"/>
      <c r="AO28" s="520"/>
      <c r="AU28" s="319">
        <f>OBJ!B250</f>
        <v>9318196</v>
      </c>
      <c r="AV28" s="21" t="str">
        <f>VLOOKUP(AU28,CENY!$B$11:$G$1054,2,FALSE)</f>
        <v>Actro You(L) 600/SiSy 40kg; EB21</v>
      </c>
      <c r="AW28" s="22">
        <f>VLOOKUP(AU28,CENY!$B$11:$G$1054,3,FALSE)</f>
        <v>1</v>
      </c>
      <c r="AX28" s="362">
        <v>10</v>
      </c>
      <c r="AY28" s="23">
        <f>AC20</f>
        <v>0</v>
      </c>
      <c r="AZ28" s="326">
        <f t="shared" si="1"/>
        <v>0</v>
      </c>
      <c r="BA28" s="95">
        <f>VLOOKUP(AU28,CENY!$B$11:$M$2025,12,FALSE)</f>
        <v>726.70140000000004</v>
      </c>
      <c r="BB28" s="95">
        <f t="shared" si="0"/>
        <v>0</v>
      </c>
      <c r="BD28" s="319">
        <f>OBJ!B221</f>
        <v>9283183</v>
      </c>
      <c r="BE28" s="21" t="str">
        <f>VLOOKUP(BD28,CENY!$B$11:$G$1054,2,FALSE)</f>
        <v>AvanY-Inlay sklenené boky 600mm; 2 x sklo</v>
      </c>
      <c r="BF28" s="22">
        <f>VLOOKUP(BD28,CENY!$B$11:$G$1054,3,FALSE)</f>
        <v>1</v>
      </c>
      <c r="BG28" s="22"/>
      <c r="BH28" s="23">
        <f>1*(AC20+AC22+AC28+AC30)</f>
        <v>0</v>
      </c>
      <c r="BI28" s="326">
        <f t="shared" si="2"/>
        <v>0</v>
      </c>
      <c r="BJ28" s="95">
        <f>VLOOKUP(BD28,CENY!$B$11:$M$2025,12,FALSE)</f>
        <v>1152.39642</v>
      </c>
      <c r="BK28" s="95">
        <f t="shared" si="3"/>
        <v>0</v>
      </c>
    </row>
    <row r="29" spans="2:63" ht="14.4" customHeight="1" thickBot="1">
      <c r="O29" s="283"/>
      <c r="P29" s="284"/>
      <c r="Q29" s="283"/>
      <c r="R29" s="284"/>
      <c r="S29" s="283"/>
      <c r="T29" s="284"/>
      <c r="U29" s="283"/>
      <c r="V29" s="284"/>
      <c r="W29" s="283"/>
      <c r="X29" s="284"/>
      <c r="Y29" s="283"/>
      <c r="Z29" s="284"/>
      <c r="AA29" s="283"/>
      <c r="AB29" s="284"/>
      <c r="AC29" s="283"/>
      <c r="AD29" s="284"/>
      <c r="AI29" s="287"/>
      <c r="AJ29" s="288"/>
      <c r="AK29" s="287"/>
      <c r="AL29" s="288"/>
      <c r="AM29" s="286" t="s">
        <v>298</v>
      </c>
      <c r="AN29" s="527"/>
      <c r="AO29" s="527"/>
      <c r="AU29" s="319"/>
      <c r="AV29" s="21"/>
      <c r="AW29" s="22"/>
      <c r="AX29" s="22"/>
      <c r="AY29" s="23"/>
      <c r="AZ29" s="326" t="str">
        <f t="shared" si="1"/>
        <v/>
      </c>
      <c r="BA29" s="95"/>
      <c r="BB29" s="95" t="str">
        <f t="shared" si="0"/>
        <v/>
      </c>
      <c r="BD29" s="319">
        <f>OBJ!B222</f>
        <v>9283184</v>
      </c>
      <c r="BE29" s="21" t="str">
        <f>VLOOKUP(BD29,CENY!$B$11:$G$1054,2,FALSE)</f>
        <v>AvanY-Inlay sklenené boky 650mm; 2 x sklo</v>
      </c>
      <c r="BF29" s="22">
        <f>VLOOKUP(BD29,CENY!$B$11:$G$1054,3,FALSE)</f>
        <v>1</v>
      </c>
      <c r="BG29" s="22"/>
      <c r="BH29" s="23">
        <f>1*(AE22)</f>
        <v>0</v>
      </c>
      <c r="BI29" s="326">
        <f t="shared" si="2"/>
        <v>0</v>
      </c>
      <c r="BJ29" s="95">
        <f>VLOOKUP(BD29,CENY!$B$11:$M$2025,12,FALSE)</f>
        <v>1245.8336200000001</v>
      </c>
      <c r="BK29" s="95">
        <f t="shared" si="3"/>
        <v>0</v>
      </c>
    </row>
    <row r="30" spans="2:63" ht="14.4" customHeight="1" thickBot="1">
      <c r="B30" s="528" t="s">
        <v>373</v>
      </c>
      <c r="C30" s="528"/>
      <c r="D30" s="528"/>
      <c r="E30" s="528"/>
      <c r="F30" s="528"/>
      <c r="G30" s="528"/>
      <c r="H30" s="529" t="str">
        <f>verze!E18</f>
        <v>plnovýsuv</v>
      </c>
      <c r="I30" s="529"/>
      <c r="J30" s="529"/>
      <c r="K30" s="529"/>
      <c r="L30" s="529"/>
      <c r="M30" s="523" t="s">
        <v>1</v>
      </c>
      <c r="N30" s="524"/>
      <c r="O30" s="283"/>
      <c r="P30" s="284"/>
      <c r="Q30" s="283"/>
      <c r="R30" s="284"/>
      <c r="S30" s="516"/>
      <c r="T30" s="517"/>
      <c r="U30" s="516"/>
      <c r="V30" s="517"/>
      <c r="W30" s="516"/>
      <c r="X30" s="517"/>
      <c r="Y30" s="516"/>
      <c r="Z30" s="517"/>
      <c r="AA30" s="516"/>
      <c r="AB30" s="517"/>
      <c r="AC30" s="565"/>
      <c r="AD30" s="566"/>
      <c r="AU30" s="319">
        <f>OBJ!B268</f>
        <v>9318215</v>
      </c>
      <c r="AV30" s="21" t="str">
        <f>VLOOKUP(AU30,CENY!$B$11:$G$1054,2,FALSE)</f>
        <v>Actro You(XL) 450/SiSy 70kg; EB21</v>
      </c>
      <c r="AW30" s="22">
        <f>VLOOKUP(AU30,CENY!$B$11:$G$1054,3,FALSE)</f>
        <v>1</v>
      </c>
      <c r="AX30" s="362">
        <v>10</v>
      </c>
      <c r="AY30" s="23">
        <f>W22</f>
        <v>0</v>
      </c>
      <c r="AZ30" s="326">
        <f t="shared" si="1"/>
        <v>0</v>
      </c>
      <c r="BA30" s="95">
        <f>VLOOKUP(AU30,CENY!$B$11:$M$2025,12,FALSE)</f>
        <v>197.37184999999999</v>
      </c>
      <c r="BB30" s="95">
        <f t="shared" si="0"/>
        <v>0</v>
      </c>
      <c r="BD30" s="319"/>
      <c r="BE30" s="21"/>
      <c r="BF30" s="22"/>
      <c r="BG30" s="22"/>
      <c r="BH30" s="23"/>
      <c r="BI30" s="326" t="str">
        <f t="shared" si="2"/>
        <v/>
      </c>
      <c r="BJ30" s="95"/>
      <c r="BK30" s="95" t="str">
        <f t="shared" si="3"/>
        <v/>
      </c>
    </row>
    <row r="31" spans="2:63" ht="14.4" customHeight="1">
      <c r="AU31" s="319">
        <f>OBJ!B269</f>
        <v>9318216</v>
      </c>
      <c r="AV31" s="21" t="str">
        <f>VLOOKUP(AU31,CENY!$B$11:$G$1054,2,FALSE)</f>
        <v>Actro You(XL) 500/SiSy 70kg; EB21</v>
      </c>
      <c r="AW31" s="22">
        <f>VLOOKUP(AU31,CENY!$B$11:$G$1054,3,FALSE)</f>
        <v>1</v>
      </c>
      <c r="AX31" s="362">
        <v>10</v>
      </c>
      <c r="AY31" s="23">
        <f>Y22</f>
        <v>0</v>
      </c>
      <c r="AZ31" s="326">
        <f t="shared" si="1"/>
        <v>0</v>
      </c>
      <c r="BA31" s="95">
        <f>VLOOKUP(AU31,CENY!$B$11:$M$2025,12,FALSE)</f>
        <v>823.68502000000001</v>
      </c>
      <c r="BB31" s="95">
        <f t="shared" si="0"/>
        <v>0</v>
      </c>
      <c r="BD31" s="319">
        <f>OBJ!B240</f>
        <v>9318149</v>
      </c>
      <c r="BE31" s="21" t="str">
        <f>VLOOKUP(BD31,CENY!$B$11:$G$1054,2,FALSE)</f>
        <v>Actro You(S) 350/SiSy 10kg; EB21; ľavý</v>
      </c>
      <c r="BF31" s="22">
        <f>VLOOKUP(BD31,CENY!$B$11:$G$1054,3,FALSE)</f>
        <v>10</v>
      </c>
      <c r="BG31" s="22"/>
      <c r="BH31" s="23">
        <f>AY21</f>
        <v>0</v>
      </c>
      <c r="BI31" s="326">
        <f t="shared" si="2"/>
        <v>0</v>
      </c>
      <c r="BJ31" s="95">
        <f>VLOOKUP(BD31,CENY!$B$11:$M$2025,12,FALSE)</f>
        <v>298.88173999999998</v>
      </c>
      <c r="BK31" s="95">
        <f t="shared" si="3"/>
        <v>0</v>
      </c>
    </row>
    <row r="32" spans="2:63" ht="14.4" customHeight="1">
      <c r="B32" s="366" t="str">
        <f>verze!E201</f>
        <v>SiSy = tlumení Silent System</v>
      </c>
      <c r="AU32" s="319">
        <f>OBJ!B270</f>
        <v>9318217</v>
      </c>
      <c r="AV32" s="21" t="str">
        <f>VLOOKUP(AU32,CENY!$B$11:$G$1054,2,FALSE)</f>
        <v>Actro You(XL) 550/SiSy 70kg; EB21</v>
      </c>
      <c r="AW32" s="22">
        <f>VLOOKUP(AU32,CENY!$B$11:$G$1054,3,FALSE)</f>
        <v>1</v>
      </c>
      <c r="AX32" s="362">
        <v>10</v>
      </c>
      <c r="AY32" s="23">
        <f>AA22</f>
        <v>0</v>
      </c>
      <c r="AZ32" s="326">
        <f t="shared" si="1"/>
        <v>0</v>
      </c>
      <c r="BA32" s="95">
        <f>VLOOKUP(AU32,CENY!$B$11:$M$2025,12,FALSE)</f>
        <v>862.82307000000003</v>
      </c>
      <c r="BB32" s="95">
        <f t="shared" si="0"/>
        <v>0</v>
      </c>
      <c r="BD32" s="319">
        <f>OBJ!B241</f>
        <v>9318150</v>
      </c>
      <c r="BE32" s="21" t="str">
        <f>VLOOKUP(BD32,CENY!$B$11:$G$1054,2,FALSE)</f>
        <v>Actro You(S) 350/SiSy 10kg; EB21; pravý</v>
      </c>
      <c r="BF32" s="22">
        <f>VLOOKUP(BD32,CENY!$B$11:$G$1054,3,FALSE)</f>
        <v>10</v>
      </c>
      <c r="BG32" s="22"/>
      <c r="BH32" s="23">
        <f>AY21</f>
        <v>0</v>
      </c>
      <c r="BI32" s="326">
        <f t="shared" si="2"/>
        <v>0</v>
      </c>
      <c r="BJ32" s="95">
        <f>VLOOKUP(BD32,CENY!$B$11:$M$2025,12,FALSE)</f>
        <v>298.88173999999998</v>
      </c>
      <c r="BK32" s="95">
        <f t="shared" si="3"/>
        <v>0</v>
      </c>
    </row>
    <row r="33" spans="2:63" ht="14.4" customHeight="1">
      <c r="B33" s="366" t="str">
        <f>verze!E204</f>
        <v>P2O = otvírání bez úchytky Push to open</v>
      </c>
      <c r="AU33" s="319">
        <f>OBJ!B271</f>
        <v>9318218</v>
      </c>
      <c r="AV33" s="21" t="str">
        <f>VLOOKUP(AU33,CENY!$B$11:$G$1054,2,FALSE)</f>
        <v>Actro You(XL) 600/SiSy 70kg; EB21</v>
      </c>
      <c r="AW33" s="22">
        <f>VLOOKUP(AU33,CENY!$B$11:$G$1054,3,FALSE)</f>
        <v>1</v>
      </c>
      <c r="AX33" s="362">
        <v>10</v>
      </c>
      <c r="AY33" s="23">
        <f>AC22</f>
        <v>0</v>
      </c>
      <c r="AZ33" s="326">
        <f t="shared" si="1"/>
        <v>0</v>
      </c>
      <c r="BA33" s="95">
        <f>VLOOKUP(AU33,CENY!$B$11:$M$2025,12,FALSE)</f>
        <v>941.88580999999999</v>
      </c>
      <c r="BB33" s="95">
        <f t="shared" si="0"/>
        <v>0</v>
      </c>
      <c r="BD33" s="319"/>
      <c r="BE33" s="21"/>
      <c r="BF33" s="22"/>
      <c r="BG33" s="22"/>
      <c r="BH33" s="23"/>
      <c r="BI33" s="326" t="str">
        <f t="shared" si="2"/>
        <v/>
      </c>
      <c r="BJ33" s="95"/>
      <c r="BK33" s="95" t="str">
        <f t="shared" si="3"/>
        <v/>
      </c>
    </row>
    <row r="34" spans="2:63" ht="14.4" customHeight="1">
      <c r="B34" s="366" t="str">
        <f>verze!E203</f>
        <v>P2O Silent = tlumení s otvíráním bez úchytky Push to open Silent</v>
      </c>
      <c r="AU34" s="319">
        <f>OBJ!B272</f>
        <v>9318219</v>
      </c>
      <c r="AV34" s="21" t="str">
        <f>VLOOKUP(AU34,CENY!$B$11:$G$1054,2,FALSE)</f>
        <v>Actro You(XL) 650/SiSy 70kg; EB21</v>
      </c>
      <c r="AW34" s="22">
        <f>VLOOKUP(AU34,CENY!$B$11:$G$1054,3,FALSE)</f>
        <v>1</v>
      </c>
      <c r="AX34" s="362">
        <v>10</v>
      </c>
      <c r="AY34" s="23">
        <f>AE22</f>
        <v>0</v>
      </c>
      <c r="AZ34" s="326">
        <f t="shared" si="1"/>
        <v>0</v>
      </c>
      <c r="BA34" s="95">
        <f>VLOOKUP(AU34,CENY!$B$11:$M$2025,12,FALSE)</f>
        <v>977.56314999999995</v>
      </c>
      <c r="BB34" s="95">
        <f t="shared" si="0"/>
        <v>0</v>
      </c>
      <c r="BD34" s="319">
        <f>OBJ!B255</f>
        <v>9318173</v>
      </c>
      <c r="BE34" s="21" t="str">
        <f>VLOOKUP(BD34,CENY!$B$11:$G$1054,2,FALSE)</f>
        <v>Actro You(L) 350/SiSy 40kg; EB21; ľavý</v>
      </c>
      <c r="BF34" s="22">
        <f>VLOOKUP(BD34,CENY!$B$11:$G$1054,3,FALSE)</f>
        <v>10</v>
      </c>
      <c r="BG34" s="22"/>
      <c r="BH34" s="23">
        <f>AY23</f>
        <v>0</v>
      </c>
      <c r="BI34" s="326">
        <f t="shared" si="2"/>
        <v>0</v>
      </c>
      <c r="BJ34" s="95">
        <f>VLOOKUP(BD34,CENY!$B$11:$M$2025,12,FALSE)</f>
        <v>298.88173999999998</v>
      </c>
      <c r="BK34" s="95">
        <f t="shared" si="3"/>
        <v>0</v>
      </c>
    </row>
    <row r="35" spans="2:63" ht="14.4" customHeight="1">
      <c r="AU35" s="319"/>
      <c r="AV35" s="21"/>
      <c r="AW35" s="22"/>
      <c r="AX35" s="22"/>
      <c r="AY35" s="23"/>
      <c r="AZ35" s="326" t="str">
        <f t="shared" si="1"/>
        <v/>
      </c>
      <c r="BA35" s="95"/>
      <c r="BB35" s="95" t="str">
        <f t="shared" si="0"/>
        <v/>
      </c>
      <c r="BD35" s="319">
        <f>OBJ!B256</f>
        <v>9318174</v>
      </c>
      <c r="BE35" s="21" t="str">
        <f>VLOOKUP(BD35,CENY!$B$11:$G$1054,2,FALSE)</f>
        <v>Actro You(L) 350/SiSy 40kg; EB21; pravý</v>
      </c>
      <c r="BF35" s="22">
        <f>VLOOKUP(BD35,CENY!$B$11:$G$1054,3,FALSE)</f>
        <v>10</v>
      </c>
      <c r="BG35" s="22"/>
      <c r="BH35" s="23">
        <f>AY23</f>
        <v>0</v>
      </c>
      <c r="BI35" s="326">
        <f t="shared" si="2"/>
        <v>0</v>
      </c>
      <c r="BJ35" s="95">
        <f>VLOOKUP(BD35,CENY!$B$11:$M$2025,12,FALSE)</f>
        <v>298.88173999999998</v>
      </c>
      <c r="BK35" s="95">
        <f t="shared" si="3"/>
        <v>0</v>
      </c>
    </row>
    <row r="36" spans="2:63" ht="14.4" customHeight="1">
      <c r="AU36" s="319">
        <f>OBJ!B284</f>
        <v>9257890</v>
      </c>
      <c r="AV36" s="21" t="str">
        <f>VLOOKUP(AU36,CENY!$B$11:$G$1054,2,FALSE)</f>
        <v>Actro You - Push to open Silent; &lt;10kg</v>
      </c>
      <c r="AW36" s="22">
        <f>VLOOKUP(AU36,CENY!$B$11:$G$1054,3,FALSE)</f>
        <v>1</v>
      </c>
      <c r="AX36" s="22"/>
      <c r="AY36" s="23">
        <f>AN19</f>
        <v>0</v>
      </c>
      <c r="AZ36" s="326">
        <f t="shared" si="1"/>
        <v>0</v>
      </c>
      <c r="BA36" s="95">
        <f>VLOOKUP(AU36,CENY!$B$11:$M$2025,12,FALSE)</f>
        <v>481.81412999999998</v>
      </c>
      <c r="BB36" s="95">
        <f t="shared" si="0"/>
        <v>0</v>
      </c>
      <c r="BD36" s="319">
        <f>OBJ!B257</f>
        <v>9318175</v>
      </c>
      <c r="BE36" s="21" t="str">
        <f>VLOOKUP(BD36,CENY!$B$11:$G$1054,2,FALSE)</f>
        <v>Actro You(L) 400/SiSy 40kg; EB21; ľavý</v>
      </c>
      <c r="BF36" s="22">
        <f>VLOOKUP(BD36,CENY!$B$11:$G$1054,3,FALSE)</f>
        <v>10</v>
      </c>
      <c r="BG36" s="22"/>
      <c r="BH36" s="23">
        <f>AY24</f>
        <v>0</v>
      </c>
      <c r="BI36" s="326">
        <f t="shared" si="2"/>
        <v>0</v>
      </c>
      <c r="BJ36" s="95">
        <f>VLOOKUP(BD36,CENY!$B$11:$M$2025,12,FALSE)</f>
        <v>302.69770999999997</v>
      </c>
      <c r="BK36" s="95">
        <f t="shared" si="3"/>
        <v>0</v>
      </c>
    </row>
    <row r="37" spans="2:63" ht="14.4" customHeight="1">
      <c r="AU37" s="319">
        <f>OBJ!B285</f>
        <v>9257891</v>
      </c>
      <c r="AV37" s="21" t="str">
        <f>VLOOKUP(AU37,CENY!$B$11:$G$1054,2,FALSE)</f>
        <v>Actro You - Push to open Silent; 8-20kg</v>
      </c>
      <c r="AW37" s="22">
        <f>VLOOKUP(AU37,CENY!$B$11:$G$1054,3,FALSE)</f>
        <v>1</v>
      </c>
      <c r="AX37" s="22"/>
      <c r="AY37" s="23">
        <f>AN20</f>
        <v>0</v>
      </c>
      <c r="AZ37" s="326">
        <f t="shared" si="1"/>
        <v>0</v>
      </c>
      <c r="BA37" s="95">
        <f>VLOOKUP(AU37,CENY!$B$11:$M$2025,12,FALSE)</f>
        <v>481.81412999999998</v>
      </c>
      <c r="BB37" s="95">
        <f t="shared" si="0"/>
        <v>0</v>
      </c>
      <c r="BD37" s="319">
        <f>OBJ!B258</f>
        <v>9318176</v>
      </c>
      <c r="BE37" s="21" t="str">
        <f>VLOOKUP(BD37,CENY!$B$11:$G$1054,2,FALSE)</f>
        <v>Actro You(L) 400/SiSy 40kg; EB21; pravý</v>
      </c>
      <c r="BF37" s="22">
        <f>VLOOKUP(BD37,CENY!$B$11:$G$1054,3,FALSE)</f>
        <v>10</v>
      </c>
      <c r="BG37" s="22"/>
      <c r="BH37" s="23">
        <f>AY24</f>
        <v>0</v>
      </c>
      <c r="BI37" s="326">
        <f t="shared" si="2"/>
        <v>0</v>
      </c>
      <c r="BJ37" s="95">
        <f>VLOOKUP(BD37,CENY!$B$11:$M$2025,12,FALSE)</f>
        <v>302.69770999999997</v>
      </c>
      <c r="BK37" s="95">
        <f t="shared" si="3"/>
        <v>0</v>
      </c>
    </row>
    <row r="38" spans="2:63" ht="14.4" customHeight="1">
      <c r="AU38" s="319">
        <f>OBJ!B286</f>
        <v>9257892</v>
      </c>
      <c r="AV38" s="21" t="str">
        <f>VLOOKUP(AU38,CENY!$B$11:$G$1054,2,FALSE)</f>
        <v>Actro You - Push to open Silent; 10-40kg</v>
      </c>
      <c r="AW38" s="22">
        <f>VLOOKUP(AU38,CENY!$B$11:$G$1054,3,FALSE)</f>
        <v>1</v>
      </c>
      <c r="AX38" s="22"/>
      <c r="AY38" s="23">
        <f>AN21</f>
        <v>0</v>
      </c>
      <c r="AZ38" s="326">
        <f t="shared" si="1"/>
        <v>0</v>
      </c>
      <c r="BA38" s="95">
        <f>VLOOKUP(AU38,CENY!$B$11:$M$2025,12,FALSE)</f>
        <v>481.81412999999998</v>
      </c>
      <c r="BB38" s="95">
        <f t="shared" si="0"/>
        <v>0</v>
      </c>
      <c r="BD38" s="319">
        <f>OBJ!B259</f>
        <v>9318177</v>
      </c>
      <c r="BE38" s="21" t="str">
        <f>VLOOKUP(BD38,CENY!$B$11:$G$1054,2,FALSE)</f>
        <v>Actro You(L) 450/SiSy 40kg; EB21; ľavý</v>
      </c>
      <c r="BF38" s="22">
        <f>VLOOKUP(BD38,CENY!$B$11:$G$1054,3,FALSE)</f>
        <v>10</v>
      </c>
      <c r="BG38" s="22"/>
      <c r="BH38" s="23">
        <f>AY25</f>
        <v>0</v>
      </c>
      <c r="BI38" s="326">
        <f t="shared" si="2"/>
        <v>0</v>
      </c>
      <c r="BJ38" s="95">
        <f>VLOOKUP(BD38,CENY!$B$11:$M$2025,12,FALSE)</f>
        <v>298.33073999999999</v>
      </c>
      <c r="BK38" s="95">
        <f t="shared" si="3"/>
        <v>0</v>
      </c>
    </row>
    <row r="39" spans="2:63" ht="14.4" customHeight="1">
      <c r="AU39" s="319">
        <f>OBJ!B287</f>
        <v>9257893</v>
      </c>
      <c r="AV39" s="21" t="str">
        <f>VLOOKUP(AU39,CENY!$B$11:$G$1054,2,FALSE)</f>
        <v>Actro You - Push to open Silent; 20-70kg</v>
      </c>
      <c r="AW39" s="22">
        <f>VLOOKUP(AU39,CENY!$B$11:$G$1054,3,FALSE)</f>
        <v>1</v>
      </c>
      <c r="AX39" s="22"/>
      <c r="AY39" s="23">
        <f>AN22</f>
        <v>0</v>
      </c>
      <c r="AZ39" s="326">
        <f t="shared" si="1"/>
        <v>0</v>
      </c>
      <c r="BA39" s="95">
        <f>VLOOKUP(AU39,CENY!$B$11:$M$2025,12,FALSE)</f>
        <v>481.81412999999998</v>
      </c>
      <c r="BB39" s="95">
        <f t="shared" si="0"/>
        <v>0</v>
      </c>
      <c r="BD39" s="319">
        <f>OBJ!B260</f>
        <v>9318178</v>
      </c>
      <c r="BE39" s="21" t="str">
        <f>VLOOKUP(BD39,CENY!$B$11:$G$1054,2,FALSE)</f>
        <v>Actro You(L) 450/SiSy 40kg; EB21; pravý</v>
      </c>
      <c r="BF39" s="22">
        <f>VLOOKUP(BD39,CENY!$B$11:$G$1054,3,FALSE)</f>
        <v>10</v>
      </c>
      <c r="BG39" s="22"/>
      <c r="BH39" s="23">
        <f>AY25</f>
        <v>0</v>
      </c>
      <c r="BI39" s="326">
        <f t="shared" si="2"/>
        <v>0</v>
      </c>
      <c r="BJ39" s="95">
        <f>VLOOKUP(BD39,CENY!$B$11:$M$2025,12,FALSE)</f>
        <v>298.33073999999999</v>
      </c>
      <c r="BK39" s="95">
        <f t="shared" si="3"/>
        <v>0</v>
      </c>
    </row>
    <row r="40" spans="2:63" ht="14.4" customHeight="1">
      <c r="AU40" s="319">
        <f>OBJ!B288</f>
        <v>9236718</v>
      </c>
      <c r="AV40" s="21" t="str">
        <f>VLOOKUP(AU40,CENY!$B$11:$G$1054,2,FALSE)</f>
        <v>Push to open Synchro / tyč 2.000 mm</v>
      </c>
      <c r="AW40" s="22">
        <f>VLOOKUP(AU40,CENY!$B$11:$G$1054,3,FALSE)</f>
        <v>100</v>
      </c>
      <c r="AX40" s="22"/>
      <c r="AY40" s="23">
        <f>SUM(AN19:AO22)+SUM(AN27:AO29)+SUM(S30:AD30)</f>
        <v>0</v>
      </c>
      <c r="AZ40" s="326">
        <f t="shared" si="1"/>
        <v>0</v>
      </c>
      <c r="BA40" s="95">
        <f>VLOOKUP(AU40,CENY!$B$11:$M$2025,12,FALSE)</f>
        <v>182.03933000000001</v>
      </c>
      <c r="BB40" s="95">
        <f t="shared" si="0"/>
        <v>0</v>
      </c>
      <c r="BD40" s="319">
        <f>OBJ!B261</f>
        <v>9318179</v>
      </c>
      <c r="BE40" s="21" t="str">
        <f>VLOOKUP(BD40,CENY!$B$11:$G$1054,2,FALSE)</f>
        <v>Actro You(L) 500/SiSy 40kg; EB21; ľavý</v>
      </c>
      <c r="BF40" s="22">
        <f>VLOOKUP(BD40,CENY!$B$11:$G$1054,3,FALSE)</f>
        <v>10</v>
      </c>
      <c r="BG40" s="22"/>
      <c r="BH40" s="23">
        <f>AY26</f>
        <v>0</v>
      </c>
      <c r="BI40" s="326">
        <f t="shared" si="2"/>
        <v>0</v>
      </c>
      <c r="BJ40" s="95">
        <f>VLOOKUP(BD40,CENY!$B$11:$M$2025,12,FALSE)</f>
        <v>296.00905</v>
      </c>
      <c r="BK40" s="95">
        <f t="shared" si="3"/>
        <v>0</v>
      </c>
    </row>
    <row r="41" spans="2:63" ht="14.4" customHeight="1">
      <c r="AU41" s="319"/>
      <c r="AV41" s="21"/>
      <c r="AW41" s="22"/>
      <c r="AX41" s="22"/>
      <c r="AY41" s="23"/>
      <c r="AZ41" s="326" t="str">
        <f t="shared" si="1"/>
        <v/>
      </c>
      <c r="BA41" s="95"/>
      <c r="BB41" s="95" t="str">
        <f t="shared" si="0"/>
        <v/>
      </c>
      <c r="BD41" s="319">
        <f>OBJ!B262</f>
        <v>9318180</v>
      </c>
      <c r="BE41" s="21" t="str">
        <f>VLOOKUP(BD41,CENY!$B$11:$G$1054,2,FALSE)</f>
        <v>Actro You(L) 500/SiSy 40kg; EB21; pravý</v>
      </c>
      <c r="BF41" s="22">
        <f>VLOOKUP(BD41,CENY!$B$11:$G$1054,3,FALSE)</f>
        <v>10</v>
      </c>
      <c r="BG41" s="22"/>
      <c r="BH41" s="23">
        <f>AY26</f>
        <v>0</v>
      </c>
      <c r="BI41" s="326">
        <f t="shared" si="2"/>
        <v>0</v>
      </c>
      <c r="BJ41" s="95">
        <f>VLOOKUP(BD41,CENY!$B$11:$M$2025,12,FALSE)</f>
        <v>296.00905</v>
      </c>
      <c r="BK41" s="95">
        <f t="shared" si="3"/>
        <v>0</v>
      </c>
    </row>
    <row r="42" spans="2:63" ht="14.4" customHeight="1">
      <c r="AU42" s="319">
        <f>OBJ!B296</f>
        <v>9256956</v>
      </c>
      <c r="AV42" s="21" t="str">
        <f>VLOOKUP(AU42,CENY!$B$11:$G$1054,2,FALSE)</f>
        <v>Quadro You(S) 350/SiSy 10kg; EB21</v>
      </c>
      <c r="AW42" s="22">
        <f>VLOOKUP(AU42,CENY!$B$11:$G$1054,3,FALSE)</f>
        <v>1</v>
      </c>
      <c r="AX42" s="362">
        <v>4</v>
      </c>
      <c r="AY42" s="23">
        <f>S27</f>
        <v>0</v>
      </c>
      <c r="AZ42" s="326">
        <f t="shared" si="1"/>
        <v>0</v>
      </c>
      <c r="BA42" s="95">
        <f>VLOOKUP(AU42,CENY!$B$11:$M$2025,12,FALSE)</f>
        <v>489.27857</v>
      </c>
      <c r="BB42" s="95">
        <f t="shared" si="0"/>
        <v>0</v>
      </c>
      <c r="BD42" s="319">
        <f>OBJ!B263</f>
        <v>9318181</v>
      </c>
      <c r="BE42" s="21" t="str">
        <f>VLOOKUP(BD42,CENY!$B$11:$G$1054,2,FALSE)</f>
        <v>Actro You(L) 550/SiSy 40kg; EB21; ľavý</v>
      </c>
      <c r="BF42" s="22">
        <f>VLOOKUP(BD42,CENY!$B$11:$G$1054,3,FALSE)</f>
        <v>10</v>
      </c>
      <c r="BG42" s="22"/>
      <c r="BH42" s="23">
        <f>AY27</f>
        <v>0</v>
      </c>
      <c r="BI42" s="326">
        <f t="shared" si="2"/>
        <v>0</v>
      </c>
      <c r="BJ42" s="95">
        <f>VLOOKUP(BD42,CENY!$B$11:$M$2025,12,FALSE)</f>
        <v>321.83461999999997</v>
      </c>
      <c r="BK42" s="95">
        <f t="shared" si="3"/>
        <v>0</v>
      </c>
    </row>
    <row r="43" spans="2:63" ht="14.4" customHeight="1">
      <c r="AU43" s="319"/>
      <c r="AV43" s="21"/>
      <c r="AW43" s="22"/>
      <c r="AX43" s="22"/>
      <c r="AY43" s="23"/>
      <c r="AZ43" s="326" t="str">
        <f t="shared" si="1"/>
        <v/>
      </c>
      <c r="BA43" s="95"/>
      <c r="BB43" s="95" t="str">
        <f t="shared" si="0"/>
        <v/>
      </c>
      <c r="BD43" s="319">
        <f>OBJ!B264</f>
        <v>9318182</v>
      </c>
      <c r="BE43" s="21" t="str">
        <f>VLOOKUP(BD43,CENY!$B$11:$G$1054,2,FALSE)</f>
        <v>Actro You(L) 550/SiSy 40kg; EB21; pravý</v>
      </c>
      <c r="BF43" s="22">
        <f>VLOOKUP(BD43,CENY!$B$11:$G$1054,3,FALSE)</f>
        <v>10</v>
      </c>
      <c r="BG43" s="22"/>
      <c r="BH43" s="23">
        <f>AY27</f>
        <v>0</v>
      </c>
      <c r="BI43" s="326">
        <f t="shared" si="2"/>
        <v>0</v>
      </c>
      <c r="BJ43" s="95">
        <f>VLOOKUP(BD43,CENY!$B$11:$M$2025,12,FALSE)</f>
        <v>321.83461999999997</v>
      </c>
      <c r="BK43" s="95">
        <f t="shared" si="3"/>
        <v>0</v>
      </c>
    </row>
    <row r="44" spans="2:63" ht="14.4" customHeight="1">
      <c r="AU44" s="319">
        <f>OBJ!B306</f>
        <v>9256886</v>
      </c>
      <c r="AV44" s="21" t="str">
        <f>VLOOKUP(AU44,CENY!$B$11:$G$1054,2,FALSE)</f>
        <v>Quadro You(M) 350/SiSy 25kg; EB21</v>
      </c>
      <c r="AW44" s="22">
        <f>VLOOKUP(AU44,CENY!$B$11:$G$1054,3,FALSE)</f>
        <v>1</v>
      </c>
      <c r="AX44" s="362">
        <v>8</v>
      </c>
      <c r="AY44" s="23">
        <f>S28</f>
        <v>0</v>
      </c>
      <c r="AZ44" s="326">
        <f t="shared" si="1"/>
        <v>0</v>
      </c>
      <c r="BA44" s="95">
        <f>VLOOKUP(AU44,CENY!$B$11:$M$2025,12,FALSE)</f>
        <v>489.27857</v>
      </c>
      <c r="BB44" s="95">
        <f t="shared" si="0"/>
        <v>0</v>
      </c>
      <c r="BD44" s="319">
        <f>OBJ!B265</f>
        <v>9318183</v>
      </c>
      <c r="BE44" s="21" t="str">
        <f>VLOOKUP(BD44,CENY!$B$11:$G$1054,2,FALSE)</f>
        <v>Actro You(L) 600/SiSy 40kg; EB21; ľavý</v>
      </c>
      <c r="BF44" s="22">
        <f>VLOOKUP(BD44,CENY!$B$11:$G$1054,3,FALSE)</f>
        <v>10</v>
      </c>
      <c r="BG44" s="22"/>
      <c r="BH44" s="23">
        <f>AY28</f>
        <v>0</v>
      </c>
      <c r="BI44" s="326">
        <f t="shared" si="2"/>
        <v>0</v>
      </c>
      <c r="BJ44" s="95">
        <f>VLOOKUP(BD44,CENY!$B$11:$M$2025,12,FALSE)</f>
        <v>326.21229</v>
      </c>
      <c r="BK44" s="95">
        <f t="shared" si="3"/>
        <v>0</v>
      </c>
    </row>
    <row r="45" spans="2:63" ht="14.4" customHeight="1">
      <c r="AU45" s="319">
        <f>OBJ!B307</f>
        <v>9256888</v>
      </c>
      <c r="AV45" s="21" t="str">
        <f>VLOOKUP(AU45,CENY!$B$11:$G$1054,2,FALSE)</f>
        <v>Quadro You(M) 400/SiSy 30kg; EB21</v>
      </c>
      <c r="AW45" s="22">
        <f>VLOOKUP(AU45,CENY!$B$11:$G$1054,3,FALSE)</f>
        <v>1</v>
      </c>
      <c r="AX45" s="362">
        <v>8</v>
      </c>
      <c r="AY45" s="23">
        <f>U28</f>
        <v>0</v>
      </c>
      <c r="AZ45" s="326">
        <f t="shared" si="1"/>
        <v>0</v>
      </c>
      <c r="BA45" s="95">
        <f>VLOOKUP(AU45,CENY!$B$11:$M$2025,12,FALSE)</f>
        <v>498.97861999999998</v>
      </c>
      <c r="BB45" s="95">
        <f t="shared" si="0"/>
        <v>0</v>
      </c>
      <c r="BD45" s="319">
        <f>OBJ!B266</f>
        <v>9318184</v>
      </c>
      <c r="BE45" s="21" t="str">
        <f>VLOOKUP(BD45,CENY!$B$11:$G$1054,2,FALSE)</f>
        <v>Actro You(L) 600/SiSy 40kg; EB21; pravý</v>
      </c>
      <c r="BF45" s="22">
        <f>VLOOKUP(BD45,CENY!$B$11:$G$1054,3,FALSE)</f>
        <v>10</v>
      </c>
      <c r="BG45" s="22"/>
      <c r="BH45" s="23">
        <f>AY28</f>
        <v>0</v>
      </c>
      <c r="BI45" s="326">
        <f t="shared" si="2"/>
        <v>0</v>
      </c>
      <c r="BJ45" s="95">
        <f>VLOOKUP(BD45,CENY!$B$11:$M$2025,12,FALSE)</f>
        <v>326.21229</v>
      </c>
      <c r="BK45" s="95">
        <f t="shared" si="3"/>
        <v>0</v>
      </c>
    </row>
    <row r="46" spans="2:63" ht="14.4" customHeight="1">
      <c r="AU46" s="319">
        <f>OBJ!B308</f>
        <v>9256890</v>
      </c>
      <c r="AV46" s="21" t="str">
        <f>VLOOKUP(AU46,CENY!$B$11:$G$1054,2,FALSE)</f>
        <v>Quadro You(M) 450/SiSy 30kg; EB21</v>
      </c>
      <c r="AW46" s="22">
        <f>VLOOKUP(AU46,CENY!$B$11:$G$1054,3,FALSE)</f>
        <v>1</v>
      </c>
      <c r="AX46" s="362">
        <v>8</v>
      </c>
      <c r="AY46" s="23">
        <f>W28</f>
        <v>0</v>
      </c>
      <c r="AZ46" s="326">
        <f t="shared" si="1"/>
        <v>0</v>
      </c>
      <c r="BA46" s="95">
        <f>VLOOKUP(AU46,CENY!$B$11:$M$2025,12,FALSE)</f>
        <v>122.98869999999999</v>
      </c>
      <c r="BB46" s="95">
        <f t="shared" si="0"/>
        <v>0</v>
      </c>
      <c r="BD46" s="319"/>
      <c r="BE46" s="21"/>
      <c r="BF46" s="22"/>
      <c r="BG46" s="22"/>
      <c r="BH46" s="23"/>
      <c r="BI46" s="326" t="str">
        <f t="shared" si="2"/>
        <v/>
      </c>
      <c r="BJ46" s="95"/>
      <c r="BK46" s="95" t="str">
        <f t="shared" si="3"/>
        <v/>
      </c>
    </row>
    <row r="47" spans="2:63" ht="14.4" customHeight="1">
      <c r="AU47" s="319">
        <f>OBJ!B309</f>
        <v>9256892</v>
      </c>
      <c r="AV47" s="21" t="str">
        <f>VLOOKUP(AU47,CENY!$B$11:$G$1054,2,FALSE)</f>
        <v>Quadro You(M) 500/SiSy 30kg; EB21</v>
      </c>
      <c r="AW47" s="22">
        <f>VLOOKUP(AU47,CENY!$B$11:$G$1054,3,FALSE)</f>
        <v>1</v>
      </c>
      <c r="AX47" s="362">
        <v>8</v>
      </c>
      <c r="AY47" s="23">
        <f>Y28</f>
        <v>0</v>
      </c>
      <c r="AZ47" s="326">
        <f t="shared" si="1"/>
        <v>0</v>
      </c>
      <c r="BA47" s="95">
        <f>VLOOKUP(AU47,CENY!$B$11:$M$2025,12,FALSE)</f>
        <v>504.59701000000001</v>
      </c>
      <c r="BB47" s="95">
        <f t="shared" si="0"/>
        <v>0</v>
      </c>
      <c r="BD47" s="319">
        <f>OBJ!B273</f>
        <v>9318198</v>
      </c>
      <c r="BE47" s="21" t="str">
        <f>VLOOKUP(BD47,CENY!$B$11:$G$1054,2,FALSE)</f>
        <v>Actro You(XL) 450/SiSy 70kg; EB21; ľavý</v>
      </c>
      <c r="BF47" s="22">
        <f>VLOOKUP(BD47,CENY!$B$11:$G$1054,3,FALSE)</f>
        <v>10</v>
      </c>
      <c r="BG47" s="22"/>
      <c r="BH47" s="23">
        <f>AY30</f>
        <v>0</v>
      </c>
      <c r="BI47" s="326">
        <f t="shared" si="2"/>
        <v>0</v>
      </c>
      <c r="BJ47" s="95">
        <f>VLOOKUP(BD47,CENY!$B$11:$M$2025,12,FALSE)</f>
        <v>368.62277</v>
      </c>
      <c r="BK47" s="95">
        <f t="shared" si="3"/>
        <v>0</v>
      </c>
    </row>
    <row r="48" spans="2:63" ht="14.4" customHeight="1">
      <c r="AU48" s="319">
        <f>OBJ!B310</f>
        <v>9256894</v>
      </c>
      <c r="AV48" s="21" t="str">
        <f>VLOOKUP(AU48,CENY!$B$11:$G$1054,2,FALSE)</f>
        <v>Quadro You(M) 550/SiSy 30kg; EB21</v>
      </c>
      <c r="AW48" s="22">
        <f>VLOOKUP(AU48,CENY!$B$11:$G$1054,3,FALSE)</f>
        <v>1</v>
      </c>
      <c r="AX48" s="362">
        <v>8</v>
      </c>
      <c r="AY48" s="23">
        <f>AA28</f>
        <v>0</v>
      </c>
      <c r="AZ48" s="326">
        <f t="shared" si="1"/>
        <v>0</v>
      </c>
      <c r="BA48" s="95">
        <f>VLOOKUP(AU48,CENY!$B$11:$M$2025,12,FALSE)</f>
        <v>127.68105</v>
      </c>
      <c r="BB48" s="95">
        <f t="shared" si="0"/>
        <v>0</v>
      </c>
      <c r="BD48" s="319">
        <f>OBJ!B274</f>
        <v>9318199</v>
      </c>
      <c r="BE48" s="21" t="str">
        <f>VLOOKUP(BD48,CENY!$B$11:$G$1054,2,FALSE)</f>
        <v>Actro You(XL) 450/SiSy 70kg; EB21; pravý</v>
      </c>
      <c r="BF48" s="22">
        <f>VLOOKUP(BD48,CENY!$B$11:$G$1054,3,FALSE)</f>
        <v>10</v>
      </c>
      <c r="BG48" s="22"/>
      <c r="BH48" s="23">
        <f>AY30</f>
        <v>0</v>
      </c>
      <c r="BI48" s="326">
        <f t="shared" si="2"/>
        <v>0</v>
      </c>
      <c r="BJ48" s="95">
        <f>VLOOKUP(BD48,CENY!$B$11:$M$2025,12,FALSE)</f>
        <v>368.62277</v>
      </c>
      <c r="BK48" s="95">
        <f t="shared" si="3"/>
        <v>0</v>
      </c>
    </row>
    <row r="49" spans="47:63" ht="14.4" customHeight="1">
      <c r="AU49" s="319">
        <f>OBJ!B311</f>
        <v>9256896</v>
      </c>
      <c r="AV49" s="21" t="str">
        <f>VLOOKUP(AU49,CENY!$B$11:$G$1054,2,FALSE)</f>
        <v>Quadro You(M) 600/SiSy 25kg; EB21</v>
      </c>
      <c r="AW49" s="22">
        <f>VLOOKUP(AU49,CENY!$B$11:$G$1054,3,FALSE)</f>
        <v>1</v>
      </c>
      <c r="AX49" s="362">
        <v>8</v>
      </c>
      <c r="AY49" s="23">
        <f>AC28</f>
        <v>0</v>
      </c>
      <c r="AZ49" s="326">
        <f t="shared" si="1"/>
        <v>0</v>
      </c>
      <c r="BA49" s="95">
        <f>VLOOKUP(AU49,CENY!$B$11:$M$2025,12,FALSE)</f>
        <v>537.79395</v>
      </c>
      <c r="BB49" s="95">
        <f t="shared" si="0"/>
        <v>0</v>
      </c>
      <c r="BD49" s="319">
        <f>OBJ!B275</f>
        <v>9318201</v>
      </c>
      <c r="BE49" s="21" t="str">
        <f>VLOOKUP(BD49,CENY!$B$11:$G$1054,2,FALSE)</f>
        <v>Actro You(XL) 500/SiSy 70kg; EB21; ľavý</v>
      </c>
      <c r="BF49" s="22">
        <f>VLOOKUP(BD49,CENY!$B$11:$G$1054,3,FALSE)</f>
        <v>10</v>
      </c>
      <c r="BG49" s="22"/>
      <c r="BH49" s="23">
        <f>AY31</f>
        <v>0</v>
      </c>
      <c r="BI49" s="326">
        <f t="shared" si="2"/>
        <v>0</v>
      </c>
      <c r="BJ49" s="95">
        <f>VLOOKUP(BD49,CENY!$B$11:$M$2025,12,FALSE)</f>
        <v>372.33726999999999</v>
      </c>
      <c r="BK49" s="95">
        <f t="shared" si="3"/>
        <v>0</v>
      </c>
    </row>
    <row r="50" spans="47:63" ht="14.4" customHeight="1">
      <c r="AU50" s="319"/>
      <c r="AV50" s="21"/>
      <c r="AW50" s="22"/>
      <c r="AX50" s="22"/>
      <c r="AY50" s="23"/>
      <c r="AZ50" s="326" t="str">
        <f t="shared" si="1"/>
        <v/>
      </c>
      <c r="BA50" s="95"/>
      <c r="BB50" s="95" t="str">
        <f t="shared" si="0"/>
        <v/>
      </c>
      <c r="BD50" s="319">
        <f>OBJ!B276</f>
        <v>9318203</v>
      </c>
      <c r="BE50" s="21" t="str">
        <f>VLOOKUP(BD50,CENY!$B$11:$G$1054,2,FALSE)</f>
        <v>Actro You(XL) 500/SiSy 70kg; EB21; pravý</v>
      </c>
      <c r="BF50" s="22">
        <f>VLOOKUP(BD50,CENY!$B$11:$G$1054,3,FALSE)</f>
        <v>10</v>
      </c>
      <c r="BG50" s="22"/>
      <c r="BH50" s="23">
        <f>AY31</f>
        <v>0</v>
      </c>
      <c r="BI50" s="326">
        <f t="shared" si="2"/>
        <v>0</v>
      </c>
      <c r="BJ50" s="95">
        <f>VLOOKUP(BD50,CENY!$B$11:$M$2025,12,FALSE)</f>
        <v>372.33726999999999</v>
      </c>
      <c r="BK50" s="95">
        <f t="shared" si="3"/>
        <v>0</v>
      </c>
    </row>
    <row r="51" spans="47:63" ht="14.4" customHeight="1">
      <c r="AU51" s="319">
        <f>OBJ!B329</f>
        <v>9257894</v>
      </c>
      <c r="AV51" s="21" t="str">
        <f>VLOOKUP(AU51,CENY!$B$11:$G$1054,2,FALSE)</f>
        <v>Quadro You - Push to open Silent; &lt;10kg</v>
      </c>
      <c r="AW51" s="22">
        <f>VLOOKUP(AU51,CENY!$B$11:$G$1054,3,FALSE)</f>
        <v>1</v>
      </c>
      <c r="AX51" s="22"/>
      <c r="AY51" s="23">
        <f>AN27</f>
        <v>0</v>
      </c>
      <c r="AZ51" s="326">
        <f t="shared" si="1"/>
        <v>0</v>
      </c>
      <c r="BA51" s="95">
        <f>VLOOKUP(AU51,CENY!$B$11:$M$2025,12,FALSE)</f>
        <v>480.50922000000003</v>
      </c>
      <c r="BB51" s="95">
        <f t="shared" si="0"/>
        <v>0</v>
      </c>
      <c r="BD51" s="319">
        <f>OBJ!B277</f>
        <v>9318208</v>
      </c>
      <c r="BE51" s="21" t="str">
        <f>VLOOKUP(BD51,CENY!$B$11:$G$1054,2,FALSE)</f>
        <v>Actro You(XL) 550/SiSy 70kg; EB21; ľavý</v>
      </c>
      <c r="BF51" s="22">
        <f>VLOOKUP(BD51,CENY!$B$11:$G$1054,3,FALSE)</f>
        <v>10</v>
      </c>
      <c r="BG51" s="22"/>
      <c r="BH51" s="23">
        <f>AY32</f>
        <v>0</v>
      </c>
      <c r="BI51" s="326">
        <f t="shared" si="2"/>
        <v>0</v>
      </c>
      <c r="BJ51" s="95">
        <f>VLOOKUP(BD51,CENY!$B$11:$M$2025,12,FALSE)</f>
        <v>392.11943000000002</v>
      </c>
      <c r="BK51" s="95">
        <f t="shared" si="3"/>
        <v>0</v>
      </c>
    </row>
    <row r="52" spans="47:63" ht="14.4" customHeight="1">
      <c r="AU52" s="319">
        <f>OBJ!B330</f>
        <v>9257895</v>
      </c>
      <c r="AV52" s="21" t="str">
        <f>VLOOKUP(AU52,CENY!$B$11:$G$1054,2,FALSE)</f>
        <v>Quadro You - Push to open Silent; 8-20kg</v>
      </c>
      <c r="AW52" s="22">
        <f>VLOOKUP(AU52,CENY!$B$11:$G$1054,3,FALSE)</f>
        <v>1</v>
      </c>
      <c r="AX52" s="22"/>
      <c r="AY52" s="23">
        <f>AN28</f>
        <v>0</v>
      </c>
      <c r="AZ52" s="326">
        <f t="shared" si="1"/>
        <v>0</v>
      </c>
      <c r="BA52" s="95">
        <f>VLOOKUP(AU52,CENY!$B$11:$M$2025,12,FALSE)</f>
        <v>480.50922000000003</v>
      </c>
      <c r="BB52" s="95">
        <f t="shared" si="0"/>
        <v>0</v>
      </c>
      <c r="BD52" s="319">
        <f>OBJ!B278</f>
        <v>9318209</v>
      </c>
      <c r="BE52" s="21" t="str">
        <f>VLOOKUP(BD52,CENY!$B$11:$G$1054,2,FALSE)</f>
        <v>Actro You(XL) 550/SiSy 70kg; EB21; pravý</v>
      </c>
      <c r="BF52" s="22">
        <f>VLOOKUP(BD52,CENY!$B$11:$G$1054,3,FALSE)</f>
        <v>10</v>
      </c>
      <c r="BG52" s="22"/>
      <c r="BH52" s="23">
        <f>AY32</f>
        <v>0</v>
      </c>
      <c r="BI52" s="326">
        <f t="shared" si="2"/>
        <v>0</v>
      </c>
      <c r="BJ52" s="95">
        <f>VLOOKUP(BD52,CENY!$B$11:$M$2025,12,FALSE)</f>
        <v>392.11943000000002</v>
      </c>
      <c r="BK52" s="95">
        <f t="shared" si="3"/>
        <v>0</v>
      </c>
    </row>
    <row r="53" spans="47:63" ht="14.4" customHeight="1">
      <c r="AU53" s="319">
        <f>OBJ!B331</f>
        <v>9257896</v>
      </c>
      <c r="AV53" s="21" t="str">
        <f>VLOOKUP(AU53,CENY!$B$11:$G$1054,2,FALSE)</f>
        <v>Quadro You - Push to open Silent; 10-30kg</v>
      </c>
      <c r="AW53" s="22">
        <f>VLOOKUP(AU53,CENY!$B$11:$G$1054,3,FALSE)</f>
        <v>1</v>
      </c>
      <c r="AX53" s="22"/>
      <c r="AY53" s="23">
        <f>AN29</f>
        <v>0</v>
      </c>
      <c r="AZ53" s="326">
        <f t="shared" si="1"/>
        <v>0</v>
      </c>
      <c r="BA53" s="95">
        <f>VLOOKUP(AU53,CENY!$B$11:$M$2025,12,FALSE)</f>
        <v>480.50922000000003</v>
      </c>
      <c r="BB53" s="95">
        <f t="shared" si="0"/>
        <v>0</v>
      </c>
      <c r="BD53" s="319">
        <f>OBJ!B279</f>
        <v>9318211</v>
      </c>
      <c r="BE53" s="21" t="str">
        <f>VLOOKUP(BD53,CENY!$B$11:$G$1054,2,FALSE)</f>
        <v>Actro You(XL) 600/SiSy 70kg; EB21; ľavý</v>
      </c>
      <c r="BF53" s="22">
        <f>VLOOKUP(BD53,CENY!$B$11:$G$1054,3,FALSE)</f>
        <v>10</v>
      </c>
      <c r="BG53" s="22"/>
      <c r="BH53" s="23">
        <f>AY33</f>
        <v>0</v>
      </c>
      <c r="BI53" s="326">
        <f t="shared" si="2"/>
        <v>0</v>
      </c>
      <c r="BJ53" s="95">
        <f>VLOOKUP(BD53,CENY!$B$11:$M$2025,12,FALSE)</f>
        <v>443.89010999999999</v>
      </c>
      <c r="BK53" s="95">
        <f t="shared" si="3"/>
        <v>0</v>
      </c>
    </row>
    <row r="54" spans="47:63" ht="14.4" customHeight="1">
      <c r="AU54" s="319"/>
      <c r="AV54" s="21"/>
      <c r="AW54" s="22"/>
      <c r="AX54" s="22"/>
      <c r="AY54" s="23"/>
      <c r="AZ54" s="326" t="str">
        <f t="shared" si="1"/>
        <v/>
      </c>
      <c r="BA54" s="95"/>
      <c r="BB54" s="95" t="str">
        <f t="shared" si="0"/>
        <v/>
      </c>
      <c r="BD54" s="319">
        <f>OBJ!B280</f>
        <v>9318212</v>
      </c>
      <c r="BE54" s="21" t="str">
        <f>VLOOKUP(BD54,CENY!$B$11:$G$1054,2,FALSE)</f>
        <v>Actro You(XL) 600/SiSy 70kg; EB21; pravý</v>
      </c>
      <c r="BF54" s="22">
        <f>VLOOKUP(BD54,CENY!$B$11:$G$1054,3,FALSE)</f>
        <v>10</v>
      </c>
      <c r="BG54" s="22"/>
      <c r="BH54" s="23">
        <f>AY33</f>
        <v>0</v>
      </c>
      <c r="BI54" s="326">
        <f t="shared" si="2"/>
        <v>0</v>
      </c>
      <c r="BJ54" s="95">
        <f>VLOOKUP(BD54,CENY!$B$11:$M$2025,12,FALSE)</f>
        <v>443.89010999999999</v>
      </c>
      <c r="BK54" s="95">
        <f t="shared" si="3"/>
        <v>0</v>
      </c>
    </row>
    <row r="55" spans="47:63" ht="14.4" customHeight="1">
      <c r="AU55" s="319">
        <f>OBJ!B335</f>
        <v>9256931</v>
      </c>
      <c r="AV55" s="21" t="str">
        <f>VLOOKUP(AU55,CENY!$B$11:$G$1054,2,FALSE)</f>
        <v>Quadro You(M) 350/P2O 25kg; EB21</v>
      </c>
      <c r="AW55" s="22">
        <f>VLOOKUP(AU55,CENY!$B$11:$G$1054,3,FALSE)</f>
        <v>1</v>
      </c>
      <c r="AX55" s="362">
        <v>8</v>
      </c>
      <c r="AY55" s="23">
        <f>S30</f>
        <v>0</v>
      </c>
      <c r="AZ55" s="326">
        <f t="shared" si="1"/>
        <v>0</v>
      </c>
      <c r="BA55" s="95">
        <f>VLOOKUP(AU55,CENY!$B$11:$M$2025,12,FALSE)</f>
        <v>547.49897999999996</v>
      </c>
      <c r="BB55" s="95">
        <f t="shared" si="0"/>
        <v>0</v>
      </c>
      <c r="BD55" s="319">
        <f>OBJ!B281</f>
        <v>9318213</v>
      </c>
      <c r="BE55" s="21" t="str">
        <f>VLOOKUP(BD55,CENY!$B$11:$G$1054,2,FALSE)</f>
        <v>Actro You(XL) 650/SiSy 70kg; EB21; ľavý</v>
      </c>
      <c r="BF55" s="22">
        <f>VLOOKUP(BD55,CENY!$B$11:$G$1054,3,FALSE)</f>
        <v>5</v>
      </c>
      <c r="BG55" s="22"/>
      <c r="BH55" s="23">
        <f>AY34</f>
        <v>0</v>
      </c>
      <c r="BI55" s="326">
        <f t="shared" si="2"/>
        <v>0</v>
      </c>
      <c r="BJ55" s="95">
        <f>VLOOKUP(BD55,CENY!$B$11:$M$2025,12,FALSE)</f>
        <v>462.41142000000002</v>
      </c>
      <c r="BK55" s="95">
        <f t="shared" si="3"/>
        <v>0</v>
      </c>
    </row>
    <row r="56" spans="47:63" ht="14.4" customHeight="1">
      <c r="AU56" s="319">
        <f>OBJ!B336</f>
        <v>9256933</v>
      </c>
      <c r="AV56" s="21" t="str">
        <f>VLOOKUP(AU56,CENY!$B$11:$G$1054,2,FALSE)</f>
        <v>Quadro You(M) 400/P2O 30kg; EB21</v>
      </c>
      <c r="AW56" s="22">
        <f>VLOOKUP(AU56,CENY!$B$11:$G$1054,3,FALSE)</f>
        <v>1</v>
      </c>
      <c r="AX56" s="362">
        <v>8</v>
      </c>
      <c r="AY56" s="23">
        <f>U30</f>
        <v>0</v>
      </c>
      <c r="AZ56" s="326">
        <f t="shared" si="1"/>
        <v>0</v>
      </c>
      <c r="BA56" s="95">
        <f>VLOOKUP(AU56,CENY!$B$11:$M$2025,12,FALSE)</f>
        <v>557.20162000000005</v>
      </c>
      <c r="BB56" s="95">
        <f t="shared" si="0"/>
        <v>0</v>
      </c>
      <c r="BD56" s="319">
        <f>OBJ!B282</f>
        <v>9318214</v>
      </c>
      <c r="BE56" s="21" t="str">
        <f>VLOOKUP(BD56,CENY!$B$11:$G$1054,2,FALSE)</f>
        <v>Actro You(XL) 650/SiSy 70kg; EB21; pravý</v>
      </c>
      <c r="BF56" s="22">
        <f>VLOOKUP(BD56,CENY!$B$11:$G$1054,3,FALSE)</f>
        <v>5</v>
      </c>
      <c r="BG56" s="22"/>
      <c r="BH56" s="23">
        <f>AY34</f>
        <v>0</v>
      </c>
      <c r="BI56" s="326">
        <f t="shared" si="2"/>
        <v>0</v>
      </c>
      <c r="BJ56" s="95">
        <f>VLOOKUP(BD56,CENY!$B$11:$M$2025,12,FALSE)</f>
        <v>462.41142000000002</v>
      </c>
      <c r="BK56" s="95">
        <f t="shared" si="3"/>
        <v>0</v>
      </c>
    </row>
    <row r="57" spans="47:63" ht="14.4" customHeight="1">
      <c r="AU57" s="319">
        <f>OBJ!B337</f>
        <v>9256935</v>
      </c>
      <c r="AV57" s="21" t="str">
        <f>VLOOKUP(AU57,CENY!$B$11:$G$1054,2,FALSE)</f>
        <v>Quadro You(M) 450/P2O 30kg; EB21</v>
      </c>
      <c r="AW57" s="22">
        <f>VLOOKUP(AU57,CENY!$B$11:$G$1054,3,FALSE)</f>
        <v>1</v>
      </c>
      <c r="AX57" s="362">
        <v>8</v>
      </c>
      <c r="AY57" s="23">
        <f>W30</f>
        <v>0</v>
      </c>
      <c r="AZ57" s="326">
        <f t="shared" si="1"/>
        <v>0</v>
      </c>
      <c r="BA57" s="95">
        <f>VLOOKUP(AU57,CENY!$B$11:$M$2025,12,FALSE)</f>
        <v>566.90911000000006</v>
      </c>
      <c r="BB57" s="95">
        <f t="shared" si="0"/>
        <v>0</v>
      </c>
      <c r="BD57" s="319"/>
      <c r="BE57" s="21"/>
      <c r="BF57" s="22"/>
      <c r="BG57" s="22"/>
      <c r="BH57" s="23"/>
      <c r="BI57" s="326" t="str">
        <f t="shared" si="2"/>
        <v/>
      </c>
      <c r="BJ57" s="95"/>
      <c r="BK57" s="95" t="str">
        <f t="shared" si="3"/>
        <v/>
      </c>
    </row>
    <row r="58" spans="47:63" ht="14.4" customHeight="1">
      <c r="AU58" s="319">
        <f>OBJ!B338</f>
        <v>9256937</v>
      </c>
      <c r="AV58" s="21" t="str">
        <f>VLOOKUP(AU58,CENY!$B$11:$G$1054,2,FALSE)</f>
        <v>Quadro You(M) 500/P2O 30kg; EB21</v>
      </c>
      <c r="AW58" s="22">
        <f>VLOOKUP(AU58,CENY!$B$11:$G$1054,3,FALSE)</f>
        <v>1</v>
      </c>
      <c r="AX58" s="362">
        <v>8</v>
      </c>
      <c r="AY58" s="23">
        <f>Y30</f>
        <v>0</v>
      </c>
      <c r="AZ58" s="326">
        <f t="shared" si="1"/>
        <v>0</v>
      </c>
      <c r="BA58" s="95">
        <f>VLOOKUP(AU58,CENY!$B$11:$M$2025,12,FALSE)</f>
        <v>139.41228000000001</v>
      </c>
      <c r="BB58" s="95">
        <f t="shared" si="0"/>
        <v>0</v>
      </c>
      <c r="BD58" s="319">
        <f>OBJ!B284</f>
        <v>9257890</v>
      </c>
      <c r="BE58" s="21" t="str">
        <f>VLOOKUP(BD58,CENY!$B$11:$G$1054,2,FALSE)</f>
        <v>Actro You - Push to open Silent; &lt;10kg</v>
      </c>
      <c r="BF58" s="22">
        <f>VLOOKUP(BD58,CENY!$B$11:$G$1054,3,FALSE)</f>
        <v>1</v>
      </c>
      <c r="BG58" s="22"/>
      <c r="BH58" s="23">
        <f>AY36</f>
        <v>0</v>
      </c>
      <c r="BI58" s="326">
        <f t="shared" si="2"/>
        <v>0</v>
      </c>
      <c r="BJ58" s="95">
        <f>VLOOKUP(BD58,CENY!$B$11:$M$2025,12,FALSE)</f>
        <v>481.81412999999998</v>
      </c>
      <c r="BK58" s="95">
        <f t="shared" si="3"/>
        <v>0</v>
      </c>
    </row>
    <row r="59" spans="47:63" ht="14.4" customHeight="1">
      <c r="AU59" s="319">
        <f>OBJ!B339</f>
        <v>9256939</v>
      </c>
      <c r="AV59" s="21" t="str">
        <f>VLOOKUP(AU59,CENY!$B$11:$G$1054,2,FALSE)</f>
        <v>Quadro You(M) 550/P2O 30kg; EB21</v>
      </c>
      <c r="AW59" s="22">
        <f>VLOOKUP(AU59,CENY!$B$11:$G$1054,3,FALSE)</f>
        <v>1</v>
      </c>
      <c r="AX59" s="362">
        <v>8</v>
      </c>
      <c r="AY59" s="23">
        <f>AA30</f>
        <v>0</v>
      </c>
      <c r="AZ59" s="326">
        <f t="shared" si="1"/>
        <v>0</v>
      </c>
      <c r="BA59" s="95">
        <f>VLOOKUP(AU59,CENY!$B$11:$M$2025,12,FALSE)</f>
        <v>586.3143</v>
      </c>
      <c r="BB59" s="95">
        <f t="shared" si="0"/>
        <v>0</v>
      </c>
      <c r="BD59" s="319">
        <f>OBJ!B285</f>
        <v>9257891</v>
      </c>
      <c r="BE59" s="21" t="str">
        <f>VLOOKUP(BD59,CENY!$B$11:$G$1054,2,FALSE)</f>
        <v>Actro You - Push to open Silent; 8-20kg</v>
      </c>
      <c r="BF59" s="22">
        <f>VLOOKUP(BD59,CENY!$B$11:$G$1054,3,FALSE)</f>
        <v>1</v>
      </c>
      <c r="BG59" s="22"/>
      <c r="BH59" s="23">
        <f>AY37</f>
        <v>0</v>
      </c>
      <c r="BI59" s="326">
        <f t="shared" si="2"/>
        <v>0</v>
      </c>
      <c r="BJ59" s="95">
        <f>VLOOKUP(BD59,CENY!$B$11:$M$2025,12,FALSE)</f>
        <v>481.81412999999998</v>
      </c>
      <c r="BK59" s="95">
        <f t="shared" si="3"/>
        <v>0</v>
      </c>
    </row>
    <row r="60" spans="47:63" ht="14.4" customHeight="1">
      <c r="AU60" s="319">
        <f>OBJ!B340</f>
        <v>9256941</v>
      </c>
      <c r="AV60" s="21" t="str">
        <f>VLOOKUP(AU60,CENY!$B$11:$G$1054,2,FALSE)</f>
        <v>Quadro You(M) 600/P2O 25kg; EB21</v>
      </c>
      <c r="AW60" s="22">
        <f>VLOOKUP(AU60,CENY!$B$11:$G$1054,3,FALSE)</f>
        <v>1</v>
      </c>
      <c r="AX60" s="362">
        <v>8</v>
      </c>
      <c r="AY60" s="23">
        <f>AC30</f>
        <v>0</v>
      </c>
      <c r="AZ60" s="326">
        <f t="shared" si="1"/>
        <v>0</v>
      </c>
      <c r="BA60" s="95">
        <f>VLOOKUP(AU60,CENY!$B$11:$M$2025,12,FALSE)</f>
        <v>596.01683000000003</v>
      </c>
      <c r="BB60" s="95">
        <f t="shared" si="0"/>
        <v>0</v>
      </c>
      <c r="BD60" s="319">
        <f>OBJ!B286</f>
        <v>9257892</v>
      </c>
      <c r="BE60" s="21" t="str">
        <f>VLOOKUP(BD60,CENY!$B$11:$G$1054,2,FALSE)</f>
        <v>Actro You - Push to open Silent; 10-40kg</v>
      </c>
      <c r="BF60" s="22">
        <f>VLOOKUP(BD60,CENY!$B$11:$G$1054,3,FALSE)</f>
        <v>1</v>
      </c>
      <c r="BG60" s="22"/>
      <c r="BH60" s="23">
        <f>AY38</f>
        <v>0</v>
      </c>
      <c r="BI60" s="326">
        <f t="shared" si="2"/>
        <v>0</v>
      </c>
      <c r="BJ60" s="95">
        <f>VLOOKUP(BD60,CENY!$B$11:$M$2025,12,FALSE)</f>
        <v>481.81412999999998</v>
      </c>
      <c r="BK60" s="95">
        <f t="shared" si="3"/>
        <v>0</v>
      </c>
    </row>
    <row r="61" spans="47:63" ht="14.4" customHeight="1">
      <c r="AU61" s="319"/>
      <c r="AV61" s="21"/>
      <c r="AW61" s="22"/>
      <c r="AX61" s="22"/>
      <c r="AY61" s="23"/>
      <c r="AZ61" s="326" t="str">
        <f t="shared" si="1"/>
        <v/>
      </c>
      <c r="BA61" s="95"/>
      <c r="BB61" s="95" t="str">
        <f t="shared" si="0"/>
        <v/>
      </c>
      <c r="BD61" s="319">
        <f>OBJ!B287</f>
        <v>9257893</v>
      </c>
      <c r="BE61" s="21" t="str">
        <f>VLOOKUP(BD61,CENY!$B$11:$G$1054,2,FALSE)</f>
        <v>Actro You - Push to open Silent; 20-70kg</v>
      </c>
      <c r="BF61" s="22">
        <f>VLOOKUP(BD61,CENY!$B$11:$G$1054,3,FALSE)</f>
        <v>1</v>
      </c>
      <c r="BG61" s="22"/>
      <c r="BH61" s="23">
        <f>AY39</f>
        <v>0</v>
      </c>
      <c r="BI61" s="326">
        <f t="shared" si="2"/>
        <v>0</v>
      </c>
      <c r="BJ61" s="95">
        <f>VLOOKUP(BD61,CENY!$B$11:$M$2025,12,FALSE)</f>
        <v>481.81412999999998</v>
      </c>
      <c r="BK61" s="95">
        <f t="shared" si="3"/>
        <v>0</v>
      </c>
    </row>
    <row r="62" spans="47:63" ht="14.4" customHeight="1">
      <c r="AU62" s="319">
        <f>OBJ!B358</f>
        <v>9219966</v>
      </c>
      <c r="AV62" s="21" t="str">
        <f>VLOOKUP(AU62,CENY!$B$11:$G$1054,2,FALSE)</f>
        <v>Push to open Synchro / adaptér typ A</v>
      </c>
      <c r="AW62" s="22">
        <f>VLOOKUP(AU62,CENY!$B$11:$G$1054,3,FALSE)</f>
        <v>200</v>
      </c>
      <c r="AX62" s="22"/>
      <c r="AY62" s="23">
        <f>2*SUM(Q30:AD30)</f>
        <v>0</v>
      </c>
      <c r="AZ62" s="326">
        <f t="shared" si="1"/>
        <v>0</v>
      </c>
      <c r="BA62" s="95">
        <f>VLOOKUP(AU62,CENY!$B$11:$M$2025,12,FALSE)</f>
        <v>16.488900000000001</v>
      </c>
      <c r="BB62" s="95">
        <f t="shared" si="0"/>
        <v>0</v>
      </c>
      <c r="BD62" s="319">
        <f>OBJ!B288</f>
        <v>9236718</v>
      </c>
      <c r="BE62" s="21" t="str">
        <f>VLOOKUP(BD62,CENY!$B$11:$G$1054,2,FALSE)</f>
        <v>Push to open Synchro / tyč 2.000 mm</v>
      </c>
      <c r="BF62" s="22">
        <f>VLOOKUP(BD62,CENY!$B$11:$G$1054,3,FALSE)</f>
        <v>100</v>
      </c>
      <c r="BG62" s="22"/>
      <c r="BH62" s="23">
        <f>AY40</f>
        <v>0</v>
      </c>
      <c r="BI62" s="326">
        <f t="shared" si="2"/>
        <v>0</v>
      </c>
      <c r="BJ62" s="95">
        <f>VLOOKUP(BD62,CENY!$B$11:$M$2025,12,FALSE)</f>
        <v>182.03933000000001</v>
      </c>
      <c r="BK62" s="95">
        <f t="shared" si="3"/>
        <v>0</v>
      </c>
    </row>
    <row r="63" spans="47:63" ht="14.4" customHeight="1">
      <c r="AU63" s="319"/>
      <c r="AV63" s="21"/>
      <c r="AW63" s="22"/>
      <c r="AX63" s="22"/>
      <c r="AY63" s="23"/>
      <c r="AZ63" s="326" t="str">
        <f t="shared" si="1"/>
        <v/>
      </c>
      <c r="BA63" s="95"/>
      <c r="BB63" s="95" t="str">
        <f t="shared" si="0"/>
        <v/>
      </c>
      <c r="BD63" s="319"/>
      <c r="BE63" s="21"/>
      <c r="BF63" s="22"/>
      <c r="BG63" s="22"/>
      <c r="BH63" s="23"/>
      <c r="BI63" s="326" t="str">
        <f t="shared" si="2"/>
        <v/>
      </c>
      <c r="BJ63" s="95"/>
      <c r="BK63" s="95" t="str">
        <f t="shared" si="3"/>
        <v/>
      </c>
    </row>
    <row r="64" spans="47:63" ht="14.4" customHeight="1">
      <c r="AU64" s="442">
        <f>OBJ!B191</f>
        <v>9257257</v>
      </c>
      <c r="AV64" s="443" t="str">
        <f>VLOOKUP(AU64,CENY!$B$11:$G$1054,2,FALSE)</f>
        <v>AvanY-prích.čela Inlay k naskrutk./ v187</v>
      </c>
      <c r="AW64" s="22">
        <f>VLOOKUP(AU64,CENY!$B$11:$G$1054,3,FALSE)</f>
        <v>100</v>
      </c>
      <c r="AX64" s="22"/>
      <c r="AY64" s="68">
        <f>2*(SUM(S19)+SUM(S20:AD20)+SUM(W22:AF22)+SUM(S27)+SUM(S28:AD28)+SUM(S30:AD30))</f>
        <v>0</v>
      </c>
      <c r="AZ64" s="326">
        <f t="shared" si="1"/>
        <v>0</v>
      </c>
      <c r="BA64" s="95">
        <f>VLOOKUP(AU64,CENY!$B$11:$M$2025,12,FALSE)</f>
        <v>50.732700000000001</v>
      </c>
      <c r="BB64" s="95">
        <f t="shared" si="0"/>
        <v>0</v>
      </c>
      <c r="BD64" s="319">
        <f>OBJ!B301</f>
        <v>9256950</v>
      </c>
      <c r="BE64" s="21" t="str">
        <f>VLOOKUP(BD64,CENY!$B$11:$G$1054,2,FALSE)</f>
        <v>Quadro You(S) 350/SiSy 10kg; EB21; ľavý</v>
      </c>
      <c r="BF64" s="22">
        <f>VLOOKUP(BD64,CENY!$B$11:$G$1054,3,FALSE)</f>
        <v>20</v>
      </c>
      <c r="BG64" s="22"/>
      <c r="BH64" s="23">
        <f>AY42</f>
        <v>0</v>
      </c>
      <c r="BI64" s="326">
        <f t="shared" si="2"/>
        <v>0</v>
      </c>
      <c r="BJ64" s="95">
        <f>VLOOKUP(BD64,CENY!$B$11:$M$2025,12,FALSE)</f>
        <v>229.11434</v>
      </c>
      <c r="BK64" s="95">
        <f t="shared" si="3"/>
        <v>0</v>
      </c>
    </row>
    <row r="65" spans="47:63" ht="14.4" customHeight="1">
      <c r="AU65" s="319"/>
      <c r="AV65" s="21"/>
      <c r="AW65" s="22"/>
      <c r="AX65" s="22"/>
      <c r="AY65" s="23"/>
      <c r="AZ65" s="326" t="str">
        <f t="shared" si="1"/>
        <v/>
      </c>
      <c r="BA65" s="95"/>
      <c r="BB65" s="95" t="str">
        <f t="shared" si="0"/>
        <v/>
      </c>
      <c r="BD65" s="319">
        <f>OBJ!B302</f>
        <v>9256951</v>
      </c>
      <c r="BE65" s="21" t="str">
        <f>VLOOKUP(BD65,CENY!$B$11:$G$1054,2,FALSE)</f>
        <v>Quadro You(S) 350/SiSy 10kg; EB21; pravý</v>
      </c>
      <c r="BF65" s="22">
        <f>VLOOKUP(BD65,CENY!$B$11:$G$1054,3,FALSE)</f>
        <v>20</v>
      </c>
      <c r="BG65" s="22"/>
      <c r="BH65" s="23">
        <f>AY42</f>
        <v>0</v>
      </c>
      <c r="BI65" s="326">
        <f t="shared" si="2"/>
        <v>0</v>
      </c>
      <c r="BJ65" s="95">
        <f>VLOOKUP(BD65,CENY!$B$11:$M$2025,12,FALSE)</f>
        <v>229.11434</v>
      </c>
      <c r="BK65" s="95">
        <f t="shared" si="3"/>
        <v>0</v>
      </c>
    </row>
    <row r="66" spans="47:63" ht="14.4" customHeight="1">
      <c r="AU66" s="320">
        <f>OBJ!B214</f>
        <v>0</v>
      </c>
      <c r="AV66" s="321" t="e">
        <f>VLOOKUP(AU66,CENY!$B$11:$G$1054,2,FALSE)</f>
        <v>#N/A</v>
      </c>
      <c r="AW66" s="22" t="e">
        <f>VLOOKUP(AU66,CENY!$B$11:$G$1054,3,FALSE)</f>
        <v>#N/A</v>
      </c>
      <c r="AX66" s="22"/>
      <c r="AY66" s="68">
        <f>IF(FORM!AM21&lt;&gt;FORM!AW16,(2*(+SUM(O19:T19)+SUM(O20:AD20)+SUM(W22:AF22)+SUM(O27:T27)+SUM(O28:AD28)+SUM(O30:AD30))),0)</f>
        <v>0</v>
      </c>
      <c r="AZ66" s="326">
        <f t="shared" si="1"/>
        <v>0</v>
      </c>
      <c r="BA66" s="324" t="str">
        <f>IF(AU66=0,"",VLOOKUP(AU66,CENY!$B$11:$M$2025,12,FALSE))</f>
        <v/>
      </c>
      <c r="BB66" s="95" t="str">
        <f t="shared" si="0"/>
        <v/>
      </c>
      <c r="BD66" s="319"/>
      <c r="BE66" s="21"/>
      <c r="BF66" s="22"/>
      <c r="BG66" s="22"/>
      <c r="BH66" s="23"/>
      <c r="BI66" s="326" t="str">
        <f t="shared" si="2"/>
        <v/>
      </c>
      <c r="BJ66" s="95"/>
      <c r="BK66" s="95" t="str">
        <f t="shared" si="3"/>
        <v/>
      </c>
    </row>
    <row r="67" spans="47:63" ht="14.4" customHeight="1">
      <c r="AU67" s="319"/>
      <c r="AV67" s="21"/>
      <c r="AW67" s="22"/>
      <c r="AX67" s="22"/>
      <c r="AY67" s="23"/>
      <c r="AZ67" s="326" t="str">
        <f t="shared" si="1"/>
        <v/>
      </c>
      <c r="BA67" s="95"/>
      <c r="BB67" s="95" t="str">
        <f t="shared" si="0"/>
        <v/>
      </c>
      <c r="BD67" s="319">
        <f>OBJ!B316</f>
        <v>9256860</v>
      </c>
      <c r="BE67" s="21" t="str">
        <f>VLOOKUP(BD67,CENY!$B$11:$G$1054,2,FALSE)</f>
        <v>Quadro You(M) 350/SiSy 25kg; EB21; ľavý</v>
      </c>
      <c r="BF67" s="22">
        <f>VLOOKUP(BD67,CENY!$B$11:$G$1054,3,FALSE)</f>
        <v>20</v>
      </c>
      <c r="BG67" s="22"/>
      <c r="BH67" s="23">
        <f>AY44</f>
        <v>0</v>
      </c>
      <c r="BI67" s="326">
        <f t="shared" si="2"/>
        <v>0</v>
      </c>
      <c r="BJ67" s="95">
        <f>VLOOKUP(BD67,CENY!$B$11:$M$2025,12,FALSE)</f>
        <v>229.11434</v>
      </c>
      <c r="BK67" s="95">
        <f t="shared" si="3"/>
        <v>0</v>
      </c>
    </row>
    <row r="68" spans="47:63" ht="14.4" customHeight="1">
      <c r="AU68" s="319"/>
      <c r="AV68" s="21"/>
      <c r="AW68" s="22"/>
      <c r="AX68" s="22"/>
      <c r="AY68" s="23"/>
      <c r="AZ68" s="326" t="str">
        <f t="shared" si="1"/>
        <v/>
      </c>
      <c r="BA68" s="95"/>
      <c r="BB68" s="95" t="str">
        <f t="shared" ref="BB68:BB105" si="4">IF(BA68="","",BA68*AY68)</f>
        <v/>
      </c>
      <c r="BD68" s="319">
        <f>OBJ!B317</f>
        <v>9256861</v>
      </c>
      <c r="BE68" s="21" t="str">
        <f>VLOOKUP(BD68,CENY!$B$11:$G$1054,2,FALSE)</f>
        <v>Quadro You(M) 350/SiSy 25kg; EB21; pravý</v>
      </c>
      <c r="BF68" s="22">
        <f>VLOOKUP(BD68,CENY!$B$11:$G$1054,3,FALSE)</f>
        <v>20</v>
      </c>
      <c r="BG68" s="22"/>
      <c r="BH68" s="23">
        <f>AY44</f>
        <v>0</v>
      </c>
      <c r="BI68" s="326">
        <f t="shared" si="2"/>
        <v>0</v>
      </c>
      <c r="BJ68" s="95">
        <f>VLOOKUP(BD68,CENY!$B$11:$M$2025,12,FALSE)</f>
        <v>229.11434</v>
      </c>
      <c r="BK68" s="95">
        <f t="shared" si="3"/>
        <v>0</v>
      </c>
    </row>
    <row r="69" spans="47:63" ht="14.4" customHeight="1">
      <c r="AU69" s="319"/>
      <c r="AV69" s="21"/>
      <c r="AW69" s="22"/>
      <c r="AX69" s="22"/>
      <c r="AY69" s="23"/>
      <c r="AZ69" s="326" t="str">
        <f t="shared" ref="AZ69:AZ106" si="5">IF(AY69="","",IF($AW$4=1,AY69,0))</f>
        <v/>
      </c>
      <c r="BA69" s="95"/>
      <c r="BB69" s="95" t="str">
        <f t="shared" si="4"/>
        <v/>
      </c>
      <c r="BD69" s="319">
        <f>OBJ!B318</f>
        <v>9256864</v>
      </c>
      <c r="BE69" s="21" t="str">
        <f>VLOOKUP(BD69,CENY!$B$11:$G$1054,2,FALSE)</f>
        <v>Quadro You(M) 400/SiSy 30kg; EB21; ľavý</v>
      </c>
      <c r="BF69" s="22">
        <f>VLOOKUP(BD69,CENY!$B$11:$G$1054,3,FALSE)</f>
        <v>20</v>
      </c>
      <c r="BG69" s="22"/>
      <c r="BH69" s="23">
        <f>AY45</f>
        <v>0</v>
      </c>
      <c r="BI69" s="326">
        <f t="shared" ref="BI69:BI108" si="6">IF(BH69="","",IF($AW$4=0,BH69,0))</f>
        <v>0</v>
      </c>
      <c r="BJ69" s="95">
        <f>VLOOKUP(BD69,CENY!$B$11:$M$2025,12,FALSE)</f>
        <v>233.96566000000001</v>
      </c>
      <c r="BK69" s="95">
        <f t="shared" ref="BK69:BK108" si="7">IF(BJ69="","",BJ69*BH69)</f>
        <v>0</v>
      </c>
    </row>
    <row r="70" spans="47:63" ht="14.4" customHeight="1">
      <c r="AU70" s="319"/>
      <c r="AV70" s="21"/>
      <c r="AW70" s="22"/>
      <c r="AX70" s="22"/>
      <c r="AY70" s="23"/>
      <c r="AZ70" s="326" t="str">
        <f t="shared" si="5"/>
        <v/>
      </c>
      <c r="BA70" s="95"/>
      <c r="BB70" s="95" t="str">
        <f t="shared" si="4"/>
        <v/>
      </c>
      <c r="BD70" s="319">
        <f>OBJ!B319</f>
        <v>9256865</v>
      </c>
      <c r="BE70" s="21" t="str">
        <f>VLOOKUP(BD70,CENY!$B$11:$G$1054,2,FALSE)</f>
        <v>Quadro You(M) 400/SiSy 30kg; EB21; pravý</v>
      </c>
      <c r="BF70" s="22">
        <f>VLOOKUP(BD70,CENY!$B$11:$G$1054,3,FALSE)</f>
        <v>20</v>
      </c>
      <c r="BG70" s="22"/>
      <c r="BH70" s="23">
        <f>AY45</f>
        <v>0</v>
      </c>
      <c r="BI70" s="326">
        <f t="shared" si="6"/>
        <v>0</v>
      </c>
      <c r="BJ70" s="95">
        <f>VLOOKUP(BD70,CENY!$B$11:$M$2025,12,FALSE)</f>
        <v>233.96566000000001</v>
      </c>
      <c r="BK70" s="95">
        <f t="shared" si="7"/>
        <v>0</v>
      </c>
    </row>
    <row r="71" spans="47:63" ht="14.4" customHeight="1">
      <c r="AU71" s="319"/>
      <c r="AV71" s="21"/>
      <c r="AW71" s="22"/>
      <c r="AX71" s="22"/>
      <c r="AY71" s="23"/>
      <c r="AZ71" s="326" t="str">
        <f t="shared" si="5"/>
        <v/>
      </c>
      <c r="BA71" s="95"/>
      <c r="BB71" s="95" t="str">
        <f t="shared" si="4"/>
        <v/>
      </c>
      <c r="BD71" s="319">
        <f>OBJ!B320</f>
        <v>9256868</v>
      </c>
      <c r="BE71" s="21" t="str">
        <f>VLOOKUP(BD71,CENY!$B$11:$G$1054,2,FALSE)</f>
        <v>Quadro You(M) 450/SiSy 30kg; EB21; ľavý</v>
      </c>
      <c r="BF71" s="22">
        <f>VLOOKUP(BD71,CENY!$B$11:$G$1054,3,FALSE)</f>
        <v>20</v>
      </c>
      <c r="BG71" s="22"/>
      <c r="BH71" s="23">
        <f>AY46</f>
        <v>0</v>
      </c>
      <c r="BI71" s="326">
        <f t="shared" si="6"/>
        <v>0</v>
      </c>
      <c r="BJ71" s="95">
        <f>VLOOKUP(BD71,CENY!$B$11:$M$2025,12,FALSE)</f>
        <v>238.81201999999999</v>
      </c>
      <c r="BK71" s="95">
        <f t="shared" si="7"/>
        <v>0</v>
      </c>
    </row>
    <row r="72" spans="47:63" ht="14.4" customHeight="1">
      <c r="AU72" s="319"/>
      <c r="AV72" s="21"/>
      <c r="AW72" s="22"/>
      <c r="AX72" s="22"/>
      <c r="AY72" s="23"/>
      <c r="AZ72" s="326" t="str">
        <f t="shared" si="5"/>
        <v/>
      </c>
      <c r="BA72" s="95"/>
      <c r="BB72" s="95" t="str">
        <f t="shared" si="4"/>
        <v/>
      </c>
      <c r="BD72" s="319">
        <f>OBJ!B321</f>
        <v>9256869</v>
      </c>
      <c r="BE72" s="21" t="str">
        <f>VLOOKUP(BD72,CENY!$B$11:$G$1054,2,FALSE)</f>
        <v>Quadro You(M) 450/SiSy 30kg; EB21; pravý</v>
      </c>
      <c r="BF72" s="22">
        <f>VLOOKUP(BD72,CENY!$B$11:$G$1054,3,FALSE)</f>
        <v>20</v>
      </c>
      <c r="BG72" s="22"/>
      <c r="BH72" s="23">
        <f>AY46</f>
        <v>0</v>
      </c>
      <c r="BI72" s="326">
        <f t="shared" si="6"/>
        <v>0</v>
      </c>
      <c r="BJ72" s="95">
        <f>VLOOKUP(BD72,CENY!$B$11:$M$2025,12,FALSE)</f>
        <v>238.81201999999999</v>
      </c>
      <c r="BK72" s="95">
        <f t="shared" si="7"/>
        <v>0</v>
      </c>
    </row>
    <row r="73" spans="47:63" ht="14.4" customHeight="1">
      <c r="AU73" s="319"/>
      <c r="AV73" s="21"/>
      <c r="AW73" s="22"/>
      <c r="AX73" s="22"/>
      <c r="AY73" s="23"/>
      <c r="AZ73" s="326" t="str">
        <f t="shared" si="5"/>
        <v/>
      </c>
      <c r="BA73" s="95"/>
      <c r="BB73" s="95" t="str">
        <f t="shared" si="4"/>
        <v/>
      </c>
      <c r="BD73" s="319">
        <f>OBJ!B322</f>
        <v>9256872</v>
      </c>
      <c r="BE73" s="21" t="str">
        <f>VLOOKUP(BD73,CENY!$B$11:$G$1054,2,FALSE)</f>
        <v>Quadro You(M) 500/SiSy 30kg; EB21; ľavý</v>
      </c>
      <c r="BF73" s="22">
        <f>VLOOKUP(BD73,CENY!$B$11:$G$1054,3,FALSE)</f>
        <v>20</v>
      </c>
      <c r="BG73" s="22"/>
      <c r="BH73" s="23">
        <f>AY47</f>
        <v>0</v>
      </c>
      <c r="BI73" s="326">
        <f t="shared" si="6"/>
        <v>0</v>
      </c>
      <c r="BJ73" s="95">
        <f>VLOOKUP(BD73,CENY!$B$11:$M$2025,12,FALSE)</f>
        <v>237.18776</v>
      </c>
      <c r="BK73" s="95">
        <f t="shared" si="7"/>
        <v>0</v>
      </c>
    </row>
    <row r="74" spans="47:63" ht="14.4" customHeight="1">
      <c r="AU74" s="319"/>
      <c r="AV74" s="21"/>
      <c r="AW74" s="22"/>
      <c r="AX74" s="22"/>
      <c r="AY74" s="23"/>
      <c r="AZ74" s="326" t="str">
        <f t="shared" si="5"/>
        <v/>
      </c>
      <c r="BA74" s="95"/>
      <c r="BB74" s="95" t="str">
        <f t="shared" si="4"/>
        <v/>
      </c>
      <c r="BD74" s="319">
        <f>OBJ!B323</f>
        <v>9256873</v>
      </c>
      <c r="BE74" s="21" t="str">
        <f>VLOOKUP(BD74,CENY!$B$11:$G$1054,2,FALSE)</f>
        <v>Quadro You(M) 500/SiSy 30kg; EB21; pravý</v>
      </c>
      <c r="BF74" s="22">
        <f>VLOOKUP(BD74,CENY!$B$11:$G$1054,3,FALSE)</f>
        <v>20</v>
      </c>
      <c r="BG74" s="22"/>
      <c r="BH74" s="23">
        <f>AY47</f>
        <v>0</v>
      </c>
      <c r="BI74" s="326">
        <f t="shared" si="6"/>
        <v>0</v>
      </c>
      <c r="BJ74" s="95">
        <f>VLOOKUP(BD74,CENY!$B$11:$M$2025,12,FALSE)</f>
        <v>237.18776</v>
      </c>
      <c r="BK74" s="95">
        <f t="shared" si="7"/>
        <v>0</v>
      </c>
    </row>
    <row r="75" spans="47:63" ht="14.4" customHeight="1">
      <c r="AU75" s="319"/>
      <c r="AV75" s="21"/>
      <c r="AW75" s="22"/>
      <c r="AX75" s="22"/>
      <c r="AY75" s="23"/>
      <c r="AZ75" s="326" t="str">
        <f t="shared" si="5"/>
        <v/>
      </c>
      <c r="BA75" s="95"/>
      <c r="BB75" s="95" t="str">
        <f t="shared" si="4"/>
        <v/>
      </c>
      <c r="BD75" s="319">
        <f>OBJ!B324</f>
        <v>9256876</v>
      </c>
      <c r="BE75" s="21" t="str">
        <f>VLOOKUP(BD75,CENY!$B$11:$G$1054,2,FALSE)</f>
        <v>Quadro You(M) 550/SiSy 30kg; EB21; ľavý</v>
      </c>
      <c r="BF75" s="22">
        <f>VLOOKUP(BD75,CENY!$B$11:$G$1054,3,FALSE)</f>
        <v>20</v>
      </c>
      <c r="BG75" s="22"/>
      <c r="BH75" s="23">
        <f>AY48</f>
        <v>0</v>
      </c>
      <c r="BI75" s="326">
        <f t="shared" si="6"/>
        <v>0</v>
      </c>
      <c r="BJ75" s="95">
        <f>VLOOKUP(BD75,CENY!$B$11:$M$2025,12,FALSE)</f>
        <v>241.90996999999999</v>
      </c>
      <c r="BK75" s="95">
        <f t="shared" si="7"/>
        <v>0</v>
      </c>
    </row>
    <row r="76" spans="47:63" ht="14.4" customHeight="1">
      <c r="AU76" s="319"/>
      <c r="AV76" s="21"/>
      <c r="AW76" s="22"/>
      <c r="AX76" s="22"/>
      <c r="AY76" s="23"/>
      <c r="AZ76" s="326" t="str">
        <f t="shared" si="5"/>
        <v/>
      </c>
      <c r="BA76" s="95"/>
      <c r="BB76" s="95" t="str">
        <f t="shared" si="4"/>
        <v/>
      </c>
      <c r="BD76" s="319">
        <f>OBJ!B325</f>
        <v>9256877</v>
      </c>
      <c r="BE76" s="21" t="str">
        <f>VLOOKUP(BD76,CENY!$B$11:$G$1054,2,FALSE)</f>
        <v>Quadro You(M) 550/SiSy 30kg; EB21; pravý</v>
      </c>
      <c r="BF76" s="22">
        <f>VLOOKUP(BD76,CENY!$B$11:$G$1054,3,FALSE)</f>
        <v>20</v>
      </c>
      <c r="BG76" s="22"/>
      <c r="BH76" s="23">
        <f>AY48</f>
        <v>0</v>
      </c>
      <c r="BI76" s="326">
        <f t="shared" si="6"/>
        <v>0</v>
      </c>
      <c r="BJ76" s="95">
        <f>VLOOKUP(BD76,CENY!$B$11:$M$2025,12,FALSE)</f>
        <v>248.51953</v>
      </c>
      <c r="BK76" s="95">
        <f t="shared" si="7"/>
        <v>0</v>
      </c>
    </row>
    <row r="77" spans="47:63" ht="14.4" customHeight="1">
      <c r="AU77" s="319"/>
      <c r="AV77" s="21"/>
      <c r="AW77" s="22"/>
      <c r="AX77" s="22"/>
      <c r="AY77" s="23"/>
      <c r="AZ77" s="326" t="str">
        <f t="shared" si="5"/>
        <v/>
      </c>
      <c r="BA77" s="95"/>
      <c r="BB77" s="95" t="str">
        <f t="shared" si="4"/>
        <v/>
      </c>
      <c r="BD77" s="319">
        <f>OBJ!B326</f>
        <v>9256880</v>
      </c>
      <c r="BE77" s="21" t="str">
        <f>VLOOKUP(BD77,CENY!$B$11:$G$1054,2,FALSE)</f>
        <v>Quadro You(M) 600/SiSy 25kg; EB21; ľavý</v>
      </c>
      <c r="BF77" s="22">
        <f>VLOOKUP(BD77,CENY!$B$11:$G$1054,3,FALSE)</f>
        <v>20</v>
      </c>
      <c r="BG77" s="22"/>
      <c r="BH77" s="23">
        <f>AY49</f>
        <v>0</v>
      </c>
      <c r="BI77" s="326">
        <f t="shared" si="6"/>
        <v>0</v>
      </c>
      <c r="BJ77" s="95">
        <f>VLOOKUP(BD77,CENY!$B$11:$M$2025,12,FALSE)</f>
        <v>253.36837</v>
      </c>
      <c r="BK77" s="95">
        <f t="shared" si="7"/>
        <v>0</v>
      </c>
    </row>
    <row r="78" spans="47:63" ht="14.4" customHeight="1">
      <c r="AU78" s="319"/>
      <c r="AV78" s="21"/>
      <c r="AW78" s="22"/>
      <c r="AX78" s="22"/>
      <c r="AY78" s="23"/>
      <c r="AZ78" s="326" t="str">
        <f t="shared" si="5"/>
        <v/>
      </c>
      <c r="BA78" s="95"/>
      <c r="BB78" s="95" t="str">
        <f t="shared" si="4"/>
        <v/>
      </c>
      <c r="BD78" s="319">
        <f>OBJ!B327</f>
        <v>9256881</v>
      </c>
      <c r="BE78" s="21" t="str">
        <f>VLOOKUP(BD78,CENY!$B$11:$G$1054,2,FALSE)</f>
        <v>Quadro You(M) 600/SiSy 25kg; EB21; pravý</v>
      </c>
      <c r="BF78" s="22">
        <f>VLOOKUP(BD78,CENY!$B$11:$G$1054,3,FALSE)</f>
        <v>20</v>
      </c>
      <c r="BG78" s="22"/>
      <c r="BH78" s="23">
        <f>AY49</f>
        <v>0</v>
      </c>
      <c r="BI78" s="326">
        <f t="shared" si="6"/>
        <v>0</v>
      </c>
      <c r="BJ78" s="95">
        <f>VLOOKUP(BD78,CENY!$B$11:$M$2025,12,FALSE)</f>
        <v>253.36837</v>
      </c>
      <c r="BK78" s="95">
        <f t="shared" si="7"/>
        <v>0</v>
      </c>
    </row>
    <row r="79" spans="47:63" ht="14.4" customHeight="1">
      <c r="AU79" s="319"/>
      <c r="AV79" s="21"/>
      <c r="AW79" s="22"/>
      <c r="AX79" s="22"/>
      <c r="AY79" s="23"/>
      <c r="AZ79" s="326" t="str">
        <f t="shared" si="5"/>
        <v/>
      </c>
      <c r="BA79" s="95"/>
      <c r="BB79" s="95" t="str">
        <f t="shared" si="4"/>
        <v/>
      </c>
      <c r="BD79" s="319"/>
      <c r="BE79" s="21"/>
      <c r="BF79" s="22"/>
      <c r="BG79" s="22"/>
      <c r="BH79" s="23"/>
      <c r="BI79" s="326" t="str">
        <f t="shared" si="6"/>
        <v/>
      </c>
      <c r="BJ79" s="95"/>
      <c r="BK79" s="95" t="str">
        <f t="shared" si="7"/>
        <v/>
      </c>
    </row>
    <row r="80" spans="47:63" ht="14.4" customHeight="1">
      <c r="AU80" s="319"/>
      <c r="AV80" s="21"/>
      <c r="AW80" s="22"/>
      <c r="AX80" s="22"/>
      <c r="AY80" s="23"/>
      <c r="AZ80" s="326" t="str">
        <f t="shared" si="5"/>
        <v/>
      </c>
      <c r="BA80" s="95"/>
      <c r="BB80" s="95" t="str">
        <f t="shared" si="4"/>
        <v/>
      </c>
      <c r="BD80" s="319">
        <f>OBJ!B329</f>
        <v>9257894</v>
      </c>
      <c r="BE80" s="21" t="str">
        <f>VLOOKUP(BD80,CENY!$B$11:$G$1054,2,FALSE)</f>
        <v>Quadro You - Push to open Silent; &lt;10kg</v>
      </c>
      <c r="BF80" s="22">
        <f>VLOOKUP(BD80,CENY!$B$11:$G$1054,3,FALSE)</f>
        <v>1</v>
      </c>
      <c r="BG80" s="22"/>
      <c r="BH80" s="23">
        <f>AY51</f>
        <v>0</v>
      </c>
      <c r="BI80" s="326">
        <f t="shared" si="6"/>
        <v>0</v>
      </c>
      <c r="BJ80" s="95">
        <f>VLOOKUP(BD80,CENY!$B$11:$M$2025,12,FALSE)</f>
        <v>480.50922000000003</v>
      </c>
      <c r="BK80" s="95">
        <f t="shared" si="7"/>
        <v>0</v>
      </c>
    </row>
    <row r="81" spans="47:63" ht="14.4" customHeight="1">
      <c r="AU81" s="319"/>
      <c r="AV81" s="21"/>
      <c r="AW81" s="22"/>
      <c r="AX81" s="22"/>
      <c r="AY81" s="23"/>
      <c r="AZ81" s="326" t="str">
        <f t="shared" si="5"/>
        <v/>
      </c>
      <c r="BA81" s="95"/>
      <c r="BB81" s="95" t="str">
        <f t="shared" si="4"/>
        <v/>
      </c>
      <c r="BD81" s="319">
        <f>OBJ!B330</f>
        <v>9257895</v>
      </c>
      <c r="BE81" s="21" t="str">
        <f>VLOOKUP(BD81,CENY!$B$11:$G$1054,2,FALSE)</f>
        <v>Quadro You - Push to open Silent; 8-20kg</v>
      </c>
      <c r="BF81" s="22">
        <f>VLOOKUP(BD81,CENY!$B$11:$G$1054,3,FALSE)</f>
        <v>1</v>
      </c>
      <c r="BG81" s="22"/>
      <c r="BH81" s="23">
        <f>AY52</f>
        <v>0</v>
      </c>
      <c r="BI81" s="326">
        <f t="shared" si="6"/>
        <v>0</v>
      </c>
      <c r="BJ81" s="95">
        <f>VLOOKUP(BD81,CENY!$B$11:$M$2025,12,FALSE)</f>
        <v>480.50922000000003</v>
      </c>
      <c r="BK81" s="95">
        <f t="shared" si="7"/>
        <v>0</v>
      </c>
    </row>
    <row r="82" spans="47:63" ht="14.4" customHeight="1">
      <c r="AU82" s="319"/>
      <c r="AV82" s="21"/>
      <c r="AW82" s="22"/>
      <c r="AX82" s="22"/>
      <c r="AY82" s="23"/>
      <c r="AZ82" s="326" t="str">
        <f t="shared" si="5"/>
        <v/>
      </c>
      <c r="BA82" s="95"/>
      <c r="BB82" s="95" t="str">
        <f t="shared" si="4"/>
        <v/>
      </c>
      <c r="BD82" s="319">
        <f>OBJ!B331</f>
        <v>9257896</v>
      </c>
      <c r="BE82" s="21" t="str">
        <f>VLOOKUP(BD82,CENY!$B$11:$G$1054,2,FALSE)</f>
        <v>Quadro You - Push to open Silent; 10-30kg</v>
      </c>
      <c r="BF82" s="22">
        <f>VLOOKUP(BD82,CENY!$B$11:$G$1054,3,FALSE)</f>
        <v>1</v>
      </c>
      <c r="BG82" s="22"/>
      <c r="BH82" s="23">
        <f>AY53</f>
        <v>0</v>
      </c>
      <c r="BI82" s="326">
        <f t="shared" si="6"/>
        <v>0</v>
      </c>
      <c r="BJ82" s="95">
        <f>VLOOKUP(BD82,CENY!$B$11:$M$2025,12,FALSE)</f>
        <v>480.50922000000003</v>
      </c>
      <c r="BK82" s="95">
        <f t="shared" si="7"/>
        <v>0</v>
      </c>
    </row>
    <row r="83" spans="47:63" ht="14.4" customHeight="1">
      <c r="AU83" s="319"/>
      <c r="AV83" s="21"/>
      <c r="AW83" s="22"/>
      <c r="AX83" s="22"/>
      <c r="AY83" s="23"/>
      <c r="AZ83" s="326" t="str">
        <f t="shared" si="5"/>
        <v/>
      </c>
      <c r="BA83" s="95"/>
      <c r="BB83" s="95" t="str">
        <f t="shared" si="4"/>
        <v/>
      </c>
      <c r="BD83" s="319"/>
      <c r="BE83" s="21"/>
      <c r="BF83" s="22"/>
      <c r="BG83" s="22"/>
      <c r="BH83" s="23"/>
      <c r="BI83" s="326" t="str">
        <f t="shared" si="6"/>
        <v/>
      </c>
      <c r="BJ83" s="95"/>
      <c r="BK83" s="95" t="str">
        <f t="shared" si="7"/>
        <v/>
      </c>
    </row>
    <row r="84" spans="47:63" ht="14.4" customHeight="1">
      <c r="AU84" s="20"/>
      <c r="AV84" s="21"/>
      <c r="AW84" s="22"/>
      <c r="AX84" s="22"/>
      <c r="AY84" s="23"/>
      <c r="AZ84" s="326" t="str">
        <f t="shared" si="5"/>
        <v/>
      </c>
      <c r="BA84" s="95"/>
      <c r="BB84" s="95" t="str">
        <f t="shared" si="4"/>
        <v/>
      </c>
      <c r="BD84" s="319">
        <f>OBJ!B345</f>
        <v>9256905</v>
      </c>
      <c r="BE84" s="21" t="str">
        <f>VLOOKUP(BD84,CENY!$B$11:$G$1054,2,FALSE)</f>
        <v>Quadro You(M) 350/P2O 25kg; EB21; ľavý</v>
      </c>
      <c r="BF84" s="22">
        <f>VLOOKUP(BD84,CENY!$B$11:$G$1054,3,FALSE)</f>
        <v>20</v>
      </c>
      <c r="BG84" s="22"/>
      <c r="BH84" s="23">
        <f>AY55</f>
        <v>0</v>
      </c>
      <c r="BI84" s="326">
        <f t="shared" si="6"/>
        <v>0</v>
      </c>
      <c r="BJ84" s="95">
        <f>VLOOKUP(BD84,CENY!$B$11:$M$2025,12,FALSE)</f>
        <v>258.22465999999997</v>
      </c>
      <c r="BK84" s="95">
        <f t="shared" si="7"/>
        <v>0</v>
      </c>
    </row>
    <row r="85" spans="47:63" ht="14.4" customHeight="1">
      <c r="AU85" s="20"/>
      <c r="AV85" s="21"/>
      <c r="AW85" s="22"/>
      <c r="AX85" s="22"/>
      <c r="AY85" s="23"/>
      <c r="AZ85" s="326" t="str">
        <f t="shared" si="5"/>
        <v/>
      </c>
      <c r="BA85" s="95"/>
      <c r="BB85" s="95" t="str">
        <f t="shared" si="4"/>
        <v/>
      </c>
      <c r="BD85" s="319">
        <f>OBJ!B346</f>
        <v>9256906</v>
      </c>
      <c r="BE85" s="21" t="str">
        <f>VLOOKUP(BD85,CENY!$B$11:$G$1054,2,FALSE)</f>
        <v>Quadro You(M) 350/P2O 25kg; EB21; pravý</v>
      </c>
      <c r="BF85" s="22">
        <f>VLOOKUP(BD85,CENY!$B$11:$G$1054,3,FALSE)</f>
        <v>20</v>
      </c>
      <c r="BG85" s="22"/>
      <c r="BH85" s="23">
        <f>AY55</f>
        <v>0</v>
      </c>
      <c r="BI85" s="326">
        <f t="shared" si="6"/>
        <v>0</v>
      </c>
      <c r="BJ85" s="95">
        <f>VLOOKUP(BD85,CENY!$B$11:$M$2025,12,FALSE)</f>
        <v>258.22465999999997</v>
      </c>
      <c r="BK85" s="95">
        <f t="shared" si="7"/>
        <v>0</v>
      </c>
    </row>
    <row r="86" spans="47:63" ht="14.4" customHeight="1">
      <c r="AU86" s="20"/>
      <c r="AV86" s="21"/>
      <c r="AW86" s="22"/>
      <c r="AX86" s="22"/>
      <c r="AY86" s="23"/>
      <c r="AZ86" s="326" t="str">
        <f t="shared" si="5"/>
        <v/>
      </c>
      <c r="BA86" s="95"/>
      <c r="BB86" s="95" t="str">
        <f t="shared" si="4"/>
        <v/>
      </c>
      <c r="BD86" s="319">
        <f>OBJ!B347</f>
        <v>9256909</v>
      </c>
      <c r="BE86" s="21" t="str">
        <f>VLOOKUP(BD86,CENY!$B$11:$G$1054,2,FALSE)</f>
        <v>Quadro You(M) 400/P2O 30kg; EB21; ľavý</v>
      </c>
      <c r="BF86" s="22">
        <f>VLOOKUP(BD86,CENY!$B$11:$G$1054,3,FALSE)</f>
        <v>20</v>
      </c>
      <c r="BG86" s="22"/>
      <c r="BH86" s="23">
        <f>AY56</f>
        <v>0</v>
      </c>
      <c r="BI86" s="326">
        <f t="shared" si="6"/>
        <v>0</v>
      </c>
      <c r="BJ86" s="95">
        <f>VLOOKUP(BD86,CENY!$B$11:$M$2025,12,FALSE)</f>
        <v>263.07337999999999</v>
      </c>
      <c r="BK86" s="95">
        <f t="shared" si="7"/>
        <v>0</v>
      </c>
    </row>
    <row r="87" spans="47:63" ht="14.4" customHeight="1">
      <c r="AU87" s="20"/>
      <c r="AV87" s="21"/>
      <c r="AW87" s="22"/>
      <c r="AX87" s="22"/>
      <c r="AY87" s="23"/>
      <c r="AZ87" s="326" t="str">
        <f t="shared" si="5"/>
        <v/>
      </c>
      <c r="BA87" s="95"/>
      <c r="BB87" s="95" t="str">
        <f t="shared" si="4"/>
        <v/>
      </c>
      <c r="BD87" s="319">
        <f>OBJ!B348</f>
        <v>9256910</v>
      </c>
      <c r="BE87" s="21" t="str">
        <f>VLOOKUP(BD87,CENY!$B$11:$G$1054,2,FALSE)</f>
        <v>Quadro You(M) 400/P2O 30kg; EB21; pravý</v>
      </c>
      <c r="BF87" s="22">
        <f>VLOOKUP(BD87,CENY!$B$11:$G$1054,3,FALSE)</f>
        <v>20</v>
      </c>
      <c r="BG87" s="22"/>
      <c r="BH87" s="23">
        <f>AY56</f>
        <v>0</v>
      </c>
      <c r="BI87" s="326">
        <f t="shared" si="6"/>
        <v>0</v>
      </c>
      <c r="BJ87" s="95">
        <f>VLOOKUP(BD87,CENY!$B$11:$M$2025,12,FALSE)</f>
        <v>263.07337999999999</v>
      </c>
      <c r="BK87" s="95">
        <f t="shared" si="7"/>
        <v>0</v>
      </c>
    </row>
    <row r="88" spans="47:63" ht="14.4" customHeight="1">
      <c r="AU88" s="20"/>
      <c r="AV88" s="21"/>
      <c r="AW88" s="22"/>
      <c r="AX88" s="22"/>
      <c r="AY88" s="23"/>
      <c r="AZ88" s="326" t="str">
        <f t="shared" si="5"/>
        <v/>
      </c>
      <c r="BA88" s="95"/>
      <c r="BB88" s="95" t="str">
        <f t="shared" si="4"/>
        <v/>
      </c>
      <c r="BD88" s="319">
        <f>OBJ!B349</f>
        <v>9256913</v>
      </c>
      <c r="BE88" s="21" t="str">
        <f>VLOOKUP(BD88,CENY!$B$11:$G$1054,2,FALSE)</f>
        <v>Quadro You(M) 450/P2O 30kg; EB21; ľavý</v>
      </c>
      <c r="BF88" s="22">
        <f>VLOOKUP(BD88,CENY!$B$11:$G$1054,3,FALSE)</f>
        <v>20</v>
      </c>
      <c r="BG88" s="22"/>
      <c r="BH88" s="23">
        <f>AY57</f>
        <v>0</v>
      </c>
      <c r="BI88" s="326">
        <f t="shared" si="6"/>
        <v>0</v>
      </c>
      <c r="BJ88" s="95">
        <f>VLOOKUP(BD88,CENY!$B$11:$M$2025,12,FALSE)</f>
        <v>267.92221999999998</v>
      </c>
      <c r="BK88" s="95">
        <f t="shared" si="7"/>
        <v>0</v>
      </c>
    </row>
    <row r="89" spans="47:63" ht="14.4" customHeight="1">
      <c r="AU89" s="20"/>
      <c r="AV89" s="21"/>
      <c r="AW89" s="22"/>
      <c r="AX89" s="22"/>
      <c r="AY89" s="23"/>
      <c r="AZ89" s="326" t="str">
        <f t="shared" si="5"/>
        <v/>
      </c>
      <c r="BA89" s="95"/>
      <c r="BB89" s="95" t="str">
        <f t="shared" si="4"/>
        <v/>
      </c>
      <c r="BD89" s="319">
        <f>OBJ!B350</f>
        <v>9256914</v>
      </c>
      <c r="BE89" s="21" t="str">
        <f>VLOOKUP(BD89,CENY!$B$11:$G$1054,2,FALSE)</f>
        <v>Quadro You(M) 450/P2O 30kg; EB21; pravý</v>
      </c>
      <c r="BF89" s="22">
        <f>VLOOKUP(BD89,CENY!$B$11:$G$1054,3,FALSE)</f>
        <v>20</v>
      </c>
      <c r="BG89" s="22"/>
      <c r="BH89" s="23">
        <f>AY57</f>
        <v>0</v>
      </c>
      <c r="BI89" s="326">
        <f t="shared" si="6"/>
        <v>0</v>
      </c>
      <c r="BJ89" s="95">
        <f>VLOOKUP(BD89,CENY!$B$11:$M$2025,12,FALSE)</f>
        <v>267.92221999999998</v>
      </c>
      <c r="BK89" s="95">
        <f t="shared" si="7"/>
        <v>0</v>
      </c>
    </row>
    <row r="90" spans="47:63" ht="14.4" customHeight="1">
      <c r="AU90" s="20"/>
      <c r="AV90" s="21"/>
      <c r="AW90" s="22"/>
      <c r="AX90" s="22"/>
      <c r="AY90" s="23"/>
      <c r="AZ90" s="326" t="str">
        <f t="shared" si="5"/>
        <v/>
      </c>
      <c r="BA90" s="95"/>
      <c r="BB90" s="95" t="str">
        <f t="shared" si="4"/>
        <v/>
      </c>
      <c r="BD90" s="319">
        <f>OBJ!B351</f>
        <v>9256917</v>
      </c>
      <c r="BE90" s="21" t="str">
        <f>VLOOKUP(BD90,CENY!$B$11:$G$1054,2,FALSE)</f>
        <v>Quadro You(M) 500/P2O 30kg; EB21; ľavý</v>
      </c>
      <c r="BF90" s="22">
        <f>VLOOKUP(BD90,CENY!$B$11:$G$1054,3,FALSE)</f>
        <v>20</v>
      </c>
      <c r="BG90" s="22"/>
      <c r="BH90" s="23">
        <f>AY58</f>
        <v>0</v>
      </c>
      <c r="BI90" s="326">
        <f t="shared" si="6"/>
        <v>0</v>
      </c>
      <c r="BJ90" s="95">
        <f>VLOOKUP(BD90,CENY!$B$11:$M$2025,12,FALSE)</f>
        <v>265.52375999999998</v>
      </c>
      <c r="BK90" s="95">
        <f t="shared" si="7"/>
        <v>0</v>
      </c>
    </row>
    <row r="91" spans="47:63" ht="14.4" customHeight="1">
      <c r="AU91" s="20"/>
      <c r="AV91" s="21"/>
      <c r="AW91" s="22"/>
      <c r="AX91" s="22"/>
      <c r="AY91" s="23"/>
      <c r="AZ91" s="326" t="str">
        <f t="shared" si="5"/>
        <v/>
      </c>
      <c r="BA91" s="95"/>
      <c r="BB91" s="95" t="str">
        <f t="shared" si="4"/>
        <v/>
      </c>
      <c r="BD91" s="319">
        <f>OBJ!B352</f>
        <v>9256918</v>
      </c>
      <c r="BE91" s="21" t="str">
        <f>VLOOKUP(BD91,CENY!$B$11:$G$1054,2,FALSE)</f>
        <v>Quadro You(M) 500/P2O 30kg; EB21; pravý</v>
      </c>
      <c r="BF91" s="22">
        <f>VLOOKUP(BD91,CENY!$B$11:$G$1054,3,FALSE)</f>
        <v>20</v>
      </c>
      <c r="BG91" s="22"/>
      <c r="BH91" s="23">
        <f>AY58</f>
        <v>0</v>
      </c>
      <c r="BI91" s="326">
        <f t="shared" si="6"/>
        <v>0</v>
      </c>
      <c r="BJ91" s="95">
        <f>VLOOKUP(BD91,CENY!$B$11:$M$2025,12,FALSE)</f>
        <v>265.52375999999998</v>
      </c>
      <c r="BK91" s="95">
        <f t="shared" si="7"/>
        <v>0</v>
      </c>
    </row>
    <row r="92" spans="47:63" ht="14.4" customHeight="1">
      <c r="AU92" s="20"/>
      <c r="AV92" s="21"/>
      <c r="AW92" s="22"/>
      <c r="AX92" s="22"/>
      <c r="AY92" s="23"/>
      <c r="AZ92" s="326" t="str">
        <f t="shared" si="5"/>
        <v/>
      </c>
      <c r="BA92" s="95"/>
      <c r="BB92" s="95" t="str">
        <f t="shared" si="4"/>
        <v/>
      </c>
      <c r="BD92" s="319">
        <f>OBJ!B353</f>
        <v>9256921</v>
      </c>
      <c r="BE92" s="21" t="str">
        <f>VLOOKUP(BD92,CENY!$B$11:$G$1054,2,FALSE)</f>
        <v>Quadro You(M) 550/P2O 30kg; EB21; ľavý</v>
      </c>
      <c r="BF92" s="22">
        <f>VLOOKUP(BD92,CENY!$B$11:$G$1054,3,FALSE)</f>
        <v>20</v>
      </c>
      <c r="BG92" s="22"/>
      <c r="BH92" s="23">
        <f>AY59</f>
        <v>0</v>
      </c>
      <c r="BI92" s="326">
        <f t="shared" si="6"/>
        <v>0</v>
      </c>
      <c r="BJ92" s="95">
        <f>VLOOKUP(BD92,CENY!$B$11:$M$2025,12,FALSE)</f>
        <v>270.22431</v>
      </c>
      <c r="BK92" s="95">
        <f t="shared" si="7"/>
        <v>0</v>
      </c>
    </row>
    <row r="93" spans="47:63" ht="14.4" customHeight="1">
      <c r="AU93" s="20"/>
      <c r="AV93" s="21"/>
      <c r="AW93" s="22"/>
      <c r="AX93" s="22"/>
      <c r="AY93" s="23"/>
      <c r="AZ93" s="326" t="str">
        <f t="shared" si="5"/>
        <v/>
      </c>
      <c r="BA93" s="95"/>
      <c r="BB93" s="95" t="str">
        <f t="shared" si="4"/>
        <v/>
      </c>
      <c r="BD93" s="319">
        <f>OBJ!B354</f>
        <v>9256922</v>
      </c>
      <c r="BE93" s="21" t="str">
        <f>VLOOKUP(BD93,CENY!$B$11:$G$1054,2,FALSE)</f>
        <v>Quadro You(M) 550/P2O 30kg; EB21; pravý</v>
      </c>
      <c r="BF93" s="22">
        <f>VLOOKUP(BD93,CENY!$B$11:$G$1054,3,FALSE)</f>
        <v>20</v>
      </c>
      <c r="BG93" s="22"/>
      <c r="BH93" s="23">
        <f>AY59</f>
        <v>0</v>
      </c>
      <c r="BI93" s="326">
        <f t="shared" si="6"/>
        <v>0</v>
      </c>
      <c r="BJ93" s="95">
        <f>VLOOKUP(BD93,CENY!$B$11:$M$2025,12,FALSE)</f>
        <v>277.60748999999998</v>
      </c>
      <c r="BK93" s="95">
        <f t="shared" si="7"/>
        <v>0</v>
      </c>
    </row>
    <row r="94" spans="47:63" ht="14.4" customHeight="1">
      <c r="AU94" s="20"/>
      <c r="AV94" s="21"/>
      <c r="AW94" s="22"/>
      <c r="AX94" s="22"/>
      <c r="AY94" s="23"/>
      <c r="AZ94" s="326" t="str">
        <f t="shared" si="5"/>
        <v/>
      </c>
      <c r="BA94" s="95"/>
      <c r="BB94" s="95" t="str">
        <f t="shared" si="4"/>
        <v/>
      </c>
      <c r="BD94" s="319">
        <f>OBJ!B355</f>
        <v>9256925</v>
      </c>
      <c r="BE94" s="21" t="str">
        <f>VLOOKUP(BD94,CENY!$B$11:$G$1054,2,FALSE)</f>
        <v>Quadro You(M) 600/P2O 25kg; EB21; ľavý</v>
      </c>
      <c r="BF94" s="22">
        <f>VLOOKUP(BD94,CENY!$B$11:$G$1054,3,FALSE)</f>
        <v>20</v>
      </c>
      <c r="BG94" s="22"/>
      <c r="BH94" s="23">
        <f>AY60</f>
        <v>0</v>
      </c>
      <c r="BI94" s="326">
        <f t="shared" si="6"/>
        <v>0</v>
      </c>
      <c r="BJ94" s="95">
        <f>VLOOKUP(BD94,CENY!$B$11:$M$2025,12,FALSE)</f>
        <v>282.45375999999999</v>
      </c>
      <c r="BK94" s="95">
        <f t="shared" si="7"/>
        <v>0</v>
      </c>
    </row>
    <row r="95" spans="47:63" ht="14.4" customHeight="1">
      <c r="AU95" s="20"/>
      <c r="AV95" s="21"/>
      <c r="AW95" s="22"/>
      <c r="AX95" s="22"/>
      <c r="AY95" s="23"/>
      <c r="AZ95" s="326" t="str">
        <f t="shared" si="5"/>
        <v/>
      </c>
      <c r="BA95" s="95"/>
      <c r="BB95" s="95" t="str">
        <f t="shared" si="4"/>
        <v/>
      </c>
      <c r="BD95" s="319">
        <f>OBJ!B356</f>
        <v>9256926</v>
      </c>
      <c r="BE95" s="21" t="str">
        <f>VLOOKUP(BD95,CENY!$B$11:$G$1054,2,FALSE)</f>
        <v>Quadro You(M) 600/P2O 25kg; EB21; pravý</v>
      </c>
      <c r="BF95" s="22">
        <f>VLOOKUP(BD95,CENY!$B$11:$G$1054,3,FALSE)</f>
        <v>20</v>
      </c>
      <c r="BG95" s="22"/>
      <c r="BH95" s="23">
        <f>AY60</f>
        <v>0</v>
      </c>
      <c r="BI95" s="326">
        <f t="shared" si="6"/>
        <v>0</v>
      </c>
      <c r="BJ95" s="95">
        <f>VLOOKUP(BD95,CENY!$B$11:$M$2025,12,FALSE)</f>
        <v>282.45375999999999</v>
      </c>
      <c r="BK95" s="95">
        <f t="shared" si="7"/>
        <v>0</v>
      </c>
    </row>
    <row r="96" spans="47:63" ht="14.4" customHeight="1">
      <c r="AU96" s="20"/>
      <c r="AV96" s="21"/>
      <c r="AW96" s="22"/>
      <c r="AX96" s="22"/>
      <c r="AY96" s="23"/>
      <c r="AZ96" s="326" t="str">
        <f t="shared" si="5"/>
        <v/>
      </c>
      <c r="BA96" s="95"/>
      <c r="BB96" s="95" t="str">
        <f t="shared" si="4"/>
        <v/>
      </c>
      <c r="BD96" s="319"/>
      <c r="BE96" s="21"/>
      <c r="BF96" s="22"/>
      <c r="BG96" s="22"/>
      <c r="BH96" s="23"/>
      <c r="BI96" s="326" t="str">
        <f t="shared" si="6"/>
        <v/>
      </c>
      <c r="BJ96" s="95"/>
      <c r="BK96" s="95" t="str">
        <f t="shared" si="7"/>
        <v/>
      </c>
    </row>
    <row r="97" spans="47:63" ht="14.4" customHeight="1">
      <c r="AU97" s="20"/>
      <c r="AV97" s="21"/>
      <c r="AW97" s="22"/>
      <c r="AX97" s="22"/>
      <c r="AY97" s="23"/>
      <c r="AZ97" s="326" t="str">
        <f t="shared" si="5"/>
        <v/>
      </c>
      <c r="BA97" s="95"/>
      <c r="BB97" s="95" t="str">
        <f t="shared" si="4"/>
        <v/>
      </c>
      <c r="BD97" s="319">
        <f>OBJ!B358</f>
        <v>9219966</v>
      </c>
      <c r="BE97" s="21" t="str">
        <f>VLOOKUP(BD97,CENY!$B$11:$G$1054,2,FALSE)</f>
        <v>Push to open Synchro / adaptér typ A</v>
      </c>
      <c r="BF97" s="22">
        <f>VLOOKUP(BD97,CENY!$B$11:$G$1054,3,FALSE)</f>
        <v>200</v>
      </c>
      <c r="BG97" s="22"/>
      <c r="BH97" s="23">
        <f>AY62</f>
        <v>0</v>
      </c>
      <c r="BI97" s="326">
        <f t="shared" si="6"/>
        <v>0</v>
      </c>
      <c r="BJ97" s="95">
        <f>VLOOKUP(BD97,CENY!$B$11:$M$2025,12,FALSE)</f>
        <v>16.488900000000001</v>
      </c>
      <c r="BK97" s="95">
        <f t="shared" si="7"/>
        <v>0</v>
      </c>
    </row>
    <row r="98" spans="47:63" ht="14.4" customHeight="1">
      <c r="AU98" s="20"/>
      <c r="AV98" s="21"/>
      <c r="AW98" s="22"/>
      <c r="AX98" s="22"/>
      <c r="AY98" s="23"/>
      <c r="AZ98" s="326" t="str">
        <f t="shared" si="5"/>
        <v/>
      </c>
      <c r="BA98" s="95"/>
      <c r="BB98" s="95" t="str">
        <f t="shared" si="4"/>
        <v/>
      </c>
      <c r="BD98" s="319"/>
      <c r="BE98" s="21"/>
      <c r="BF98" s="22"/>
      <c r="BG98" s="22"/>
      <c r="BH98" s="23"/>
      <c r="BI98" s="326" t="str">
        <f t="shared" si="6"/>
        <v/>
      </c>
      <c r="BJ98" s="95"/>
      <c r="BK98" s="95" t="str">
        <f t="shared" si="7"/>
        <v/>
      </c>
    </row>
    <row r="99" spans="47:63" ht="14.4" customHeight="1">
      <c r="AU99" s="20"/>
      <c r="AV99" s="21"/>
      <c r="AW99" s="22"/>
      <c r="AX99" s="22"/>
      <c r="AY99" s="23"/>
      <c r="AZ99" s="326" t="str">
        <f t="shared" si="5"/>
        <v/>
      </c>
      <c r="BA99" s="95"/>
      <c r="BB99" s="95" t="str">
        <f t="shared" si="4"/>
        <v/>
      </c>
      <c r="BD99" s="319">
        <f>OBJ!B214</f>
        <v>0</v>
      </c>
      <c r="BE99" s="21" t="e">
        <f>VLOOKUP(BD99,CENY!$B$11:$G$1054,2,FALSE)</f>
        <v>#N/A</v>
      </c>
      <c r="BF99" s="22" t="e">
        <f>VLOOKUP(BD99,CENY!$B$11:$G$1054,3,FALSE)</f>
        <v>#N/A</v>
      </c>
      <c r="BG99" s="22"/>
      <c r="BH99" s="23">
        <f>AY66</f>
        <v>0</v>
      </c>
      <c r="BI99" s="326">
        <f t="shared" si="6"/>
        <v>0</v>
      </c>
      <c r="BJ99" s="324" t="str">
        <f>IF(BD99=0,"",VLOOKUP(BD99,CENY!$B$11:$M$2025,12,FALSE))</f>
        <v/>
      </c>
      <c r="BK99" s="95" t="str">
        <f t="shared" si="7"/>
        <v/>
      </c>
    </row>
    <row r="100" spans="47:63" ht="14.4" customHeight="1">
      <c r="AU100" s="20"/>
      <c r="AV100" s="21"/>
      <c r="AW100" s="22"/>
      <c r="AX100" s="22"/>
      <c r="AY100" s="23"/>
      <c r="AZ100" s="326" t="str">
        <f t="shared" si="5"/>
        <v/>
      </c>
      <c r="BA100" s="95"/>
      <c r="BB100" s="95" t="str">
        <f t="shared" si="4"/>
        <v/>
      </c>
      <c r="BD100" s="319"/>
      <c r="BE100" s="21"/>
      <c r="BF100" s="22"/>
      <c r="BG100" s="22"/>
      <c r="BH100" s="23"/>
      <c r="BI100" s="326" t="str">
        <f t="shared" si="6"/>
        <v/>
      </c>
      <c r="BJ100" s="95"/>
      <c r="BK100" s="95" t="str">
        <f t="shared" si="7"/>
        <v/>
      </c>
    </row>
    <row r="101" spans="47:63">
      <c r="AU101" s="319">
        <f>OBJ!B361</f>
        <v>45167</v>
      </c>
      <c r="AV101" s="21" t="str">
        <f>VLOOKUP(AU101,CENY!$B$11:$G$1054,2,FALSE)</f>
        <v>Skrutka s polgul.hlavou 3,5x12mm</v>
      </c>
      <c r="AW101" s="22">
        <f>VLOOKUP(AU101,CENY!$B$11:$G$1054,3,FALSE)</f>
        <v>200</v>
      </c>
      <c r="AX101" s="22"/>
      <c r="AY101" s="23">
        <f>SUMPRODUCT(AX5:AX11,AY5:AY11)</f>
        <v>0</v>
      </c>
      <c r="AZ101" s="326">
        <f t="shared" si="5"/>
        <v>0</v>
      </c>
      <c r="BA101" s="95">
        <f>VLOOKUP(AU101,CENY!$B$11:$M$2025,12,FALSE)</f>
        <v>0.84719999999999995</v>
      </c>
      <c r="BB101" s="95">
        <f t="shared" si="4"/>
        <v>0</v>
      </c>
      <c r="BC101" s="86" t="s">
        <v>396</v>
      </c>
      <c r="BD101" s="319">
        <f>OBJ!B361</f>
        <v>45167</v>
      </c>
      <c r="BE101" s="21" t="str">
        <f>VLOOKUP(BD101,CENY!$B$11:$G$1054,2,FALSE)</f>
        <v>Skrutka s polgul.hlavou 3,5x12mm</v>
      </c>
      <c r="BF101" s="22">
        <f>VLOOKUP(BD101,CENY!$B$11:$G$1054,3,FALSE)</f>
        <v>200</v>
      </c>
      <c r="BG101" s="22"/>
      <c r="BH101" s="23">
        <f>AY101+BH21*2</f>
        <v>0</v>
      </c>
      <c r="BI101" s="326">
        <f>IF(BH101="","",IF($AW$4=0,BH101,0))</f>
        <v>0</v>
      </c>
      <c r="BJ101" s="95">
        <f>VLOOKUP(BD101,CENY!$B$11:$M$2025,12,FALSE)</f>
        <v>0.84719999999999995</v>
      </c>
      <c r="BK101" s="95">
        <f>IF(BJ101="","",BJ101*BH101)</f>
        <v>0</v>
      </c>
    </row>
    <row r="102" spans="47:63">
      <c r="AU102" s="319">
        <f>OBJ!B362</f>
        <v>45168</v>
      </c>
      <c r="AV102" s="21" t="str">
        <f>VLOOKUP(AU102,CENY!$B$11:$G$1054,2,FALSE)</f>
        <v>Skrutka s polgul.hlavou 3,5x20mm</v>
      </c>
      <c r="AW102" s="22">
        <f>VLOOKUP(AU102,CENY!$B$11:$G$1054,3,FALSE)</f>
        <v>200</v>
      </c>
      <c r="AX102" s="22"/>
      <c r="AY102" s="360">
        <v>0</v>
      </c>
      <c r="AZ102" s="326">
        <f t="shared" si="5"/>
        <v>0</v>
      </c>
      <c r="BA102" s="95">
        <f>VLOOKUP(AU102,CENY!$B$11:$M$2025,12,FALSE)</f>
        <v>1.2154199999999999</v>
      </c>
      <c r="BB102" s="95">
        <f t="shared" si="4"/>
        <v>0</v>
      </c>
      <c r="BC102" s="86" t="s">
        <v>397</v>
      </c>
      <c r="BD102" s="319">
        <f>OBJ!B362</f>
        <v>45168</v>
      </c>
      <c r="BE102" s="21" t="str">
        <f>VLOOKUP(BD102,CENY!$B$11:$G$1054,2,FALSE)</f>
        <v>Skrutka s polgul.hlavou 3,5x20mm</v>
      </c>
      <c r="BF102" s="22">
        <f>VLOOKUP(BD102,CENY!$B$11:$G$1054,3,FALSE)</f>
        <v>200</v>
      </c>
      <c r="BG102" s="22"/>
      <c r="BH102" s="360">
        <f>IF(FORM!$AM$8=FORM!$AU$10,BH20*3,0)</f>
        <v>0</v>
      </c>
      <c r="BI102" s="326">
        <f>IF(BH102="","",IF($AW$4=0,BH102,0))</f>
        <v>0</v>
      </c>
      <c r="BJ102" s="95">
        <f>VLOOKUP(BD102,CENY!$B$11:$M$2025,12,FALSE)</f>
        <v>1.2154199999999999</v>
      </c>
      <c r="BK102" s="95">
        <f>IF(BJ102="","",BJ102*BH102)</f>
        <v>0</v>
      </c>
    </row>
    <row r="103" spans="47:63">
      <c r="AU103" s="319">
        <f>OBJ!B363</f>
        <v>9278224</v>
      </c>
      <c r="AV103" s="21" t="str">
        <f>VLOOKUP(AU103,CENY!$B$11:$G$1054,2,FALSE)</f>
        <v>Skrutka s polgul.hlavou 3,5x30mm</v>
      </c>
      <c r="AW103" s="22">
        <f>VLOOKUP(AU103,CENY!$B$11:$G$1054,3,FALSE)</f>
        <v>200</v>
      </c>
      <c r="AX103" s="22"/>
      <c r="AY103" s="360">
        <v>0</v>
      </c>
      <c r="AZ103" s="326">
        <f t="shared" si="5"/>
        <v>0</v>
      </c>
      <c r="BA103" s="95">
        <f>VLOOKUP(AU103,CENY!$B$11:$M$2025,12,FALSE)</f>
        <v>0.89337999999999995</v>
      </c>
      <c r="BB103" s="95">
        <f t="shared" si="4"/>
        <v>0</v>
      </c>
      <c r="BC103" s="86" t="s">
        <v>398</v>
      </c>
      <c r="BD103" s="319">
        <f>OBJ!B363</f>
        <v>9278224</v>
      </c>
      <c r="BE103" s="21" t="str">
        <f>VLOOKUP(BD103,CENY!$B$11:$G$1054,2,FALSE)</f>
        <v>Skrutka s polgul.hlavou 3,5x30mm</v>
      </c>
      <c r="BF103" s="22">
        <f>VLOOKUP(BD103,CENY!$B$11:$G$1054,3,FALSE)</f>
        <v>200</v>
      </c>
      <c r="BG103" s="22"/>
      <c r="BH103" s="360">
        <f>2*SUM(BH5:BH18)</f>
        <v>0</v>
      </c>
      <c r="BI103" s="326">
        <f>IF(BH103="","",IF($AW$4=0,BH103,0))</f>
        <v>0</v>
      </c>
      <c r="BJ103" s="95">
        <f>VLOOKUP(BD103,CENY!$B$11:$M$2025,12,FALSE)</f>
        <v>0.89337999999999995</v>
      </c>
      <c r="BK103" s="95">
        <f>IF(BJ103="","",BJ103*BH103)</f>
        <v>0</v>
      </c>
    </row>
    <row r="104" spans="47:63">
      <c r="AU104" s="319">
        <f>OBJ!B364</f>
        <v>9279197</v>
      </c>
      <c r="AV104" s="21" t="str">
        <f>VLOOKUP(AU104,CENY!$B$11:$G$1054,2,FALSE)</f>
        <v>Skrutka s polgul.hlavou M3,5x12mm</v>
      </c>
      <c r="AW104" s="22">
        <f>VLOOKUP(AU104,CENY!$B$11:$G$1054,3,FALSE)</f>
        <v>1000</v>
      </c>
      <c r="AX104" s="22"/>
      <c r="AY104" s="68">
        <v>0</v>
      </c>
      <c r="AZ104" s="326">
        <f t="shared" si="5"/>
        <v>0</v>
      </c>
      <c r="BA104" s="95">
        <f>VLOOKUP(AU104,CENY!$B$11:$M$2025,12,FALSE)</f>
        <v>0</v>
      </c>
      <c r="BB104" s="95">
        <f t="shared" si="4"/>
        <v>0</v>
      </c>
      <c r="BC104" s="86" t="s">
        <v>399</v>
      </c>
      <c r="BD104" s="319">
        <f>OBJ!B364</f>
        <v>9279197</v>
      </c>
      <c r="BE104" s="21" t="str">
        <f>VLOOKUP(BD104,CENY!$B$11:$G$1054,2,FALSE)</f>
        <v>Skrutka s polgul.hlavou M3,5x12mm</v>
      </c>
      <c r="BF104" s="22">
        <f>VLOOKUP(BD104,CENY!$B$11:$G$1054,3,FALSE)</f>
        <v>1000</v>
      </c>
      <c r="BG104" s="22"/>
      <c r="BH104" s="68">
        <f>AY104</f>
        <v>0</v>
      </c>
      <c r="BI104" s="326">
        <f>IF(BH104="","",IF($AW$4=0,BH104,0))</f>
        <v>0</v>
      </c>
      <c r="BJ104" s="95">
        <f>VLOOKUP(BD104,CENY!$B$11:$M$2025,12,FALSE)</f>
        <v>0</v>
      </c>
      <c r="BK104" s="95">
        <f>IF(BJ104="","",BJ104*BH104)</f>
        <v>0</v>
      </c>
    </row>
    <row r="105" spans="47:63">
      <c r="AU105" s="319">
        <f>OBJ!B365</f>
        <v>9137114</v>
      </c>
      <c r="AV105" s="21" t="str">
        <f>VLOOKUP(AU105,CENY!$B$11:$G$1054,2,FALSE)</f>
        <v>EURO-skrutka  6,0x14mm / niklovaná</v>
      </c>
      <c r="AW105" s="22">
        <f>VLOOKUP(AU105,CENY!$B$11:$G$1054,3,FALSE)</f>
        <v>200</v>
      </c>
      <c r="AX105" s="22"/>
      <c r="AY105" s="23">
        <f>SUMPRODUCT(AX21:AX60,AY21:AY60)</f>
        <v>0</v>
      </c>
      <c r="AZ105" s="326">
        <f t="shared" si="5"/>
        <v>0</v>
      </c>
      <c r="BA105" s="95">
        <f>VLOOKUP(AU105,CENY!$B$11:$M$2025,12,FALSE)</f>
        <v>1.8839300000000001</v>
      </c>
      <c r="BB105" s="95">
        <f t="shared" si="4"/>
        <v>0</v>
      </c>
      <c r="BC105" s="86" t="s">
        <v>400</v>
      </c>
      <c r="BD105" s="319">
        <f>OBJ!B365</f>
        <v>9137114</v>
      </c>
      <c r="BE105" s="21" t="str">
        <f>VLOOKUP(BD105,CENY!$B$11:$G$1054,2,FALSE)</f>
        <v>EURO-skrutka  6,0x14mm / niklovaná</v>
      </c>
      <c r="BF105" s="22">
        <f>VLOOKUP(BD105,CENY!$B$11:$G$1054,3,FALSE)</f>
        <v>200</v>
      </c>
      <c r="BG105" s="22"/>
      <c r="BH105" s="23">
        <f>AY105</f>
        <v>0</v>
      </c>
      <c r="BI105" s="326">
        <f>IF(BH105="","",IF($AW$4=0,BH105,0))</f>
        <v>0</v>
      </c>
      <c r="BJ105" s="95">
        <f>VLOOKUP(BD105,CENY!$B$11:$M$2025,12,FALSE)</f>
        <v>1.8839300000000001</v>
      </c>
      <c r="BK105" s="95">
        <f>IF(BJ105="","",BJ105*BH105)</f>
        <v>0</v>
      </c>
    </row>
    <row r="106" spans="47:63">
      <c r="AU106" s="20"/>
      <c r="AV106" s="21"/>
      <c r="AW106" s="22"/>
      <c r="AX106" s="22"/>
      <c r="AY106" s="23"/>
      <c r="AZ106" s="326" t="str">
        <f t="shared" si="5"/>
        <v/>
      </c>
      <c r="BA106" s="95"/>
      <c r="BB106" s="95" t="str">
        <f>IF(BA106="","",BA106*AY106)</f>
        <v/>
      </c>
      <c r="BD106" s="319"/>
      <c r="BE106" s="21"/>
      <c r="BF106" s="22"/>
      <c r="BG106" s="22"/>
      <c r="BH106" s="23"/>
      <c r="BI106" s="326" t="str">
        <f t="shared" si="6"/>
        <v/>
      </c>
      <c r="BJ106" s="95"/>
      <c r="BK106" s="95" t="str">
        <f t="shared" si="7"/>
        <v/>
      </c>
    </row>
    <row r="107" spans="47:63">
      <c r="BD107" s="319"/>
      <c r="BE107" s="21"/>
      <c r="BF107" s="22"/>
      <c r="BG107" s="22"/>
      <c r="BH107" s="23"/>
      <c r="BI107" s="326" t="str">
        <f t="shared" si="6"/>
        <v/>
      </c>
      <c r="BJ107" s="95"/>
      <c r="BK107" s="95" t="str">
        <f t="shared" si="7"/>
        <v/>
      </c>
    </row>
    <row r="108" spans="47:63">
      <c r="BD108" s="319"/>
      <c r="BE108" s="21"/>
      <c r="BF108" s="22"/>
      <c r="BG108" s="22"/>
      <c r="BH108" s="23"/>
      <c r="BI108" s="326" t="str">
        <f t="shared" si="6"/>
        <v/>
      </c>
      <c r="BJ108" s="95"/>
      <c r="BK108" s="95" t="str">
        <f t="shared" si="7"/>
        <v/>
      </c>
    </row>
  </sheetData>
  <sheetProtection algorithmName="SHA-512" hashValue="SPZ8qtVFFFp0SAO2xbB93VWADc++lx/XEnRlEpyYCDqZtVlW/uZswSSIF1C0ItJ8dfhM6LFy266l1KN1sxaazw==" saltValue="oUU/+b/6QkCdATtTVCHikg==" spinCount="100000" sheet="1" objects="1" scenarios="1"/>
  <mergeCells count="109">
    <mergeCell ref="AN29:AO29"/>
    <mergeCell ref="B30:G30"/>
    <mergeCell ref="H30:L30"/>
    <mergeCell ref="M30:N30"/>
    <mergeCell ref="S30:T30"/>
    <mergeCell ref="U30:V30"/>
    <mergeCell ref="W30:X30"/>
    <mergeCell ref="Y30:Z30"/>
    <mergeCell ref="AA30:AB30"/>
    <mergeCell ref="AC30:AD30"/>
    <mergeCell ref="B27:G27"/>
    <mergeCell ref="H27:L27"/>
    <mergeCell ref="M27:N27"/>
    <mergeCell ref="O27:P27"/>
    <mergeCell ref="Q27:R27"/>
    <mergeCell ref="S27:T27"/>
    <mergeCell ref="AN27:AO27"/>
    <mergeCell ref="B28:G28"/>
    <mergeCell ref="H28:L28"/>
    <mergeCell ref="M28:N28"/>
    <mergeCell ref="O28:P28"/>
    <mergeCell ref="Q28:R28"/>
    <mergeCell ref="S28:T28"/>
    <mergeCell ref="U28:V28"/>
    <mergeCell ref="W28:X28"/>
    <mergeCell ref="Y28:Z28"/>
    <mergeCell ref="AA28:AB28"/>
    <mergeCell ref="AC28:AD28"/>
    <mergeCell ref="AN28:AO28"/>
    <mergeCell ref="AI25:AO25"/>
    <mergeCell ref="O26:P26"/>
    <mergeCell ref="Q26:R26"/>
    <mergeCell ref="S26:T26"/>
    <mergeCell ref="U26:V26"/>
    <mergeCell ref="W26:X26"/>
    <mergeCell ref="Y26:Z26"/>
    <mergeCell ref="AA26:AB26"/>
    <mergeCell ref="AC26:AD26"/>
    <mergeCell ref="AI26:AO26"/>
    <mergeCell ref="AN21:AO21"/>
    <mergeCell ref="B22:G22"/>
    <mergeCell ref="H22:L22"/>
    <mergeCell ref="M22:N22"/>
    <mergeCell ref="O22:P22"/>
    <mergeCell ref="Q22:R22"/>
    <mergeCell ref="S22:T22"/>
    <mergeCell ref="U22:V22"/>
    <mergeCell ref="W22:X22"/>
    <mergeCell ref="Y22:Z22"/>
    <mergeCell ref="AA22:AB22"/>
    <mergeCell ref="AC22:AD22"/>
    <mergeCell ref="AE22:AF22"/>
    <mergeCell ref="AN22:AO22"/>
    <mergeCell ref="B19:G19"/>
    <mergeCell ref="H19:L19"/>
    <mergeCell ref="M19:N19"/>
    <mergeCell ref="O19:P19"/>
    <mergeCell ref="Q19:R19"/>
    <mergeCell ref="S19:T19"/>
    <mergeCell ref="AN19:AO19"/>
    <mergeCell ref="B20:G20"/>
    <mergeCell ref="H20:L20"/>
    <mergeCell ref="M20:N20"/>
    <mergeCell ref="O20:P20"/>
    <mergeCell ref="Q20:R20"/>
    <mergeCell ref="S20:T20"/>
    <mergeCell ref="U20:V20"/>
    <mergeCell ref="W20:X20"/>
    <mergeCell ref="Y20:Z20"/>
    <mergeCell ref="AA20:AB20"/>
    <mergeCell ref="AC20:AD20"/>
    <mergeCell ref="AE20:AF20"/>
    <mergeCell ref="AN20:AO20"/>
    <mergeCell ref="B12:E12"/>
    <mergeCell ref="F12:K12"/>
    <mergeCell ref="B13:E13"/>
    <mergeCell ref="F13:I13"/>
    <mergeCell ref="J13:K13"/>
    <mergeCell ref="O17:AF17"/>
    <mergeCell ref="AI17:AO17"/>
    <mergeCell ref="O18:P18"/>
    <mergeCell ref="Q18:R18"/>
    <mergeCell ref="S18:T18"/>
    <mergeCell ref="U18:V18"/>
    <mergeCell ref="W18:X18"/>
    <mergeCell ref="Y18:Z18"/>
    <mergeCell ref="AA18:AB18"/>
    <mergeCell ref="AC18:AD18"/>
    <mergeCell ref="AE18:AF18"/>
    <mergeCell ref="AI18:AO18"/>
    <mergeCell ref="B8:E8"/>
    <mergeCell ref="F8:K8"/>
    <mergeCell ref="B2:E2"/>
    <mergeCell ref="G2:K2"/>
    <mergeCell ref="B9:E9"/>
    <mergeCell ref="F9:K9"/>
    <mergeCell ref="B10:E10"/>
    <mergeCell ref="F10:K10"/>
    <mergeCell ref="B11:E11"/>
    <mergeCell ref="F11:K11"/>
    <mergeCell ref="U2:Y2"/>
    <mergeCell ref="AA2:AE2"/>
    <mergeCell ref="AI2:AM2"/>
    <mergeCell ref="AO2:AR2"/>
    <mergeCell ref="B6:E6"/>
    <mergeCell ref="F6:K6"/>
    <mergeCell ref="O2:S2"/>
    <mergeCell ref="B7:E7"/>
    <mergeCell ref="F7:K7"/>
  </mergeCells>
  <conditionalFormatting sqref="AY24:AY29 AY37:AY40 BH35:BH40 BH42:BH47 BH72:BH77 AY31:AY35 BH49:BH57 AY15:AY22 AY54:AY57 BH30:BH33 BH63:BH70 BH79:BH92 BH5:BH22 AY5:AY13 BI6:BI100 AZ6:AZ100 AZ106">
    <cfRule type="cellIs" dxfId="774" priority="59" stopIfTrue="1" operator="equal">
      <formula>0</formula>
    </cfRule>
  </conditionalFormatting>
  <conditionalFormatting sqref="AY50:AY53 AY63 AY42:AY43 AY47 AY65 AY45">
    <cfRule type="cellIs" dxfId="773" priority="57" stopIfTrue="1" operator="equal">
      <formula>0</formula>
    </cfRule>
  </conditionalFormatting>
  <conditionalFormatting sqref="O17:AF17 S19:T19 S20:AD20 W22:AD22 S27:T27 S28:AD28 S30:AD30">
    <cfRule type="expression" dxfId="772" priority="58" stopIfTrue="1">
      <formula>$AW$4=0</formula>
    </cfRule>
  </conditionalFormatting>
  <conditionalFormatting sqref="AY72 AY78:AY79">
    <cfRule type="cellIs" dxfId="771" priority="56" stopIfTrue="1" operator="equal">
      <formula>0</formula>
    </cfRule>
  </conditionalFormatting>
  <conditionalFormatting sqref="AY80">
    <cfRule type="cellIs" dxfId="770" priority="55" stopIfTrue="1" operator="equal">
      <formula>0</formula>
    </cfRule>
  </conditionalFormatting>
  <conditionalFormatting sqref="AY84:AY93">
    <cfRule type="cellIs" dxfId="769" priority="54" stopIfTrue="1" operator="equal">
      <formula>0</formula>
    </cfRule>
  </conditionalFormatting>
  <conditionalFormatting sqref="AY48:AY49">
    <cfRule type="cellIs" dxfId="768" priority="53" stopIfTrue="1" operator="equal">
      <formula>0</formula>
    </cfRule>
  </conditionalFormatting>
  <conditionalFormatting sqref="AY59">
    <cfRule type="cellIs" dxfId="767" priority="52" stopIfTrue="1" operator="equal">
      <formula>0</formula>
    </cfRule>
  </conditionalFormatting>
  <conditionalFormatting sqref="AY67:AY69">
    <cfRule type="cellIs" dxfId="766" priority="51" stopIfTrue="1" operator="equal">
      <formula>0</formula>
    </cfRule>
  </conditionalFormatting>
  <conditionalFormatting sqref="AY70">
    <cfRule type="cellIs" dxfId="765" priority="50" stopIfTrue="1" operator="equal">
      <formula>0</formula>
    </cfRule>
  </conditionalFormatting>
  <conditionalFormatting sqref="AY71">
    <cfRule type="cellIs" dxfId="764" priority="49" stopIfTrue="1" operator="equal">
      <formula>0</formula>
    </cfRule>
  </conditionalFormatting>
  <conditionalFormatting sqref="AY81:AY83">
    <cfRule type="cellIs" dxfId="763" priority="48" stopIfTrue="1" operator="equal">
      <formula>0</formula>
    </cfRule>
  </conditionalFormatting>
  <conditionalFormatting sqref="BH94:BH96 BH98">
    <cfRule type="cellIs" dxfId="762" priority="47" stopIfTrue="1" operator="equal">
      <formula>0</formula>
    </cfRule>
  </conditionalFormatting>
  <conditionalFormatting sqref="AY94:AY100 AY106">
    <cfRule type="cellIs" dxfId="761" priority="45" stopIfTrue="1" operator="equal">
      <formula>0</formula>
    </cfRule>
  </conditionalFormatting>
  <conditionalFormatting sqref="AY60:AY61">
    <cfRule type="cellIs" dxfId="760" priority="44" stopIfTrue="1" operator="equal">
      <formula>0</formula>
    </cfRule>
  </conditionalFormatting>
  <conditionalFormatting sqref="BH99:BH100">
    <cfRule type="cellIs" dxfId="759" priority="43" stopIfTrue="1" operator="equal">
      <formula>0</formula>
    </cfRule>
  </conditionalFormatting>
  <conditionalFormatting sqref="AY14">
    <cfRule type="cellIs" dxfId="758" priority="42" stopIfTrue="1" operator="equal">
      <formula>0</formula>
    </cfRule>
  </conditionalFormatting>
  <conditionalFormatting sqref="AY23">
    <cfRule type="cellIs" dxfId="757" priority="41" stopIfTrue="1" operator="equal">
      <formula>0</formula>
    </cfRule>
  </conditionalFormatting>
  <conditionalFormatting sqref="AY36">
    <cfRule type="cellIs" dxfId="756" priority="40" stopIfTrue="1" operator="equal">
      <formula>0</formula>
    </cfRule>
  </conditionalFormatting>
  <conditionalFormatting sqref="AY41">
    <cfRule type="cellIs" dxfId="755" priority="39" stopIfTrue="1" operator="equal">
      <formula>0</formula>
    </cfRule>
  </conditionalFormatting>
  <conditionalFormatting sqref="AY46">
    <cfRule type="cellIs" dxfId="754" priority="38" stopIfTrue="1" operator="equal">
      <formula>0</formula>
    </cfRule>
  </conditionalFormatting>
  <conditionalFormatting sqref="AY58">
    <cfRule type="cellIs" dxfId="753" priority="37" stopIfTrue="1" operator="equal">
      <formula>0</formula>
    </cfRule>
  </conditionalFormatting>
  <conditionalFormatting sqref="AY62">
    <cfRule type="cellIs" dxfId="752" priority="36" stopIfTrue="1" operator="equal">
      <formula>0</formula>
    </cfRule>
  </conditionalFormatting>
  <conditionalFormatting sqref="AY64">
    <cfRule type="cellIs" dxfId="751" priority="35" stopIfTrue="1" operator="equal">
      <formula>0</formula>
    </cfRule>
  </conditionalFormatting>
  <conditionalFormatting sqref="AY66">
    <cfRule type="cellIs" dxfId="750" priority="34" stopIfTrue="1" operator="equal">
      <formula>0</formula>
    </cfRule>
  </conditionalFormatting>
  <conditionalFormatting sqref="AY73:AY77">
    <cfRule type="cellIs" dxfId="749" priority="33" stopIfTrue="1" operator="equal">
      <formula>0</formula>
    </cfRule>
  </conditionalFormatting>
  <conditionalFormatting sqref="F13:K13">
    <cfRule type="expression" dxfId="748" priority="32" stopIfTrue="1">
      <formula>$AW$4=1</formula>
    </cfRule>
  </conditionalFormatting>
  <conditionalFormatting sqref="BH23:BH26">
    <cfRule type="cellIs" dxfId="747" priority="31" stopIfTrue="1" operator="equal">
      <formula>0</formula>
    </cfRule>
  </conditionalFormatting>
  <conditionalFormatting sqref="BH27">
    <cfRule type="cellIs" dxfId="746" priority="30" stopIfTrue="1" operator="equal">
      <formula>0</formula>
    </cfRule>
  </conditionalFormatting>
  <conditionalFormatting sqref="BH28">
    <cfRule type="cellIs" dxfId="745" priority="29" stopIfTrue="1" operator="equal">
      <formula>0</formula>
    </cfRule>
  </conditionalFormatting>
  <conditionalFormatting sqref="BH29">
    <cfRule type="cellIs" dxfId="744" priority="28" stopIfTrue="1" operator="equal">
      <formula>0</formula>
    </cfRule>
  </conditionalFormatting>
  <conditionalFormatting sqref="BH34">
    <cfRule type="cellIs" dxfId="743" priority="27" stopIfTrue="1" operator="equal">
      <formula>0</formula>
    </cfRule>
  </conditionalFormatting>
  <conditionalFormatting sqref="BH41">
    <cfRule type="cellIs" dxfId="742" priority="26" stopIfTrue="1" operator="equal">
      <formula>0</formula>
    </cfRule>
  </conditionalFormatting>
  <conditionalFormatting sqref="BH58">
    <cfRule type="cellIs" dxfId="741" priority="25" stopIfTrue="1" operator="equal">
      <formula>0</formula>
    </cfRule>
  </conditionalFormatting>
  <conditionalFormatting sqref="BH59:BH62">
    <cfRule type="cellIs" dxfId="740" priority="24" stopIfTrue="1" operator="equal">
      <formula>0</formula>
    </cfRule>
  </conditionalFormatting>
  <conditionalFormatting sqref="BH71">
    <cfRule type="cellIs" dxfId="739" priority="23" stopIfTrue="1" operator="equal">
      <formula>0</formula>
    </cfRule>
  </conditionalFormatting>
  <conditionalFormatting sqref="BH78">
    <cfRule type="cellIs" dxfId="738" priority="22" stopIfTrue="1" operator="equal">
      <formula>0</formula>
    </cfRule>
  </conditionalFormatting>
  <conditionalFormatting sqref="BH93">
    <cfRule type="cellIs" dxfId="737" priority="21" stopIfTrue="1" operator="equal">
      <formula>0</formula>
    </cfRule>
  </conditionalFormatting>
  <conditionalFormatting sqref="BH97">
    <cfRule type="cellIs" dxfId="736" priority="20" stopIfTrue="1" operator="equal">
      <formula>0</formula>
    </cfRule>
  </conditionalFormatting>
  <conditionalFormatting sqref="AE22:AF22">
    <cfRule type="expression" dxfId="735" priority="18" stopIfTrue="1">
      <formula>$AW$4=0</formula>
    </cfRule>
  </conditionalFormatting>
  <conditionalFormatting sqref="AY44">
    <cfRule type="cellIs" dxfId="734" priority="13" stopIfTrue="1" operator="equal">
      <formula>0</formula>
    </cfRule>
  </conditionalFormatting>
  <conditionalFormatting sqref="AY30">
    <cfRule type="cellIs" dxfId="733" priority="15" stopIfTrue="1" operator="equal">
      <formula>0</formula>
    </cfRule>
  </conditionalFormatting>
  <conditionalFormatting sqref="BH48">
    <cfRule type="cellIs" dxfId="732" priority="14" stopIfTrue="1" operator="equal">
      <formula>0</formula>
    </cfRule>
  </conditionalFormatting>
  <conditionalFormatting sqref="AZ5">
    <cfRule type="cellIs" dxfId="731" priority="12" stopIfTrue="1" operator="equal">
      <formula>0</formula>
    </cfRule>
  </conditionalFormatting>
  <conditionalFormatting sqref="BI5">
    <cfRule type="cellIs" dxfId="730" priority="11" stopIfTrue="1" operator="equal">
      <formula>0</formula>
    </cfRule>
  </conditionalFormatting>
  <conditionalFormatting sqref="BH106:BH108">
    <cfRule type="cellIs" dxfId="729" priority="9" stopIfTrue="1" operator="equal">
      <formula>0</formula>
    </cfRule>
  </conditionalFormatting>
  <conditionalFormatting sqref="BI106:BI108">
    <cfRule type="cellIs" dxfId="728" priority="8" stopIfTrue="1" operator="equal">
      <formula>0</formula>
    </cfRule>
  </conditionalFormatting>
  <conditionalFormatting sqref="AZ101:AZ105">
    <cfRule type="cellIs" dxfId="727" priority="7" stopIfTrue="1" operator="equal">
      <formula>0</formula>
    </cfRule>
  </conditionalFormatting>
  <conditionalFormatting sqref="AY101:AY105">
    <cfRule type="cellIs" dxfId="726" priority="6" stopIfTrue="1" operator="equal">
      <formula>0</formula>
    </cfRule>
  </conditionalFormatting>
  <conditionalFormatting sqref="BH101 BH104:BH105">
    <cfRule type="cellIs" dxfId="725" priority="5" stopIfTrue="1" operator="equal">
      <formula>0</formula>
    </cfRule>
  </conditionalFormatting>
  <conditionalFormatting sqref="BI101:BI105">
    <cfRule type="cellIs" dxfId="724" priority="4" stopIfTrue="1" operator="equal">
      <formula>0</formula>
    </cfRule>
  </conditionalFormatting>
  <conditionalFormatting sqref="BH102:BH103">
    <cfRule type="cellIs" dxfId="723" priority="3" stopIfTrue="1" operator="equal">
      <formula>0</formula>
    </cfRule>
  </conditionalFormatting>
  <conditionalFormatting sqref="AI17:AO17">
    <cfRule type="expression" dxfId="722" priority="2" stopIfTrue="1">
      <formula>$AW$4=0</formula>
    </cfRule>
  </conditionalFormatting>
  <conditionalFormatting sqref="AI25:AO25">
    <cfRule type="expression" dxfId="721" priority="1" stopIfTrue="1">
      <formula>$AW$4=0</formula>
    </cfRule>
  </conditionalFormatting>
  <hyperlinks>
    <hyperlink ref="M4" location="MENU!A1" display="MENU!A1" xr:uid="{00000000-0004-0000-0900-000000000000}"/>
    <hyperlink ref="M10" location="OBJ!A1" display="OBJ!A1" xr:uid="{00000000-0004-0000-0900-000001000000}"/>
    <hyperlink ref="M9" location="suhrn!A1" display="suhrn!A1" xr:uid="{00000000-0004-0000-0900-000002000000}"/>
    <hyperlink ref="O2:S2" location="MENU!A5" display="MENU!A5" xr:uid="{00000000-0004-0000-0900-000003000000}"/>
  </hyperlinks>
  <printOptions horizontalCentered="1"/>
  <pageMargins left="0.19685039370078741" right="0.19685039370078741" top="0.19685039370078741" bottom="0.19685039370078741" header="0.31496062992125984" footer="0.31496062992125984"/>
  <pageSetup paperSize="9" orientation="landscape" r:id="rId1"/>
  <headerFooter>
    <oddHeader>&amp;R&amp;"Aptos"&amp;10&amp;K000000 Restricted&amp;1#_x000D_</oddHeader>
  </headerFooter>
  <drawing r:id="rId2"/>
  <legacy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List53">
    <tabColor rgb="FFFF0000"/>
  </sheetPr>
  <dimension ref="A1:BK143"/>
  <sheetViews>
    <sheetView showGridLines="0" showRowColHeaders="0" zoomScale="95" zoomScaleNormal="95" workbookViewId="0"/>
  </sheetViews>
  <sheetFormatPr defaultColWidth="9" defaultRowHeight="13.8"/>
  <cols>
    <col min="1" max="1" width="3.59765625" style="86" customWidth="1"/>
    <col min="2" max="4" width="3.09765625" style="86" customWidth="1"/>
    <col min="5" max="5" width="7.59765625" style="86" customWidth="1"/>
    <col min="6" max="44" width="3.09765625" style="86" customWidth="1"/>
    <col min="45" max="45" width="3.59765625" style="86" customWidth="1"/>
    <col min="46" max="46" width="9" style="86" customWidth="1"/>
    <col min="47" max="47" width="9" style="86" hidden="1" customWidth="1"/>
    <col min="48" max="48" width="32.5" style="86" hidden="1" customWidth="1"/>
    <col min="49" max="49" width="4.3984375" style="86" hidden="1" customWidth="1"/>
    <col min="50" max="50" width="2" style="86" hidden="1" customWidth="1"/>
    <col min="51" max="52" width="4.59765625" style="86" hidden="1" customWidth="1"/>
    <col min="53" max="54" width="9" style="86" hidden="1" customWidth="1"/>
    <col min="55" max="55" width="2.59765625" style="86" hidden="1" customWidth="1"/>
    <col min="56" max="56" width="9" style="86" hidden="1" customWidth="1"/>
    <col min="57" max="57" width="33.8984375" style="86" hidden="1" customWidth="1"/>
    <col min="58" max="58" width="4.3984375" style="86" hidden="1" customWidth="1"/>
    <col min="59" max="59" width="2" style="86" hidden="1" customWidth="1"/>
    <col min="60" max="61" width="4.59765625" style="86" hidden="1" customWidth="1"/>
    <col min="62" max="63" width="9" style="86" hidden="1" customWidth="1"/>
    <col min="64" max="75" width="9" style="86" customWidth="1"/>
    <col min="76" max="16384" width="9" style="86"/>
  </cols>
  <sheetData>
    <row r="1" spans="1:63" ht="12.9" customHeight="1" thickBot="1">
      <c r="AU1" s="140"/>
      <c r="AV1" s="279"/>
      <c r="AW1" s="279"/>
      <c r="AX1" s="140"/>
      <c r="AY1" s="140"/>
      <c r="AZ1" s="140"/>
      <c r="BA1" s="140"/>
      <c r="BB1" s="140"/>
      <c r="BC1" s="140"/>
      <c r="BD1" s="140"/>
      <c r="BE1" s="140"/>
      <c r="BF1" s="140"/>
      <c r="BG1" s="140"/>
      <c r="BH1" s="140"/>
      <c r="BI1" s="140"/>
      <c r="BJ1" s="140"/>
      <c r="BK1" s="140"/>
    </row>
    <row r="2" spans="1:63" ht="23.1" customHeight="1" thickBot="1">
      <c r="B2" s="475" t="str">
        <f>verze!E13</f>
        <v>&lt;&lt;  zpět</v>
      </c>
      <c r="C2" s="476"/>
      <c r="D2" s="476"/>
      <c r="E2" s="477"/>
      <c r="G2" s="513" t="str">
        <f>verze!E6</f>
        <v xml:space="preserve"> Úvod</v>
      </c>
      <c r="H2" s="514"/>
      <c r="I2" s="514"/>
      <c r="J2" s="514"/>
      <c r="K2" s="515"/>
      <c r="O2" s="500" t="str">
        <f>verze!E7</f>
        <v xml:space="preserve"> Výběr zásuvek</v>
      </c>
      <c r="P2" s="501"/>
      <c r="Q2" s="501"/>
      <c r="R2" s="501"/>
      <c r="S2" s="502"/>
      <c r="U2" s="513" t="str">
        <f>verze!E8</f>
        <v xml:space="preserve"> </v>
      </c>
      <c r="V2" s="514"/>
      <c r="W2" s="514"/>
      <c r="X2" s="514"/>
      <c r="Y2" s="515"/>
      <c r="AA2" s="513" t="str">
        <f>verze!E9</f>
        <v xml:space="preserve"> </v>
      </c>
      <c r="AB2" s="514"/>
      <c r="AC2" s="514"/>
      <c r="AD2" s="514"/>
      <c r="AE2" s="515"/>
      <c r="AI2" s="513" t="str">
        <f>verze!E10</f>
        <v xml:space="preserve"> Objednávka</v>
      </c>
      <c r="AJ2" s="514"/>
      <c r="AK2" s="514"/>
      <c r="AL2" s="514"/>
      <c r="AM2" s="515"/>
      <c r="AO2" s="475" t="str">
        <f>verze!E14</f>
        <v>vpřed  &gt;&gt;</v>
      </c>
      <c r="AP2" s="476"/>
      <c r="AQ2" s="476"/>
      <c r="AR2" s="477"/>
      <c r="AV2" s="143"/>
      <c r="AW2" s="143"/>
    </row>
    <row r="3" spans="1:63" ht="12.9" customHeight="1">
      <c r="AV3" s="143"/>
      <c r="AW3" s="143"/>
    </row>
    <row r="4" spans="1:63" ht="23.1" customHeight="1">
      <c r="A4" s="89"/>
      <c r="B4" s="93" t="str">
        <f>verze!E206&amp;" AVANTECH YOU  101"</f>
        <v>Zásuvka AVANTECH YOU  101</v>
      </c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U4" s="94" t="s">
        <v>33</v>
      </c>
      <c r="AW4" s="285">
        <f>IF(FORM!AU13=FORM!U18,1,0)</f>
        <v>1</v>
      </c>
      <c r="BB4" s="322">
        <f>SUM(BB5:BB998)</f>
        <v>0</v>
      </c>
      <c r="BD4" s="94" t="s">
        <v>34</v>
      </c>
      <c r="BK4" s="322">
        <f>SUM(BK5:BK993)</f>
        <v>0</v>
      </c>
    </row>
    <row r="5" spans="1:63" ht="14.4" customHeight="1">
      <c r="AU5" s="319">
        <f>OBJ!B39</f>
        <v>9353335</v>
      </c>
      <c r="AV5" s="21" t="str">
        <f>VLOOKUP(AU5,CENY!$B$11:$G$1054,2,FALSE)</f>
        <v>AvanY-sólo oceľ.boky-NW 101/400mm/strieb.</v>
      </c>
      <c r="AW5" s="22">
        <f>VLOOKUP(AU5,CENY!$B$11:$G$1054,3,FALSE)</f>
        <v>1</v>
      </c>
      <c r="AX5" s="362">
        <v>4</v>
      </c>
      <c r="AY5" s="23">
        <f>O19+O20+O27+O28+O30</f>
        <v>0</v>
      </c>
      <c r="AZ5" s="326">
        <f>IF(AY5="","",IF($AW$4=1,AY5,0))</f>
        <v>0</v>
      </c>
      <c r="BA5" s="95">
        <f>VLOOKUP(AU5,CENY!$B$11:$M$2025,12,FALSE)</f>
        <v>545.66444999999999</v>
      </c>
      <c r="BB5" s="95">
        <f t="shared" ref="BB5:BB68" si="0">IF(BA5="","",BA5*AY5)</f>
        <v>0</v>
      </c>
      <c r="BD5" s="319">
        <f>OBJ!B50</f>
        <v>9255008</v>
      </c>
      <c r="BE5" s="21" t="str">
        <f>VLOOKUP(BD5,CENY!$B$11:$G$1054,2,FALSE)</f>
        <v>AvanY-bok ľavý /v101/h270/ strieborná</v>
      </c>
      <c r="BF5" s="22">
        <f>VLOOKUP(BD5,CENY!$B$11:$G$1054,3,FALSE)</f>
        <v>20</v>
      </c>
      <c r="BG5" s="22"/>
      <c r="BH5" s="23">
        <f>AY5</f>
        <v>0</v>
      </c>
      <c r="BI5" s="326">
        <f>IF(BH5="","",IF($AW$4=0,BH5,0))</f>
        <v>0</v>
      </c>
      <c r="BJ5" s="95">
        <f>VLOOKUP(BD5,CENY!$B$11:$M$2025,12,FALSE)</f>
        <v>208.07782</v>
      </c>
      <c r="BK5" s="95">
        <f>IF(BJ5="","",BJ5*BH5)</f>
        <v>0</v>
      </c>
    </row>
    <row r="6" spans="1:63" ht="14.4" customHeight="1">
      <c r="B6" s="549" t="str">
        <f>" "&amp;verze!E90</f>
        <v xml:space="preserve"> bočnice:</v>
      </c>
      <c r="C6" s="549"/>
      <c r="D6" s="549"/>
      <c r="E6" s="549"/>
      <c r="F6" s="564" t="s">
        <v>283</v>
      </c>
      <c r="G6" s="564"/>
      <c r="H6" s="564"/>
      <c r="I6" s="564"/>
      <c r="J6" s="564"/>
      <c r="K6" s="564"/>
      <c r="AU6" s="319">
        <f>OBJ!B40</f>
        <v>9353336</v>
      </c>
      <c r="AV6" s="21" t="str">
        <f>VLOOKUP(AU6,CENY!$B$11:$G$1054,2,FALSE)</f>
        <v>AvanY-sólo oceľ.boky-NW 101/450mm/strieb.</v>
      </c>
      <c r="AW6" s="22">
        <f>VLOOKUP(AU6,CENY!$B$11:$G$1054,3,FALSE)</f>
        <v>1</v>
      </c>
      <c r="AX6" s="362">
        <v>4</v>
      </c>
      <c r="AY6" s="23">
        <f>Q19+Q20+Q27+Q28+Q30</f>
        <v>0</v>
      </c>
      <c r="AZ6" s="326">
        <f t="shared" ref="AZ6:AZ69" si="1">IF(AY6="","",IF($AW$4=1,AY6,0))</f>
        <v>0</v>
      </c>
      <c r="BA6" s="95">
        <f>VLOOKUP(AU6,CENY!$B$11:$M$2025,12,FALSE)</f>
        <v>550.21777999999995</v>
      </c>
      <c r="BB6" s="95">
        <f t="shared" si="0"/>
        <v>0</v>
      </c>
      <c r="BD6" s="319">
        <f>OBJ!B51</f>
        <v>9255009</v>
      </c>
      <c r="BE6" s="21" t="str">
        <f>VLOOKUP(BD6,CENY!$B$11:$G$1054,2,FALSE)</f>
        <v>AvanY-bok pravý /v101/h270/ strieborná</v>
      </c>
      <c r="BF6" s="22">
        <f>VLOOKUP(BD6,CENY!$B$11:$G$1054,3,FALSE)</f>
        <v>20</v>
      </c>
      <c r="BG6" s="22"/>
      <c r="BH6" s="23">
        <f>AY5</f>
        <v>0</v>
      </c>
      <c r="BI6" s="326">
        <f t="shared" ref="BI6:BI69" si="2">IF(BH6="","",IF($AW$4=0,BH6,0))</f>
        <v>0</v>
      </c>
      <c r="BJ6" s="95">
        <f>VLOOKUP(BD6,CENY!$B$11:$M$2025,12,FALSE)</f>
        <v>208.07782</v>
      </c>
      <c r="BK6" s="95">
        <f t="shared" ref="BK6:BK69" si="3">IF(BJ6="","",BJ6*BH6)</f>
        <v>0</v>
      </c>
    </row>
    <row r="7" spans="1:63" ht="14.4" customHeight="1">
      <c r="B7" s="549" t="str">
        <f>" "&amp;verze!E56</f>
        <v xml:space="preserve"> barva:</v>
      </c>
      <c r="C7" s="549"/>
      <c r="D7" s="549"/>
      <c r="E7" s="549"/>
      <c r="F7" s="564" t="str">
        <f>" "&amp;FORM!U8</f>
        <v xml:space="preserve"> stříbrná</v>
      </c>
      <c r="G7" s="564"/>
      <c r="H7" s="564"/>
      <c r="I7" s="564"/>
      <c r="J7" s="564"/>
      <c r="K7" s="564"/>
      <c r="AU7" s="319">
        <f>OBJ!B41</f>
        <v>9353337</v>
      </c>
      <c r="AV7" s="21" t="str">
        <f>VLOOKUP(AU7,CENY!$B$11:$G$1054,2,FALSE)</f>
        <v>AvanY-sólo oceľ.boky-NW 101/500mm/strieb.</v>
      </c>
      <c r="AW7" s="22">
        <f>VLOOKUP(AU7,CENY!$B$11:$G$1054,3,FALSE)</f>
        <v>1</v>
      </c>
      <c r="AX7" s="362">
        <v>6</v>
      </c>
      <c r="AY7" s="23">
        <f>S19+S20+S27+S28+S30</f>
        <v>0</v>
      </c>
      <c r="AZ7" s="326">
        <f t="shared" si="1"/>
        <v>0</v>
      </c>
      <c r="BA7" s="95">
        <f>VLOOKUP(AU7,CENY!$B$11:$M$2025,12,FALSE)</f>
        <v>557.82863999999995</v>
      </c>
      <c r="BB7" s="95">
        <f t="shared" si="0"/>
        <v>0</v>
      </c>
      <c r="BD7" s="319">
        <f>OBJ!B52</f>
        <v>9255010</v>
      </c>
      <c r="BE7" s="21" t="str">
        <f>VLOOKUP(BD7,CENY!$B$11:$G$1054,2,FALSE)</f>
        <v>AvanY-bok ľavý /v101/h300/ strieborná</v>
      </c>
      <c r="BF7" s="22">
        <f>VLOOKUP(BD7,CENY!$B$11:$G$1054,3,FALSE)</f>
        <v>20</v>
      </c>
      <c r="BG7" s="22"/>
      <c r="BH7" s="23">
        <f>AY6</f>
        <v>0</v>
      </c>
      <c r="BI7" s="326">
        <f t="shared" si="2"/>
        <v>0</v>
      </c>
      <c r="BJ7" s="95">
        <f>VLOOKUP(BD7,CENY!$B$11:$M$2025,12,FALSE)</f>
        <v>210.40101000000001</v>
      </c>
      <c r="BK7" s="95">
        <f t="shared" si="3"/>
        <v>0</v>
      </c>
    </row>
    <row r="8" spans="1:63" ht="14.4" customHeight="1" thickBot="1">
      <c r="B8" s="549" t="str">
        <f>" "&amp;verze!E70</f>
        <v xml:space="preserve"> dekorativní profil:</v>
      </c>
      <c r="C8" s="549"/>
      <c r="D8" s="549"/>
      <c r="E8" s="549"/>
      <c r="F8" s="564" t="str">
        <f>" "&amp;FORM!AM18</f>
        <v xml:space="preserve"> v barvě bočnice</v>
      </c>
      <c r="G8" s="564"/>
      <c r="H8" s="564"/>
      <c r="I8" s="564"/>
      <c r="J8" s="564"/>
      <c r="K8" s="564"/>
      <c r="AU8" s="319">
        <f>OBJ!B42</f>
        <v>9353338</v>
      </c>
      <c r="AV8" s="21" t="str">
        <f>VLOOKUP(AU8,CENY!$B$11:$G$1054,2,FALSE)</f>
        <v>AvanY-sólo oceľ.boky-NW 101/550mm/strieb.</v>
      </c>
      <c r="AW8" s="22">
        <f>VLOOKUP(AU8,CENY!$B$11:$G$1054,3,FALSE)</f>
        <v>1</v>
      </c>
      <c r="AX8" s="362">
        <v>6</v>
      </c>
      <c r="AY8" s="23">
        <f>U20+U28+U30</f>
        <v>0</v>
      </c>
      <c r="AZ8" s="326">
        <f t="shared" si="1"/>
        <v>0</v>
      </c>
      <c r="BA8" s="95">
        <f>VLOOKUP(AU8,CENY!$B$11:$M$2025,12,FALSE)</f>
        <v>565.42625999999996</v>
      </c>
      <c r="BB8" s="95">
        <f t="shared" si="0"/>
        <v>0</v>
      </c>
      <c r="BD8" s="319">
        <f>OBJ!B53</f>
        <v>9255011</v>
      </c>
      <c r="BE8" s="21" t="str">
        <f>VLOOKUP(BD8,CENY!$B$11:$G$1054,2,FALSE)</f>
        <v>AvanY-bok pravý /v101/h300/ strieborná</v>
      </c>
      <c r="BF8" s="22">
        <f>VLOOKUP(BD8,CENY!$B$11:$G$1054,3,FALSE)</f>
        <v>20</v>
      </c>
      <c r="BG8" s="22"/>
      <c r="BH8" s="23">
        <f>AY6</f>
        <v>0</v>
      </c>
      <c r="BI8" s="326">
        <f t="shared" si="2"/>
        <v>0</v>
      </c>
      <c r="BJ8" s="95">
        <f>VLOOKUP(BD8,CENY!$B$11:$M$2025,12,FALSE)</f>
        <v>210.40101000000001</v>
      </c>
      <c r="BK8" s="95">
        <f t="shared" si="3"/>
        <v>0</v>
      </c>
    </row>
    <row r="9" spans="1:63" ht="14.4" customHeight="1" thickTop="1">
      <c r="B9" s="550"/>
      <c r="C9" s="558"/>
      <c r="D9" s="558"/>
      <c r="E9" s="559"/>
      <c r="F9" s="560"/>
      <c r="G9" s="561"/>
      <c r="H9" s="561"/>
      <c r="I9" s="561"/>
      <c r="J9" s="561"/>
      <c r="K9" s="562"/>
      <c r="AK9" s="585" t="str">
        <f>verze!E160</f>
        <v>Je nutné natypovat šířky čel ?</v>
      </c>
      <c r="AL9" s="586"/>
      <c r="AM9" s="586"/>
      <c r="AN9" s="586"/>
      <c r="AO9" s="586"/>
      <c r="AP9" s="587"/>
      <c r="AU9" s="319">
        <f>OBJ!B43</f>
        <v>9353339</v>
      </c>
      <c r="AV9" s="21" t="str">
        <f>VLOOKUP(AU9,CENY!$B$11:$G$1054,2,FALSE)</f>
        <v>AvanY-sólo oceľ.boky-NW 101/600mm/strieb.</v>
      </c>
      <c r="AW9" s="22">
        <f>VLOOKUP(AU9,CENY!$B$11:$G$1054,3,FALSE)</f>
        <v>1</v>
      </c>
      <c r="AX9" s="362">
        <v>6</v>
      </c>
      <c r="AY9" s="23">
        <f>W20+W22+W28+W30</f>
        <v>0</v>
      </c>
      <c r="AZ9" s="326">
        <f t="shared" si="1"/>
        <v>0</v>
      </c>
      <c r="BA9" s="95">
        <f>VLOOKUP(AU9,CENY!$B$11:$M$2025,12,FALSE)</f>
        <v>557.79244000000006</v>
      </c>
      <c r="BB9" s="95">
        <f t="shared" si="0"/>
        <v>0</v>
      </c>
      <c r="BD9" s="319">
        <f>OBJ!B54</f>
        <v>9255012</v>
      </c>
      <c r="BE9" s="21" t="str">
        <f>VLOOKUP(BD9,CENY!$B$11:$G$1054,2,FALSE)</f>
        <v>AvanY-bok ľavý /v101/h350/ strieborná</v>
      </c>
      <c r="BF9" s="22">
        <f>VLOOKUP(BD9,CENY!$B$11:$G$1054,3,FALSE)</f>
        <v>20</v>
      </c>
      <c r="BG9" s="22"/>
      <c r="BH9" s="23">
        <f>AY7</f>
        <v>0</v>
      </c>
      <c r="BI9" s="326">
        <f t="shared" si="2"/>
        <v>0</v>
      </c>
      <c r="BJ9" s="95">
        <f>VLOOKUP(BD9,CENY!$B$11:$M$2025,12,FALSE)</f>
        <v>214.27737999999999</v>
      </c>
      <c r="BK9" s="95">
        <f t="shared" si="3"/>
        <v>0</v>
      </c>
    </row>
    <row r="10" spans="1:63" ht="14.4" customHeight="1">
      <c r="B10" s="549" t="str">
        <f>" "&amp;verze!E57</f>
        <v xml:space="preserve"> čelní kování:</v>
      </c>
      <c r="C10" s="549"/>
      <c r="D10" s="549"/>
      <c r="E10" s="549"/>
      <c r="F10" s="563" t="str">
        <f>" "&amp;FORM!AM8</f>
        <v xml:space="preserve"> na vruty</v>
      </c>
      <c r="G10" s="563"/>
      <c r="H10" s="563"/>
      <c r="I10" s="563"/>
      <c r="J10" s="563"/>
      <c r="K10" s="563"/>
      <c r="AK10" s="588"/>
      <c r="AL10" s="589"/>
      <c r="AM10" s="589"/>
      <c r="AN10" s="589"/>
      <c r="AO10" s="589"/>
      <c r="AP10" s="590"/>
      <c r="AU10" s="319">
        <f>OBJ!B44</f>
        <v>9353340</v>
      </c>
      <c r="AV10" s="21" t="str">
        <f>VLOOKUP(AU10,CENY!$B$11:$G$1054,2,FALSE)</f>
        <v>AvanY-sólo oceľ.boky-NW 101/650mm/strieb.</v>
      </c>
      <c r="AW10" s="22">
        <f>VLOOKUP(AU10,CENY!$B$11:$G$1054,3,FALSE)</f>
        <v>1</v>
      </c>
      <c r="AX10" s="362">
        <v>8</v>
      </c>
      <c r="AY10" s="23">
        <f>Y20+Y22+Y28+Y30</f>
        <v>0</v>
      </c>
      <c r="AZ10" s="326">
        <f t="shared" si="1"/>
        <v>0</v>
      </c>
      <c r="BA10" s="95">
        <f>VLOOKUP(AU10,CENY!$B$11:$M$2025,12,FALSE)</f>
        <v>565.19020999999998</v>
      </c>
      <c r="BB10" s="95">
        <f t="shared" si="0"/>
        <v>0</v>
      </c>
      <c r="BD10" s="319">
        <f>OBJ!B55</f>
        <v>9255013</v>
      </c>
      <c r="BE10" s="21" t="str">
        <f>VLOOKUP(BD10,CENY!$B$11:$G$1054,2,FALSE)</f>
        <v>AvanY-bok pravý /v101/h350/ strieborná</v>
      </c>
      <c r="BF10" s="22">
        <f>VLOOKUP(BD10,CENY!$B$11:$G$1054,3,FALSE)</f>
        <v>20</v>
      </c>
      <c r="BG10" s="22"/>
      <c r="BH10" s="23">
        <f>AY7</f>
        <v>0</v>
      </c>
      <c r="BI10" s="326">
        <f t="shared" si="2"/>
        <v>0</v>
      </c>
      <c r="BJ10" s="95">
        <f>VLOOKUP(BD10,CENY!$B$11:$M$2025,12,FALSE)</f>
        <v>214.27737999999999</v>
      </c>
      <c r="BK10" s="95">
        <f t="shared" si="3"/>
        <v>0</v>
      </c>
    </row>
    <row r="11" spans="1:63" ht="14.4" customHeight="1">
      <c r="B11" s="549" t="str">
        <f>" "&amp;verze!E76</f>
        <v xml:space="preserve"> krytka:</v>
      </c>
      <c r="C11" s="549"/>
      <c r="D11" s="549"/>
      <c r="E11" s="549"/>
      <c r="F11" s="563" t="str">
        <f>" "&amp;FORM!AM21</f>
        <v xml:space="preserve"> žádná</v>
      </c>
      <c r="G11" s="563"/>
      <c r="H11" s="563"/>
      <c r="I11" s="563"/>
      <c r="J11" s="563"/>
      <c r="K11" s="563"/>
      <c r="AU11" s="319">
        <f>OBJ!B45</f>
        <v>9353341</v>
      </c>
      <c r="AV11" s="21" t="str">
        <f>VLOOKUP(AU11,CENY!$B$11:$G$1054,2,FALSE)</f>
        <v>AvanY-sólo oceľ.boky-NW 101/270mm/biela</v>
      </c>
      <c r="AW11" s="22">
        <f>VLOOKUP(AU11,CENY!$B$11:$G$1054,3,FALSE)</f>
        <v>1</v>
      </c>
      <c r="AX11" s="362">
        <v>8</v>
      </c>
      <c r="AY11" s="23">
        <f>AA20+AA22+AA28+AA30</f>
        <v>0</v>
      </c>
      <c r="AZ11" s="326">
        <f t="shared" si="1"/>
        <v>0</v>
      </c>
      <c r="BA11" s="95">
        <f>VLOOKUP(AU11,CENY!$B$11:$M$2025,12,FALSE)</f>
        <v>588.23680999999999</v>
      </c>
      <c r="BB11" s="95">
        <f t="shared" si="0"/>
        <v>0</v>
      </c>
      <c r="BD11" s="319">
        <f>OBJ!B56</f>
        <v>9255014</v>
      </c>
      <c r="BE11" s="21" t="str">
        <f>VLOOKUP(BD11,CENY!$B$11:$G$1054,2,FALSE)</f>
        <v>AvanY-bok ľavý /v101/h400/ strieborná</v>
      </c>
      <c r="BF11" s="22">
        <f>VLOOKUP(BD11,CENY!$B$11:$G$1054,3,FALSE)</f>
        <v>20</v>
      </c>
      <c r="BG11" s="22"/>
      <c r="BH11" s="23">
        <f>AY8</f>
        <v>0</v>
      </c>
      <c r="BI11" s="326">
        <f t="shared" si="2"/>
        <v>0</v>
      </c>
      <c r="BJ11" s="95">
        <f>VLOOKUP(BD11,CENY!$B$11:$M$2025,12,FALSE)</f>
        <v>218.14608000000001</v>
      </c>
      <c r="BK11" s="95">
        <f t="shared" si="3"/>
        <v>0</v>
      </c>
    </row>
    <row r="12" spans="1:63" ht="14.4" customHeight="1" thickBot="1">
      <c r="B12" s="549"/>
      <c r="C12" s="549"/>
      <c r="D12" s="549"/>
      <c r="E12" s="550"/>
      <c r="F12" s="551"/>
      <c r="G12" s="552"/>
      <c r="H12" s="552"/>
      <c r="I12" s="552"/>
      <c r="J12" s="553"/>
      <c r="K12" s="554"/>
      <c r="AU12" s="319">
        <f>OBJ!B46</f>
        <v>9353342</v>
      </c>
      <c r="AV12" s="21" t="str">
        <f>VLOOKUP(AU12,CENY!$B$11:$G$1054,2,FALSE)</f>
        <v>AvanY-sólo oceľ.boky-NW 101/300mm/biela</v>
      </c>
      <c r="AW12" s="22">
        <f>VLOOKUP(AU12,CENY!$B$11:$G$1054,3,FALSE)</f>
        <v>1</v>
      </c>
      <c r="AX12" s="362">
        <v>8</v>
      </c>
      <c r="AY12" s="23">
        <f>AC20+AC22+AC28+AC30</f>
        <v>0</v>
      </c>
      <c r="AZ12" s="326">
        <f t="shared" si="1"/>
        <v>0</v>
      </c>
      <c r="BA12" s="95">
        <f>VLOOKUP(AU12,CENY!$B$11:$M$2025,12,FALSE)</f>
        <v>600.62784999999997</v>
      </c>
      <c r="BB12" s="95">
        <f t="shared" si="0"/>
        <v>0</v>
      </c>
      <c r="BD12" s="319">
        <f>OBJ!B57</f>
        <v>9255015</v>
      </c>
      <c r="BE12" s="21" t="str">
        <f>VLOOKUP(BD12,CENY!$B$11:$G$1054,2,FALSE)</f>
        <v>AvanY-bok pravý /v101/h400/ strieborná</v>
      </c>
      <c r="BF12" s="22">
        <f>VLOOKUP(BD12,CENY!$B$11:$G$1054,3,FALSE)</f>
        <v>20</v>
      </c>
      <c r="BG12" s="22"/>
      <c r="BH12" s="23">
        <f>AY8</f>
        <v>0</v>
      </c>
      <c r="BI12" s="326">
        <f t="shared" si="2"/>
        <v>0</v>
      </c>
      <c r="BJ12" s="95">
        <f>VLOOKUP(BD12,CENY!$B$11:$M$2025,12,FALSE)</f>
        <v>218.14608000000001</v>
      </c>
      <c r="BK12" s="95">
        <f t="shared" si="3"/>
        <v>0</v>
      </c>
    </row>
    <row r="13" spans="1:63" ht="14.4" customHeight="1">
      <c r="B13" s="549" t="str">
        <f>" "&amp;verze!E92</f>
        <v xml:space="preserve"> cena kování:</v>
      </c>
      <c r="C13" s="549"/>
      <c r="D13" s="549"/>
      <c r="E13" s="550"/>
      <c r="F13" s="555">
        <f>IF(AW4=1,BB4,BK4)</f>
        <v>0</v>
      </c>
      <c r="G13" s="555"/>
      <c r="H13" s="555"/>
      <c r="I13" s="555"/>
      <c r="J13" s="556" t="str">
        <f>IF(verze!E1="CZK","CZK","EUR")</f>
        <v>CZK</v>
      </c>
      <c r="K13" s="557"/>
      <c r="AU13" s="319">
        <f>OBJ!B47</f>
        <v>9353343</v>
      </c>
      <c r="AV13" s="21" t="str">
        <f>VLOOKUP(AU13,CENY!$B$11:$G$1054,2,FALSE)</f>
        <v>AvanY-sólo oceľ.boky-NW 101/350mm/biela</v>
      </c>
      <c r="AW13" s="22">
        <f>VLOOKUP(AU13,CENY!$B$11:$G$1054,3,FALSE)</f>
        <v>1</v>
      </c>
      <c r="AX13" s="362">
        <v>10</v>
      </c>
      <c r="AY13" s="23">
        <f>AE22</f>
        <v>0</v>
      </c>
      <c r="AZ13" s="326">
        <f t="shared" si="1"/>
        <v>0</v>
      </c>
      <c r="BA13" s="95">
        <f>VLOOKUP(AU13,CENY!$B$11:$M$2025,12,FALSE)</f>
        <v>618.65596000000005</v>
      </c>
      <c r="BB13" s="95">
        <f t="shared" si="0"/>
        <v>0</v>
      </c>
      <c r="BD13" s="319">
        <f>OBJ!B58</f>
        <v>9255016</v>
      </c>
      <c r="BE13" s="21" t="str">
        <f>VLOOKUP(BD13,CENY!$B$11:$G$1054,2,FALSE)</f>
        <v>AvanY-bok ľavý /v101/h450/ strieborná</v>
      </c>
      <c r="BF13" s="22">
        <f>VLOOKUP(BD13,CENY!$B$11:$G$1054,3,FALSE)</f>
        <v>20</v>
      </c>
      <c r="BG13" s="22"/>
      <c r="BH13" s="23">
        <f>AY9</f>
        <v>0</v>
      </c>
      <c r="BI13" s="326">
        <f t="shared" si="2"/>
        <v>0</v>
      </c>
      <c r="BJ13" s="95">
        <f>VLOOKUP(BD13,CENY!$B$11:$M$2025,12,FALSE)</f>
        <v>222.02244999999999</v>
      </c>
      <c r="BK13" s="95">
        <f t="shared" si="3"/>
        <v>0</v>
      </c>
    </row>
    <row r="14" spans="1:63" ht="14.4" customHeight="1">
      <c r="AU14" s="319"/>
      <c r="AV14" s="21"/>
      <c r="AW14" s="22"/>
      <c r="AX14" s="22"/>
      <c r="AY14" s="23"/>
      <c r="AZ14" s="326" t="str">
        <f t="shared" si="1"/>
        <v/>
      </c>
      <c r="BA14" s="95"/>
      <c r="BB14" s="95" t="str">
        <f t="shared" si="0"/>
        <v/>
      </c>
      <c r="BD14" s="319">
        <f>OBJ!B59</f>
        <v>9255017</v>
      </c>
      <c r="BE14" s="21" t="str">
        <f>VLOOKUP(BD14,CENY!$B$11:$G$1054,2,FALSE)</f>
        <v>AvanY-bok pravý /v101/h450/ strieborná</v>
      </c>
      <c r="BF14" s="22">
        <f>VLOOKUP(BD14,CENY!$B$11:$G$1054,3,FALSE)</f>
        <v>20</v>
      </c>
      <c r="BG14" s="22"/>
      <c r="BH14" s="23">
        <f>AY9</f>
        <v>0</v>
      </c>
      <c r="BI14" s="326">
        <f t="shared" si="2"/>
        <v>0</v>
      </c>
      <c r="BJ14" s="95">
        <f>VLOOKUP(BD14,CENY!$B$11:$M$2025,12,FALSE)</f>
        <v>222.02244999999999</v>
      </c>
      <c r="BK14" s="95">
        <f t="shared" si="3"/>
        <v>0</v>
      </c>
    </row>
    <row r="15" spans="1:63" ht="14.4" customHeight="1">
      <c r="AU15" s="319">
        <f>OBJ!B71</f>
        <v>9347502</v>
      </c>
      <c r="AV15" s="21" t="str">
        <f>VLOOKUP(AU15,CENY!$B$11:$G$1054,2,FALSE)</f>
        <v>AvanY-design ALprofil Hybrid na bok 270/ strieb.</v>
      </c>
      <c r="AW15" s="22">
        <f>VLOOKUP(AU15,CENY!$B$11:$G$1054,3,FALSE)</f>
        <v>200</v>
      </c>
      <c r="AX15" s="22"/>
      <c r="AY15" s="23">
        <f>IF(FORM!AM18=FORM!AU16,0,2*(O19+O20+O27+O28+O30))</f>
        <v>0</v>
      </c>
      <c r="AZ15" s="326">
        <f t="shared" si="1"/>
        <v>0</v>
      </c>
      <c r="BA15" s="95">
        <f>VLOOKUP(AU15,CENY!$B$11:$M$2025,12,FALSE)</f>
        <v>19.78839</v>
      </c>
      <c r="BB15" s="95">
        <f t="shared" si="0"/>
        <v>0</v>
      </c>
      <c r="BD15" s="319">
        <f>OBJ!B60</f>
        <v>9255018</v>
      </c>
      <c r="BE15" s="21" t="str">
        <f>VLOOKUP(BD15,CENY!$B$11:$G$1054,2,FALSE)</f>
        <v>AvanY-bok ľavý /v101/h500/ strieborná</v>
      </c>
      <c r="BF15" s="22">
        <f>VLOOKUP(BD15,CENY!$B$11:$G$1054,3,FALSE)</f>
        <v>20</v>
      </c>
      <c r="BG15" s="22"/>
      <c r="BH15" s="23">
        <f>AY10</f>
        <v>0</v>
      </c>
      <c r="BI15" s="326">
        <f t="shared" si="2"/>
        <v>0</v>
      </c>
      <c r="BJ15" s="95">
        <f>VLOOKUP(BD15,CENY!$B$11:$M$2025,12,FALSE)</f>
        <v>219.88341</v>
      </c>
      <c r="BK15" s="95">
        <f t="shared" si="3"/>
        <v>0</v>
      </c>
    </row>
    <row r="16" spans="1:63" ht="14.4" customHeight="1">
      <c r="AU16" s="319">
        <f>OBJ!B72</f>
        <v>9347503</v>
      </c>
      <c r="AV16" s="21" t="str">
        <f>VLOOKUP(AU16,CENY!$B$11:$G$1054,2,FALSE)</f>
        <v>AvanY-design ALprofil Hybrid na bok 300/ strieb.</v>
      </c>
      <c r="AW16" s="22">
        <f>VLOOKUP(AU16,CENY!$B$11:$G$1054,3,FALSE)</f>
        <v>200</v>
      </c>
      <c r="AX16" s="22"/>
      <c r="AY16" s="23">
        <f>IF(FORM!AM18=FORM!AU16,0,2*(Q19+Q20+Q27+Q28+Q30))</f>
        <v>0</v>
      </c>
      <c r="AZ16" s="326">
        <f t="shared" si="1"/>
        <v>0</v>
      </c>
      <c r="BA16" s="95">
        <f>VLOOKUP(AU16,CENY!$B$11:$M$2025,12,FALSE)</f>
        <v>20.006769999999999</v>
      </c>
      <c r="BB16" s="95">
        <f t="shared" si="0"/>
        <v>0</v>
      </c>
      <c r="BD16" s="319">
        <f>OBJ!B61</f>
        <v>9255019</v>
      </c>
      <c r="BE16" s="21" t="str">
        <f>VLOOKUP(BD16,CENY!$B$11:$G$1054,2,FALSE)</f>
        <v>AvanY-bok pravý /v101/h500/ strieborná</v>
      </c>
      <c r="BF16" s="22">
        <f>VLOOKUP(BD16,CENY!$B$11:$G$1054,3,FALSE)</f>
        <v>20</v>
      </c>
      <c r="BG16" s="22"/>
      <c r="BH16" s="23">
        <f>AY10</f>
        <v>0</v>
      </c>
      <c r="BI16" s="326">
        <f t="shared" si="2"/>
        <v>0</v>
      </c>
      <c r="BJ16" s="95">
        <f>VLOOKUP(BD16,CENY!$B$11:$M$2025,12,FALSE)</f>
        <v>219.88341</v>
      </c>
      <c r="BK16" s="95">
        <f t="shared" si="3"/>
        <v>0</v>
      </c>
    </row>
    <row r="17" spans="2:63" ht="14.4" customHeight="1" thickBot="1">
      <c r="B17" s="1" t="s">
        <v>284</v>
      </c>
      <c r="O17" s="547" t="str">
        <f>FORM!U18</f>
        <v>flexibilní sety</v>
      </c>
      <c r="P17" s="548"/>
      <c r="Q17" s="548"/>
      <c r="R17" s="548"/>
      <c r="S17" s="548"/>
      <c r="T17" s="548"/>
      <c r="U17" s="548"/>
      <c r="V17" s="548"/>
      <c r="W17" s="548"/>
      <c r="X17" s="548"/>
      <c r="Y17" s="548"/>
      <c r="Z17" s="548"/>
      <c r="AA17" s="548"/>
      <c r="AB17" s="548"/>
      <c r="AC17" s="548"/>
      <c r="AD17" s="548"/>
      <c r="AE17" s="548"/>
      <c r="AF17" s="548"/>
      <c r="AI17" s="540" t="str">
        <f>verze!E198</f>
        <v>P2O Silent pro Actro</v>
      </c>
      <c r="AJ17" s="541"/>
      <c r="AK17" s="541"/>
      <c r="AL17" s="541"/>
      <c r="AM17" s="541"/>
      <c r="AN17" s="541"/>
      <c r="AO17" s="541"/>
      <c r="AU17" s="319">
        <f>OBJ!B73</f>
        <v>9347504</v>
      </c>
      <c r="AV17" s="21" t="str">
        <f>VLOOKUP(AU17,CENY!$B$11:$G$1054,2,FALSE)</f>
        <v>AvanY-design ALprofil Hybrid na bok 350/ strieb.</v>
      </c>
      <c r="AW17" s="22">
        <f>VLOOKUP(AU17,CENY!$B$11:$G$1054,3,FALSE)</f>
        <v>200</v>
      </c>
      <c r="AX17" s="22"/>
      <c r="AY17" s="23">
        <f>IF(FORM!AM18=FORM!AU16,0,2*(S19+S20+S27+S28+S30))</f>
        <v>0</v>
      </c>
      <c r="AZ17" s="326">
        <f t="shared" si="1"/>
        <v>0</v>
      </c>
      <c r="BA17" s="95">
        <f>VLOOKUP(AU17,CENY!$B$11:$M$2025,12,FALSE)</f>
        <v>20.37642</v>
      </c>
      <c r="BB17" s="95">
        <f t="shared" si="0"/>
        <v>0</v>
      </c>
      <c r="BD17" s="319">
        <f>OBJ!B62</f>
        <v>9255020</v>
      </c>
      <c r="BE17" s="21" t="str">
        <f>VLOOKUP(BD17,CENY!$B$11:$G$1054,2,FALSE)</f>
        <v>AvanY-bok ľavý /v101/h550/ strieborná</v>
      </c>
      <c r="BF17" s="22">
        <f>VLOOKUP(BD17,CENY!$B$11:$G$1054,3,FALSE)</f>
        <v>20</v>
      </c>
      <c r="BG17" s="22"/>
      <c r="BH17" s="23">
        <f>AY11</f>
        <v>0</v>
      </c>
      <c r="BI17" s="326">
        <f t="shared" si="2"/>
        <v>0</v>
      </c>
      <c r="BJ17" s="95">
        <f>VLOOKUP(BD17,CENY!$B$11:$M$2025,12,FALSE)</f>
        <v>229.76492999999999</v>
      </c>
      <c r="BK17" s="95">
        <f t="shared" si="3"/>
        <v>0</v>
      </c>
    </row>
    <row r="18" spans="2:63" ht="14.4" customHeight="1" thickBot="1">
      <c r="B18" s="96"/>
      <c r="C18" s="96"/>
      <c r="D18" s="96"/>
      <c r="E18" s="96"/>
      <c r="F18" s="96"/>
      <c r="G18" s="96"/>
      <c r="H18" s="72"/>
      <c r="I18" s="72"/>
      <c r="J18" s="72"/>
      <c r="K18" s="72"/>
      <c r="L18" s="72"/>
      <c r="M18" s="72"/>
      <c r="N18" s="72" t="str">
        <f>verze!$E$20&amp;" "</f>
        <v xml:space="preserve">Jmenovitá délka: </v>
      </c>
      <c r="O18" s="535">
        <v>270</v>
      </c>
      <c r="P18" s="536"/>
      <c r="Q18" s="535">
        <v>300</v>
      </c>
      <c r="R18" s="536"/>
      <c r="S18" s="535">
        <v>350</v>
      </c>
      <c r="T18" s="536"/>
      <c r="U18" s="535">
        <v>400</v>
      </c>
      <c r="V18" s="536"/>
      <c r="W18" s="535">
        <v>450</v>
      </c>
      <c r="X18" s="536"/>
      <c r="Y18" s="537">
        <v>500</v>
      </c>
      <c r="Z18" s="538"/>
      <c r="AA18" s="535">
        <v>550</v>
      </c>
      <c r="AB18" s="536"/>
      <c r="AC18" s="535">
        <v>600</v>
      </c>
      <c r="AD18" s="536"/>
      <c r="AE18" s="535">
        <v>650</v>
      </c>
      <c r="AF18" s="536"/>
      <c r="AI18" s="543" t="s">
        <v>299</v>
      </c>
      <c r="AJ18" s="543"/>
      <c r="AK18" s="543"/>
      <c r="AL18" s="543"/>
      <c r="AM18" s="543"/>
      <c r="AN18" s="543"/>
      <c r="AO18" s="543"/>
      <c r="AU18" s="319">
        <f>OBJ!B74</f>
        <v>9347505</v>
      </c>
      <c r="AV18" s="21" t="str">
        <f>VLOOKUP(AU18,CENY!$B$11:$G$1054,2,FALSE)</f>
        <v>AvanY-design ALprofil Hybrid na bok 400/ strieb.</v>
      </c>
      <c r="AW18" s="22">
        <f>VLOOKUP(AU18,CENY!$B$11:$G$1054,3,FALSE)</f>
        <v>200</v>
      </c>
      <c r="AX18" s="22"/>
      <c r="AY18" s="23">
        <f>IF(FORM!AM18=FORM!AU16,0,2*(U20+U28+U30))</f>
        <v>0</v>
      </c>
      <c r="AZ18" s="326">
        <f t="shared" si="1"/>
        <v>0</v>
      </c>
      <c r="BA18" s="95">
        <f>VLOOKUP(AU18,CENY!$B$11:$M$2025,12,FALSE)</f>
        <v>20.742249999999999</v>
      </c>
      <c r="BB18" s="95">
        <f t="shared" si="0"/>
        <v>0</v>
      </c>
      <c r="BD18" s="319">
        <f>OBJ!B63</f>
        <v>9255021</v>
      </c>
      <c r="BE18" s="21" t="str">
        <f>VLOOKUP(BD18,CENY!$B$11:$G$1054,2,FALSE)</f>
        <v>AvanY-bok pravý /v101/h550/ strieborná</v>
      </c>
      <c r="BF18" s="22">
        <f>VLOOKUP(BD18,CENY!$B$11:$G$1054,3,FALSE)</f>
        <v>20</v>
      </c>
      <c r="BG18" s="22"/>
      <c r="BH18" s="23">
        <f>AY11</f>
        <v>0</v>
      </c>
      <c r="BI18" s="326">
        <f t="shared" si="2"/>
        <v>0</v>
      </c>
      <c r="BJ18" s="95">
        <f>VLOOKUP(BD18,CENY!$B$11:$M$2025,12,FALSE)</f>
        <v>229.76492999999999</v>
      </c>
      <c r="BK18" s="95">
        <f t="shared" si="3"/>
        <v>0</v>
      </c>
    </row>
    <row r="19" spans="2:63" ht="14.4" customHeight="1" thickBot="1">
      <c r="B19" s="530" t="s">
        <v>289</v>
      </c>
      <c r="C19" s="530"/>
      <c r="D19" s="530"/>
      <c r="E19" s="530"/>
      <c r="F19" s="530"/>
      <c r="G19" s="530"/>
      <c r="H19" s="531" t="str">
        <f>verze!E18</f>
        <v>plnovýsuv</v>
      </c>
      <c r="I19" s="531"/>
      <c r="J19" s="531"/>
      <c r="K19" s="531"/>
      <c r="L19" s="531"/>
      <c r="M19" s="532" t="s">
        <v>286</v>
      </c>
      <c r="N19" s="533"/>
      <c r="O19" s="567"/>
      <c r="P19" s="568"/>
      <c r="Q19" s="567"/>
      <c r="R19" s="568"/>
      <c r="S19" s="567"/>
      <c r="T19" s="568"/>
      <c r="U19" s="283"/>
      <c r="V19" s="284"/>
      <c r="W19" s="283"/>
      <c r="X19" s="284"/>
      <c r="Y19" s="283"/>
      <c r="Z19" s="284"/>
      <c r="AA19" s="283"/>
      <c r="AB19" s="284"/>
      <c r="AC19" s="283"/>
      <c r="AD19" s="284"/>
      <c r="AE19" s="280"/>
      <c r="AF19" s="281"/>
      <c r="AI19" s="289"/>
      <c r="AJ19" s="290"/>
      <c r="AK19" s="289"/>
      <c r="AL19" s="290"/>
      <c r="AM19" s="291" t="s">
        <v>295</v>
      </c>
      <c r="AN19" s="534"/>
      <c r="AO19" s="534"/>
      <c r="AU19" s="319">
        <f>OBJ!B75</f>
        <v>9347506</v>
      </c>
      <c r="AV19" s="21" t="str">
        <f>VLOOKUP(AU19,CENY!$B$11:$G$1054,2,FALSE)</f>
        <v>AvanY-design ALprofil Hybrid na bok 450/ strieb.</v>
      </c>
      <c r="AW19" s="22">
        <f>VLOOKUP(AU19,CENY!$B$11:$G$1054,3,FALSE)</f>
        <v>200</v>
      </c>
      <c r="AX19" s="22"/>
      <c r="AY19" s="23">
        <f>IF(FORM!AM18=FORM!AU16,0,2*(W20+W22+W28+W30))</f>
        <v>0</v>
      </c>
      <c r="AZ19" s="326">
        <f t="shared" si="1"/>
        <v>0</v>
      </c>
      <c r="BA19" s="95">
        <f>VLOOKUP(AU19,CENY!$B$11:$M$2025,12,FALSE)</f>
        <v>21.111910000000002</v>
      </c>
      <c r="BB19" s="95">
        <f t="shared" si="0"/>
        <v>0</v>
      </c>
      <c r="BD19" s="319">
        <f>OBJ!B64</f>
        <v>9255022</v>
      </c>
      <c r="BE19" s="21" t="str">
        <f>VLOOKUP(BD19,CENY!$B$11:$G$1054,2,FALSE)</f>
        <v>AvanY-bok ľavý /v101/h600/ strieborná</v>
      </c>
      <c r="BF19" s="22">
        <f>VLOOKUP(BD19,CENY!$B$11:$G$1054,3,FALSE)</f>
        <v>20</v>
      </c>
      <c r="BG19" s="22"/>
      <c r="BH19" s="23">
        <f>AY12</f>
        <v>0</v>
      </c>
      <c r="BI19" s="326">
        <f t="shared" si="2"/>
        <v>0</v>
      </c>
      <c r="BJ19" s="95">
        <f>VLOOKUP(BD19,CENY!$B$11:$M$2025,12,FALSE)</f>
        <v>235.60476</v>
      </c>
      <c r="BK19" s="95">
        <f t="shared" si="3"/>
        <v>0</v>
      </c>
    </row>
    <row r="20" spans="2:63" ht="14.4" customHeight="1" thickBot="1">
      <c r="B20" s="521" t="s">
        <v>290</v>
      </c>
      <c r="C20" s="521"/>
      <c r="D20" s="521"/>
      <c r="E20" s="521"/>
      <c r="F20" s="521"/>
      <c r="G20" s="521"/>
      <c r="H20" s="522" t="str">
        <f>verze!E18</f>
        <v>plnovýsuv</v>
      </c>
      <c r="I20" s="522"/>
      <c r="J20" s="522"/>
      <c r="K20" s="522"/>
      <c r="L20" s="522"/>
      <c r="M20" s="523" t="s">
        <v>287</v>
      </c>
      <c r="N20" s="546"/>
      <c r="O20" s="516"/>
      <c r="P20" s="517"/>
      <c r="Q20" s="516"/>
      <c r="R20" s="517"/>
      <c r="S20" s="516"/>
      <c r="T20" s="517"/>
      <c r="U20" s="516"/>
      <c r="V20" s="517"/>
      <c r="W20" s="516"/>
      <c r="X20" s="517"/>
      <c r="Y20" s="516"/>
      <c r="Z20" s="517"/>
      <c r="AA20" s="516"/>
      <c r="AB20" s="517"/>
      <c r="AC20" s="565"/>
      <c r="AD20" s="566"/>
      <c r="AE20" s="518"/>
      <c r="AF20" s="519"/>
      <c r="AI20" s="287"/>
      <c r="AJ20" s="288"/>
      <c r="AK20" s="287"/>
      <c r="AL20" s="288"/>
      <c r="AM20" s="286" t="s">
        <v>294</v>
      </c>
      <c r="AN20" s="520"/>
      <c r="AO20" s="520"/>
      <c r="AU20" s="319">
        <f>OBJ!B76</f>
        <v>9347507</v>
      </c>
      <c r="AV20" s="21" t="str">
        <f>VLOOKUP(AU20,CENY!$B$11:$G$1054,2,FALSE)</f>
        <v>AvanY-design ALprofil Hybrid na bok 500/ strieb.</v>
      </c>
      <c r="AW20" s="22">
        <f>VLOOKUP(AU20,CENY!$B$11:$G$1054,3,FALSE)</f>
        <v>200</v>
      </c>
      <c r="AX20" s="22"/>
      <c r="AY20" s="23">
        <f>IF(FORM!AM18=FORM!AU16,0,2*(Y20+Y22+Y28+Y30))</f>
        <v>0</v>
      </c>
      <c r="AZ20" s="326">
        <f t="shared" si="1"/>
        <v>0</v>
      </c>
      <c r="BA20" s="95">
        <f>VLOOKUP(AU20,CENY!$B$11:$M$2025,12,FALSE)</f>
        <v>21.479700000000001</v>
      </c>
      <c r="BB20" s="95">
        <f t="shared" si="0"/>
        <v>0</v>
      </c>
      <c r="BD20" s="319">
        <f>OBJ!B65</f>
        <v>9255023</v>
      </c>
      <c r="BE20" s="21" t="str">
        <f>VLOOKUP(BD20,CENY!$B$11:$G$1054,2,FALSE)</f>
        <v>AvanY-bok pravý /v101/h600/ strieborná</v>
      </c>
      <c r="BF20" s="22">
        <f>VLOOKUP(BD20,CENY!$B$11:$G$1054,3,FALSE)</f>
        <v>20</v>
      </c>
      <c r="BG20" s="22"/>
      <c r="BH20" s="23">
        <f>AY12</f>
        <v>0</v>
      </c>
      <c r="BI20" s="326">
        <f t="shared" si="2"/>
        <v>0</v>
      </c>
      <c r="BJ20" s="95">
        <f>VLOOKUP(BD20,CENY!$B$11:$M$2025,12,FALSE)</f>
        <v>235.60476</v>
      </c>
      <c r="BK20" s="95">
        <f t="shared" si="3"/>
        <v>0</v>
      </c>
    </row>
    <row r="21" spans="2:63" ht="14.4" customHeight="1" thickBot="1">
      <c r="O21" s="283"/>
      <c r="P21" s="284"/>
      <c r="Q21" s="283"/>
      <c r="R21" s="284"/>
      <c r="S21" s="283"/>
      <c r="T21" s="284"/>
      <c r="U21" s="283"/>
      <c r="V21" s="284"/>
      <c r="W21" s="283"/>
      <c r="X21" s="284"/>
      <c r="Y21" s="283"/>
      <c r="Z21" s="284"/>
      <c r="AA21" s="283"/>
      <c r="AB21" s="284"/>
      <c r="AC21" s="283"/>
      <c r="AD21" s="284"/>
      <c r="AE21" s="283"/>
      <c r="AF21" s="284"/>
      <c r="AI21" s="287"/>
      <c r="AJ21" s="288"/>
      <c r="AK21" s="287"/>
      <c r="AL21" s="288"/>
      <c r="AM21" s="286" t="s">
        <v>296</v>
      </c>
      <c r="AN21" s="542"/>
      <c r="AO21" s="542"/>
      <c r="AU21" s="319">
        <f>OBJ!B77</f>
        <v>9347508</v>
      </c>
      <c r="AV21" s="21" t="str">
        <f>VLOOKUP(AU21,CENY!$B$11:$G$1054,2,FALSE)</f>
        <v>AvanY-design ALprofil Hybrid na bok 550/ strieb.</v>
      </c>
      <c r="AW21" s="22">
        <f>VLOOKUP(AU21,CENY!$B$11:$G$1054,3,FALSE)</f>
        <v>200</v>
      </c>
      <c r="AX21" s="22"/>
      <c r="AY21" s="23">
        <f>IF(FORM!AM18=FORM!AU16,0,2*(AA20+AA22+AA28+AA30))</f>
        <v>0</v>
      </c>
      <c r="AZ21" s="326">
        <f t="shared" si="1"/>
        <v>0</v>
      </c>
      <c r="BA21" s="95">
        <f>VLOOKUP(AU21,CENY!$B$11:$M$2025,12,FALSE)</f>
        <v>21.84564</v>
      </c>
      <c r="BB21" s="95">
        <f t="shared" si="0"/>
        <v>0</v>
      </c>
      <c r="BD21" s="319">
        <f>OBJ!B66</f>
        <v>9255024</v>
      </c>
      <c r="BE21" s="21" t="str">
        <f>VLOOKUP(BD21,CENY!$B$11:$G$1054,2,FALSE)</f>
        <v>AvanY-bok ľavý /v101/h650/ strieborná</v>
      </c>
      <c r="BF21" s="22">
        <f>VLOOKUP(BD21,CENY!$B$11:$G$1054,3,FALSE)</f>
        <v>20</v>
      </c>
      <c r="BG21" s="22"/>
      <c r="BH21" s="23">
        <f>AY13</f>
        <v>0</v>
      </c>
      <c r="BI21" s="326">
        <f t="shared" si="2"/>
        <v>0</v>
      </c>
      <c r="BJ21" s="95">
        <f>VLOOKUP(BD21,CENY!$B$11:$M$2025,12,FALSE)</f>
        <v>243.54496</v>
      </c>
      <c r="BK21" s="95">
        <f t="shared" si="3"/>
        <v>0</v>
      </c>
    </row>
    <row r="22" spans="2:63" ht="14.4" customHeight="1" thickBot="1">
      <c r="B22" s="544" t="s">
        <v>291</v>
      </c>
      <c r="C22" s="544"/>
      <c r="D22" s="544"/>
      <c r="E22" s="544"/>
      <c r="F22" s="544"/>
      <c r="G22" s="544"/>
      <c r="H22" s="545" t="str">
        <f>verze!E18</f>
        <v>plnovýsuv</v>
      </c>
      <c r="I22" s="545"/>
      <c r="J22" s="545"/>
      <c r="K22" s="545"/>
      <c r="L22" s="545"/>
      <c r="M22" s="523" t="s">
        <v>288</v>
      </c>
      <c r="N22" s="524"/>
      <c r="O22" s="518"/>
      <c r="P22" s="519"/>
      <c r="Q22" s="518"/>
      <c r="R22" s="519"/>
      <c r="S22" s="518"/>
      <c r="T22" s="519"/>
      <c r="U22" s="518"/>
      <c r="V22" s="519"/>
      <c r="W22" s="516"/>
      <c r="X22" s="517"/>
      <c r="Y22" s="516"/>
      <c r="Z22" s="517"/>
      <c r="AA22" s="516"/>
      <c r="AB22" s="517"/>
      <c r="AC22" s="516"/>
      <c r="AD22" s="517"/>
      <c r="AE22" s="565"/>
      <c r="AF22" s="566"/>
      <c r="AI22" s="287"/>
      <c r="AJ22" s="288"/>
      <c r="AK22" s="287"/>
      <c r="AL22" s="288"/>
      <c r="AM22" s="286" t="s">
        <v>297</v>
      </c>
      <c r="AN22" s="539"/>
      <c r="AO22" s="539"/>
      <c r="AU22" s="319">
        <f>OBJ!B78</f>
        <v>9347509</v>
      </c>
      <c r="AV22" s="21" t="str">
        <f>VLOOKUP(AU22,CENY!$B$11:$G$1054,2,FALSE)</f>
        <v>AvanY-design ALprofil Hybrid na bok 600/ strieb.</v>
      </c>
      <c r="AW22" s="22">
        <f>VLOOKUP(AU22,CENY!$B$11:$G$1054,3,FALSE)</f>
        <v>200</v>
      </c>
      <c r="AX22" s="22"/>
      <c r="AY22" s="23">
        <f>IF(FORM!AM18=FORM!AU16,0,2*(AC20+AC22+AC28+AC30))</f>
        <v>0</v>
      </c>
      <c r="AZ22" s="326">
        <f t="shared" si="1"/>
        <v>0</v>
      </c>
      <c r="BA22" s="95">
        <f>VLOOKUP(AU22,CENY!$B$11:$M$2025,12,FALSE)</f>
        <v>22.79205</v>
      </c>
      <c r="BB22" s="95">
        <f t="shared" si="0"/>
        <v>0</v>
      </c>
      <c r="BD22" s="319">
        <f>OBJ!B67</f>
        <v>9255025</v>
      </c>
      <c r="BE22" s="21" t="str">
        <f>VLOOKUP(BD22,CENY!$B$11:$G$1054,2,FALSE)</f>
        <v>AvanY-bok pravý /v101/h650/ strieborná</v>
      </c>
      <c r="BF22" s="22">
        <f>VLOOKUP(BD22,CENY!$B$11:$G$1054,3,FALSE)</f>
        <v>20</v>
      </c>
      <c r="BG22" s="22"/>
      <c r="BH22" s="23">
        <f>AY13</f>
        <v>0</v>
      </c>
      <c r="BI22" s="326">
        <f t="shared" si="2"/>
        <v>0</v>
      </c>
      <c r="BJ22" s="95">
        <f>VLOOKUP(BD22,CENY!$B$11:$M$2025,12,FALSE)</f>
        <v>243.54496</v>
      </c>
      <c r="BK22" s="95">
        <f t="shared" si="3"/>
        <v>0</v>
      </c>
    </row>
    <row r="23" spans="2:63" ht="14.4" customHeight="1">
      <c r="O23" s="4"/>
      <c r="P23" s="4"/>
      <c r="AU23" s="319">
        <f>OBJ!B79</f>
        <v>9347510</v>
      </c>
      <c r="AV23" s="21" t="str">
        <f>VLOOKUP(AU23,CENY!$B$11:$G$1054,2,FALSE)</f>
        <v>AvanY-design ALprofil Hybrid na bok 650/ strieb.</v>
      </c>
      <c r="AW23" s="22">
        <f>VLOOKUP(AU23,CENY!$B$11:$G$1054,3,FALSE)</f>
        <v>200</v>
      </c>
      <c r="AX23" s="22"/>
      <c r="AY23" s="23">
        <f>IF(FORM!AM18=FORM!AU16,0,2*AE22)</f>
        <v>0</v>
      </c>
      <c r="AZ23" s="326">
        <f t="shared" si="1"/>
        <v>0</v>
      </c>
      <c r="BA23" s="95">
        <f>VLOOKUP(AU23,CENY!$B$11:$M$2025,12,FALSE)</f>
        <v>24.580449999999999</v>
      </c>
      <c r="BB23" s="95">
        <f t="shared" si="0"/>
        <v>0</v>
      </c>
      <c r="BD23" s="319"/>
      <c r="BE23" s="21"/>
      <c r="BF23" s="22"/>
      <c r="BG23" s="22"/>
      <c r="BH23" s="23"/>
      <c r="BI23" s="326" t="str">
        <f t="shared" si="2"/>
        <v/>
      </c>
      <c r="BJ23" s="95"/>
      <c r="BK23" s="95" t="str">
        <f t="shared" si="3"/>
        <v/>
      </c>
    </row>
    <row r="24" spans="2:63" ht="14.4" customHeight="1">
      <c r="AU24" s="319"/>
      <c r="AV24" s="21"/>
      <c r="AW24" s="22"/>
      <c r="AX24" s="22"/>
      <c r="AY24" s="23"/>
      <c r="AZ24" s="326" t="str">
        <f t="shared" si="1"/>
        <v/>
      </c>
      <c r="BA24" s="95"/>
      <c r="BB24" s="95" t="str">
        <f t="shared" si="0"/>
        <v/>
      </c>
      <c r="BD24" s="320">
        <v>9255835</v>
      </c>
      <c r="BE24" s="321" t="str">
        <f>VLOOKUP(BD24,CENY!$B$11:$G$1054,2,FALSE)</f>
        <v>AvanY-príchytka čela k naskrutk./ v101</v>
      </c>
      <c r="BF24" s="22">
        <f>VLOOKUP(BD24,CENY!$B$11:$G$1054,3,FALSE)</f>
        <v>200</v>
      </c>
      <c r="BG24" s="22"/>
      <c r="BH24" s="68">
        <f>2*(SUM(O19:T19)+SUM(O20:AD20)+SUM(W22:AF22)+SUM(O27:T27)+SUM(O28:AD28)+SUM(O30:AD30))</f>
        <v>0</v>
      </c>
      <c r="BI24" s="326">
        <f t="shared" si="2"/>
        <v>0</v>
      </c>
      <c r="BJ24" s="95">
        <f>VLOOKUP(BD24,CENY!$B$11:$M$2025,12,FALSE)</f>
        <v>24.69378</v>
      </c>
      <c r="BK24" s="95">
        <f t="shared" si="3"/>
        <v>0</v>
      </c>
    </row>
    <row r="25" spans="2:63" ht="14.4" customHeight="1" thickBot="1">
      <c r="B25" s="2" t="s">
        <v>285</v>
      </c>
      <c r="AI25" s="540" t="str">
        <f>verze!E199</f>
        <v>P2O Silent pro Quadro</v>
      </c>
      <c r="AJ25" s="541"/>
      <c r="AK25" s="541"/>
      <c r="AL25" s="541"/>
      <c r="AM25" s="541"/>
      <c r="AN25" s="541"/>
      <c r="AO25" s="541"/>
      <c r="AU25" s="319">
        <f>OBJ!B233</f>
        <v>9318154</v>
      </c>
      <c r="AV25" s="21" t="str">
        <f>VLOOKUP(AU25,CENY!$B$11:$G$1054,2,FALSE)</f>
        <v>Actro You(S) 270/SiSy 10kg; EB21</v>
      </c>
      <c r="AW25" s="22">
        <f>VLOOKUP(AU25,CENY!$B$11:$G$1054,3,FALSE)</f>
        <v>1</v>
      </c>
      <c r="AX25" s="362">
        <v>4</v>
      </c>
      <c r="AY25" s="23">
        <f>O19</f>
        <v>0</v>
      </c>
      <c r="AZ25" s="326">
        <f t="shared" si="1"/>
        <v>0</v>
      </c>
      <c r="BA25" s="95">
        <f>VLOOKUP(AU25,CENY!$B$11:$M$2025,12,FALSE)</f>
        <v>657.45060999999998</v>
      </c>
      <c r="BB25" s="95">
        <f t="shared" si="0"/>
        <v>0</v>
      </c>
      <c r="BD25" s="319">
        <f>OBJ!B48</f>
        <v>9257702</v>
      </c>
      <c r="BE25" s="21" t="str">
        <f>VLOOKUP(BD25,CENY!$B$11:$G$1054,2,FALSE)</f>
        <v>AvanY-stabilizátor chrbáta</v>
      </c>
      <c r="BF25" s="22">
        <f>VLOOKUP(BD25,CENY!$B$11:$G$1054,3,FALSE)</f>
        <v>200</v>
      </c>
      <c r="BG25" s="22"/>
      <c r="BH25" s="23">
        <f>2*(SUM(O19:T19)+SUM(O20:AD20)+SUM(W22:AF22)+SUM(O27:T27)+SUM(O28:AD28)+SUM(O30:AD30))</f>
        <v>0</v>
      </c>
      <c r="BI25" s="326">
        <f t="shared" si="2"/>
        <v>0</v>
      </c>
      <c r="BJ25" s="95">
        <f>VLOOKUP(BD25,CENY!$B$11:$M$2025,12,FALSE)</f>
        <v>15.54837</v>
      </c>
      <c r="BK25" s="95">
        <f t="shared" si="3"/>
        <v>0</v>
      </c>
    </row>
    <row r="26" spans="2:63" ht="14.4" customHeight="1" thickBot="1">
      <c r="B26" s="96"/>
      <c r="C26" s="96"/>
      <c r="D26" s="96"/>
      <c r="E26" s="96"/>
      <c r="F26" s="96"/>
      <c r="G26" s="96"/>
      <c r="H26" s="72"/>
      <c r="I26" s="72"/>
      <c r="J26" s="72"/>
      <c r="K26" s="72"/>
      <c r="L26" s="72"/>
      <c r="M26" s="72"/>
      <c r="N26" s="72" t="str">
        <f>verze!$E$20&amp;" "</f>
        <v xml:space="preserve">Jmenovitá délka: </v>
      </c>
      <c r="O26" s="535">
        <v>270</v>
      </c>
      <c r="P26" s="536"/>
      <c r="Q26" s="535">
        <v>300</v>
      </c>
      <c r="R26" s="536"/>
      <c r="S26" s="535">
        <v>350</v>
      </c>
      <c r="T26" s="536"/>
      <c r="U26" s="535">
        <v>400</v>
      </c>
      <c r="V26" s="536"/>
      <c r="W26" s="535">
        <v>450</v>
      </c>
      <c r="X26" s="536"/>
      <c r="Y26" s="537">
        <v>500</v>
      </c>
      <c r="Z26" s="538"/>
      <c r="AA26" s="535">
        <v>550</v>
      </c>
      <c r="AB26" s="536"/>
      <c r="AC26" s="535">
        <v>600</v>
      </c>
      <c r="AD26" s="536"/>
      <c r="AI26" s="543" t="s">
        <v>299</v>
      </c>
      <c r="AJ26" s="543"/>
      <c r="AK26" s="543"/>
      <c r="AL26" s="543"/>
      <c r="AM26" s="543"/>
      <c r="AN26" s="543"/>
      <c r="AO26" s="543"/>
      <c r="AU26" s="319">
        <f>OBJ!B234</f>
        <v>9318156</v>
      </c>
      <c r="AV26" s="21" t="str">
        <f>VLOOKUP(AU26,CENY!$B$11:$G$1054,2,FALSE)</f>
        <v>Actro You(S) 300/SiSy 10kg; EB21</v>
      </c>
      <c r="AW26" s="22">
        <f>VLOOKUP(AU26,CENY!$B$11:$G$1054,3,FALSE)</f>
        <v>1</v>
      </c>
      <c r="AX26" s="362">
        <v>4</v>
      </c>
      <c r="AY26" s="23">
        <f>Q19</f>
        <v>0</v>
      </c>
      <c r="AZ26" s="326">
        <f t="shared" si="1"/>
        <v>0</v>
      </c>
      <c r="BA26" s="95">
        <f>VLOOKUP(AU26,CENY!$B$11:$M$2025,12,FALSE)</f>
        <v>657.45060999999998</v>
      </c>
      <c r="BB26" s="95">
        <f t="shared" si="0"/>
        <v>0</v>
      </c>
      <c r="BD26" s="20"/>
      <c r="BE26" s="21"/>
      <c r="BF26" s="22"/>
      <c r="BG26" s="22"/>
      <c r="BH26" s="23"/>
      <c r="BI26" s="326" t="str">
        <f t="shared" si="2"/>
        <v/>
      </c>
      <c r="BJ26" s="95"/>
      <c r="BK26" s="95" t="str">
        <f t="shared" si="3"/>
        <v/>
      </c>
    </row>
    <row r="27" spans="2:63" ht="14.4" customHeight="1" thickBot="1">
      <c r="B27" s="530" t="s">
        <v>292</v>
      </c>
      <c r="C27" s="530"/>
      <c r="D27" s="530"/>
      <c r="E27" s="530"/>
      <c r="F27" s="530"/>
      <c r="G27" s="530"/>
      <c r="H27" s="531" t="str">
        <f>verze!E18</f>
        <v>plnovýsuv</v>
      </c>
      <c r="I27" s="531"/>
      <c r="J27" s="531"/>
      <c r="K27" s="531"/>
      <c r="L27" s="531"/>
      <c r="M27" s="532" t="s">
        <v>286</v>
      </c>
      <c r="N27" s="533"/>
      <c r="O27" s="567"/>
      <c r="P27" s="568"/>
      <c r="Q27" s="567"/>
      <c r="R27" s="568"/>
      <c r="S27" s="567"/>
      <c r="T27" s="568"/>
      <c r="U27" s="283"/>
      <c r="V27" s="284"/>
      <c r="W27" s="283"/>
      <c r="X27" s="284"/>
      <c r="Y27" s="283"/>
      <c r="Z27" s="284"/>
      <c r="AA27" s="283"/>
      <c r="AB27" s="284"/>
      <c r="AC27" s="283"/>
      <c r="AD27" s="284"/>
      <c r="AI27" s="289"/>
      <c r="AJ27" s="290"/>
      <c r="AK27" s="289"/>
      <c r="AL27" s="290"/>
      <c r="AM27" s="291" t="s">
        <v>295</v>
      </c>
      <c r="AN27" s="534"/>
      <c r="AO27" s="534"/>
      <c r="AU27" s="319">
        <f>OBJ!B235</f>
        <v>9318160</v>
      </c>
      <c r="AV27" s="21" t="str">
        <f>VLOOKUP(AU27,CENY!$B$11:$G$1054,2,FALSE)</f>
        <v>Actro You(S) 350/SiSy 10kg; EB21</v>
      </c>
      <c r="AW27" s="22">
        <f>VLOOKUP(AU27,CENY!$B$11:$G$1054,3,FALSE)</f>
        <v>1</v>
      </c>
      <c r="AX27" s="362">
        <v>4</v>
      </c>
      <c r="AY27" s="23">
        <f>S19</f>
        <v>0</v>
      </c>
      <c r="AZ27" s="326">
        <f t="shared" si="1"/>
        <v>0</v>
      </c>
      <c r="BA27" s="95">
        <f>VLOOKUP(AU27,CENY!$B$11:$M$2025,12,FALSE)</f>
        <v>657.45060999999998</v>
      </c>
      <c r="BB27" s="95">
        <f t="shared" si="0"/>
        <v>0</v>
      </c>
      <c r="BD27" s="319">
        <f>OBJ!B71</f>
        <v>9347502</v>
      </c>
      <c r="BE27" s="21" t="str">
        <f>VLOOKUP(BD27,CENY!$B$11:$G$1054,2,FALSE)</f>
        <v>AvanY-design ALprofil Hybrid na bok 270/ strieb.</v>
      </c>
      <c r="BF27" s="22">
        <f>VLOOKUP(BD27,CENY!$B$11:$G$1054,3,FALSE)</f>
        <v>200</v>
      </c>
      <c r="BG27" s="22"/>
      <c r="BH27" s="23">
        <f>2*(O19+O20+O27+O28+O30)</f>
        <v>0</v>
      </c>
      <c r="BI27" s="326">
        <f t="shared" si="2"/>
        <v>0</v>
      </c>
      <c r="BJ27" s="95">
        <f>VLOOKUP(BD27,CENY!$B$11:$M$2025,12,FALSE)</f>
        <v>19.78839</v>
      </c>
      <c r="BK27" s="95">
        <f t="shared" si="3"/>
        <v>0</v>
      </c>
    </row>
    <row r="28" spans="2:63" ht="14.4" customHeight="1" thickBot="1">
      <c r="B28" s="521" t="s">
        <v>372</v>
      </c>
      <c r="C28" s="521"/>
      <c r="D28" s="521"/>
      <c r="E28" s="521"/>
      <c r="F28" s="521"/>
      <c r="G28" s="521"/>
      <c r="H28" s="522" t="str">
        <f>verze!E18</f>
        <v>plnovýsuv</v>
      </c>
      <c r="I28" s="522"/>
      <c r="J28" s="522"/>
      <c r="K28" s="522"/>
      <c r="L28" s="522"/>
      <c r="M28" s="523" t="s">
        <v>1</v>
      </c>
      <c r="N28" s="524"/>
      <c r="O28" s="516"/>
      <c r="P28" s="517"/>
      <c r="Q28" s="516"/>
      <c r="R28" s="517"/>
      <c r="S28" s="516"/>
      <c r="T28" s="517"/>
      <c r="U28" s="516"/>
      <c r="V28" s="517"/>
      <c r="W28" s="516"/>
      <c r="X28" s="517"/>
      <c r="Y28" s="516"/>
      <c r="Z28" s="517"/>
      <c r="AA28" s="516"/>
      <c r="AB28" s="517"/>
      <c r="AC28" s="516"/>
      <c r="AD28" s="517"/>
      <c r="AI28" s="287"/>
      <c r="AJ28" s="288"/>
      <c r="AK28" s="287"/>
      <c r="AL28" s="288"/>
      <c r="AM28" s="286" t="s">
        <v>294</v>
      </c>
      <c r="AN28" s="520"/>
      <c r="AO28" s="520"/>
      <c r="AU28" s="20"/>
      <c r="AV28" s="21"/>
      <c r="AW28" s="22"/>
      <c r="AX28" s="22"/>
      <c r="AY28" s="23"/>
      <c r="AZ28" s="326" t="str">
        <f t="shared" si="1"/>
        <v/>
      </c>
      <c r="BA28" s="95"/>
      <c r="BB28" s="95" t="str">
        <f t="shared" si="0"/>
        <v/>
      </c>
      <c r="BD28" s="319">
        <f>OBJ!B72</f>
        <v>9347503</v>
      </c>
      <c r="BE28" s="21" t="str">
        <f>VLOOKUP(BD28,CENY!$B$11:$G$1054,2,FALSE)</f>
        <v>AvanY-design ALprofil Hybrid na bok 300/ strieb.</v>
      </c>
      <c r="BF28" s="22">
        <f>VLOOKUP(BD28,CENY!$B$11:$G$1054,3,FALSE)</f>
        <v>200</v>
      </c>
      <c r="BG28" s="22"/>
      <c r="BH28" s="23">
        <f>2*(Q19+Q20+Q27+Q28+Q30)</f>
        <v>0</v>
      </c>
      <c r="BI28" s="326">
        <f t="shared" si="2"/>
        <v>0</v>
      </c>
      <c r="BJ28" s="95">
        <f>VLOOKUP(BD28,CENY!$B$11:$M$2025,12,FALSE)</f>
        <v>20.006769999999999</v>
      </c>
      <c r="BK28" s="95">
        <f t="shared" si="3"/>
        <v>0</v>
      </c>
    </row>
    <row r="29" spans="2:63" ht="14.4" customHeight="1" thickBot="1">
      <c r="O29" s="283"/>
      <c r="P29" s="284"/>
      <c r="Q29" s="283"/>
      <c r="R29" s="284"/>
      <c r="S29" s="283"/>
      <c r="T29" s="284"/>
      <c r="U29" s="283"/>
      <c r="V29" s="284"/>
      <c r="W29" s="283"/>
      <c r="X29" s="284"/>
      <c r="Y29" s="283"/>
      <c r="Z29" s="284"/>
      <c r="AA29" s="283"/>
      <c r="AB29" s="284"/>
      <c r="AC29" s="283"/>
      <c r="AD29" s="284"/>
      <c r="AI29" s="287"/>
      <c r="AJ29" s="288"/>
      <c r="AK29" s="287"/>
      <c r="AL29" s="288"/>
      <c r="AM29" s="286" t="s">
        <v>298</v>
      </c>
      <c r="AN29" s="527"/>
      <c r="AO29" s="527"/>
      <c r="AU29" s="319">
        <f>OBJ!B243</f>
        <v>9318186</v>
      </c>
      <c r="AV29" s="21" t="str">
        <f>VLOOKUP(AU29,CENY!$B$11:$G$1054,2,FALSE)</f>
        <v>Actro You(L) 270/SiSy 40kg; EB21</v>
      </c>
      <c r="AW29" s="22">
        <f>VLOOKUP(AU29,CENY!$B$11:$G$1054,3,FALSE)</f>
        <v>1</v>
      </c>
      <c r="AX29" s="362">
        <v>8</v>
      </c>
      <c r="AY29" s="23">
        <f>O20</f>
        <v>0</v>
      </c>
      <c r="AZ29" s="326">
        <f t="shared" si="1"/>
        <v>0</v>
      </c>
      <c r="BA29" s="95">
        <f>VLOOKUP(AU29,CENY!$B$11:$M$2025,12,FALSE)</f>
        <v>657.45060999999998</v>
      </c>
      <c r="BB29" s="95">
        <f t="shared" si="0"/>
        <v>0</v>
      </c>
      <c r="BD29" s="319">
        <f>OBJ!B73</f>
        <v>9347504</v>
      </c>
      <c r="BE29" s="21" t="str">
        <f>VLOOKUP(BD29,CENY!$B$11:$G$1054,2,FALSE)</f>
        <v>AvanY-design ALprofil Hybrid na bok 350/ strieb.</v>
      </c>
      <c r="BF29" s="22">
        <f>VLOOKUP(BD29,CENY!$B$11:$G$1054,3,FALSE)</f>
        <v>200</v>
      </c>
      <c r="BG29" s="22"/>
      <c r="BH29" s="23">
        <f>2*(S19+S20+S27+S28+S30)</f>
        <v>0</v>
      </c>
      <c r="BI29" s="326">
        <f t="shared" si="2"/>
        <v>0</v>
      </c>
      <c r="BJ29" s="95">
        <f>VLOOKUP(BD29,CENY!$B$11:$M$2025,12,FALSE)</f>
        <v>20.37642</v>
      </c>
      <c r="BK29" s="95">
        <f t="shared" si="3"/>
        <v>0</v>
      </c>
    </row>
    <row r="30" spans="2:63" ht="14.4" customHeight="1" thickBot="1">
      <c r="B30" s="528" t="s">
        <v>373</v>
      </c>
      <c r="C30" s="528"/>
      <c r="D30" s="528"/>
      <c r="E30" s="528"/>
      <c r="F30" s="528"/>
      <c r="G30" s="528"/>
      <c r="H30" s="529" t="str">
        <f>verze!E18</f>
        <v>plnovýsuv</v>
      </c>
      <c r="I30" s="529"/>
      <c r="J30" s="529"/>
      <c r="K30" s="529"/>
      <c r="L30" s="529"/>
      <c r="M30" s="523" t="s">
        <v>1</v>
      </c>
      <c r="N30" s="524"/>
      <c r="O30" s="516"/>
      <c r="P30" s="517"/>
      <c r="Q30" s="516"/>
      <c r="R30" s="517"/>
      <c r="S30" s="516"/>
      <c r="T30" s="517"/>
      <c r="U30" s="516"/>
      <c r="V30" s="517"/>
      <c r="W30" s="516"/>
      <c r="X30" s="517"/>
      <c r="Y30" s="516"/>
      <c r="Z30" s="517"/>
      <c r="AA30" s="516"/>
      <c r="AB30" s="517"/>
      <c r="AC30" s="565"/>
      <c r="AD30" s="566"/>
      <c r="AU30" s="319">
        <f>OBJ!B244</f>
        <v>9318187</v>
      </c>
      <c r="AV30" s="21" t="str">
        <f>VLOOKUP(AU30,CENY!$B$11:$G$1054,2,FALSE)</f>
        <v>Actro You(L) 300/SiSy 40kg; EB21</v>
      </c>
      <c r="AW30" s="22">
        <f>VLOOKUP(AU30,CENY!$B$11:$G$1054,3,FALSE)</f>
        <v>1</v>
      </c>
      <c r="AX30" s="362">
        <v>8</v>
      </c>
      <c r="AY30" s="23">
        <f>Q20</f>
        <v>0</v>
      </c>
      <c r="AZ30" s="326">
        <f t="shared" si="1"/>
        <v>0</v>
      </c>
      <c r="BA30" s="95">
        <f>VLOOKUP(AU30,CENY!$B$11:$M$2025,12,FALSE)</f>
        <v>657.45060999999998</v>
      </c>
      <c r="BB30" s="95">
        <f t="shared" si="0"/>
        <v>0</v>
      </c>
      <c r="BD30" s="319">
        <f>OBJ!B74</f>
        <v>9347505</v>
      </c>
      <c r="BE30" s="21" t="str">
        <f>VLOOKUP(BD30,CENY!$B$11:$G$1054,2,FALSE)</f>
        <v>AvanY-design ALprofil Hybrid na bok 400/ strieb.</v>
      </c>
      <c r="BF30" s="22">
        <f>VLOOKUP(BD30,CENY!$B$11:$G$1054,3,FALSE)</f>
        <v>200</v>
      </c>
      <c r="BG30" s="22"/>
      <c r="BH30" s="23">
        <f>2*(U20+U28+U30)</f>
        <v>0</v>
      </c>
      <c r="BI30" s="326">
        <f t="shared" si="2"/>
        <v>0</v>
      </c>
      <c r="BJ30" s="95">
        <f>VLOOKUP(BD30,CENY!$B$11:$M$2025,12,FALSE)</f>
        <v>20.742249999999999</v>
      </c>
      <c r="BK30" s="95">
        <f t="shared" si="3"/>
        <v>0</v>
      </c>
    </row>
    <row r="31" spans="2:63" ht="14.4" customHeight="1">
      <c r="AU31" s="319">
        <f>OBJ!B245</f>
        <v>9318188</v>
      </c>
      <c r="AV31" s="21" t="str">
        <f>VLOOKUP(AU31,CENY!$B$11:$G$1054,2,FALSE)</f>
        <v>Actro You(L) 350/SiSy 40kg; EB21</v>
      </c>
      <c r="AW31" s="22">
        <f>VLOOKUP(AU31,CENY!$B$11:$G$1054,3,FALSE)</f>
        <v>1</v>
      </c>
      <c r="AX31" s="362">
        <v>8</v>
      </c>
      <c r="AY31" s="23">
        <f>S20</f>
        <v>0</v>
      </c>
      <c r="AZ31" s="326">
        <f t="shared" si="1"/>
        <v>0</v>
      </c>
      <c r="BA31" s="95">
        <f>VLOOKUP(AU31,CENY!$B$11:$M$2025,12,FALSE)</f>
        <v>657.45060999999998</v>
      </c>
      <c r="BB31" s="95">
        <f t="shared" si="0"/>
        <v>0</v>
      </c>
      <c r="BD31" s="319">
        <f>OBJ!B75</f>
        <v>9347506</v>
      </c>
      <c r="BE31" s="21" t="str">
        <f>VLOOKUP(BD31,CENY!$B$11:$G$1054,2,FALSE)</f>
        <v>AvanY-design ALprofil Hybrid na bok 450/ strieb.</v>
      </c>
      <c r="BF31" s="22">
        <f>VLOOKUP(BD31,CENY!$B$11:$G$1054,3,FALSE)</f>
        <v>200</v>
      </c>
      <c r="BG31" s="22"/>
      <c r="BH31" s="23">
        <f>2*(W20+W22+W28+W30)</f>
        <v>0</v>
      </c>
      <c r="BI31" s="326">
        <f t="shared" si="2"/>
        <v>0</v>
      </c>
      <c r="BJ31" s="95">
        <f>VLOOKUP(BD31,CENY!$B$11:$M$2025,12,FALSE)</f>
        <v>21.111910000000002</v>
      </c>
      <c r="BK31" s="95">
        <f t="shared" si="3"/>
        <v>0</v>
      </c>
    </row>
    <row r="32" spans="2:63" ht="14.4" customHeight="1">
      <c r="B32" s="366" t="str">
        <f>verze!E201</f>
        <v>SiSy = tlumení Silent System</v>
      </c>
      <c r="AU32" s="319">
        <f>OBJ!B246</f>
        <v>9318190</v>
      </c>
      <c r="AV32" s="21" t="str">
        <f>VLOOKUP(AU32,CENY!$B$11:$G$1054,2,FALSE)</f>
        <v>Actro You(L) 400/SiSy 40kg; EB21</v>
      </c>
      <c r="AW32" s="22">
        <f>VLOOKUP(AU32,CENY!$B$11:$G$1054,3,FALSE)</f>
        <v>1</v>
      </c>
      <c r="AX32" s="362">
        <v>8</v>
      </c>
      <c r="AY32" s="23">
        <f>U20</f>
        <v>0</v>
      </c>
      <c r="AZ32" s="326">
        <f t="shared" si="1"/>
        <v>0</v>
      </c>
      <c r="BA32" s="95">
        <f>VLOOKUP(AU32,CENY!$B$11:$M$2025,12,FALSE)</f>
        <v>664.73978</v>
      </c>
      <c r="BB32" s="95">
        <f t="shared" si="0"/>
        <v>0</v>
      </c>
      <c r="BD32" s="319">
        <f>OBJ!B76</f>
        <v>9347507</v>
      </c>
      <c r="BE32" s="21" t="str">
        <f>VLOOKUP(BD32,CENY!$B$11:$G$1054,2,FALSE)</f>
        <v>AvanY-design ALprofil Hybrid na bok 500/ strieb.</v>
      </c>
      <c r="BF32" s="22">
        <f>VLOOKUP(BD32,CENY!$B$11:$G$1054,3,FALSE)</f>
        <v>200</v>
      </c>
      <c r="BG32" s="22"/>
      <c r="BH32" s="23">
        <f>2*(Y20+Y22+Y28+Y30)</f>
        <v>0</v>
      </c>
      <c r="BI32" s="326">
        <f t="shared" si="2"/>
        <v>0</v>
      </c>
      <c r="BJ32" s="95">
        <f>VLOOKUP(BD32,CENY!$B$11:$M$2025,12,FALSE)</f>
        <v>21.479700000000001</v>
      </c>
      <c r="BK32" s="95">
        <f t="shared" si="3"/>
        <v>0</v>
      </c>
    </row>
    <row r="33" spans="2:63" ht="14.4" customHeight="1">
      <c r="B33" s="366" t="str">
        <f>verze!E204</f>
        <v>P2O = otvírání bez úchytky Push to open</v>
      </c>
      <c r="AU33" s="319">
        <f>OBJ!B247</f>
        <v>9318191</v>
      </c>
      <c r="AV33" s="21" t="str">
        <f>VLOOKUP(AU33,CENY!$B$11:$G$1054,2,FALSE)</f>
        <v>Actro You(L) 450/SiSy 40kg; EB21</v>
      </c>
      <c r="AW33" s="22">
        <f>VLOOKUP(AU33,CENY!$B$11:$G$1054,3,FALSE)</f>
        <v>1</v>
      </c>
      <c r="AX33" s="362">
        <v>10</v>
      </c>
      <c r="AY33" s="23">
        <f>W20</f>
        <v>0</v>
      </c>
      <c r="AZ33" s="326">
        <f t="shared" si="1"/>
        <v>0</v>
      </c>
      <c r="BA33" s="95">
        <f>VLOOKUP(AU33,CENY!$B$11:$M$2025,12,FALSE)</f>
        <v>671.97520999999995</v>
      </c>
      <c r="BB33" s="95">
        <f t="shared" si="0"/>
        <v>0</v>
      </c>
      <c r="BD33" s="319">
        <f>OBJ!B77</f>
        <v>9347508</v>
      </c>
      <c r="BE33" s="21" t="str">
        <f>VLOOKUP(BD33,CENY!$B$11:$G$1054,2,FALSE)</f>
        <v>AvanY-design ALprofil Hybrid na bok 550/ strieb.</v>
      </c>
      <c r="BF33" s="22">
        <f>VLOOKUP(BD33,CENY!$B$11:$G$1054,3,FALSE)</f>
        <v>200</v>
      </c>
      <c r="BG33" s="22"/>
      <c r="BH33" s="23">
        <f>2*(AA20+AA22+AA28+AA30)</f>
        <v>0</v>
      </c>
      <c r="BI33" s="326">
        <f t="shared" si="2"/>
        <v>0</v>
      </c>
      <c r="BJ33" s="95">
        <f>VLOOKUP(BD33,CENY!$B$11:$M$2025,12,FALSE)</f>
        <v>21.84564</v>
      </c>
      <c r="BK33" s="95">
        <f t="shared" si="3"/>
        <v>0</v>
      </c>
    </row>
    <row r="34" spans="2:63" ht="14.4" customHeight="1">
      <c r="B34" s="366" t="str">
        <f>verze!E203</f>
        <v>P2O Silent = tlumení s otvíráním bez úchytky Push to open Silent</v>
      </c>
      <c r="AU34" s="319">
        <f>OBJ!B248</f>
        <v>9318192</v>
      </c>
      <c r="AV34" s="21" t="str">
        <f>VLOOKUP(AU34,CENY!$B$11:$G$1054,2,FALSE)</f>
        <v>Actro You(L) 500/SiSy 40kg; EB21</v>
      </c>
      <c r="AW34" s="22">
        <f>VLOOKUP(AU34,CENY!$B$11:$G$1054,3,FALSE)</f>
        <v>1</v>
      </c>
      <c r="AX34" s="362">
        <v>10</v>
      </c>
      <c r="AY34" s="23">
        <f>Y20</f>
        <v>0</v>
      </c>
      <c r="AZ34" s="326">
        <f t="shared" si="1"/>
        <v>0</v>
      </c>
      <c r="BA34" s="95">
        <f>VLOOKUP(AU34,CENY!$B$11:$M$2025,12,FALSE)</f>
        <v>164.23333</v>
      </c>
      <c r="BB34" s="95">
        <f t="shared" si="0"/>
        <v>0</v>
      </c>
      <c r="BD34" s="319">
        <f>OBJ!B78</f>
        <v>9347509</v>
      </c>
      <c r="BE34" s="21" t="str">
        <f>VLOOKUP(BD34,CENY!$B$11:$G$1054,2,FALSE)</f>
        <v>AvanY-design ALprofil Hybrid na bok 600/ strieb.</v>
      </c>
      <c r="BF34" s="22">
        <f>VLOOKUP(BD34,CENY!$B$11:$G$1054,3,FALSE)</f>
        <v>200</v>
      </c>
      <c r="BG34" s="22"/>
      <c r="BH34" s="23">
        <f>2*(AC20+AC22+AC28+AC30)</f>
        <v>0</v>
      </c>
      <c r="BI34" s="326">
        <f t="shared" si="2"/>
        <v>0</v>
      </c>
      <c r="BJ34" s="95">
        <f>VLOOKUP(BD34,CENY!$B$11:$M$2025,12,FALSE)</f>
        <v>22.79205</v>
      </c>
      <c r="BK34" s="95">
        <f t="shared" si="3"/>
        <v>0</v>
      </c>
    </row>
    <row r="35" spans="2:63" ht="14.4" customHeight="1">
      <c r="AU35" s="319">
        <f>OBJ!B249</f>
        <v>9318194</v>
      </c>
      <c r="AV35" s="21" t="str">
        <f>VLOOKUP(AU35,CENY!$B$11:$G$1054,2,FALSE)</f>
        <v>Actro You(L) 550/SiSy 40kg; EB21</v>
      </c>
      <c r="AW35" s="22">
        <f>VLOOKUP(AU35,CENY!$B$11:$G$1054,3,FALSE)</f>
        <v>1</v>
      </c>
      <c r="AX35" s="362">
        <v>10</v>
      </c>
      <c r="AY35" s="23">
        <f>AA20</f>
        <v>0</v>
      </c>
      <c r="AZ35" s="326">
        <f t="shared" si="1"/>
        <v>0</v>
      </c>
      <c r="BA35" s="95">
        <f>VLOOKUP(AU35,CENY!$B$11:$M$2025,12,FALSE)</f>
        <v>173.62268</v>
      </c>
      <c r="BB35" s="95">
        <f t="shared" si="0"/>
        <v>0</v>
      </c>
      <c r="BD35" s="319">
        <f>OBJ!B79</f>
        <v>9347510</v>
      </c>
      <c r="BE35" s="21" t="str">
        <f>VLOOKUP(BD35,CENY!$B$11:$G$1054,2,FALSE)</f>
        <v>AvanY-design ALprofil Hybrid na bok 650/ strieb.</v>
      </c>
      <c r="BF35" s="22">
        <f>VLOOKUP(BD35,CENY!$B$11:$G$1054,3,FALSE)</f>
        <v>200</v>
      </c>
      <c r="BG35" s="22"/>
      <c r="BH35" s="23">
        <f>2*AE22</f>
        <v>0</v>
      </c>
      <c r="BI35" s="326">
        <f t="shared" si="2"/>
        <v>0</v>
      </c>
      <c r="BJ35" s="95">
        <f>VLOOKUP(BD35,CENY!$B$11:$M$2025,12,FALSE)</f>
        <v>24.580449999999999</v>
      </c>
      <c r="BK35" s="95">
        <f t="shared" si="3"/>
        <v>0</v>
      </c>
    </row>
    <row r="36" spans="2:63" ht="14.4" customHeight="1">
      <c r="AU36" s="319">
        <f>OBJ!B250</f>
        <v>9318196</v>
      </c>
      <c r="AV36" s="21" t="str">
        <f>VLOOKUP(AU36,CENY!$B$11:$G$1054,2,FALSE)</f>
        <v>Actro You(L) 600/SiSy 40kg; EB21</v>
      </c>
      <c r="AW36" s="22">
        <f>VLOOKUP(AU36,CENY!$B$11:$G$1054,3,FALSE)</f>
        <v>1</v>
      </c>
      <c r="AX36" s="362">
        <v>10</v>
      </c>
      <c r="AY36" s="23">
        <f>AC20</f>
        <v>0</v>
      </c>
      <c r="AZ36" s="326">
        <f t="shared" si="1"/>
        <v>0</v>
      </c>
      <c r="BA36" s="95">
        <f>VLOOKUP(AU36,CENY!$B$11:$M$2025,12,FALSE)</f>
        <v>726.70140000000004</v>
      </c>
      <c r="BB36" s="95">
        <f t="shared" si="0"/>
        <v>0</v>
      </c>
      <c r="BD36" s="319"/>
      <c r="BE36" s="21"/>
      <c r="BF36" s="22"/>
      <c r="BG36" s="22"/>
      <c r="BH36" s="23"/>
      <c r="BI36" s="326" t="str">
        <f t="shared" si="2"/>
        <v/>
      </c>
      <c r="BJ36" s="95"/>
      <c r="BK36" s="95" t="str">
        <f t="shared" si="3"/>
        <v/>
      </c>
    </row>
    <row r="37" spans="2:63" ht="14.4" customHeight="1">
      <c r="AU37" s="319"/>
      <c r="AV37" s="21"/>
      <c r="AW37" s="22"/>
      <c r="AX37" s="22"/>
      <c r="AY37" s="23"/>
      <c r="AZ37" s="326" t="str">
        <f t="shared" si="1"/>
        <v/>
      </c>
      <c r="BA37" s="95"/>
      <c r="BB37" s="95" t="str">
        <f t="shared" si="0"/>
        <v/>
      </c>
      <c r="BD37" s="319">
        <f>OBJ!B236</f>
        <v>9318145</v>
      </c>
      <c r="BE37" s="21" t="str">
        <f>VLOOKUP(BD37,CENY!$B$11:$G$1054,2,FALSE)</f>
        <v>Actro You(S) 270/SiSy 10kg; EB21; ľavý</v>
      </c>
      <c r="BF37" s="22">
        <f>VLOOKUP(BD37,CENY!$B$11:$G$1054,3,FALSE)</f>
        <v>10</v>
      </c>
      <c r="BG37" s="22"/>
      <c r="BH37" s="23">
        <f>AY25</f>
        <v>0</v>
      </c>
      <c r="BI37" s="326">
        <f t="shared" si="2"/>
        <v>0</v>
      </c>
      <c r="BJ37" s="95">
        <f>VLOOKUP(BD37,CENY!$B$11:$M$2025,12,FALSE)</f>
        <v>298.88173999999998</v>
      </c>
      <c r="BK37" s="95">
        <f t="shared" si="3"/>
        <v>0</v>
      </c>
    </row>
    <row r="38" spans="2:63" ht="14.4" customHeight="1">
      <c r="AU38" s="319">
        <f>OBJ!B268</f>
        <v>9318215</v>
      </c>
      <c r="AV38" s="21" t="str">
        <f>VLOOKUP(AU38,CENY!$B$11:$G$1054,2,FALSE)</f>
        <v>Actro You(XL) 450/SiSy 70kg; EB21</v>
      </c>
      <c r="AW38" s="22">
        <f>VLOOKUP(AU38,CENY!$B$11:$G$1054,3,FALSE)</f>
        <v>1</v>
      </c>
      <c r="AX38" s="362">
        <v>10</v>
      </c>
      <c r="AY38" s="23">
        <f>W22</f>
        <v>0</v>
      </c>
      <c r="AZ38" s="326">
        <f t="shared" si="1"/>
        <v>0</v>
      </c>
      <c r="BA38" s="95">
        <f>VLOOKUP(AU38,CENY!$B$11:$M$2025,12,FALSE)</f>
        <v>197.37184999999999</v>
      </c>
      <c r="BB38" s="95">
        <f t="shared" si="0"/>
        <v>0</v>
      </c>
      <c r="BD38" s="319">
        <f>OBJ!B237</f>
        <v>9318146</v>
      </c>
      <c r="BE38" s="21" t="str">
        <f>VLOOKUP(BD38,CENY!$B$11:$G$1054,2,FALSE)</f>
        <v>Actro You(S) 270/SiSy 10kg; EB21; pravý</v>
      </c>
      <c r="BF38" s="22">
        <f>VLOOKUP(BD38,CENY!$B$11:$G$1054,3,FALSE)</f>
        <v>10</v>
      </c>
      <c r="BG38" s="22"/>
      <c r="BH38" s="23">
        <f>AY25</f>
        <v>0</v>
      </c>
      <c r="BI38" s="326">
        <f t="shared" si="2"/>
        <v>0</v>
      </c>
      <c r="BJ38" s="95">
        <f>VLOOKUP(BD38,CENY!$B$11:$M$2025,12,FALSE)</f>
        <v>298.88173999999998</v>
      </c>
      <c r="BK38" s="95">
        <f t="shared" si="3"/>
        <v>0</v>
      </c>
    </row>
    <row r="39" spans="2:63" ht="14.4" customHeight="1">
      <c r="AU39" s="319">
        <f>OBJ!B269</f>
        <v>9318216</v>
      </c>
      <c r="AV39" s="21" t="str">
        <f>VLOOKUP(AU39,CENY!$B$11:$G$1054,2,FALSE)</f>
        <v>Actro You(XL) 500/SiSy 70kg; EB21</v>
      </c>
      <c r="AW39" s="22">
        <f>VLOOKUP(AU39,CENY!$B$11:$G$1054,3,FALSE)</f>
        <v>1</v>
      </c>
      <c r="AX39" s="362">
        <v>10</v>
      </c>
      <c r="AY39" s="23">
        <f>Y22</f>
        <v>0</v>
      </c>
      <c r="AZ39" s="326">
        <f t="shared" si="1"/>
        <v>0</v>
      </c>
      <c r="BA39" s="95">
        <f>VLOOKUP(AU39,CENY!$B$11:$M$2025,12,FALSE)</f>
        <v>823.68502000000001</v>
      </c>
      <c r="BB39" s="95">
        <f t="shared" si="0"/>
        <v>0</v>
      </c>
      <c r="BD39" s="319">
        <f>OBJ!B238</f>
        <v>9318147</v>
      </c>
      <c r="BE39" s="21" t="str">
        <f>VLOOKUP(BD39,CENY!$B$11:$G$1054,2,FALSE)</f>
        <v>Actro You(S) 300/SiSy 10kg; EB21; ľavý</v>
      </c>
      <c r="BF39" s="22">
        <f>VLOOKUP(BD39,CENY!$B$11:$G$1054,3,FALSE)</f>
        <v>10</v>
      </c>
      <c r="BG39" s="22"/>
      <c r="BH39" s="23">
        <f>AY26</f>
        <v>0</v>
      </c>
      <c r="BI39" s="326">
        <f t="shared" si="2"/>
        <v>0</v>
      </c>
      <c r="BJ39" s="95">
        <f>VLOOKUP(BD39,CENY!$B$11:$M$2025,12,FALSE)</f>
        <v>298.88173999999998</v>
      </c>
      <c r="BK39" s="95">
        <f t="shared" si="3"/>
        <v>0</v>
      </c>
    </row>
    <row r="40" spans="2:63" ht="14.4" customHeight="1">
      <c r="AU40" s="319">
        <f>OBJ!B270</f>
        <v>9318217</v>
      </c>
      <c r="AV40" s="21" t="str">
        <f>VLOOKUP(AU40,CENY!$B$11:$G$1054,2,FALSE)</f>
        <v>Actro You(XL) 550/SiSy 70kg; EB21</v>
      </c>
      <c r="AW40" s="22">
        <f>VLOOKUP(AU40,CENY!$B$11:$G$1054,3,FALSE)</f>
        <v>1</v>
      </c>
      <c r="AX40" s="362">
        <v>10</v>
      </c>
      <c r="AY40" s="23">
        <f>AA22</f>
        <v>0</v>
      </c>
      <c r="AZ40" s="326">
        <f t="shared" si="1"/>
        <v>0</v>
      </c>
      <c r="BA40" s="95">
        <f>VLOOKUP(AU40,CENY!$B$11:$M$2025,12,FALSE)</f>
        <v>862.82307000000003</v>
      </c>
      <c r="BB40" s="95">
        <f t="shared" si="0"/>
        <v>0</v>
      </c>
      <c r="BD40" s="319">
        <f>OBJ!B239</f>
        <v>9318148</v>
      </c>
      <c r="BE40" s="21" t="str">
        <f>VLOOKUP(BD40,CENY!$B$11:$G$1054,2,FALSE)</f>
        <v>Actro You(S) 300/SiSy 10kg; EB21; pravý</v>
      </c>
      <c r="BF40" s="22">
        <f>VLOOKUP(BD40,CENY!$B$11:$G$1054,3,FALSE)</f>
        <v>10</v>
      </c>
      <c r="BG40" s="22"/>
      <c r="BH40" s="23">
        <f>AY26</f>
        <v>0</v>
      </c>
      <c r="BI40" s="326">
        <f t="shared" si="2"/>
        <v>0</v>
      </c>
      <c r="BJ40" s="95">
        <f>VLOOKUP(BD40,CENY!$B$11:$M$2025,12,FALSE)</f>
        <v>298.88173999999998</v>
      </c>
      <c r="BK40" s="95">
        <f t="shared" si="3"/>
        <v>0</v>
      </c>
    </row>
    <row r="41" spans="2:63" ht="14.4" customHeight="1">
      <c r="AU41" s="319">
        <f>OBJ!B271</f>
        <v>9318218</v>
      </c>
      <c r="AV41" s="21" t="str">
        <f>VLOOKUP(AU41,CENY!$B$11:$G$1054,2,FALSE)</f>
        <v>Actro You(XL) 600/SiSy 70kg; EB21</v>
      </c>
      <c r="AW41" s="22">
        <f>VLOOKUP(AU41,CENY!$B$11:$G$1054,3,FALSE)</f>
        <v>1</v>
      </c>
      <c r="AX41" s="362">
        <v>10</v>
      </c>
      <c r="AY41" s="23">
        <f>AC22</f>
        <v>0</v>
      </c>
      <c r="AZ41" s="326">
        <f t="shared" si="1"/>
        <v>0</v>
      </c>
      <c r="BA41" s="95">
        <f>VLOOKUP(AU41,CENY!$B$11:$M$2025,12,FALSE)</f>
        <v>941.88580999999999</v>
      </c>
      <c r="BB41" s="95">
        <f t="shared" si="0"/>
        <v>0</v>
      </c>
      <c r="BD41" s="319">
        <f>OBJ!B240</f>
        <v>9318149</v>
      </c>
      <c r="BE41" s="21" t="str">
        <f>VLOOKUP(BD41,CENY!$B$11:$G$1054,2,FALSE)</f>
        <v>Actro You(S) 350/SiSy 10kg; EB21; ľavý</v>
      </c>
      <c r="BF41" s="22">
        <f>VLOOKUP(BD41,CENY!$B$11:$G$1054,3,FALSE)</f>
        <v>10</v>
      </c>
      <c r="BG41" s="22"/>
      <c r="BH41" s="23">
        <f>AY27</f>
        <v>0</v>
      </c>
      <c r="BI41" s="326">
        <f t="shared" si="2"/>
        <v>0</v>
      </c>
      <c r="BJ41" s="95">
        <f>VLOOKUP(BD41,CENY!$B$11:$M$2025,12,FALSE)</f>
        <v>298.88173999999998</v>
      </c>
      <c r="BK41" s="95">
        <f t="shared" si="3"/>
        <v>0</v>
      </c>
    </row>
    <row r="42" spans="2:63" ht="14.4" customHeight="1">
      <c r="AU42" s="319">
        <f>OBJ!B272</f>
        <v>9318219</v>
      </c>
      <c r="AV42" s="21" t="str">
        <f>VLOOKUP(AU42,CENY!$B$11:$G$1054,2,FALSE)</f>
        <v>Actro You(XL) 650/SiSy 70kg; EB21</v>
      </c>
      <c r="AW42" s="22">
        <f>VLOOKUP(AU42,CENY!$B$11:$G$1054,3,FALSE)</f>
        <v>1</v>
      </c>
      <c r="AX42" s="362">
        <v>10</v>
      </c>
      <c r="AY42" s="23">
        <f>AE22</f>
        <v>0</v>
      </c>
      <c r="AZ42" s="326">
        <f t="shared" si="1"/>
        <v>0</v>
      </c>
      <c r="BA42" s="95">
        <f>VLOOKUP(AU42,CENY!$B$11:$M$2025,12,FALSE)</f>
        <v>977.56314999999995</v>
      </c>
      <c r="BB42" s="95">
        <f t="shared" si="0"/>
        <v>0</v>
      </c>
      <c r="BD42" s="319">
        <f>OBJ!B241</f>
        <v>9318150</v>
      </c>
      <c r="BE42" s="21" t="str">
        <f>VLOOKUP(BD42,CENY!$B$11:$G$1054,2,FALSE)</f>
        <v>Actro You(S) 350/SiSy 10kg; EB21; pravý</v>
      </c>
      <c r="BF42" s="22">
        <f>VLOOKUP(BD42,CENY!$B$11:$G$1054,3,FALSE)</f>
        <v>10</v>
      </c>
      <c r="BG42" s="22"/>
      <c r="BH42" s="23">
        <f>AY27</f>
        <v>0</v>
      </c>
      <c r="BI42" s="326">
        <f t="shared" si="2"/>
        <v>0</v>
      </c>
      <c r="BJ42" s="95">
        <f>VLOOKUP(BD42,CENY!$B$11:$M$2025,12,FALSE)</f>
        <v>298.88173999999998</v>
      </c>
      <c r="BK42" s="95">
        <f t="shared" si="3"/>
        <v>0</v>
      </c>
    </row>
    <row r="43" spans="2:63" ht="14.4" customHeight="1">
      <c r="AU43" s="319"/>
      <c r="AV43" s="21"/>
      <c r="AW43" s="22"/>
      <c r="AX43" s="22"/>
      <c r="AY43" s="23"/>
      <c r="AZ43" s="326" t="str">
        <f t="shared" si="1"/>
        <v/>
      </c>
      <c r="BA43" s="95"/>
      <c r="BB43" s="95" t="str">
        <f t="shared" si="0"/>
        <v/>
      </c>
      <c r="BD43" s="319"/>
      <c r="BE43" s="21"/>
      <c r="BF43" s="22"/>
      <c r="BG43" s="22"/>
      <c r="BH43" s="23"/>
      <c r="BI43" s="326" t="str">
        <f t="shared" si="2"/>
        <v/>
      </c>
      <c r="BJ43" s="95"/>
      <c r="BK43" s="95" t="str">
        <f t="shared" si="3"/>
        <v/>
      </c>
    </row>
    <row r="44" spans="2:63" ht="14.4" customHeight="1">
      <c r="AU44" s="319">
        <f>OBJ!B284</f>
        <v>9257890</v>
      </c>
      <c r="AV44" s="21" t="str">
        <f>VLOOKUP(AU44,CENY!$B$11:$G$1054,2,FALSE)</f>
        <v>Actro You - Push to open Silent; &lt;10kg</v>
      </c>
      <c r="AW44" s="22">
        <f>VLOOKUP(AU44,CENY!$B$11:$G$1054,3,FALSE)</f>
        <v>1</v>
      </c>
      <c r="AX44" s="22"/>
      <c r="AY44" s="23">
        <f>AN19</f>
        <v>0</v>
      </c>
      <c r="AZ44" s="326">
        <f t="shared" si="1"/>
        <v>0</v>
      </c>
      <c r="BA44" s="95">
        <f>VLOOKUP(AU44,CENY!$B$11:$M$2025,12,FALSE)</f>
        <v>481.81412999999998</v>
      </c>
      <c r="BB44" s="95">
        <f t="shared" si="0"/>
        <v>0</v>
      </c>
      <c r="BD44" s="319">
        <f>OBJ!B251</f>
        <v>9318167</v>
      </c>
      <c r="BE44" s="21" t="str">
        <f>VLOOKUP(BD44,CENY!$B$11:$G$1054,2,FALSE)</f>
        <v>Actro You(L) 270/SiSy 40kg; EB21; ľavý</v>
      </c>
      <c r="BF44" s="22">
        <f>VLOOKUP(BD44,CENY!$B$11:$G$1054,3,FALSE)</f>
        <v>10</v>
      </c>
      <c r="BG44" s="22"/>
      <c r="BH44" s="23">
        <f>AY29</f>
        <v>0</v>
      </c>
      <c r="BI44" s="326">
        <f t="shared" si="2"/>
        <v>0</v>
      </c>
      <c r="BJ44" s="95">
        <f>VLOOKUP(BD44,CENY!$B$11:$M$2025,12,FALSE)</f>
        <v>298.88173999999998</v>
      </c>
      <c r="BK44" s="95">
        <f t="shared" si="3"/>
        <v>0</v>
      </c>
    </row>
    <row r="45" spans="2:63" ht="14.4" customHeight="1">
      <c r="AU45" s="319">
        <f>OBJ!B285</f>
        <v>9257891</v>
      </c>
      <c r="AV45" s="21" t="str">
        <f>VLOOKUP(AU45,CENY!$B$11:$G$1054,2,FALSE)</f>
        <v>Actro You - Push to open Silent; 8-20kg</v>
      </c>
      <c r="AW45" s="22">
        <f>VLOOKUP(AU45,CENY!$B$11:$G$1054,3,FALSE)</f>
        <v>1</v>
      </c>
      <c r="AX45" s="22"/>
      <c r="AY45" s="23">
        <f>AN20</f>
        <v>0</v>
      </c>
      <c r="AZ45" s="326">
        <f t="shared" si="1"/>
        <v>0</v>
      </c>
      <c r="BA45" s="95">
        <f>VLOOKUP(AU45,CENY!$B$11:$M$2025,12,FALSE)</f>
        <v>481.81412999999998</v>
      </c>
      <c r="BB45" s="95">
        <f t="shared" si="0"/>
        <v>0</v>
      </c>
      <c r="BD45" s="319">
        <f>OBJ!B252</f>
        <v>9318170</v>
      </c>
      <c r="BE45" s="21" t="str">
        <f>VLOOKUP(BD45,CENY!$B$11:$G$1054,2,FALSE)</f>
        <v>Actro You(L) 270/SiSy 40kg; EB21; pravý</v>
      </c>
      <c r="BF45" s="22">
        <f>VLOOKUP(BD45,CENY!$B$11:$G$1054,3,FALSE)</f>
        <v>10</v>
      </c>
      <c r="BG45" s="22"/>
      <c r="BH45" s="23">
        <f>AY29</f>
        <v>0</v>
      </c>
      <c r="BI45" s="326">
        <f t="shared" si="2"/>
        <v>0</v>
      </c>
      <c r="BJ45" s="95">
        <f>VLOOKUP(BD45,CENY!$B$11:$M$2025,12,FALSE)</f>
        <v>298.88173999999998</v>
      </c>
      <c r="BK45" s="95">
        <f t="shared" si="3"/>
        <v>0</v>
      </c>
    </row>
    <row r="46" spans="2:63" ht="14.4" customHeight="1">
      <c r="AU46" s="319">
        <f>OBJ!B286</f>
        <v>9257892</v>
      </c>
      <c r="AV46" s="21" t="str">
        <f>VLOOKUP(AU46,CENY!$B$11:$G$1054,2,FALSE)</f>
        <v>Actro You - Push to open Silent; 10-40kg</v>
      </c>
      <c r="AW46" s="22">
        <f>VLOOKUP(AU46,CENY!$B$11:$G$1054,3,FALSE)</f>
        <v>1</v>
      </c>
      <c r="AX46" s="22"/>
      <c r="AY46" s="23">
        <f>AN21</f>
        <v>0</v>
      </c>
      <c r="AZ46" s="326">
        <f t="shared" si="1"/>
        <v>0</v>
      </c>
      <c r="BA46" s="95">
        <f>VLOOKUP(AU46,CENY!$B$11:$M$2025,12,FALSE)</f>
        <v>481.81412999999998</v>
      </c>
      <c r="BB46" s="95">
        <f t="shared" si="0"/>
        <v>0</v>
      </c>
      <c r="BD46" s="319">
        <f>OBJ!B253</f>
        <v>9318171</v>
      </c>
      <c r="BE46" s="21" t="str">
        <f>VLOOKUP(BD46,CENY!$B$11:$G$1054,2,FALSE)</f>
        <v>Actro You(L) 300/SiSy 40kg; EB21; ľavý</v>
      </c>
      <c r="BF46" s="22">
        <f>VLOOKUP(BD46,CENY!$B$11:$G$1054,3,FALSE)</f>
        <v>10</v>
      </c>
      <c r="BG46" s="22"/>
      <c r="BH46" s="23">
        <f>AY30</f>
        <v>0</v>
      </c>
      <c r="BI46" s="326">
        <f t="shared" si="2"/>
        <v>0</v>
      </c>
      <c r="BJ46" s="95">
        <f>VLOOKUP(BD46,CENY!$B$11:$M$2025,12,FALSE)</f>
        <v>298.88173999999998</v>
      </c>
      <c r="BK46" s="95">
        <f t="shared" si="3"/>
        <v>0</v>
      </c>
    </row>
    <row r="47" spans="2:63" ht="14.4" customHeight="1">
      <c r="AU47" s="319">
        <f>OBJ!B287</f>
        <v>9257893</v>
      </c>
      <c r="AV47" s="21" t="str">
        <f>VLOOKUP(AU47,CENY!$B$11:$G$1054,2,FALSE)</f>
        <v>Actro You - Push to open Silent; 20-70kg</v>
      </c>
      <c r="AW47" s="22">
        <f>VLOOKUP(AU47,CENY!$B$11:$G$1054,3,FALSE)</f>
        <v>1</v>
      </c>
      <c r="AX47" s="22"/>
      <c r="AY47" s="23">
        <f>AN22</f>
        <v>0</v>
      </c>
      <c r="AZ47" s="326">
        <f t="shared" si="1"/>
        <v>0</v>
      </c>
      <c r="BA47" s="95">
        <f>VLOOKUP(AU47,CENY!$B$11:$M$2025,12,FALSE)</f>
        <v>481.81412999999998</v>
      </c>
      <c r="BB47" s="95">
        <f t="shared" si="0"/>
        <v>0</v>
      </c>
      <c r="BD47" s="319">
        <f>OBJ!B254</f>
        <v>9318172</v>
      </c>
      <c r="BE47" s="21" t="str">
        <f>VLOOKUP(BD47,CENY!$B$11:$G$1054,2,FALSE)</f>
        <v>Actro You(L) 300/SiSy 40kg; EB21; pravý</v>
      </c>
      <c r="BF47" s="22">
        <f>VLOOKUP(BD47,CENY!$B$11:$G$1054,3,FALSE)</f>
        <v>10</v>
      </c>
      <c r="BG47" s="22"/>
      <c r="BH47" s="23">
        <f>AY30</f>
        <v>0</v>
      </c>
      <c r="BI47" s="326">
        <f t="shared" si="2"/>
        <v>0</v>
      </c>
      <c r="BJ47" s="95">
        <f>VLOOKUP(BD47,CENY!$B$11:$M$2025,12,FALSE)</f>
        <v>298.88173999999998</v>
      </c>
      <c r="BK47" s="95">
        <f t="shared" si="3"/>
        <v>0</v>
      </c>
    </row>
    <row r="48" spans="2:63" ht="14.4" customHeight="1">
      <c r="AU48" s="319">
        <f>OBJ!B288</f>
        <v>9236718</v>
      </c>
      <c r="AV48" s="21" t="str">
        <f>VLOOKUP(AU48,CENY!$B$11:$G$1054,2,FALSE)</f>
        <v>Push to open Synchro / tyč 2.000 mm</v>
      </c>
      <c r="AW48" s="22">
        <f>VLOOKUP(AU48,CENY!$B$11:$G$1054,3,FALSE)</f>
        <v>100</v>
      </c>
      <c r="AX48" s="22"/>
      <c r="AY48" s="23">
        <f>IF((SUM(AN19:AO22)+SUM(AN27:AO29)+SUM(O30:AD30))=0,0,AY83)</f>
        <v>0</v>
      </c>
      <c r="AZ48" s="326">
        <f t="shared" si="1"/>
        <v>0</v>
      </c>
      <c r="BA48" s="95">
        <f>VLOOKUP(AU48,CENY!$B$11:$M$2025,12,FALSE)</f>
        <v>182.03933000000001</v>
      </c>
      <c r="BB48" s="95">
        <f t="shared" si="0"/>
        <v>0</v>
      </c>
      <c r="BD48" s="319">
        <f>OBJ!B255</f>
        <v>9318173</v>
      </c>
      <c r="BE48" s="21" t="str">
        <f>VLOOKUP(BD48,CENY!$B$11:$G$1054,2,FALSE)</f>
        <v>Actro You(L) 350/SiSy 40kg; EB21; ľavý</v>
      </c>
      <c r="BF48" s="22">
        <f>VLOOKUP(BD48,CENY!$B$11:$G$1054,3,FALSE)</f>
        <v>10</v>
      </c>
      <c r="BG48" s="22"/>
      <c r="BH48" s="23">
        <f>AY31</f>
        <v>0</v>
      </c>
      <c r="BI48" s="326">
        <f t="shared" si="2"/>
        <v>0</v>
      </c>
      <c r="BJ48" s="95">
        <f>VLOOKUP(BD48,CENY!$B$11:$M$2025,12,FALSE)</f>
        <v>298.88173999999998</v>
      </c>
      <c r="BK48" s="95">
        <f t="shared" si="3"/>
        <v>0</v>
      </c>
    </row>
    <row r="49" spans="47:63" ht="14.4" customHeight="1">
      <c r="AU49" s="319"/>
      <c r="AV49" s="21"/>
      <c r="AW49" s="22"/>
      <c r="AX49" s="22"/>
      <c r="AY49" s="23"/>
      <c r="AZ49" s="326" t="str">
        <f t="shared" si="1"/>
        <v/>
      </c>
      <c r="BA49" s="95"/>
      <c r="BB49" s="95" t="str">
        <f t="shared" si="0"/>
        <v/>
      </c>
      <c r="BD49" s="319">
        <f>OBJ!B256</f>
        <v>9318174</v>
      </c>
      <c r="BE49" s="21" t="str">
        <f>VLOOKUP(BD49,CENY!$B$11:$G$1054,2,FALSE)</f>
        <v>Actro You(L) 350/SiSy 40kg; EB21; pravý</v>
      </c>
      <c r="BF49" s="22">
        <f>VLOOKUP(BD49,CENY!$B$11:$G$1054,3,FALSE)</f>
        <v>10</v>
      </c>
      <c r="BG49" s="22"/>
      <c r="BH49" s="23">
        <f>AY31</f>
        <v>0</v>
      </c>
      <c r="BI49" s="326">
        <f t="shared" si="2"/>
        <v>0</v>
      </c>
      <c r="BJ49" s="95">
        <f>VLOOKUP(BD49,CENY!$B$11:$M$2025,12,FALSE)</f>
        <v>298.88173999999998</v>
      </c>
      <c r="BK49" s="95">
        <f t="shared" si="3"/>
        <v>0</v>
      </c>
    </row>
    <row r="50" spans="47:63" ht="14.4" customHeight="1">
      <c r="AU50" s="319">
        <f>OBJ!B294</f>
        <v>9256953</v>
      </c>
      <c r="AV50" s="21" t="str">
        <f>VLOOKUP(AU50,CENY!$B$11:$G$1054,2,FALSE)</f>
        <v>Quadro You(S) 270/SiSy 10kg; EB21</v>
      </c>
      <c r="AW50" s="22">
        <f>VLOOKUP(AU50,CENY!$B$11:$G$1054,3,FALSE)</f>
        <v>1</v>
      </c>
      <c r="AX50" s="362">
        <v>4</v>
      </c>
      <c r="AY50" s="23">
        <f>O27</f>
        <v>0</v>
      </c>
      <c r="AZ50" s="326">
        <f t="shared" si="1"/>
        <v>0</v>
      </c>
      <c r="BA50" s="95">
        <f>VLOOKUP(AU50,CENY!$B$11:$M$2025,12,FALSE)</f>
        <v>478.60127999999997</v>
      </c>
      <c r="BB50" s="95">
        <f t="shared" si="0"/>
        <v>0</v>
      </c>
      <c r="BD50" s="319">
        <f>OBJ!B257</f>
        <v>9318175</v>
      </c>
      <c r="BE50" s="21" t="str">
        <f>VLOOKUP(BD50,CENY!$B$11:$G$1054,2,FALSE)</f>
        <v>Actro You(L) 400/SiSy 40kg; EB21; ľavý</v>
      </c>
      <c r="BF50" s="22">
        <f>VLOOKUP(BD50,CENY!$B$11:$G$1054,3,FALSE)</f>
        <v>10</v>
      </c>
      <c r="BG50" s="22"/>
      <c r="BH50" s="23">
        <f>AY32</f>
        <v>0</v>
      </c>
      <c r="BI50" s="326">
        <f t="shared" si="2"/>
        <v>0</v>
      </c>
      <c r="BJ50" s="95">
        <f>VLOOKUP(BD50,CENY!$B$11:$M$2025,12,FALSE)</f>
        <v>302.69770999999997</v>
      </c>
      <c r="BK50" s="95">
        <f t="shared" si="3"/>
        <v>0</v>
      </c>
    </row>
    <row r="51" spans="47:63" ht="14.4" customHeight="1">
      <c r="AU51" s="319">
        <f>OBJ!B295</f>
        <v>9256954</v>
      </c>
      <c r="AV51" s="21" t="str">
        <f>VLOOKUP(AU51,CENY!$B$11:$G$1054,2,FALSE)</f>
        <v>Quadro You(S) 300/SiSy 10kg; EB21</v>
      </c>
      <c r="AW51" s="22">
        <f>VLOOKUP(AU51,CENY!$B$11:$G$1054,3,FALSE)</f>
        <v>1</v>
      </c>
      <c r="AX51" s="362">
        <v>4</v>
      </c>
      <c r="AY51" s="23">
        <f>Q27</f>
        <v>0</v>
      </c>
      <c r="AZ51" s="326">
        <f t="shared" si="1"/>
        <v>0</v>
      </c>
      <c r="BA51" s="95">
        <f>VLOOKUP(AU51,CENY!$B$11:$M$2025,12,FALSE)</f>
        <v>479.57344999999998</v>
      </c>
      <c r="BB51" s="95">
        <f t="shared" si="0"/>
        <v>0</v>
      </c>
      <c r="BD51" s="319">
        <f>OBJ!B258</f>
        <v>9318176</v>
      </c>
      <c r="BE51" s="21" t="str">
        <f>VLOOKUP(BD51,CENY!$B$11:$G$1054,2,FALSE)</f>
        <v>Actro You(L) 400/SiSy 40kg; EB21; pravý</v>
      </c>
      <c r="BF51" s="22">
        <f>VLOOKUP(BD51,CENY!$B$11:$G$1054,3,FALSE)</f>
        <v>10</v>
      </c>
      <c r="BG51" s="22"/>
      <c r="BH51" s="23">
        <f>AY32</f>
        <v>0</v>
      </c>
      <c r="BI51" s="326">
        <f t="shared" si="2"/>
        <v>0</v>
      </c>
      <c r="BJ51" s="95">
        <f>VLOOKUP(BD51,CENY!$B$11:$M$2025,12,FALSE)</f>
        <v>302.69770999999997</v>
      </c>
      <c r="BK51" s="95">
        <f t="shared" si="3"/>
        <v>0</v>
      </c>
    </row>
    <row r="52" spans="47:63" ht="14.4" customHeight="1">
      <c r="AU52" s="319">
        <f>OBJ!B296</f>
        <v>9256956</v>
      </c>
      <c r="AV52" s="21" t="str">
        <f>VLOOKUP(AU52,CENY!$B$11:$G$1054,2,FALSE)</f>
        <v>Quadro You(S) 350/SiSy 10kg; EB21</v>
      </c>
      <c r="AW52" s="22">
        <f>VLOOKUP(AU52,CENY!$B$11:$G$1054,3,FALSE)</f>
        <v>1</v>
      </c>
      <c r="AX52" s="362">
        <v>4</v>
      </c>
      <c r="AY52" s="23">
        <f>S27</f>
        <v>0</v>
      </c>
      <c r="AZ52" s="326">
        <f t="shared" si="1"/>
        <v>0</v>
      </c>
      <c r="BA52" s="95">
        <f>VLOOKUP(AU52,CENY!$B$11:$M$2025,12,FALSE)</f>
        <v>489.27857</v>
      </c>
      <c r="BB52" s="95">
        <f t="shared" si="0"/>
        <v>0</v>
      </c>
      <c r="BD52" s="319">
        <f>OBJ!B259</f>
        <v>9318177</v>
      </c>
      <c r="BE52" s="21" t="str">
        <f>VLOOKUP(BD52,CENY!$B$11:$G$1054,2,FALSE)</f>
        <v>Actro You(L) 450/SiSy 40kg; EB21; ľavý</v>
      </c>
      <c r="BF52" s="22">
        <f>VLOOKUP(BD52,CENY!$B$11:$G$1054,3,FALSE)</f>
        <v>10</v>
      </c>
      <c r="BG52" s="22"/>
      <c r="BH52" s="23">
        <f>AY33</f>
        <v>0</v>
      </c>
      <c r="BI52" s="326">
        <f t="shared" si="2"/>
        <v>0</v>
      </c>
      <c r="BJ52" s="95">
        <f>VLOOKUP(BD52,CENY!$B$11:$M$2025,12,FALSE)</f>
        <v>298.33073999999999</v>
      </c>
      <c r="BK52" s="95">
        <f t="shared" si="3"/>
        <v>0</v>
      </c>
    </row>
    <row r="53" spans="47:63" ht="14.4" customHeight="1">
      <c r="AU53" s="319"/>
      <c r="AV53" s="21"/>
      <c r="AW53" s="22"/>
      <c r="AX53" s="22"/>
      <c r="AY53" s="23"/>
      <c r="AZ53" s="326" t="str">
        <f t="shared" si="1"/>
        <v/>
      </c>
      <c r="BA53" s="95"/>
      <c r="BB53" s="95" t="str">
        <f t="shared" si="0"/>
        <v/>
      </c>
      <c r="BD53" s="319">
        <f>OBJ!B260</f>
        <v>9318178</v>
      </c>
      <c r="BE53" s="21" t="str">
        <f>VLOOKUP(BD53,CENY!$B$11:$G$1054,2,FALSE)</f>
        <v>Actro You(L) 450/SiSy 40kg; EB21; pravý</v>
      </c>
      <c r="BF53" s="22">
        <f>VLOOKUP(BD53,CENY!$B$11:$G$1054,3,FALSE)</f>
        <v>10</v>
      </c>
      <c r="BG53" s="22"/>
      <c r="BH53" s="23">
        <f>AY33</f>
        <v>0</v>
      </c>
      <c r="BI53" s="326">
        <f t="shared" si="2"/>
        <v>0</v>
      </c>
      <c r="BJ53" s="95">
        <f>VLOOKUP(BD53,CENY!$B$11:$M$2025,12,FALSE)</f>
        <v>298.33073999999999</v>
      </c>
      <c r="BK53" s="95">
        <f t="shared" si="3"/>
        <v>0</v>
      </c>
    </row>
    <row r="54" spans="47:63" ht="14.4" customHeight="1">
      <c r="AU54" s="319">
        <f>OBJ!B304</f>
        <v>9256883</v>
      </c>
      <c r="AV54" s="21" t="str">
        <f>VLOOKUP(AU54,CENY!$B$11:$G$1054,2,FALSE)</f>
        <v>Quadro You(M) 270/SiSy 20kg; EB21</v>
      </c>
      <c r="AW54" s="22">
        <f>VLOOKUP(AU54,CENY!$B$11:$G$1054,3,FALSE)</f>
        <v>1</v>
      </c>
      <c r="AX54" s="362">
        <v>8</v>
      </c>
      <c r="AY54" s="23">
        <f>O28</f>
        <v>0</v>
      </c>
      <c r="AZ54" s="326">
        <f t="shared" si="1"/>
        <v>0</v>
      </c>
      <c r="BA54" s="95">
        <f>VLOOKUP(AU54,CENY!$B$11:$M$2025,12,FALSE)</f>
        <v>478.60127999999997</v>
      </c>
      <c r="BB54" s="95">
        <f t="shared" si="0"/>
        <v>0</v>
      </c>
      <c r="BD54" s="319">
        <f>OBJ!B261</f>
        <v>9318179</v>
      </c>
      <c r="BE54" s="21" t="str">
        <f>VLOOKUP(BD54,CENY!$B$11:$G$1054,2,FALSE)</f>
        <v>Actro You(L) 500/SiSy 40kg; EB21; ľavý</v>
      </c>
      <c r="BF54" s="22">
        <f>VLOOKUP(BD54,CENY!$B$11:$G$1054,3,FALSE)</f>
        <v>10</v>
      </c>
      <c r="BG54" s="22"/>
      <c r="BH54" s="23">
        <f>AY34</f>
        <v>0</v>
      </c>
      <c r="BI54" s="326">
        <f t="shared" si="2"/>
        <v>0</v>
      </c>
      <c r="BJ54" s="95">
        <f>VLOOKUP(BD54,CENY!$B$11:$M$2025,12,FALSE)</f>
        <v>296.00905</v>
      </c>
      <c r="BK54" s="95">
        <f t="shared" si="3"/>
        <v>0</v>
      </c>
    </row>
    <row r="55" spans="47:63" ht="14.4" customHeight="1">
      <c r="AU55" s="319">
        <f>OBJ!B305</f>
        <v>9256884</v>
      </c>
      <c r="AV55" s="21" t="str">
        <f>VLOOKUP(AU55,CENY!$B$11:$G$1054,2,FALSE)</f>
        <v>Quadro You(M) 300/SiSy 20kg; EB21</v>
      </c>
      <c r="AW55" s="22">
        <f>VLOOKUP(AU55,CENY!$B$11:$G$1054,3,FALSE)</f>
        <v>1</v>
      </c>
      <c r="AX55" s="362">
        <v>8</v>
      </c>
      <c r="AY55" s="23">
        <f>Q28</f>
        <v>0</v>
      </c>
      <c r="AZ55" s="326">
        <f t="shared" si="1"/>
        <v>0</v>
      </c>
      <c r="BA55" s="95">
        <f>VLOOKUP(AU55,CENY!$B$11:$M$2025,12,FALSE)</f>
        <v>479.57344999999998</v>
      </c>
      <c r="BB55" s="95">
        <f t="shared" si="0"/>
        <v>0</v>
      </c>
      <c r="BD55" s="319">
        <f>OBJ!B262</f>
        <v>9318180</v>
      </c>
      <c r="BE55" s="21" t="str">
        <f>VLOOKUP(BD55,CENY!$B$11:$G$1054,2,FALSE)</f>
        <v>Actro You(L) 500/SiSy 40kg; EB21; pravý</v>
      </c>
      <c r="BF55" s="22">
        <f>VLOOKUP(BD55,CENY!$B$11:$G$1054,3,FALSE)</f>
        <v>10</v>
      </c>
      <c r="BG55" s="22"/>
      <c r="BH55" s="23">
        <f>AY34</f>
        <v>0</v>
      </c>
      <c r="BI55" s="326">
        <f t="shared" si="2"/>
        <v>0</v>
      </c>
      <c r="BJ55" s="95">
        <f>VLOOKUP(BD55,CENY!$B$11:$M$2025,12,FALSE)</f>
        <v>296.00905</v>
      </c>
      <c r="BK55" s="95">
        <f t="shared" si="3"/>
        <v>0</v>
      </c>
    </row>
    <row r="56" spans="47:63" ht="14.4" customHeight="1">
      <c r="AU56" s="319">
        <f>OBJ!B306</f>
        <v>9256886</v>
      </c>
      <c r="AV56" s="21" t="str">
        <f>VLOOKUP(AU56,CENY!$B$11:$G$1054,2,FALSE)</f>
        <v>Quadro You(M) 350/SiSy 25kg; EB21</v>
      </c>
      <c r="AW56" s="22">
        <f>VLOOKUP(AU56,CENY!$B$11:$G$1054,3,FALSE)</f>
        <v>1</v>
      </c>
      <c r="AX56" s="362">
        <v>8</v>
      </c>
      <c r="AY56" s="23">
        <f>S28</f>
        <v>0</v>
      </c>
      <c r="AZ56" s="326">
        <f t="shared" si="1"/>
        <v>0</v>
      </c>
      <c r="BA56" s="95">
        <f>VLOOKUP(AU56,CENY!$B$11:$M$2025,12,FALSE)</f>
        <v>489.27857</v>
      </c>
      <c r="BB56" s="95">
        <f t="shared" si="0"/>
        <v>0</v>
      </c>
      <c r="BD56" s="319">
        <f>OBJ!B263</f>
        <v>9318181</v>
      </c>
      <c r="BE56" s="21" t="str">
        <f>VLOOKUP(BD56,CENY!$B$11:$G$1054,2,FALSE)</f>
        <v>Actro You(L) 550/SiSy 40kg; EB21; ľavý</v>
      </c>
      <c r="BF56" s="22">
        <f>VLOOKUP(BD56,CENY!$B$11:$G$1054,3,FALSE)</f>
        <v>10</v>
      </c>
      <c r="BG56" s="22"/>
      <c r="BH56" s="23">
        <f>AY35</f>
        <v>0</v>
      </c>
      <c r="BI56" s="326">
        <f t="shared" si="2"/>
        <v>0</v>
      </c>
      <c r="BJ56" s="95">
        <f>VLOOKUP(BD56,CENY!$B$11:$M$2025,12,FALSE)</f>
        <v>321.83461999999997</v>
      </c>
      <c r="BK56" s="95">
        <f t="shared" si="3"/>
        <v>0</v>
      </c>
    </row>
    <row r="57" spans="47:63" ht="14.4" customHeight="1">
      <c r="AU57" s="319">
        <f>OBJ!B307</f>
        <v>9256888</v>
      </c>
      <c r="AV57" s="21" t="str">
        <f>VLOOKUP(AU57,CENY!$B$11:$G$1054,2,FALSE)</f>
        <v>Quadro You(M) 400/SiSy 30kg; EB21</v>
      </c>
      <c r="AW57" s="22">
        <f>VLOOKUP(AU57,CENY!$B$11:$G$1054,3,FALSE)</f>
        <v>1</v>
      </c>
      <c r="AX57" s="362">
        <v>8</v>
      </c>
      <c r="AY57" s="23">
        <f>U28</f>
        <v>0</v>
      </c>
      <c r="AZ57" s="326">
        <f t="shared" si="1"/>
        <v>0</v>
      </c>
      <c r="BA57" s="95">
        <f>VLOOKUP(AU57,CENY!$B$11:$M$2025,12,FALSE)</f>
        <v>498.97861999999998</v>
      </c>
      <c r="BB57" s="95">
        <f t="shared" si="0"/>
        <v>0</v>
      </c>
      <c r="BD57" s="319">
        <f>OBJ!B264</f>
        <v>9318182</v>
      </c>
      <c r="BE57" s="21" t="str">
        <f>VLOOKUP(BD57,CENY!$B$11:$G$1054,2,FALSE)</f>
        <v>Actro You(L) 550/SiSy 40kg; EB21; pravý</v>
      </c>
      <c r="BF57" s="22">
        <f>VLOOKUP(BD57,CENY!$B$11:$G$1054,3,FALSE)</f>
        <v>10</v>
      </c>
      <c r="BG57" s="22"/>
      <c r="BH57" s="23">
        <f>AY35</f>
        <v>0</v>
      </c>
      <c r="BI57" s="326">
        <f t="shared" si="2"/>
        <v>0</v>
      </c>
      <c r="BJ57" s="95">
        <f>VLOOKUP(BD57,CENY!$B$11:$M$2025,12,FALSE)</f>
        <v>321.83461999999997</v>
      </c>
      <c r="BK57" s="95">
        <f t="shared" si="3"/>
        <v>0</v>
      </c>
    </row>
    <row r="58" spans="47:63" ht="14.4" customHeight="1">
      <c r="AU58" s="319">
        <f>OBJ!B308</f>
        <v>9256890</v>
      </c>
      <c r="AV58" s="21" t="str">
        <f>VLOOKUP(AU58,CENY!$B$11:$G$1054,2,FALSE)</f>
        <v>Quadro You(M) 450/SiSy 30kg; EB21</v>
      </c>
      <c r="AW58" s="22">
        <f>VLOOKUP(AU58,CENY!$B$11:$G$1054,3,FALSE)</f>
        <v>1</v>
      </c>
      <c r="AX58" s="362">
        <v>8</v>
      </c>
      <c r="AY58" s="23">
        <f>W28</f>
        <v>0</v>
      </c>
      <c r="AZ58" s="326">
        <f t="shared" si="1"/>
        <v>0</v>
      </c>
      <c r="BA58" s="95">
        <f>VLOOKUP(AU58,CENY!$B$11:$M$2025,12,FALSE)</f>
        <v>122.98869999999999</v>
      </c>
      <c r="BB58" s="95">
        <f t="shared" si="0"/>
        <v>0</v>
      </c>
      <c r="BD58" s="319">
        <f>OBJ!B265</f>
        <v>9318183</v>
      </c>
      <c r="BE58" s="21" t="str">
        <f>VLOOKUP(BD58,CENY!$B$11:$G$1054,2,FALSE)</f>
        <v>Actro You(L) 600/SiSy 40kg; EB21; ľavý</v>
      </c>
      <c r="BF58" s="22">
        <f>VLOOKUP(BD58,CENY!$B$11:$G$1054,3,FALSE)</f>
        <v>10</v>
      </c>
      <c r="BG58" s="22"/>
      <c r="BH58" s="23">
        <f>AY36</f>
        <v>0</v>
      </c>
      <c r="BI58" s="326">
        <f t="shared" si="2"/>
        <v>0</v>
      </c>
      <c r="BJ58" s="95">
        <f>VLOOKUP(BD58,CENY!$B$11:$M$2025,12,FALSE)</f>
        <v>326.21229</v>
      </c>
      <c r="BK58" s="95">
        <f t="shared" si="3"/>
        <v>0</v>
      </c>
    </row>
    <row r="59" spans="47:63" ht="14.4" customHeight="1">
      <c r="AU59" s="319">
        <f>OBJ!B309</f>
        <v>9256892</v>
      </c>
      <c r="AV59" s="21" t="str">
        <f>VLOOKUP(AU59,CENY!$B$11:$G$1054,2,FALSE)</f>
        <v>Quadro You(M) 500/SiSy 30kg; EB21</v>
      </c>
      <c r="AW59" s="22">
        <f>VLOOKUP(AU59,CENY!$B$11:$G$1054,3,FALSE)</f>
        <v>1</v>
      </c>
      <c r="AX59" s="362">
        <v>8</v>
      </c>
      <c r="AY59" s="23">
        <f>Y28</f>
        <v>0</v>
      </c>
      <c r="AZ59" s="326">
        <f t="shared" si="1"/>
        <v>0</v>
      </c>
      <c r="BA59" s="95">
        <f>VLOOKUP(AU59,CENY!$B$11:$M$2025,12,FALSE)</f>
        <v>504.59701000000001</v>
      </c>
      <c r="BB59" s="95">
        <f t="shared" si="0"/>
        <v>0</v>
      </c>
      <c r="BD59" s="319">
        <f>OBJ!B266</f>
        <v>9318184</v>
      </c>
      <c r="BE59" s="21" t="str">
        <f>VLOOKUP(BD59,CENY!$B$11:$G$1054,2,FALSE)</f>
        <v>Actro You(L) 600/SiSy 40kg; EB21; pravý</v>
      </c>
      <c r="BF59" s="22">
        <f>VLOOKUP(BD59,CENY!$B$11:$G$1054,3,FALSE)</f>
        <v>10</v>
      </c>
      <c r="BG59" s="22"/>
      <c r="BH59" s="23">
        <f>AY36</f>
        <v>0</v>
      </c>
      <c r="BI59" s="326">
        <f t="shared" si="2"/>
        <v>0</v>
      </c>
      <c r="BJ59" s="95">
        <f>VLOOKUP(BD59,CENY!$B$11:$M$2025,12,FALSE)</f>
        <v>326.21229</v>
      </c>
      <c r="BK59" s="95">
        <f t="shared" si="3"/>
        <v>0</v>
      </c>
    </row>
    <row r="60" spans="47:63" ht="14.4" customHeight="1">
      <c r="AU60" s="319">
        <f>OBJ!B310</f>
        <v>9256894</v>
      </c>
      <c r="AV60" s="21" t="str">
        <f>VLOOKUP(AU60,CENY!$B$11:$G$1054,2,FALSE)</f>
        <v>Quadro You(M) 550/SiSy 30kg; EB21</v>
      </c>
      <c r="AW60" s="22">
        <f>VLOOKUP(AU60,CENY!$B$11:$G$1054,3,FALSE)</f>
        <v>1</v>
      </c>
      <c r="AX60" s="362">
        <v>8</v>
      </c>
      <c r="AY60" s="23">
        <f>AA28</f>
        <v>0</v>
      </c>
      <c r="AZ60" s="326">
        <f t="shared" si="1"/>
        <v>0</v>
      </c>
      <c r="BA60" s="95">
        <f>VLOOKUP(AU60,CENY!$B$11:$M$2025,12,FALSE)</f>
        <v>127.68105</v>
      </c>
      <c r="BB60" s="95">
        <f t="shared" si="0"/>
        <v>0</v>
      </c>
      <c r="BD60" s="319"/>
      <c r="BE60" s="21"/>
      <c r="BF60" s="22"/>
      <c r="BG60" s="22"/>
      <c r="BH60" s="23"/>
      <c r="BI60" s="326" t="str">
        <f t="shared" si="2"/>
        <v/>
      </c>
      <c r="BJ60" s="95"/>
      <c r="BK60" s="95" t="str">
        <f t="shared" si="3"/>
        <v/>
      </c>
    </row>
    <row r="61" spans="47:63" ht="14.4" customHeight="1">
      <c r="AU61" s="319">
        <f>OBJ!B311</f>
        <v>9256896</v>
      </c>
      <c r="AV61" s="21" t="str">
        <f>VLOOKUP(AU61,CENY!$B$11:$G$1054,2,FALSE)</f>
        <v>Quadro You(M) 600/SiSy 25kg; EB21</v>
      </c>
      <c r="AW61" s="22">
        <f>VLOOKUP(AU61,CENY!$B$11:$G$1054,3,FALSE)</f>
        <v>1</v>
      </c>
      <c r="AX61" s="362">
        <v>8</v>
      </c>
      <c r="AY61" s="23">
        <f>AC28</f>
        <v>0</v>
      </c>
      <c r="AZ61" s="326">
        <f t="shared" si="1"/>
        <v>0</v>
      </c>
      <c r="BA61" s="95">
        <f>VLOOKUP(AU61,CENY!$B$11:$M$2025,12,FALSE)</f>
        <v>537.79395</v>
      </c>
      <c r="BB61" s="95">
        <f t="shared" si="0"/>
        <v>0</v>
      </c>
      <c r="BD61" s="319">
        <f>OBJ!B273</f>
        <v>9318198</v>
      </c>
      <c r="BE61" s="21" t="str">
        <f>VLOOKUP(BD61,CENY!$B$11:$G$1054,2,FALSE)</f>
        <v>Actro You(XL) 450/SiSy 70kg; EB21; ľavý</v>
      </c>
      <c r="BF61" s="22">
        <f>VLOOKUP(BD61,CENY!$B$11:$G$1054,3,FALSE)</f>
        <v>10</v>
      </c>
      <c r="BG61" s="22"/>
      <c r="BH61" s="23">
        <f>AY38</f>
        <v>0</v>
      </c>
      <c r="BI61" s="326">
        <f t="shared" si="2"/>
        <v>0</v>
      </c>
      <c r="BJ61" s="95">
        <f>VLOOKUP(BD61,CENY!$B$11:$M$2025,12,FALSE)</f>
        <v>368.62277</v>
      </c>
      <c r="BK61" s="95">
        <f t="shared" si="3"/>
        <v>0</v>
      </c>
    </row>
    <row r="62" spans="47:63" ht="14.4" customHeight="1">
      <c r="AU62" s="319"/>
      <c r="AV62" s="21"/>
      <c r="AW62" s="22"/>
      <c r="AX62" s="22"/>
      <c r="AY62" s="23"/>
      <c r="AZ62" s="326" t="str">
        <f t="shared" si="1"/>
        <v/>
      </c>
      <c r="BA62" s="95"/>
      <c r="BB62" s="95" t="str">
        <f t="shared" si="0"/>
        <v/>
      </c>
      <c r="BD62" s="319">
        <f>OBJ!B274</f>
        <v>9318199</v>
      </c>
      <c r="BE62" s="21" t="str">
        <f>VLOOKUP(BD62,CENY!$B$11:$G$1054,2,FALSE)</f>
        <v>Actro You(XL) 450/SiSy 70kg; EB21; pravý</v>
      </c>
      <c r="BF62" s="22">
        <f>VLOOKUP(BD62,CENY!$B$11:$G$1054,3,FALSE)</f>
        <v>10</v>
      </c>
      <c r="BG62" s="22"/>
      <c r="BH62" s="23">
        <f>AY38</f>
        <v>0</v>
      </c>
      <c r="BI62" s="326">
        <f t="shared" si="2"/>
        <v>0</v>
      </c>
      <c r="BJ62" s="95">
        <f>VLOOKUP(BD62,CENY!$B$11:$M$2025,12,FALSE)</f>
        <v>368.62277</v>
      </c>
      <c r="BK62" s="95">
        <f t="shared" si="3"/>
        <v>0</v>
      </c>
    </row>
    <row r="63" spans="47:63" ht="14.4" customHeight="1">
      <c r="AU63" s="319">
        <f>OBJ!B329</f>
        <v>9257894</v>
      </c>
      <c r="AV63" s="21" t="str">
        <f>VLOOKUP(AU63,CENY!$B$11:$G$1054,2,FALSE)</f>
        <v>Quadro You - Push to open Silent; &lt;10kg</v>
      </c>
      <c r="AW63" s="22">
        <f>VLOOKUP(AU63,CENY!$B$11:$G$1054,3,FALSE)</f>
        <v>1</v>
      </c>
      <c r="AX63" s="22"/>
      <c r="AY63" s="23">
        <f>AN27</f>
        <v>0</v>
      </c>
      <c r="AZ63" s="326">
        <f t="shared" si="1"/>
        <v>0</v>
      </c>
      <c r="BA63" s="95">
        <f>VLOOKUP(AU63,CENY!$B$11:$M$2025,12,FALSE)</f>
        <v>480.50922000000003</v>
      </c>
      <c r="BB63" s="95">
        <f t="shared" si="0"/>
        <v>0</v>
      </c>
      <c r="BD63" s="319">
        <f>OBJ!B275</f>
        <v>9318201</v>
      </c>
      <c r="BE63" s="21" t="str">
        <f>VLOOKUP(BD63,CENY!$B$11:$G$1054,2,FALSE)</f>
        <v>Actro You(XL) 500/SiSy 70kg; EB21; ľavý</v>
      </c>
      <c r="BF63" s="22">
        <f>VLOOKUP(BD63,CENY!$B$11:$G$1054,3,FALSE)</f>
        <v>10</v>
      </c>
      <c r="BG63" s="22"/>
      <c r="BH63" s="23">
        <f>AY39</f>
        <v>0</v>
      </c>
      <c r="BI63" s="326">
        <f t="shared" si="2"/>
        <v>0</v>
      </c>
      <c r="BJ63" s="95">
        <f>VLOOKUP(BD63,CENY!$B$11:$M$2025,12,FALSE)</f>
        <v>372.33726999999999</v>
      </c>
      <c r="BK63" s="95">
        <f t="shared" si="3"/>
        <v>0</v>
      </c>
    </row>
    <row r="64" spans="47:63" ht="14.4" customHeight="1">
      <c r="AU64" s="319">
        <f>OBJ!B330</f>
        <v>9257895</v>
      </c>
      <c r="AV64" s="21" t="str">
        <f>VLOOKUP(AU64,CENY!$B$11:$G$1054,2,FALSE)</f>
        <v>Quadro You - Push to open Silent; 8-20kg</v>
      </c>
      <c r="AW64" s="22">
        <f>VLOOKUP(AU64,CENY!$B$11:$G$1054,3,FALSE)</f>
        <v>1</v>
      </c>
      <c r="AX64" s="22"/>
      <c r="AY64" s="23">
        <f>AN28</f>
        <v>0</v>
      </c>
      <c r="AZ64" s="326">
        <f t="shared" si="1"/>
        <v>0</v>
      </c>
      <c r="BA64" s="95">
        <f>VLOOKUP(AU64,CENY!$B$11:$M$2025,12,FALSE)</f>
        <v>480.50922000000003</v>
      </c>
      <c r="BB64" s="95">
        <f t="shared" si="0"/>
        <v>0</v>
      </c>
      <c r="BD64" s="319">
        <f>OBJ!B276</f>
        <v>9318203</v>
      </c>
      <c r="BE64" s="21" t="str">
        <f>VLOOKUP(BD64,CENY!$B$11:$G$1054,2,FALSE)</f>
        <v>Actro You(XL) 500/SiSy 70kg; EB21; pravý</v>
      </c>
      <c r="BF64" s="22">
        <f>VLOOKUP(BD64,CENY!$B$11:$G$1054,3,FALSE)</f>
        <v>10</v>
      </c>
      <c r="BG64" s="22"/>
      <c r="BH64" s="23">
        <f>AY39</f>
        <v>0</v>
      </c>
      <c r="BI64" s="326">
        <f t="shared" si="2"/>
        <v>0</v>
      </c>
      <c r="BJ64" s="95">
        <f>VLOOKUP(BD64,CENY!$B$11:$M$2025,12,FALSE)</f>
        <v>372.33726999999999</v>
      </c>
      <c r="BK64" s="95">
        <f t="shared" si="3"/>
        <v>0</v>
      </c>
    </row>
    <row r="65" spans="1:63" ht="14.4" customHeight="1">
      <c r="AU65" s="319">
        <f>OBJ!B331</f>
        <v>9257896</v>
      </c>
      <c r="AV65" s="21" t="str">
        <f>VLOOKUP(AU65,CENY!$B$11:$G$1054,2,FALSE)</f>
        <v>Quadro You - Push to open Silent; 10-30kg</v>
      </c>
      <c r="AW65" s="22">
        <f>VLOOKUP(AU65,CENY!$B$11:$G$1054,3,FALSE)</f>
        <v>1</v>
      </c>
      <c r="AX65" s="22"/>
      <c r="AY65" s="23">
        <f>AN29</f>
        <v>0</v>
      </c>
      <c r="AZ65" s="326">
        <f t="shared" si="1"/>
        <v>0</v>
      </c>
      <c r="BA65" s="95">
        <f>VLOOKUP(AU65,CENY!$B$11:$M$2025,12,FALSE)</f>
        <v>480.50922000000003</v>
      </c>
      <c r="BB65" s="95">
        <f t="shared" si="0"/>
        <v>0</v>
      </c>
      <c r="BD65" s="319">
        <f>OBJ!B277</f>
        <v>9318208</v>
      </c>
      <c r="BE65" s="21" t="str">
        <f>VLOOKUP(BD65,CENY!$B$11:$G$1054,2,FALSE)</f>
        <v>Actro You(XL) 550/SiSy 70kg; EB21; ľavý</v>
      </c>
      <c r="BF65" s="22">
        <f>VLOOKUP(BD65,CENY!$B$11:$G$1054,3,FALSE)</f>
        <v>10</v>
      </c>
      <c r="BG65" s="22"/>
      <c r="BH65" s="23">
        <f>AY40</f>
        <v>0</v>
      </c>
      <c r="BI65" s="326">
        <f t="shared" si="2"/>
        <v>0</v>
      </c>
      <c r="BJ65" s="95">
        <f>VLOOKUP(BD65,CENY!$B$11:$M$2025,12,FALSE)</f>
        <v>392.11943000000002</v>
      </c>
      <c r="BK65" s="95">
        <f t="shared" si="3"/>
        <v>0</v>
      </c>
    </row>
    <row r="66" spans="1:63" ht="12.9" customHeight="1" thickBot="1">
      <c r="A66" s="577"/>
      <c r="AU66" s="319"/>
      <c r="AV66" s="21"/>
      <c r="AW66" s="22"/>
      <c r="AX66" s="22"/>
      <c r="AY66" s="23"/>
      <c r="AZ66" s="326" t="str">
        <f t="shared" si="1"/>
        <v/>
      </c>
      <c r="BA66" s="95"/>
      <c r="BB66" s="95" t="str">
        <f t="shared" si="0"/>
        <v/>
      </c>
      <c r="BD66" s="319">
        <f>OBJ!B278</f>
        <v>9318209</v>
      </c>
      <c r="BE66" s="21" t="str">
        <f>VLOOKUP(BD66,CENY!$B$11:$G$1054,2,FALSE)</f>
        <v>Actro You(XL) 550/SiSy 70kg; EB21; pravý</v>
      </c>
      <c r="BF66" s="22">
        <f>VLOOKUP(BD66,CENY!$B$11:$G$1054,3,FALSE)</f>
        <v>10</v>
      </c>
      <c r="BG66" s="22"/>
      <c r="BH66" s="23">
        <f>AY40</f>
        <v>0</v>
      </c>
      <c r="BI66" s="326">
        <f t="shared" si="2"/>
        <v>0</v>
      </c>
      <c r="BJ66" s="95">
        <f>VLOOKUP(BD66,CENY!$B$11:$M$2025,12,FALSE)</f>
        <v>392.11943000000002</v>
      </c>
      <c r="BK66" s="95">
        <f t="shared" si="3"/>
        <v>0</v>
      </c>
    </row>
    <row r="67" spans="1:63" ht="23.1" customHeight="1" thickBot="1">
      <c r="A67" s="577"/>
      <c r="B67" s="484" t="str">
        <f>verze!E13</f>
        <v>&lt;&lt;  zpět</v>
      </c>
      <c r="C67" s="485"/>
      <c r="D67" s="485"/>
      <c r="E67" s="486"/>
      <c r="G67" s="513" t="str">
        <f>verze!E6</f>
        <v xml:space="preserve"> Úvod</v>
      </c>
      <c r="H67" s="514"/>
      <c r="I67" s="514"/>
      <c r="J67" s="514"/>
      <c r="K67" s="515"/>
      <c r="O67" s="513" t="str">
        <f>verze!E7</f>
        <v xml:space="preserve"> Výběr zásuvek</v>
      </c>
      <c r="P67" s="514"/>
      <c r="Q67" s="514"/>
      <c r="R67" s="514"/>
      <c r="S67" s="515"/>
      <c r="U67" s="513" t="str">
        <f>verze!E8</f>
        <v xml:space="preserve"> </v>
      </c>
      <c r="V67" s="514"/>
      <c r="W67" s="514"/>
      <c r="X67" s="514"/>
      <c r="Y67" s="515"/>
      <c r="AA67" s="513" t="str">
        <f>verze!E9</f>
        <v xml:space="preserve"> </v>
      </c>
      <c r="AB67" s="514"/>
      <c r="AC67" s="514"/>
      <c r="AD67" s="514"/>
      <c r="AE67" s="515"/>
      <c r="AI67" s="513" t="str">
        <f>verze!E10</f>
        <v xml:space="preserve"> Objednávka</v>
      </c>
      <c r="AJ67" s="514"/>
      <c r="AK67" s="514"/>
      <c r="AL67" s="514"/>
      <c r="AM67" s="515"/>
      <c r="AO67" s="475" t="str">
        <f>verze!E14</f>
        <v>vpřed  &gt;&gt;</v>
      </c>
      <c r="AP67" s="476"/>
      <c r="AQ67" s="476"/>
      <c r="AR67" s="477"/>
      <c r="AU67" s="319">
        <f>OBJ!B333</f>
        <v>9256928</v>
      </c>
      <c r="AV67" s="21" t="str">
        <f>VLOOKUP(AU67,CENY!$B$11:$G$1054,2,FALSE)</f>
        <v>Quadro You(M) 270/P2O 20kg; EB21</v>
      </c>
      <c r="AW67" s="22">
        <f>VLOOKUP(AU67,CENY!$B$11:$G$1054,3,FALSE)</f>
        <v>1</v>
      </c>
      <c r="AX67" s="362">
        <v>8</v>
      </c>
      <c r="AY67" s="23">
        <f>O30</f>
        <v>0</v>
      </c>
      <c r="AZ67" s="326">
        <f t="shared" si="1"/>
        <v>0</v>
      </c>
      <c r="BA67" s="95">
        <f>VLOOKUP(AU67,CENY!$B$11:$M$2025,12,FALSE)</f>
        <v>536.84897999999998</v>
      </c>
      <c r="BB67" s="95">
        <f t="shared" si="0"/>
        <v>0</v>
      </c>
      <c r="BD67" s="319">
        <f>OBJ!B279</f>
        <v>9318211</v>
      </c>
      <c r="BE67" s="21" t="str">
        <f>VLOOKUP(BD67,CENY!$B$11:$G$1054,2,FALSE)</f>
        <v>Actro You(XL) 600/SiSy 70kg; EB21; ľavý</v>
      </c>
      <c r="BF67" s="22">
        <f>VLOOKUP(BD67,CENY!$B$11:$G$1054,3,FALSE)</f>
        <v>10</v>
      </c>
      <c r="BG67" s="22"/>
      <c r="BH67" s="23">
        <f>AY41</f>
        <v>0</v>
      </c>
      <c r="BI67" s="326">
        <f t="shared" si="2"/>
        <v>0</v>
      </c>
      <c r="BJ67" s="95">
        <f>VLOOKUP(BD67,CENY!$B$11:$M$2025,12,FALSE)</f>
        <v>443.89010999999999</v>
      </c>
      <c r="BK67" s="95">
        <f t="shared" si="3"/>
        <v>0</v>
      </c>
    </row>
    <row r="68" spans="1:63" ht="12.9" customHeight="1">
      <c r="A68" s="577"/>
      <c r="AU68" s="319">
        <f>OBJ!B334</f>
        <v>9256929</v>
      </c>
      <c r="AV68" s="21" t="str">
        <f>VLOOKUP(AU68,CENY!$B$11:$G$1054,2,FALSE)</f>
        <v>Quadro You(M) 300/P2O 20kg; EB21</v>
      </c>
      <c r="AW68" s="22">
        <f>VLOOKUP(AU68,CENY!$B$11:$G$1054,3,FALSE)</f>
        <v>1</v>
      </c>
      <c r="AX68" s="362">
        <v>8</v>
      </c>
      <c r="AY68" s="23">
        <f>Q30</f>
        <v>0</v>
      </c>
      <c r="AZ68" s="326">
        <f t="shared" si="1"/>
        <v>0</v>
      </c>
      <c r="BA68" s="95">
        <f>VLOOKUP(AU68,CENY!$B$11:$M$2025,12,FALSE)</f>
        <v>537.79395</v>
      </c>
      <c r="BB68" s="95">
        <f t="shared" si="0"/>
        <v>0</v>
      </c>
      <c r="BD68" s="319">
        <f>OBJ!B280</f>
        <v>9318212</v>
      </c>
      <c r="BE68" s="21" t="str">
        <f>VLOOKUP(BD68,CENY!$B$11:$G$1054,2,FALSE)</f>
        <v>Actro You(XL) 600/SiSy 70kg; EB21; pravý</v>
      </c>
      <c r="BF68" s="22">
        <f>VLOOKUP(BD68,CENY!$B$11:$G$1054,3,FALSE)</f>
        <v>10</v>
      </c>
      <c r="BG68" s="22"/>
      <c r="BH68" s="23">
        <f>AY41</f>
        <v>0</v>
      </c>
      <c r="BI68" s="326">
        <f t="shared" si="2"/>
        <v>0</v>
      </c>
      <c r="BJ68" s="95">
        <f>VLOOKUP(BD68,CENY!$B$11:$M$2025,12,FALSE)</f>
        <v>443.89010999999999</v>
      </c>
      <c r="BK68" s="95">
        <f t="shared" si="3"/>
        <v>0</v>
      </c>
    </row>
    <row r="69" spans="1:63" ht="23.1" customHeight="1">
      <c r="A69" s="577"/>
      <c r="B69" s="93" t="str">
        <f>B4</f>
        <v>Zásuvka AVANTECH YOU  101</v>
      </c>
      <c r="C69" s="89"/>
      <c r="D69" s="89"/>
      <c r="E69" s="89"/>
      <c r="F69" s="89"/>
      <c r="G69" s="89"/>
      <c r="H69" s="89"/>
      <c r="I69" s="89"/>
      <c r="J69" s="89"/>
      <c r="K69" s="89"/>
      <c r="L69" s="89"/>
      <c r="M69" s="89"/>
      <c r="N69" s="89"/>
      <c r="O69" s="89"/>
      <c r="P69" s="89"/>
      <c r="Q69" s="89"/>
      <c r="R69" s="89"/>
      <c r="S69" s="89"/>
      <c r="T69" s="89"/>
      <c r="U69" s="89"/>
      <c r="V69" s="89"/>
      <c r="W69" s="89"/>
      <c r="X69" s="89"/>
      <c r="Y69" s="89"/>
      <c r="Z69" s="89"/>
      <c r="AA69" s="89"/>
      <c r="AB69" s="89"/>
      <c r="AC69" s="89"/>
      <c r="AD69" s="89"/>
      <c r="AE69" s="89"/>
      <c r="AF69" s="89"/>
      <c r="AG69" s="89"/>
      <c r="AH69" s="89"/>
      <c r="AI69" s="89"/>
      <c r="AJ69" s="89"/>
      <c r="AK69" s="89"/>
      <c r="AL69" s="89"/>
      <c r="AM69" s="89"/>
      <c r="AN69" s="89"/>
      <c r="AO69" s="89"/>
      <c r="AP69" s="89"/>
      <c r="AQ69" s="89"/>
      <c r="AR69" s="89"/>
      <c r="AU69" s="319">
        <f>OBJ!B335</f>
        <v>9256931</v>
      </c>
      <c r="AV69" s="21" t="str">
        <f>VLOOKUP(AU69,CENY!$B$11:$G$1054,2,FALSE)</f>
        <v>Quadro You(M) 350/P2O 25kg; EB21</v>
      </c>
      <c r="AW69" s="22">
        <f>VLOOKUP(AU69,CENY!$B$11:$G$1054,3,FALSE)</f>
        <v>1</v>
      </c>
      <c r="AX69" s="362">
        <v>8</v>
      </c>
      <c r="AY69" s="23">
        <f>S30</f>
        <v>0</v>
      </c>
      <c r="AZ69" s="326">
        <f t="shared" si="1"/>
        <v>0</v>
      </c>
      <c r="BA69" s="95">
        <f>VLOOKUP(AU69,CENY!$B$11:$M$2025,12,FALSE)</f>
        <v>547.49897999999996</v>
      </c>
      <c r="BB69" s="95">
        <f t="shared" ref="BB69:BB132" si="4">IF(BA69="","",BA69*AY69)</f>
        <v>0</v>
      </c>
      <c r="BD69" s="319">
        <f>OBJ!B281</f>
        <v>9318213</v>
      </c>
      <c r="BE69" s="21" t="str">
        <f>VLOOKUP(BD69,CENY!$B$11:$G$1054,2,FALSE)</f>
        <v>Actro You(XL) 650/SiSy 70kg; EB21; ľavý</v>
      </c>
      <c r="BF69" s="22">
        <f>VLOOKUP(BD69,CENY!$B$11:$G$1054,3,FALSE)</f>
        <v>5</v>
      </c>
      <c r="BG69" s="22"/>
      <c r="BH69" s="23">
        <f>AY42</f>
        <v>0</v>
      </c>
      <c r="BI69" s="326">
        <f t="shared" si="2"/>
        <v>0</v>
      </c>
      <c r="BJ69" s="95">
        <f>VLOOKUP(BD69,CENY!$B$11:$M$2025,12,FALSE)</f>
        <v>462.41142000000002</v>
      </c>
      <c r="BK69" s="95">
        <f t="shared" si="3"/>
        <v>0</v>
      </c>
    </row>
    <row r="70" spans="1:63" ht="14.4" customHeight="1">
      <c r="A70" s="577"/>
      <c r="AU70" s="319">
        <f>OBJ!B336</f>
        <v>9256933</v>
      </c>
      <c r="AV70" s="21" t="str">
        <f>VLOOKUP(AU70,CENY!$B$11:$G$1054,2,FALSE)</f>
        <v>Quadro You(M) 400/P2O 30kg; EB21</v>
      </c>
      <c r="AW70" s="22">
        <f>VLOOKUP(AU70,CENY!$B$11:$G$1054,3,FALSE)</f>
        <v>1</v>
      </c>
      <c r="AX70" s="362">
        <v>8</v>
      </c>
      <c r="AY70" s="23">
        <f>U30</f>
        <v>0</v>
      </c>
      <c r="AZ70" s="326">
        <f t="shared" ref="AZ70:AZ131" si="5">IF(AY70="","",IF($AW$4=1,AY70,0))</f>
        <v>0</v>
      </c>
      <c r="BA70" s="95">
        <f>VLOOKUP(AU70,CENY!$B$11:$M$2025,12,FALSE)</f>
        <v>557.20162000000005</v>
      </c>
      <c r="BB70" s="95">
        <f t="shared" si="4"/>
        <v>0</v>
      </c>
      <c r="BD70" s="319">
        <f>OBJ!B282</f>
        <v>9318214</v>
      </c>
      <c r="BE70" s="21" t="str">
        <f>VLOOKUP(BD70,CENY!$B$11:$G$1054,2,FALSE)</f>
        <v>Actro You(XL) 650/SiSy 70kg; EB21; pravý</v>
      </c>
      <c r="BF70" s="22">
        <f>VLOOKUP(BD70,CENY!$B$11:$G$1054,3,FALSE)</f>
        <v>5</v>
      </c>
      <c r="BG70" s="22"/>
      <c r="BH70" s="23">
        <f>AY42</f>
        <v>0</v>
      </c>
      <c r="BI70" s="326">
        <f t="shared" ref="BI70:BI141" si="6">IF(BH70="","",IF($AW$4=0,BH70,0))</f>
        <v>0</v>
      </c>
      <c r="BJ70" s="95">
        <f>VLOOKUP(BD70,CENY!$B$11:$M$2025,12,FALSE)</f>
        <v>462.41142000000002</v>
      </c>
      <c r="BK70" s="95">
        <f t="shared" ref="BK70:BK141" si="7">IF(BJ70="","",BJ70*BH70)</f>
        <v>0</v>
      </c>
    </row>
    <row r="71" spans="1:63" ht="14.4" customHeight="1">
      <c r="A71" s="577"/>
      <c r="AU71" s="319">
        <f>OBJ!B337</f>
        <v>9256935</v>
      </c>
      <c r="AV71" s="21" t="str">
        <f>VLOOKUP(AU71,CENY!$B$11:$G$1054,2,FALSE)</f>
        <v>Quadro You(M) 450/P2O 30kg; EB21</v>
      </c>
      <c r="AW71" s="22">
        <f>VLOOKUP(AU71,CENY!$B$11:$G$1054,3,FALSE)</f>
        <v>1</v>
      </c>
      <c r="AX71" s="362">
        <v>8</v>
      </c>
      <c r="AY71" s="23">
        <f>W30</f>
        <v>0</v>
      </c>
      <c r="AZ71" s="326">
        <f t="shared" si="5"/>
        <v>0</v>
      </c>
      <c r="BA71" s="95">
        <f>VLOOKUP(AU71,CENY!$B$11:$M$2025,12,FALSE)</f>
        <v>566.90911000000006</v>
      </c>
      <c r="BB71" s="95">
        <f t="shared" si="4"/>
        <v>0</v>
      </c>
      <c r="BD71" s="319"/>
      <c r="BE71" s="21"/>
      <c r="BF71" s="22"/>
      <c r="BG71" s="22"/>
      <c r="BH71" s="23"/>
      <c r="BI71" s="326" t="str">
        <f t="shared" si="6"/>
        <v/>
      </c>
      <c r="BJ71" s="95"/>
      <c r="BK71" s="95" t="str">
        <f t="shared" si="7"/>
        <v/>
      </c>
    </row>
    <row r="72" spans="1:63" ht="14.4" customHeight="1">
      <c r="A72" s="577"/>
      <c r="AU72" s="319">
        <f>OBJ!B338</f>
        <v>9256937</v>
      </c>
      <c r="AV72" s="21" t="str">
        <f>VLOOKUP(AU72,CENY!$B$11:$G$1054,2,FALSE)</f>
        <v>Quadro You(M) 500/P2O 30kg; EB21</v>
      </c>
      <c r="AW72" s="22">
        <f>VLOOKUP(AU72,CENY!$B$11:$G$1054,3,FALSE)</f>
        <v>1</v>
      </c>
      <c r="AX72" s="362">
        <v>8</v>
      </c>
      <c r="AY72" s="23">
        <f>Y30</f>
        <v>0</v>
      </c>
      <c r="AZ72" s="326">
        <f t="shared" si="5"/>
        <v>0</v>
      </c>
      <c r="BA72" s="95">
        <f>VLOOKUP(AU72,CENY!$B$11:$M$2025,12,FALSE)</f>
        <v>139.41228000000001</v>
      </c>
      <c r="BB72" s="95">
        <f t="shared" si="4"/>
        <v>0</v>
      </c>
      <c r="BD72" s="319">
        <f>OBJ!B284</f>
        <v>9257890</v>
      </c>
      <c r="BE72" s="21" t="str">
        <f>VLOOKUP(BD72,CENY!$B$11:$G$1054,2,FALSE)</f>
        <v>Actro You - Push to open Silent; &lt;10kg</v>
      </c>
      <c r="BF72" s="22">
        <f>VLOOKUP(BD72,CENY!$B$11:$G$1054,3,FALSE)</f>
        <v>1</v>
      </c>
      <c r="BG72" s="22"/>
      <c r="BH72" s="23">
        <f>AY44</f>
        <v>0</v>
      </c>
      <c r="BI72" s="326">
        <f t="shared" si="6"/>
        <v>0</v>
      </c>
      <c r="BJ72" s="95">
        <f>VLOOKUP(BD72,CENY!$B$11:$M$2025,12,FALSE)</f>
        <v>481.81412999999998</v>
      </c>
      <c r="BK72" s="95">
        <f t="shared" si="7"/>
        <v>0</v>
      </c>
    </row>
    <row r="73" spans="1:63" ht="14.4" customHeight="1">
      <c r="A73" s="577"/>
      <c r="AU73" s="319">
        <f>OBJ!B339</f>
        <v>9256939</v>
      </c>
      <c r="AV73" s="21" t="str">
        <f>VLOOKUP(AU73,CENY!$B$11:$G$1054,2,FALSE)</f>
        <v>Quadro You(M) 550/P2O 30kg; EB21</v>
      </c>
      <c r="AW73" s="22">
        <f>VLOOKUP(AU73,CENY!$B$11:$G$1054,3,FALSE)</f>
        <v>1</v>
      </c>
      <c r="AX73" s="362">
        <v>8</v>
      </c>
      <c r="AY73" s="23">
        <f>AA30</f>
        <v>0</v>
      </c>
      <c r="AZ73" s="326">
        <f t="shared" si="5"/>
        <v>0</v>
      </c>
      <c r="BA73" s="95">
        <f>VLOOKUP(AU73,CENY!$B$11:$M$2025,12,FALSE)</f>
        <v>586.3143</v>
      </c>
      <c r="BB73" s="95">
        <f t="shared" si="4"/>
        <v>0</v>
      </c>
      <c r="BD73" s="319">
        <f>OBJ!B285</f>
        <v>9257891</v>
      </c>
      <c r="BE73" s="21" t="str">
        <f>VLOOKUP(BD73,CENY!$B$11:$G$1054,2,FALSE)</f>
        <v>Actro You - Push to open Silent; 8-20kg</v>
      </c>
      <c r="BF73" s="22">
        <f>VLOOKUP(BD73,CENY!$B$11:$G$1054,3,FALSE)</f>
        <v>1</v>
      </c>
      <c r="BG73" s="22"/>
      <c r="BH73" s="23">
        <f>AY45</f>
        <v>0</v>
      </c>
      <c r="BI73" s="326">
        <f t="shared" si="6"/>
        <v>0</v>
      </c>
      <c r="BJ73" s="95">
        <f>VLOOKUP(BD73,CENY!$B$11:$M$2025,12,FALSE)</f>
        <v>481.81412999999998</v>
      </c>
      <c r="BK73" s="95">
        <f t="shared" si="7"/>
        <v>0</v>
      </c>
    </row>
    <row r="74" spans="1:63" ht="14.4" customHeight="1">
      <c r="A74" s="577"/>
      <c r="AU74" s="319">
        <f>OBJ!B340</f>
        <v>9256941</v>
      </c>
      <c r="AV74" s="21" t="str">
        <f>VLOOKUP(AU74,CENY!$B$11:$G$1054,2,FALSE)</f>
        <v>Quadro You(M) 600/P2O 25kg; EB21</v>
      </c>
      <c r="AW74" s="22">
        <f>VLOOKUP(AU74,CENY!$B$11:$G$1054,3,FALSE)</f>
        <v>1</v>
      </c>
      <c r="AX74" s="362">
        <v>8</v>
      </c>
      <c r="AY74" s="23">
        <f>AC30</f>
        <v>0</v>
      </c>
      <c r="AZ74" s="326">
        <f t="shared" si="5"/>
        <v>0</v>
      </c>
      <c r="BA74" s="95">
        <f>VLOOKUP(AU74,CENY!$B$11:$M$2025,12,FALSE)</f>
        <v>596.01683000000003</v>
      </c>
      <c r="BB74" s="95">
        <f t="shared" si="4"/>
        <v>0</v>
      </c>
      <c r="BD74" s="319">
        <f>OBJ!B286</f>
        <v>9257892</v>
      </c>
      <c r="BE74" s="21" t="str">
        <f>VLOOKUP(BD74,CENY!$B$11:$G$1054,2,FALSE)</f>
        <v>Actro You - Push to open Silent; 10-40kg</v>
      </c>
      <c r="BF74" s="22">
        <f>VLOOKUP(BD74,CENY!$B$11:$G$1054,3,FALSE)</f>
        <v>1</v>
      </c>
      <c r="BG74" s="22"/>
      <c r="BH74" s="23">
        <f>AY46</f>
        <v>0</v>
      </c>
      <c r="BI74" s="326">
        <f t="shared" si="6"/>
        <v>0</v>
      </c>
      <c r="BJ74" s="95">
        <f>VLOOKUP(BD74,CENY!$B$11:$M$2025,12,FALSE)</f>
        <v>481.81412999999998</v>
      </c>
      <c r="BK74" s="95">
        <f t="shared" si="7"/>
        <v>0</v>
      </c>
    </row>
    <row r="75" spans="1:63" ht="14.4" customHeight="1">
      <c r="A75" s="577"/>
      <c r="AU75" s="319"/>
      <c r="AV75" s="21"/>
      <c r="AW75" s="22"/>
      <c r="AX75" s="22"/>
      <c r="AY75" s="23"/>
      <c r="AZ75" s="326" t="str">
        <f t="shared" si="5"/>
        <v/>
      </c>
      <c r="BA75" s="95"/>
      <c r="BB75" s="95" t="str">
        <f t="shared" si="4"/>
        <v/>
      </c>
      <c r="BD75" s="319">
        <f>OBJ!B287</f>
        <v>9257893</v>
      </c>
      <c r="BE75" s="21" t="str">
        <f>VLOOKUP(BD75,CENY!$B$11:$G$1054,2,FALSE)</f>
        <v>Actro You - Push to open Silent; 20-70kg</v>
      </c>
      <c r="BF75" s="22">
        <f>VLOOKUP(BD75,CENY!$B$11:$G$1054,3,FALSE)</f>
        <v>1</v>
      </c>
      <c r="BG75" s="22"/>
      <c r="BH75" s="23">
        <f>AY47</f>
        <v>0</v>
      </c>
      <c r="BI75" s="326">
        <f t="shared" si="6"/>
        <v>0</v>
      </c>
      <c r="BJ75" s="95">
        <f>VLOOKUP(BD75,CENY!$B$11:$M$2025,12,FALSE)</f>
        <v>481.81412999999998</v>
      </c>
      <c r="BK75" s="95">
        <f t="shared" si="7"/>
        <v>0</v>
      </c>
    </row>
    <row r="76" spans="1:63" ht="14.4" customHeight="1">
      <c r="A76" s="577"/>
      <c r="AU76" s="319">
        <f>OBJ!B358</f>
        <v>9219966</v>
      </c>
      <c r="AV76" s="21" t="str">
        <f>VLOOKUP(AU76,CENY!$B$11:$G$1054,2,FALSE)</f>
        <v>Push to open Synchro / adaptér typ A</v>
      </c>
      <c r="AW76" s="22">
        <f>VLOOKUP(AU76,CENY!$B$11:$G$1054,3,FALSE)</f>
        <v>200</v>
      </c>
      <c r="AX76" s="22"/>
      <c r="AY76" s="23">
        <f>2*SUM(O30:AD30)</f>
        <v>0</v>
      </c>
      <c r="AZ76" s="326">
        <f t="shared" si="5"/>
        <v>0</v>
      </c>
      <c r="BA76" s="95">
        <f>VLOOKUP(AU76,CENY!$B$11:$M$2025,12,FALSE)</f>
        <v>16.488900000000001</v>
      </c>
      <c r="BB76" s="95">
        <f t="shared" si="4"/>
        <v>0</v>
      </c>
      <c r="BD76" s="319">
        <f>OBJ!B288</f>
        <v>9236718</v>
      </c>
      <c r="BE76" s="21" t="str">
        <f>VLOOKUP(BD76,CENY!$B$11:$G$1054,2,FALSE)</f>
        <v>Push to open Synchro / tyč 2.000 mm</v>
      </c>
      <c r="BF76" s="22">
        <f>VLOOKUP(BD76,CENY!$B$11:$G$1054,3,FALSE)</f>
        <v>100</v>
      </c>
      <c r="BG76" s="22"/>
      <c r="BH76" s="23">
        <f>AY48</f>
        <v>0</v>
      </c>
      <c r="BI76" s="326">
        <f t="shared" si="6"/>
        <v>0</v>
      </c>
      <c r="BJ76" s="95">
        <f>VLOOKUP(BD76,CENY!$B$11:$M$2025,12,FALSE)</f>
        <v>182.03933000000001</v>
      </c>
      <c r="BK76" s="95">
        <f t="shared" si="7"/>
        <v>0</v>
      </c>
    </row>
    <row r="77" spans="1:63" ht="14.4" customHeight="1">
      <c r="A77" s="577"/>
      <c r="AU77" s="319"/>
      <c r="AV77" s="21"/>
      <c r="AW77" s="22"/>
      <c r="AX77" s="22"/>
      <c r="AY77" s="23"/>
      <c r="AZ77" s="326" t="str">
        <f t="shared" si="5"/>
        <v/>
      </c>
      <c r="BA77" s="95"/>
      <c r="BB77" s="95" t="str">
        <f t="shared" si="4"/>
        <v/>
      </c>
      <c r="BD77" s="319"/>
      <c r="BE77" s="21"/>
      <c r="BF77" s="22"/>
      <c r="BG77" s="22"/>
      <c r="BH77" s="23"/>
      <c r="BI77" s="326" t="str">
        <f t="shared" si="6"/>
        <v/>
      </c>
      <c r="BJ77" s="95"/>
      <c r="BK77" s="95" t="str">
        <f t="shared" si="7"/>
        <v/>
      </c>
    </row>
    <row r="78" spans="1:63" ht="14.4" customHeight="1">
      <c r="A78" s="577"/>
      <c r="AU78" s="320">
        <v>9255836</v>
      </c>
      <c r="AV78" s="321" t="str">
        <f>VLOOKUP(AU78,CENY!$B$11:$G$1054,2,FALSE)</f>
        <v>AvanY-príchytka čela s rozp.púzdrom/ v101</v>
      </c>
      <c r="AW78" s="22">
        <f>VLOOKUP(AU78,CENY!$B$11:$G$1054,3,FALSE)</f>
        <v>200</v>
      </c>
      <c r="AX78" s="22"/>
      <c r="AY78" s="68">
        <v>0</v>
      </c>
      <c r="AZ78" s="326">
        <f t="shared" si="5"/>
        <v>0</v>
      </c>
      <c r="BA78" s="95">
        <f>VLOOKUP(AU78,CENY!$B$11:$M$2025,12,FALSE)</f>
        <v>25.299289999999999</v>
      </c>
      <c r="BB78" s="95">
        <f t="shared" si="4"/>
        <v>0</v>
      </c>
      <c r="BD78" s="319">
        <f>OBJ!B297</f>
        <v>9256944</v>
      </c>
      <c r="BE78" s="21" t="str">
        <f>VLOOKUP(BD78,CENY!$B$11:$G$1054,2,FALSE)</f>
        <v>Quadro You(S) 270/SiSy 10kg; EB21; ľavý</v>
      </c>
      <c r="BF78" s="22">
        <f>VLOOKUP(BD78,CENY!$B$11:$G$1054,3,FALSE)</f>
        <v>20</v>
      </c>
      <c r="BG78" s="22"/>
      <c r="BH78" s="23">
        <f>AY50</f>
        <v>0</v>
      </c>
      <c r="BI78" s="326">
        <f t="shared" si="6"/>
        <v>0</v>
      </c>
      <c r="BJ78" s="95">
        <f>VLOOKUP(BD78,CENY!$B$11:$M$2025,12,FALSE)</f>
        <v>223.77942999999999</v>
      </c>
      <c r="BK78" s="95">
        <f t="shared" si="7"/>
        <v>0</v>
      </c>
    </row>
    <row r="79" spans="1:63" ht="14.4" customHeight="1">
      <c r="A79" s="577"/>
      <c r="AU79" s="319"/>
      <c r="AV79" s="21"/>
      <c r="AW79" s="22"/>
      <c r="AX79" s="22"/>
      <c r="AY79" s="23"/>
      <c r="AZ79" s="326" t="str">
        <f t="shared" si="5"/>
        <v/>
      </c>
      <c r="BA79" s="95"/>
      <c r="BB79" s="95" t="str">
        <f t="shared" si="4"/>
        <v/>
      </c>
      <c r="BD79" s="319">
        <f>OBJ!B298</f>
        <v>9256945</v>
      </c>
      <c r="BE79" s="21" t="str">
        <f>VLOOKUP(BD79,CENY!$B$11:$G$1054,2,FALSE)</f>
        <v>Quadro You(S) 270/SiSy 10kg; EB21; pravý</v>
      </c>
      <c r="BF79" s="22">
        <f>VLOOKUP(BD79,CENY!$B$11:$G$1054,3,FALSE)</f>
        <v>20</v>
      </c>
      <c r="BG79" s="22"/>
      <c r="BH79" s="23">
        <f>AY50</f>
        <v>0</v>
      </c>
      <c r="BI79" s="326">
        <f t="shared" si="6"/>
        <v>0</v>
      </c>
      <c r="BJ79" s="95">
        <f>VLOOKUP(BD79,CENY!$B$11:$M$2025,12,FALSE)</f>
        <v>223.77942999999999</v>
      </c>
      <c r="BK79" s="95">
        <f t="shared" si="7"/>
        <v>0</v>
      </c>
    </row>
    <row r="80" spans="1:63" ht="14.4" customHeight="1">
      <c r="A80" s="577"/>
      <c r="O80" s="576">
        <f t="shared" ref="O80:AI80" si="8">CEILING(O84/FLOOR(2000/O85,1),1)</f>
        <v>0</v>
      </c>
      <c r="P80" s="576"/>
      <c r="Q80" s="576">
        <f t="shared" si="8"/>
        <v>0</v>
      </c>
      <c r="R80" s="576"/>
      <c r="S80" s="576">
        <f t="shared" si="8"/>
        <v>0</v>
      </c>
      <c r="T80" s="576"/>
      <c r="U80" s="576">
        <f t="shared" si="8"/>
        <v>0</v>
      </c>
      <c r="V80" s="576"/>
      <c r="W80" s="576">
        <f t="shared" si="8"/>
        <v>0</v>
      </c>
      <c r="X80" s="576"/>
      <c r="Y80" s="576">
        <f t="shared" si="8"/>
        <v>0</v>
      </c>
      <c r="Z80" s="576"/>
      <c r="AA80" s="576">
        <f t="shared" si="8"/>
        <v>0</v>
      </c>
      <c r="AB80" s="576"/>
      <c r="AC80" s="576">
        <f t="shared" si="8"/>
        <v>0</v>
      </c>
      <c r="AD80" s="576"/>
      <c r="AE80" s="576">
        <f t="shared" si="8"/>
        <v>0</v>
      </c>
      <c r="AF80" s="576"/>
      <c r="AG80" s="576">
        <f t="shared" si="8"/>
        <v>0</v>
      </c>
      <c r="AH80" s="576"/>
      <c r="AI80" s="576">
        <f t="shared" si="8"/>
        <v>0</v>
      </c>
      <c r="AJ80" s="576"/>
      <c r="AU80" s="319">
        <f>OBJ!B214</f>
        <v>0</v>
      </c>
      <c r="AV80" s="21" t="e">
        <f>VLOOKUP(AU80,CENY!$B$11:$G$1054,2,FALSE)</f>
        <v>#N/A</v>
      </c>
      <c r="AW80" s="22" t="e">
        <f>VLOOKUP(AU80,CENY!$B$11:$G$1054,3,FALSE)</f>
        <v>#N/A</v>
      </c>
      <c r="AX80" s="22"/>
      <c r="AY80" s="68">
        <f>IF(FORM!AM21&lt;&gt;FORM!AW16,(2*(+SUM(O19:T19)+SUM(O20:AD20)+SUM(W22:AF22)+SUM(O27:T27)+SUM(O28:AD28)+SUM(O30:AD30))),0)</f>
        <v>0</v>
      </c>
      <c r="AZ80" s="326">
        <f t="shared" si="5"/>
        <v>0</v>
      </c>
      <c r="BA80" s="324" t="str">
        <f>IF(AU80=0,"",VLOOKUP(AU80,CENY!$B$11:$M$2025,12,FALSE))</f>
        <v/>
      </c>
      <c r="BB80" s="95" t="str">
        <f>IF(BA80="","",BA80*AY80)</f>
        <v/>
      </c>
      <c r="BD80" s="319">
        <f>OBJ!B299</f>
        <v>9256946</v>
      </c>
      <c r="BE80" s="21" t="str">
        <f>VLOOKUP(BD80,CENY!$B$11:$G$1054,2,FALSE)</f>
        <v>Quadro You(S) 300/SiSy 10kg; EB21; ľavý</v>
      </c>
      <c r="BF80" s="22">
        <f>VLOOKUP(BD80,CENY!$B$11:$G$1054,3,FALSE)</f>
        <v>20</v>
      </c>
      <c r="BG80" s="22"/>
      <c r="BH80" s="23">
        <f>AY51</f>
        <v>0</v>
      </c>
      <c r="BI80" s="326">
        <f t="shared" si="6"/>
        <v>0</v>
      </c>
      <c r="BJ80" s="95">
        <f>VLOOKUP(BD80,CENY!$B$11:$M$2025,12,FALSE)</f>
        <v>224.26065</v>
      </c>
      <c r="BK80" s="95">
        <f t="shared" si="7"/>
        <v>0</v>
      </c>
    </row>
    <row r="81" spans="1:63" ht="14.4" customHeight="1">
      <c r="A81" s="577"/>
      <c r="O81" s="575">
        <f>O85*O84</f>
        <v>0</v>
      </c>
      <c r="P81" s="575"/>
      <c r="Q81" s="575">
        <f>Q85*Q84</f>
        <v>0</v>
      </c>
      <c r="R81" s="575"/>
      <c r="S81" s="575">
        <f>S85*S84</f>
        <v>0</v>
      </c>
      <c r="T81" s="575"/>
      <c r="U81" s="575">
        <f>U85*U84</f>
        <v>0</v>
      </c>
      <c r="V81" s="575"/>
      <c r="W81" s="575">
        <f>W85*W84</f>
        <v>0</v>
      </c>
      <c r="X81" s="575"/>
      <c r="Y81" s="575">
        <f>Y85*Y84</f>
        <v>0</v>
      </c>
      <c r="Z81" s="575"/>
      <c r="AA81" s="575">
        <f>AA85*AA84</f>
        <v>0</v>
      </c>
      <c r="AB81" s="575"/>
      <c r="AC81" s="575">
        <f>AC85*AC84</f>
        <v>0</v>
      </c>
      <c r="AD81" s="575"/>
      <c r="AE81" s="575">
        <f>AE85*AE84</f>
        <v>0</v>
      </c>
      <c r="AF81" s="575"/>
      <c r="AG81" s="575">
        <f>AG85*AG84</f>
        <v>0</v>
      </c>
      <c r="AH81" s="575"/>
      <c r="AI81" s="575">
        <f>AI85*AI84</f>
        <v>0</v>
      </c>
      <c r="AJ81" s="575"/>
      <c r="AK81" s="577"/>
      <c r="AL81" s="577"/>
      <c r="AU81" s="319"/>
      <c r="AV81" s="21"/>
      <c r="AW81" s="22"/>
      <c r="AX81" s="22"/>
      <c r="AY81" s="23"/>
      <c r="AZ81" s="326" t="str">
        <f t="shared" si="5"/>
        <v/>
      </c>
      <c r="BA81" s="95"/>
      <c r="BB81" s="95" t="str">
        <f t="shared" si="4"/>
        <v/>
      </c>
      <c r="BD81" s="319">
        <f>OBJ!B300</f>
        <v>9256947</v>
      </c>
      <c r="BE81" s="21" t="str">
        <f>VLOOKUP(BD81,CENY!$B$11:$G$1054,2,FALSE)</f>
        <v>Quadro You(S) 300/SiSy 10kg; EB21; pravý</v>
      </c>
      <c r="BF81" s="22">
        <f>VLOOKUP(BD81,CENY!$B$11:$G$1054,3,FALSE)</f>
        <v>20</v>
      </c>
      <c r="BG81" s="22"/>
      <c r="BH81" s="23">
        <f>AY51</f>
        <v>0</v>
      </c>
      <c r="BI81" s="326">
        <f t="shared" si="6"/>
        <v>0</v>
      </c>
      <c r="BJ81" s="95">
        <f>VLOOKUP(BD81,CENY!$B$11:$M$2025,12,FALSE)</f>
        <v>224.26065</v>
      </c>
      <c r="BK81" s="95">
        <f t="shared" si="7"/>
        <v>0</v>
      </c>
    </row>
    <row r="82" spans="1:63" ht="14.4" customHeight="1" thickBot="1">
      <c r="A82" s="577"/>
      <c r="B82" s="1" t="str">
        <f>verze!E162</f>
        <v>Čelo na vnitřní zásuvku</v>
      </c>
      <c r="O82" s="581" t="str">
        <f>verze!E163</f>
        <v>vnější rozměry zásuvkové skřínky [mm]</v>
      </c>
      <c r="P82" s="582"/>
      <c r="Q82" s="582"/>
      <c r="R82" s="582"/>
      <c r="S82" s="582"/>
      <c r="T82" s="582"/>
      <c r="U82" s="582"/>
      <c r="V82" s="582"/>
      <c r="W82" s="582"/>
      <c r="X82" s="582"/>
      <c r="Y82" s="582"/>
      <c r="Z82" s="582"/>
      <c r="AA82" s="582"/>
      <c r="AB82" s="582"/>
      <c r="AC82" s="582"/>
      <c r="AD82" s="582"/>
      <c r="AE82" s="582"/>
      <c r="AF82" s="582"/>
      <c r="AG82" s="582"/>
      <c r="AH82" s="582"/>
      <c r="AI82" s="582"/>
      <c r="AJ82" s="582"/>
      <c r="AU82" s="319"/>
      <c r="AV82" s="21"/>
      <c r="AW82" s="22"/>
      <c r="AX82" s="22"/>
      <c r="AY82" s="23"/>
      <c r="AZ82" s="326" t="str">
        <f t="shared" si="5"/>
        <v/>
      </c>
      <c r="BA82" s="95"/>
      <c r="BB82" s="95" t="str">
        <f t="shared" si="4"/>
        <v/>
      </c>
      <c r="BD82" s="319">
        <f>OBJ!B301</f>
        <v>9256950</v>
      </c>
      <c r="BE82" s="21" t="str">
        <f>VLOOKUP(BD82,CENY!$B$11:$G$1054,2,FALSE)</f>
        <v>Quadro You(S) 350/SiSy 10kg; EB21; ľavý</v>
      </c>
      <c r="BF82" s="22">
        <f>VLOOKUP(BD82,CENY!$B$11:$G$1054,3,FALSE)</f>
        <v>20</v>
      </c>
      <c r="BG82" s="22"/>
      <c r="BH82" s="23">
        <f>AY52</f>
        <v>0</v>
      </c>
      <c r="BI82" s="326">
        <f t="shared" si="6"/>
        <v>0</v>
      </c>
      <c r="BJ82" s="95">
        <f>VLOOKUP(BD82,CENY!$B$11:$M$2025,12,FALSE)</f>
        <v>229.11434</v>
      </c>
      <c r="BK82" s="95">
        <f t="shared" si="7"/>
        <v>0</v>
      </c>
    </row>
    <row r="83" spans="1:63" ht="14.4" customHeight="1" thickBot="1">
      <c r="A83" s="577"/>
      <c r="B83" s="96"/>
      <c r="C83" s="96"/>
      <c r="D83" s="96"/>
      <c r="E83" s="96"/>
      <c r="F83" s="96"/>
      <c r="G83" s="96"/>
      <c r="H83" s="72"/>
      <c r="I83" s="72"/>
      <c r="J83" s="72"/>
      <c r="K83" s="72"/>
      <c r="L83" s="72"/>
      <c r="M83" s="72"/>
      <c r="N83" s="72" t="str">
        <f>verze!E166&amp;" "</f>
        <v xml:space="preserve">Šířka korpusu: </v>
      </c>
      <c r="O83" s="535">
        <v>300</v>
      </c>
      <c r="P83" s="536"/>
      <c r="Q83" s="535">
        <v>400</v>
      </c>
      <c r="R83" s="536"/>
      <c r="S83" s="535">
        <v>450</v>
      </c>
      <c r="T83" s="536"/>
      <c r="U83" s="535">
        <v>500</v>
      </c>
      <c r="V83" s="536"/>
      <c r="W83" s="535">
        <v>550</v>
      </c>
      <c r="X83" s="536"/>
      <c r="Y83" s="535">
        <v>600</v>
      </c>
      <c r="Z83" s="536"/>
      <c r="AA83" s="535">
        <v>700</v>
      </c>
      <c r="AB83" s="536"/>
      <c r="AC83" s="535">
        <v>800</v>
      </c>
      <c r="AD83" s="536"/>
      <c r="AE83" s="535">
        <v>900</v>
      </c>
      <c r="AF83" s="584"/>
      <c r="AG83" s="535">
        <v>1000</v>
      </c>
      <c r="AH83" s="584"/>
      <c r="AI83" s="535">
        <v>1200</v>
      </c>
      <c r="AJ83" s="536"/>
      <c r="AU83" s="319">
        <f>OBJ!B194</f>
        <v>9257269</v>
      </c>
      <c r="AV83" s="21" t="str">
        <f>VLOOKUP(AU83,CENY!$B$11:$G$1054,2,FALSE)</f>
        <v>AvanY-čelo vnút.zásuvky /v101/d2000/strieb.</v>
      </c>
      <c r="AW83" s="22">
        <f>VLOOKUP(AU83,CENY!$B$11:$G$1054,3,FALSE)</f>
        <v>1</v>
      </c>
      <c r="AX83" s="22"/>
      <c r="AY83" s="23">
        <f>IF(AU87=0,0,IF(AU93&lt;2000,1,SUM(O80:AJ80)))</f>
        <v>0</v>
      </c>
      <c r="AZ83" s="326">
        <f>IF(AY83="","",IF($AW$4=1,AY83,0))</f>
        <v>0</v>
      </c>
      <c r="BA83" s="95">
        <f>VLOOKUP(AU83,CENY!$B$11:$M$2025,12,FALSE)</f>
        <v>1483.13021</v>
      </c>
      <c r="BB83" s="95">
        <f>IF(BA83="","",BA83*AY83)</f>
        <v>0</v>
      </c>
      <c r="BD83" s="319">
        <f>OBJ!B302</f>
        <v>9256951</v>
      </c>
      <c r="BE83" s="21" t="str">
        <f>VLOOKUP(BD83,CENY!$B$11:$G$1054,2,FALSE)</f>
        <v>Quadro You(S) 350/SiSy 10kg; EB21; pravý</v>
      </c>
      <c r="BF83" s="22">
        <f>VLOOKUP(BD83,CENY!$B$11:$G$1054,3,FALSE)</f>
        <v>20</v>
      </c>
      <c r="BG83" s="22"/>
      <c r="BH83" s="23">
        <f>AY52</f>
        <v>0</v>
      </c>
      <c r="BI83" s="326">
        <f t="shared" si="6"/>
        <v>0</v>
      </c>
      <c r="BJ83" s="95">
        <f>VLOOKUP(BD83,CENY!$B$11:$M$2025,12,FALSE)</f>
        <v>229.11434</v>
      </c>
      <c r="BK83" s="95">
        <f t="shared" si="7"/>
        <v>0</v>
      </c>
    </row>
    <row r="84" spans="1:63" ht="14.4" customHeight="1" thickBot="1">
      <c r="A84" s="577"/>
      <c r="B84" s="158" t="str">
        <f>" "&amp;verze!E167</f>
        <v xml:space="preserve"> ALU čelo</v>
      </c>
      <c r="C84" s="158"/>
      <c r="D84" s="158"/>
      <c r="E84" s="158"/>
      <c r="F84" s="158"/>
      <c r="G84" s="158"/>
      <c r="H84" s="158"/>
      <c r="I84" s="158"/>
      <c r="J84" s="158"/>
      <c r="K84" s="158"/>
      <c r="L84" s="158"/>
      <c r="M84" s="523"/>
      <c r="N84" s="546"/>
      <c r="O84" s="578"/>
      <c r="P84" s="579"/>
      <c r="Q84" s="578"/>
      <c r="R84" s="579"/>
      <c r="S84" s="578"/>
      <c r="T84" s="579"/>
      <c r="U84" s="578"/>
      <c r="V84" s="579"/>
      <c r="W84" s="578"/>
      <c r="X84" s="579"/>
      <c r="Y84" s="578"/>
      <c r="Z84" s="579"/>
      <c r="AA84" s="578"/>
      <c r="AB84" s="579"/>
      <c r="AC84" s="578"/>
      <c r="AD84" s="579"/>
      <c r="AE84" s="578"/>
      <c r="AF84" s="579"/>
      <c r="AG84" s="578"/>
      <c r="AH84" s="579"/>
      <c r="AI84" s="578"/>
      <c r="AJ84" s="583"/>
      <c r="AU84" s="319">
        <f>OBJ!B198</f>
        <v>9257611</v>
      </c>
      <c r="AV84" s="21" t="str">
        <f>VLOOKUP(AU84,CENY!$B$11:$G$1054,2,FALSE)</f>
        <v>AvanY-spojky čela vnút.zás./v101/strieb.</v>
      </c>
      <c r="AW84" s="22">
        <f>VLOOKUP(AU84,CENY!$B$11:$G$1054,3,FALSE)</f>
        <v>1</v>
      </c>
      <c r="AX84" s="22"/>
      <c r="AY84" s="23">
        <f>1*(+SUM(O19:T19)+SUM(O20:AD20)+SUM(W22:AF22)+SUM(O27:T27)+SUM(O28:AD28)+SUM(O30:AD30))</f>
        <v>0</v>
      </c>
      <c r="AZ84" s="326">
        <f>IF(AY84="","",IF($AW$4=1,AY84,0))</f>
        <v>0</v>
      </c>
      <c r="BA84" s="95">
        <f>VLOOKUP(AU84,CENY!$B$11:$M$2025,12,FALSE)</f>
        <v>97.260310000000004</v>
      </c>
      <c r="BB84" s="95">
        <f>IF(BA84="","",BA84*AY84)</f>
        <v>0</v>
      </c>
      <c r="BD84" s="319"/>
      <c r="BE84" s="21"/>
      <c r="BF84" s="22"/>
      <c r="BG84" s="22"/>
      <c r="BH84" s="23"/>
      <c r="BI84" s="326" t="str">
        <f t="shared" si="6"/>
        <v/>
      </c>
      <c r="BJ84" s="95"/>
      <c r="BK84" s="95" t="str">
        <f t="shared" si="7"/>
        <v/>
      </c>
    </row>
    <row r="85" spans="1:63" ht="14.4" customHeight="1">
      <c r="A85" s="577"/>
      <c r="O85" s="580">
        <f>O83-2*FORM!$AM$24-12</f>
        <v>252</v>
      </c>
      <c r="P85" s="580"/>
      <c r="Q85" s="580">
        <f>Q83-2*FORM!$AM$24-12</f>
        <v>352</v>
      </c>
      <c r="R85" s="580"/>
      <c r="S85" s="580">
        <f>S83-2*FORM!$AM$24-12</f>
        <v>402</v>
      </c>
      <c r="T85" s="580"/>
      <c r="U85" s="580">
        <f>U83-2*FORM!$AM$24-12</f>
        <v>452</v>
      </c>
      <c r="V85" s="580"/>
      <c r="W85" s="580">
        <f>W83-2*FORM!$AM$24-12</f>
        <v>502</v>
      </c>
      <c r="X85" s="580"/>
      <c r="Y85" s="580">
        <f>Y83-2*FORM!$AM$24-12</f>
        <v>552</v>
      </c>
      <c r="Z85" s="580"/>
      <c r="AA85" s="580">
        <f>AA83-2*FORM!$AM$24-12</f>
        <v>652</v>
      </c>
      <c r="AB85" s="580"/>
      <c r="AC85" s="580">
        <f>AC83-2*FORM!$AM$24-12</f>
        <v>752</v>
      </c>
      <c r="AD85" s="580"/>
      <c r="AE85" s="580">
        <f>AE83-2*FORM!$AM$24-12</f>
        <v>852</v>
      </c>
      <c r="AF85" s="580"/>
      <c r="AG85" s="580">
        <f>AG83-2*FORM!$AM$24-12</f>
        <v>952</v>
      </c>
      <c r="AH85" s="580"/>
      <c r="AI85" s="580">
        <f>AI83-2*FORM!$AM$24-12</f>
        <v>1152</v>
      </c>
      <c r="AJ85" s="580"/>
      <c r="AU85" s="319"/>
      <c r="AV85" s="21"/>
      <c r="AW85" s="22"/>
      <c r="AX85" s="22"/>
      <c r="AY85" s="23"/>
      <c r="AZ85" s="326" t="str">
        <f t="shared" si="5"/>
        <v/>
      </c>
      <c r="BA85" s="95"/>
      <c r="BB85" s="95" t="str">
        <f t="shared" si="4"/>
        <v/>
      </c>
      <c r="BD85" s="319">
        <f>OBJ!B312</f>
        <v>9256854</v>
      </c>
      <c r="BE85" s="21" t="str">
        <f>VLOOKUP(BD85,CENY!$B$11:$G$1054,2,FALSE)</f>
        <v>Quadro You(M) 270/SiSy 20kg; EB21; ľavý</v>
      </c>
      <c r="BF85" s="22">
        <f>VLOOKUP(BD85,CENY!$B$11:$G$1054,3,FALSE)</f>
        <v>20</v>
      </c>
      <c r="BG85" s="22"/>
      <c r="BH85" s="23">
        <f>AY54</f>
        <v>0</v>
      </c>
      <c r="BI85" s="326">
        <f t="shared" si="6"/>
        <v>0</v>
      </c>
      <c r="BJ85" s="95">
        <f>VLOOKUP(BD85,CENY!$B$11:$M$2025,12,FALSE)</f>
        <v>223.77942999999999</v>
      </c>
      <c r="BK85" s="95">
        <f t="shared" si="7"/>
        <v>0</v>
      </c>
    </row>
    <row r="86" spans="1:63" ht="14.4" customHeight="1">
      <c r="A86" s="577"/>
      <c r="AR86" s="157" t="str">
        <f>IF(AU89=0,verze!E169&amp;" "&amp;AU87&amp;" "&amp;verze!E170,"")</f>
        <v>Je potřebné vybrat 0 ks vnitřních čel.</v>
      </c>
      <c r="AU86" s="319"/>
      <c r="AV86" s="21"/>
      <c r="AW86" s="22"/>
      <c r="AX86" s="22"/>
      <c r="AY86" s="23"/>
      <c r="AZ86" s="326" t="str">
        <f t="shared" si="5"/>
        <v/>
      </c>
      <c r="BA86" s="95"/>
      <c r="BB86" s="95" t="str">
        <f t="shared" si="4"/>
        <v/>
      </c>
      <c r="BD86" s="319">
        <f>OBJ!B313</f>
        <v>9256855</v>
      </c>
      <c r="BE86" s="21" t="str">
        <f>VLOOKUP(BD86,CENY!$B$11:$G$1054,2,FALSE)</f>
        <v>Quadro You(M) 270/SiSy 20kg; EB21; pravý</v>
      </c>
      <c r="BF86" s="22">
        <f>VLOOKUP(BD86,CENY!$B$11:$G$1054,3,FALSE)</f>
        <v>20</v>
      </c>
      <c r="BG86" s="22"/>
      <c r="BH86" s="23">
        <f>AY54</f>
        <v>0</v>
      </c>
      <c r="BI86" s="326">
        <f t="shared" si="6"/>
        <v>0</v>
      </c>
      <c r="BJ86" s="95">
        <f>VLOOKUP(BD86,CENY!$B$11:$M$2025,12,FALSE)</f>
        <v>223.77942999999999</v>
      </c>
      <c r="BK86" s="95">
        <f t="shared" si="7"/>
        <v>0</v>
      </c>
    </row>
    <row r="87" spans="1:63" ht="14.4" customHeight="1">
      <c r="A87" s="577"/>
      <c r="AR87" s="332" t="str">
        <f>IF(AU89=0,"",IF(AU87=AU89,verze!E174,IF(AU90&gt;0,verze!E171&amp;" "&amp;AU90&amp;" "&amp;verze!E170,verze!E172&amp;" "&amp;AU91&amp;" "&amp;verze!E173)))</f>
        <v/>
      </c>
      <c r="AU87" s="330">
        <f>1*(+SUM(O19:T19)+SUM(O20:AD20)+SUM(W22:AF22)+SUM(O27:T27)+SUM(O28:AD28)+SUM(O30:AD30))</f>
        <v>0</v>
      </c>
      <c r="AV87" s="329" t="s">
        <v>356</v>
      </c>
      <c r="AW87" s="22"/>
      <c r="AX87" s="22"/>
      <c r="AY87" s="23"/>
      <c r="AZ87" s="326" t="str">
        <f t="shared" si="5"/>
        <v/>
      </c>
      <c r="BA87" s="95"/>
      <c r="BB87" s="95" t="str">
        <f t="shared" si="4"/>
        <v/>
      </c>
      <c r="BD87" s="319">
        <f>OBJ!B314</f>
        <v>9256856</v>
      </c>
      <c r="BE87" s="21" t="str">
        <f>VLOOKUP(BD87,CENY!$B$11:$G$1054,2,FALSE)</f>
        <v>Quadro You(M) 300/SiSy 20kg; EB21; ľavý</v>
      </c>
      <c r="BF87" s="22">
        <f>VLOOKUP(BD87,CENY!$B$11:$G$1054,3,FALSE)</f>
        <v>20</v>
      </c>
      <c r="BG87" s="22"/>
      <c r="BH87" s="23">
        <f>AY55</f>
        <v>0</v>
      </c>
      <c r="BI87" s="326">
        <f t="shared" si="6"/>
        <v>0</v>
      </c>
      <c r="BJ87" s="95">
        <f>VLOOKUP(BD87,CENY!$B$11:$M$2025,12,FALSE)</f>
        <v>224.26065</v>
      </c>
      <c r="BK87" s="95">
        <f t="shared" si="7"/>
        <v>0</v>
      </c>
    </row>
    <row r="88" spans="1:63" ht="14.4" customHeight="1">
      <c r="A88" s="577"/>
      <c r="AU88" s="20"/>
      <c r="AV88" s="21"/>
      <c r="AW88" s="22"/>
      <c r="AX88" s="22"/>
      <c r="AY88" s="23"/>
      <c r="AZ88" s="326" t="str">
        <f t="shared" si="5"/>
        <v/>
      </c>
      <c r="BA88" s="95"/>
      <c r="BB88" s="95" t="str">
        <f t="shared" si="4"/>
        <v/>
      </c>
      <c r="BD88" s="319">
        <f>OBJ!B315</f>
        <v>9256857</v>
      </c>
      <c r="BE88" s="21" t="str">
        <f>VLOOKUP(BD88,CENY!$B$11:$G$1054,2,FALSE)</f>
        <v>Quadro You(M) 300/SiSy 20kg; EB21; pravý</v>
      </c>
      <c r="BF88" s="22">
        <f>VLOOKUP(BD88,CENY!$B$11:$G$1054,3,FALSE)</f>
        <v>20</v>
      </c>
      <c r="BG88" s="22"/>
      <c r="BH88" s="23">
        <f>AY55</f>
        <v>0</v>
      </c>
      <c r="BI88" s="326">
        <f t="shared" si="6"/>
        <v>0</v>
      </c>
      <c r="BJ88" s="95">
        <f>VLOOKUP(BD88,CENY!$B$11:$M$2025,12,FALSE)</f>
        <v>224.26065</v>
      </c>
      <c r="BK88" s="95">
        <f t="shared" si="7"/>
        <v>0</v>
      </c>
    </row>
    <row r="89" spans="1:63" ht="14.4" customHeight="1">
      <c r="A89" s="577"/>
      <c r="AU89" s="331">
        <f>SUM(O84:AJ84)</f>
        <v>0</v>
      </c>
      <c r="AV89" s="21" t="s">
        <v>357</v>
      </c>
      <c r="AW89" s="22"/>
      <c r="AX89" s="22"/>
      <c r="AY89" s="23"/>
      <c r="AZ89" s="326" t="str">
        <f t="shared" si="5"/>
        <v/>
      </c>
      <c r="BA89" s="95"/>
      <c r="BB89" s="95" t="str">
        <f t="shared" si="4"/>
        <v/>
      </c>
      <c r="BD89" s="319">
        <f>OBJ!B316</f>
        <v>9256860</v>
      </c>
      <c r="BE89" s="21" t="str">
        <f>VLOOKUP(BD89,CENY!$B$11:$G$1054,2,FALSE)</f>
        <v>Quadro You(M) 350/SiSy 25kg; EB21; ľavý</v>
      </c>
      <c r="BF89" s="22">
        <f>VLOOKUP(BD89,CENY!$B$11:$G$1054,3,FALSE)</f>
        <v>20</v>
      </c>
      <c r="BG89" s="22"/>
      <c r="BH89" s="23">
        <f>AY56</f>
        <v>0</v>
      </c>
      <c r="BI89" s="326">
        <f t="shared" si="6"/>
        <v>0</v>
      </c>
      <c r="BJ89" s="95">
        <f>VLOOKUP(BD89,CENY!$B$11:$M$2025,12,FALSE)</f>
        <v>229.11434</v>
      </c>
      <c r="BK89" s="95">
        <f t="shared" si="7"/>
        <v>0</v>
      </c>
    </row>
    <row r="90" spans="1:63" ht="14.4" customHeight="1">
      <c r="A90" s="577"/>
      <c r="AU90" s="22">
        <f>AU87-AU89</f>
        <v>0</v>
      </c>
      <c r="AV90" s="21"/>
      <c r="AW90" s="22"/>
      <c r="AX90" s="22"/>
      <c r="AY90" s="23"/>
      <c r="AZ90" s="326" t="str">
        <f t="shared" si="5"/>
        <v/>
      </c>
      <c r="BA90" s="95"/>
      <c r="BB90" s="95" t="str">
        <f t="shared" si="4"/>
        <v/>
      </c>
      <c r="BD90" s="319">
        <f>OBJ!B317</f>
        <v>9256861</v>
      </c>
      <c r="BE90" s="21" t="str">
        <f>VLOOKUP(BD90,CENY!$B$11:$G$1054,2,FALSE)</f>
        <v>Quadro You(M) 350/SiSy 25kg; EB21; pravý</v>
      </c>
      <c r="BF90" s="22">
        <f>VLOOKUP(BD90,CENY!$B$11:$G$1054,3,FALSE)</f>
        <v>20</v>
      </c>
      <c r="BG90" s="22"/>
      <c r="BH90" s="23">
        <f>AY56</f>
        <v>0</v>
      </c>
      <c r="BI90" s="326">
        <f t="shared" si="6"/>
        <v>0</v>
      </c>
      <c r="BJ90" s="95">
        <f>VLOOKUP(BD90,CENY!$B$11:$M$2025,12,FALSE)</f>
        <v>229.11434</v>
      </c>
      <c r="BK90" s="95">
        <f t="shared" si="7"/>
        <v>0</v>
      </c>
    </row>
    <row r="91" spans="1:63" ht="14.4" customHeight="1">
      <c r="A91" s="577"/>
      <c r="AU91" s="22">
        <f>ABS(AU90)</f>
        <v>0</v>
      </c>
      <c r="AV91" s="21"/>
      <c r="AW91" s="22"/>
      <c r="AX91" s="22"/>
      <c r="AY91" s="23"/>
      <c r="AZ91" s="326" t="str">
        <f t="shared" si="5"/>
        <v/>
      </c>
      <c r="BA91" s="95"/>
      <c r="BB91" s="95" t="str">
        <f t="shared" si="4"/>
        <v/>
      </c>
      <c r="BD91" s="319">
        <f>OBJ!B318</f>
        <v>9256864</v>
      </c>
      <c r="BE91" s="21" t="str">
        <f>VLOOKUP(BD91,CENY!$B$11:$G$1054,2,FALSE)</f>
        <v>Quadro You(M) 400/SiSy 30kg; EB21; ľavý</v>
      </c>
      <c r="BF91" s="22">
        <f>VLOOKUP(BD91,CENY!$B$11:$G$1054,3,FALSE)</f>
        <v>20</v>
      </c>
      <c r="BG91" s="22"/>
      <c r="BH91" s="23">
        <f>AY57</f>
        <v>0</v>
      </c>
      <c r="BI91" s="326">
        <f t="shared" si="6"/>
        <v>0</v>
      </c>
      <c r="BJ91" s="95">
        <f>VLOOKUP(BD91,CENY!$B$11:$M$2025,12,FALSE)</f>
        <v>233.96566000000001</v>
      </c>
      <c r="BK91" s="95">
        <f t="shared" si="7"/>
        <v>0</v>
      </c>
    </row>
    <row r="92" spans="1:63" ht="14.4" customHeight="1">
      <c r="A92" s="577"/>
      <c r="AU92" s="20"/>
      <c r="AV92" s="21"/>
      <c r="AW92" s="22"/>
      <c r="AX92" s="22"/>
      <c r="AY92" s="23"/>
      <c r="AZ92" s="326" t="str">
        <f t="shared" si="5"/>
        <v/>
      </c>
      <c r="BA92" s="95"/>
      <c r="BB92" s="95" t="str">
        <f t="shared" si="4"/>
        <v/>
      </c>
      <c r="BD92" s="319">
        <f>OBJ!B319</f>
        <v>9256865</v>
      </c>
      <c r="BE92" s="21" t="str">
        <f>VLOOKUP(BD92,CENY!$B$11:$G$1054,2,FALSE)</f>
        <v>Quadro You(M) 400/SiSy 30kg; EB21; pravý</v>
      </c>
      <c r="BF92" s="22">
        <f>VLOOKUP(BD92,CENY!$B$11:$G$1054,3,FALSE)</f>
        <v>20</v>
      </c>
      <c r="BG92" s="22"/>
      <c r="BH92" s="23">
        <f>AY57</f>
        <v>0</v>
      </c>
      <c r="BI92" s="326">
        <f t="shared" si="6"/>
        <v>0</v>
      </c>
      <c r="BJ92" s="95">
        <f>VLOOKUP(BD92,CENY!$B$11:$M$2025,12,FALSE)</f>
        <v>233.96566000000001</v>
      </c>
      <c r="BK92" s="95">
        <f t="shared" si="7"/>
        <v>0</v>
      </c>
    </row>
    <row r="93" spans="1:63" ht="14.4" customHeight="1">
      <c r="A93" s="577"/>
      <c r="AU93" s="22">
        <f>(AU89-1)*4+SUM(O81:AJ81)</f>
        <v>-4</v>
      </c>
      <c r="AV93" s="21" t="s">
        <v>358</v>
      </c>
      <c r="AW93" s="22"/>
      <c r="AX93" s="22"/>
      <c r="AY93" s="23"/>
      <c r="AZ93" s="326" t="str">
        <f t="shared" si="5"/>
        <v/>
      </c>
      <c r="BA93" s="95"/>
      <c r="BB93" s="95" t="str">
        <f t="shared" si="4"/>
        <v/>
      </c>
      <c r="BD93" s="319">
        <f>OBJ!B320</f>
        <v>9256868</v>
      </c>
      <c r="BE93" s="21" t="str">
        <f>VLOOKUP(BD93,CENY!$B$11:$G$1054,2,FALSE)</f>
        <v>Quadro You(M) 450/SiSy 30kg; EB21; ľavý</v>
      </c>
      <c r="BF93" s="22">
        <f>VLOOKUP(BD93,CENY!$B$11:$G$1054,3,FALSE)</f>
        <v>20</v>
      </c>
      <c r="BG93" s="22"/>
      <c r="BH93" s="23">
        <f>AY58</f>
        <v>0</v>
      </c>
      <c r="BI93" s="326">
        <f t="shared" si="6"/>
        <v>0</v>
      </c>
      <c r="BJ93" s="95">
        <f>VLOOKUP(BD93,CENY!$B$11:$M$2025,12,FALSE)</f>
        <v>238.81201999999999</v>
      </c>
      <c r="BK93" s="95">
        <f t="shared" si="7"/>
        <v>0</v>
      </c>
    </row>
    <row r="94" spans="1:63" ht="14.4" customHeight="1">
      <c r="A94" s="577"/>
      <c r="AU94" s="20"/>
      <c r="AV94" s="21"/>
      <c r="AW94" s="22"/>
      <c r="AX94" s="22"/>
      <c r="AY94" s="23"/>
      <c r="AZ94" s="326" t="str">
        <f t="shared" si="5"/>
        <v/>
      </c>
      <c r="BA94" s="95"/>
      <c r="BB94" s="95" t="str">
        <f t="shared" si="4"/>
        <v/>
      </c>
      <c r="BD94" s="319">
        <f>OBJ!B321</f>
        <v>9256869</v>
      </c>
      <c r="BE94" s="21" t="str">
        <f>VLOOKUP(BD94,CENY!$B$11:$G$1054,2,FALSE)</f>
        <v>Quadro You(M) 450/SiSy 30kg; EB21; pravý</v>
      </c>
      <c r="BF94" s="22">
        <f>VLOOKUP(BD94,CENY!$B$11:$G$1054,3,FALSE)</f>
        <v>20</v>
      </c>
      <c r="BG94" s="22"/>
      <c r="BH94" s="23">
        <f>AY58</f>
        <v>0</v>
      </c>
      <c r="BI94" s="326">
        <f t="shared" si="6"/>
        <v>0</v>
      </c>
      <c r="BJ94" s="95">
        <f>VLOOKUP(BD94,CENY!$B$11:$M$2025,12,FALSE)</f>
        <v>238.81201999999999</v>
      </c>
      <c r="BK94" s="95">
        <f t="shared" si="7"/>
        <v>0</v>
      </c>
    </row>
    <row r="95" spans="1:63" ht="14.4" customHeight="1">
      <c r="A95" s="577"/>
      <c r="AU95" s="20"/>
      <c r="AV95" s="21"/>
      <c r="AW95" s="22"/>
      <c r="AX95" s="22"/>
      <c r="AY95" s="23"/>
      <c r="AZ95" s="326" t="str">
        <f t="shared" si="5"/>
        <v/>
      </c>
      <c r="BA95" s="95"/>
      <c r="BB95" s="95" t="str">
        <f t="shared" si="4"/>
        <v/>
      </c>
      <c r="BD95" s="319">
        <f>OBJ!B322</f>
        <v>9256872</v>
      </c>
      <c r="BE95" s="21" t="str">
        <f>VLOOKUP(BD95,CENY!$B$11:$G$1054,2,FALSE)</f>
        <v>Quadro You(M) 500/SiSy 30kg; EB21; ľavý</v>
      </c>
      <c r="BF95" s="22">
        <f>VLOOKUP(BD95,CENY!$B$11:$G$1054,3,FALSE)</f>
        <v>20</v>
      </c>
      <c r="BG95" s="22"/>
      <c r="BH95" s="23">
        <f>AY59</f>
        <v>0</v>
      </c>
      <c r="BI95" s="326">
        <f t="shared" si="6"/>
        <v>0</v>
      </c>
      <c r="BJ95" s="95">
        <f>VLOOKUP(BD95,CENY!$B$11:$M$2025,12,FALSE)</f>
        <v>237.18776</v>
      </c>
      <c r="BK95" s="95">
        <f t="shared" si="7"/>
        <v>0</v>
      </c>
    </row>
    <row r="96" spans="1:63" ht="14.4" customHeight="1">
      <c r="A96" s="577"/>
      <c r="AU96" s="20"/>
      <c r="AV96" s="21"/>
      <c r="AW96" s="22"/>
      <c r="AX96" s="22"/>
      <c r="AY96" s="23"/>
      <c r="AZ96" s="326" t="str">
        <f t="shared" si="5"/>
        <v/>
      </c>
      <c r="BA96" s="95"/>
      <c r="BB96" s="95" t="str">
        <f t="shared" si="4"/>
        <v/>
      </c>
      <c r="BD96" s="319">
        <f>OBJ!B323</f>
        <v>9256873</v>
      </c>
      <c r="BE96" s="21" t="str">
        <f>VLOOKUP(BD96,CENY!$B$11:$G$1054,2,FALSE)</f>
        <v>Quadro You(M) 500/SiSy 30kg; EB21; pravý</v>
      </c>
      <c r="BF96" s="22">
        <f>VLOOKUP(BD96,CENY!$B$11:$G$1054,3,FALSE)</f>
        <v>20</v>
      </c>
      <c r="BG96" s="22"/>
      <c r="BH96" s="23">
        <f>AY59</f>
        <v>0</v>
      </c>
      <c r="BI96" s="326">
        <f t="shared" si="6"/>
        <v>0</v>
      </c>
      <c r="BJ96" s="95">
        <f>VLOOKUP(BD96,CENY!$B$11:$M$2025,12,FALSE)</f>
        <v>237.18776</v>
      </c>
      <c r="BK96" s="95">
        <f t="shared" si="7"/>
        <v>0</v>
      </c>
    </row>
    <row r="97" spans="1:63" ht="14.4" customHeight="1">
      <c r="A97" s="577"/>
      <c r="AU97" s="20"/>
      <c r="AV97" s="21"/>
      <c r="AW97" s="22"/>
      <c r="AX97" s="22"/>
      <c r="AY97" s="23"/>
      <c r="AZ97" s="326" t="str">
        <f t="shared" si="5"/>
        <v/>
      </c>
      <c r="BA97" s="95"/>
      <c r="BB97" s="95" t="str">
        <f t="shared" si="4"/>
        <v/>
      </c>
      <c r="BD97" s="319">
        <f>OBJ!B324</f>
        <v>9256876</v>
      </c>
      <c r="BE97" s="21" t="str">
        <f>VLOOKUP(BD97,CENY!$B$11:$G$1054,2,FALSE)</f>
        <v>Quadro You(M) 550/SiSy 30kg; EB21; ľavý</v>
      </c>
      <c r="BF97" s="22">
        <f>VLOOKUP(BD97,CENY!$B$11:$G$1054,3,FALSE)</f>
        <v>20</v>
      </c>
      <c r="BG97" s="22"/>
      <c r="BH97" s="23">
        <f>AY60</f>
        <v>0</v>
      </c>
      <c r="BI97" s="326">
        <f t="shared" si="6"/>
        <v>0</v>
      </c>
      <c r="BJ97" s="95">
        <f>VLOOKUP(BD97,CENY!$B$11:$M$2025,12,FALSE)</f>
        <v>241.90996999999999</v>
      </c>
      <c r="BK97" s="95">
        <f t="shared" si="7"/>
        <v>0</v>
      </c>
    </row>
    <row r="98" spans="1:63" ht="14.4" customHeight="1">
      <c r="A98" s="577"/>
      <c r="AU98" s="20"/>
      <c r="AV98" s="21"/>
      <c r="AW98" s="22"/>
      <c r="AX98" s="22"/>
      <c r="AY98" s="23"/>
      <c r="AZ98" s="326" t="str">
        <f t="shared" si="5"/>
        <v/>
      </c>
      <c r="BA98" s="95"/>
      <c r="BB98" s="95" t="str">
        <f t="shared" si="4"/>
        <v/>
      </c>
      <c r="BD98" s="319">
        <f>OBJ!B325</f>
        <v>9256877</v>
      </c>
      <c r="BE98" s="21" t="str">
        <f>VLOOKUP(BD98,CENY!$B$11:$G$1054,2,FALSE)</f>
        <v>Quadro You(M) 550/SiSy 30kg; EB21; pravý</v>
      </c>
      <c r="BF98" s="22">
        <f>VLOOKUP(BD98,CENY!$B$11:$G$1054,3,FALSE)</f>
        <v>20</v>
      </c>
      <c r="BG98" s="22"/>
      <c r="BH98" s="23">
        <f>AY60</f>
        <v>0</v>
      </c>
      <c r="BI98" s="326">
        <f t="shared" si="6"/>
        <v>0</v>
      </c>
      <c r="BJ98" s="95">
        <f>VLOOKUP(BD98,CENY!$B$11:$M$2025,12,FALSE)</f>
        <v>248.51953</v>
      </c>
      <c r="BK98" s="95">
        <f t="shared" si="7"/>
        <v>0</v>
      </c>
    </row>
    <row r="99" spans="1:63" ht="14.4" customHeight="1">
      <c r="A99" s="577"/>
      <c r="AU99" s="20"/>
      <c r="AV99" s="21"/>
      <c r="AW99" s="22"/>
      <c r="AX99" s="22"/>
      <c r="AY99" s="23"/>
      <c r="AZ99" s="326" t="str">
        <f t="shared" si="5"/>
        <v/>
      </c>
      <c r="BA99" s="95"/>
      <c r="BB99" s="95" t="str">
        <f t="shared" si="4"/>
        <v/>
      </c>
      <c r="BD99" s="319">
        <f>OBJ!B326</f>
        <v>9256880</v>
      </c>
      <c r="BE99" s="21" t="str">
        <f>VLOOKUP(BD99,CENY!$B$11:$G$1054,2,FALSE)</f>
        <v>Quadro You(M) 600/SiSy 25kg; EB21; ľavý</v>
      </c>
      <c r="BF99" s="22">
        <f>VLOOKUP(BD99,CENY!$B$11:$G$1054,3,FALSE)</f>
        <v>20</v>
      </c>
      <c r="BG99" s="22"/>
      <c r="BH99" s="23">
        <f>AY61</f>
        <v>0</v>
      </c>
      <c r="BI99" s="326">
        <f t="shared" si="6"/>
        <v>0</v>
      </c>
      <c r="BJ99" s="95">
        <f>VLOOKUP(BD99,CENY!$B$11:$M$2025,12,FALSE)</f>
        <v>253.36837</v>
      </c>
      <c r="BK99" s="95">
        <f t="shared" si="7"/>
        <v>0</v>
      </c>
    </row>
    <row r="100" spans="1:63" ht="14.4" customHeight="1">
      <c r="A100" s="577"/>
      <c r="AU100" s="20"/>
      <c r="AV100" s="21"/>
      <c r="AW100" s="22"/>
      <c r="AX100" s="22"/>
      <c r="AY100" s="23"/>
      <c r="AZ100" s="326" t="str">
        <f t="shared" si="5"/>
        <v/>
      </c>
      <c r="BA100" s="95"/>
      <c r="BB100" s="95" t="str">
        <f t="shared" si="4"/>
        <v/>
      </c>
      <c r="BD100" s="319">
        <f>OBJ!B327</f>
        <v>9256881</v>
      </c>
      <c r="BE100" s="21" t="str">
        <f>VLOOKUP(BD100,CENY!$B$11:$G$1054,2,FALSE)</f>
        <v>Quadro You(M) 600/SiSy 25kg; EB21; pravý</v>
      </c>
      <c r="BF100" s="22">
        <f>VLOOKUP(BD100,CENY!$B$11:$G$1054,3,FALSE)</f>
        <v>20</v>
      </c>
      <c r="BG100" s="22"/>
      <c r="BH100" s="23">
        <f>AY61</f>
        <v>0</v>
      </c>
      <c r="BI100" s="326">
        <f t="shared" si="6"/>
        <v>0</v>
      </c>
      <c r="BJ100" s="95">
        <f>VLOOKUP(BD100,CENY!$B$11:$M$2025,12,FALSE)</f>
        <v>253.36837</v>
      </c>
      <c r="BK100" s="95">
        <f t="shared" si="7"/>
        <v>0</v>
      </c>
    </row>
    <row r="101" spans="1:63">
      <c r="A101" s="577"/>
      <c r="AU101" s="20"/>
      <c r="AV101" s="21"/>
      <c r="AW101" s="22"/>
      <c r="AX101" s="22"/>
      <c r="AY101" s="23"/>
      <c r="AZ101" s="326" t="str">
        <f t="shared" si="5"/>
        <v/>
      </c>
      <c r="BA101" s="95"/>
      <c r="BB101" s="95" t="str">
        <f t="shared" si="4"/>
        <v/>
      </c>
      <c r="BD101" s="319"/>
      <c r="BE101" s="21"/>
      <c r="BF101" s="22"/>
      <c r="BG101" s="22"/>
      <c r="BH101" s="23"/>
      <c r="BI101" s="326" t="str">
        <f t="shared" si="6"/>
        <v/>
      </c>
      <c r="BJ101" s="95"/>
      <c r="BK101" s="95" t="str">
        <f t="shared" si="7"/>
        <v/>
      </c>
    </row>
    <row r="102" spans="1:63">
      <c r="A102" s="577"/>
      <c r="AU102" s="20"/>
      <c r="AV102" s="21"/>
      <c r="AW102" s="22"/>
      <c r="AX102" s="22"/>
      <c r="AY102" s="23"/>
      <c r="AZ102" s="326" t="str">
        <f t="shared" si="5"/>
        <v/>
      </c>
      <c r="BA102" s="95"/>
      <c r="BB102" s="95" t="str">
        <f t="shared" si="4"/>
        <v/>
      </c>
      <c r="BD102" s="319">
        <f>OBJ!B329</f>
        <v>9257894</v>
      </c>
      <c r="BE102" s="21" t="str">
        <f>VLOOKUP(BD102,CENY!$B$11:$G$1054,2,FALSE)</f>
        <v>Quadro You - Push to open Silent; &lt;10kg</v>
      </c>
      <c r="BF102" s="22">
        <f>VLOOKUP(BD102,CENY!$B$11:$G$1054,3,FALSE)</f>
        <v>1</v>
      </c>
      <c r="BG102" s="22"/>
      <c r="BH102" s="23">
        <f>AY63</f>
        <v>0</v>
      </c>
      <c r="BI102" s="326">
        <f t="shared" si="6"/>
        <v>0</v>
      </c>
      <c r="BJ102" s="95">
        <f>VLOOKUP(BD102,CENY!$B$11:$M$2025,12,FALSE)</f>
        <v>480.50922000000003</v>
      </c>
      <c r="BK102" s="95">
        <f t="shared" si="7"/>
        <v>0</v>
      </c>
    </row>
    <row r="103" spans="1:63">
      <c r="A103" s="577"/>
      <c r="AU103" s="20"/>
      <c r="AV103" s="21"/>
      <c r="AW103" s="22"/>
      <c r="AX103" s="22"/>
      <c r="AY103" s="23"/>
      <c r="AZ103" s="326" t="str">
        <f t="shared" si="5"/>
        <v/>
      </c>
      <c r="BA103" s="95"/>
      <c r="BB103" s="95" t="str">
        <f t="shared" si="4"/>
        <v/>
      </c>
      <c r="BD103" s="319">
        <f>OBJ!B330</f>
        <v>9257895</v>
      </c>
      <c r="BE103" s="21" t="str">
        <f>VLOOKUP(BD103,CENY!$B$11:$G$1054,2,FALSE)</f>
        <v>Quadro You - Push to open Silent; 8-20kg</v>
      </c>
      <c r="BF103" s="22">
        <f>VLOOKUP(BD103,CENY!$B$11:$G$1054,3,FALSE)</f>
        <v>1</v>
      </c>
      <c r="BG103" s="22"/>
      <c r="BH103" s="23">
        <f>AY64</f>
        <v>0</v>
      </c>
      <c r="BI103" s="326">
        <f t="shared" si="6"/>
        <v>0</v>
      </c>
      <c r="BJ103" s="95">
        <f>VLOOKUP(BD103,CENY!$B$11:$M$2025,12,FALSE)</f>
        <v>480.50922000000003</v>
      </c>
      <c r="BK103" s="95">
        <f t="shared" si="7"/>
        <v>0</v>
      </c>
    </row>
    <row r="104" spans="1:63">
      <c r="A104" s="577"/>
      <c r="AU104" s="20"/>
      <c r="AV104" s="21"/>
      <c r="AW104" s="22"/>
      <c r="AX104" s="22"/>
      <c r="AY104" s="23"/>
      <c r="AZ104" s="326" t="str">
        <f t="shared" si="5"/>
        <v/>
      </c>
      <c r="BA104" s="95"/>
      <c r="BB104" s="95" t="str">
        <f t="shared" si="4"/>
        <v/>
      </c>
      <c r="BD104" s="319">
        <f>OBJ!B331</f>
        <v>9257896</v>
      </c>
      <c r="BE104" s="21" t="str">
        <f>VLOOKUP(BD104,CENY!$B$11:$G$1054,2,FALSE)</f>
        <v>Quadro You - Push to open Silent; 10-30kg</v>
      </c>
      <c r="BF104" s="22">
        <f>VLOOKUP(BD104,CENY!$B$11:$G$1054,3,FALSE)</f>
        <v>1</v>
      </c>
      <c r="BG104" s="22"/>
      <c r="BH104" s="23">
        <f>AY65</f>
        <v>0</v>
      </c>
      <c r="BI104" s="326">
        <f t="shared" si="6"/>
        <v>0</v>
      </c>
      <c r="BJ104" s="95">
        <f>VLOOKUP(BD104,CENY!$B$11:$M$2025,12,FALSE)</f>
        <v>480.50922000000003</v>
      </c>
      <c r="BK104" s="95">
        <f t="shared" si="7"/>
        <v>0</v>
      </c>
    </row>
    <row r="105" spans="1:63">
      <c r="A105" s="577"/>
      <c r="AU105" s="20"/>
      <c r="AV105" s="21"/>
      <c r="AW105" s="22"/>
      <c r="AX105" s="22"/>
      <c r="AY105" s="23"/>
      <c r="AZ105" s="326" t="str">
        <f t="shared" si="5"/>
        <v/>
      </c>
      <c r="BA105" s="95"/>
      <c r="BB105" s="95" t="str">
        <f t="shared" si="4"/>
        <v/>
      </c>
      <c r="BD105" s="319"/>
      <c r="BE105" s="21"/>
      <c r="BF105" s="22"/>
      <c r="BG105" s="22"/>
      <c r="BH105" s="23"/>
      <c r="BI105" s="326" t="str">
        <f t="shared" si="6"/>
        <v/>
      </c>
      <c r="BJ105" s="95"/>
      <c r="BK105" s="95" t="str">
        <f t="shared" si="7"/>
        <v/>
      </c>
    </row>
    <row r="106" spans="1:63">
      <c r="AU106" s="20"/>
      <c r="AV106" s="21"/>
      <c r="AW106" s="22"/>
      <c r="AX106" s="22"/>
      <c r="AY106" s="23"/>
      <c r="AZ106" s="326" t="str">
        <f t="shared" si="5"/>
        <v/>
      </c>
      <c r="BA106" s="95"/>
      <c r="BB106" s="95" t="str">
        <f t="shared" si="4"/>
        <v/>
      </c>
      <c r="BD106" s="319">
        <f>OBJ!B341</f>
        <v>9256899</v>
      </c>
      <c r="BE106" s="21" t="str">
        <f>VLOOKUP(BD106,CENY!$B$11:$G$1054,2,FALSE)</f>
        <v>Quadro You(M) 270/P2O 20kg; EB21; ľavý</v>
      </c>
      <c r="BF106" s="22">
        <f>VLOOKUP(BD106,CENY!$B$11:$G$1054,3,FALSE)</f>
        <v>20</v>
      </c>
      <c r="BG106" s="22"/>
      <c r="BH106" s="23">
        <f>AY67</f>
        <v>0</v>
      </c>
      <c r="BI106" s="326">
        <f t="shared" si="6"/>
        <v>0</v>
      </c>
      <c r="BJ106" s="95">
        <f>VLOOKUP(BD106,CENY!$B$11:$M$2025,12,FALSE)</f>
        <v>252.8922</v>
      </c>
      <c r="BK106" s="95">
        <f t="shared" si="7"/>
        <v>0</v>
      </c>
    </row>
    <row r="107" spans="1:63">
      <c r="AU107" s="20"/>
      <c r="AV107" s="21"/>
      <c r="AW107" s="22"/>
      <c r="AX107" s="22"/>
      <c r="AY107" s="23"/>
      <c r="AZ107" s="326" t="str">
        <f t="shared" si="5"/>
        <v/>
      </c>
      <c r="BA107" s="95"/>
      <c r="BB107" s="95" t="str">
        <f t="shared" si="4"/>
        <v/>
      </c>
      <c r="BD107" s="319">
        <f>OBJ!B342</f>
        <v>9256900</v>
      </c>
      <c r="BE107" s="21" t="str">
        <f>VLOOKUP(BD107,CENY!$B$11:$G$1054,2,FALSE)</f>
        <v>Quadro You(M) 270/P2O 20kg; EB21; pravý</v>
      </c>
      <c r="BF107" s="22">
        <f>VLOOKUP(BD107,CENY!$B$11:$G$1054,3,FALSE)</f>
        <v>20</v>
      </c>
      <c r="BG107" s="22"/>
      <c r="BH107" s="23">
        <f>AY67</f>
        <v>0</v>
      </c>
      <c r="BI107" s="326">
        <f t="shared" si="6"/>
        <v>0</v>
      </c>
      <c r="BJ107" s="95">
        <f>VLOOKUP(BD107,CENY!$B$11:$M$2025,12,FALSE)</f>
        <v>252.8922</v>
      </c>
      <c r="BK107" s="95">
        <f t="shared" si="7"/>
        <v>0</v>
      </c>
    </row>
    <row r="108" spans="1:63">
      <c r="AU108" s="20"/>
      <c r="AV108" s="21"/>
      <c r="AW108" s="22"/>
      <c r="AX108" s="22"/>
      <c r="AY108" s="23"/>
      <c r="AZ108" s="326" t="str">
        <f t="shared" si="5"/>
        <v/>
      </c>
      <c r="BA108" s="95"/>
      <c r="BB108" s="95" t="str">
        <f t="shared" si="4"/>
        <v/>
      </c>
      <c r="BD108" s="319">
        <f>OBJ!B343</f>
        <v>9256901</v>
      </c>
      <c r="BE108" s="21" t="str">
        <f>VLOOKUP(BD108,CENY!$B$11:$G$1054,2,FALSE)</f>
        <v>Quadro You(M) 300/P2O 20kg; EB21; ľavý</v>
      </c>
      <c r="BF108" s="22">
        <f>VLOOKUP(BD108,CENY!$B$11:$G$1054,3,FALSE)</f>
        <v>20</v>
      </c>
      <c r="BG108" s="22"/>
      <c r="BH108" s="23">
        <f>AY68</f>
        <v>0</v>
      </c>
      <c r="BI108" s="326">
        <f t="shared" si="6"/>
        <v>0</v>
      </c>
      <c r="BJ108" s="95">
        <f>VLOOKUP(BD108,CENY!$B$11:$M$2025,12,FALSE)</f>
        <v>253.36837</v>
      </c>
      <c r="BK108" s="95">
        <f t="shared" si="7"/>
        <v>0</v>
      </c>
    </row>
    <row r="109" spans="1:63">
      <c r="AU109" s="20"/>
      <c r="AV109" s="21"/>
      <c r="AW109" s="22"/>
      <c r="AX109" s="22"/>
      <c r="AY109" s="23"/>
      <c r="AZ109" s="326" t="str">
        <f t="shared" si="5"/>
        <v/>
      </c>
      <c r="BA109" s="95"/>
      <c r="BB109" s="95" t="str">
        <f t="shared" si="4"/>
        <v/>
      </c>
      <c r="BD109" s="319">
        <f>OBJ!B344</f>
        <v>9256902</v>
      </c>
      <c r="BE109" s="21" t="str">
        <f>VLOOKUP(BD109,CENY!$B$11:$G$1054,2,FALSE)</f>
        <v>Quadro You(M) 300/P2O 20kg; EB21; pravý</v>
      </c>
      <c r="BF109" s="22">
        <f>VLOOKUP(BD109,CENY!$B$11:$G$1054,3,FALSE)</f>
        <v>20</v>
      </c>
      <c r="BG109" s="22"/>
      <c r="BH109" s="23">
        <f>AY68</f>
        <v>0</v>
      </c>
      <c r="BI109" s="326">
        <f t="shared" si="6"/>
        <v>0</v>
      </c>
      <c r="BJ109" s="95">
        <f>VLOOKUP(BD109,CENY!$B$11:$M$2025,12,FALSE)</f>
        <v>253.36837</v>
      </c>
      <c r="BK109" s="95">
        <f t="shared" si="7"/>
        <v>0</v>
      </c>
    </row>
    <row r="110" spans="1:63">
      <c r="AU110" s="20"/>
      <c r="AV110" s="21"/>
      <c r="AW110" s="22"/>
      <c r="AX110" s="22"/>
      <c r="AY110" s="23"/>
      <c r="AZ110" s="326" t="str">
        <f t="shared" si="5"/>
        <v/>
      </c>
      <c r="BA110" s="95"/>
      <c r="BB110" s="95" t="str">
        <f t="shared" si="4"/>
        <v/>
      </c>
      <c r="BD110" s="319">
        <f>OBJ!B345</f>
        <v>9256905</v>
      </c>
      <c r="BE110" s="21" t="str">
        <f>VLOOKUP(BD110,CENY!$B$11:$G$1054,2,FALSE)</f>
        <v>Quadro You(M) 350/P2O 25kg; EB21; ľavý</v>
      </c>
      <c r="BF110" s="22">
        <f>VLOOKUP(BD110,CENY!$B$11:$G$1054,3,FALSE)</f>
        <v>20</v>
      </c>
      <c r="BG110" s="22"/>
      <c r="BH110" s="23">
        <f>AY69</f>
        <v>0</v>
      </c>
      <c r="BI110" s="326">
        <f t="shared" si="6"/>
        <v>0</v>
      </c>
      <c r="BJ110" s="95">
        <f>VLOOKUP(BD110,CENY!$B$11:$M$2025,12,FALSE)</f>
        <v>258.22465999999997</v>
      </c>
      <c r="BK110" s="95">
        <f t="shared" si="7"/>
        <v>0</v>
      </c>
    </row>
    <row r="111" spans="1:63">
      <c r="AU111" s="20"/>
      <c r="AV111" s="21"/>
      <c r="AW111" s="22"/>
      <c r="AX111" s="22"/>
      <c r="AY111" s="23"/>
      <c r="AZ111" s="326" t="str">
        <f t="shared" si="5"/>
        <v/>
      </c>
      <c r="BA111" s="95"/>
      <c r="BB111" s="95" t="str">
        <f t="shared" si="4"/>
        <v/>
      </c>
      <c r="BD111" s="319">
        <f>OBJ!B346</f>
        <v>9256906</v>
      </c>
      <c r="BE111" s="21" t="str">
        <f>VLOOKUP(BD111,CENY!$B$11:$G$1054,2,FALSE)</f>
        <v>Quadro You(M) 350/P2O 25kg; EB21; pravý</v>
      </c>
      <c r="BF111" s="22">
        <f>VLOOKUP(BD111,CENY!$B$11:$G$1054,3,FALSE)</f>
        <v>20</v>
      </c>
      <c r="BG111" s="22"/>
      <c r="BH111" s="23">
        <f>AY69</f>
        <v>0</v>
      </c>
      <c r="BI111" s="326">
        <f t="shared" si="6"/>
        <v>0</v>
      </c>
      <c r="BJ111" s="95">
        <f>VLOOKUP(BD111,CENY!$B$11:$M$2025,12,FALSE)</f>
        <v>258.22465999999997</v>
      </c>
      <c r="BK111" s="95">
        <f t="shared" si="7"/>
        <v>0</v>
      </c>
    </row>
    <row r="112" spans="1:63">
      <c r="AU112" s="20"/>
      <c r="AV112" s="21"/>
      <c r="AW112" s="22"/>
      <c r="AX112" s="22"/>
      <c r="AY112" s="23"/>
      <c r="AZ112" s="326" t="str">
        <f t="shared" si="5"/>
        <v/>
      </c>
      <c r="BA112" s="95"/>
      <c r="BB112" s="95" t="str">
        <f t="shared" si="4"/>
        <v/>
      </c>
      <c r="BD112" s="319">
        <f>OBJ!B347</f>
        <v>9256909</v>
      </c>
      <c r="BE112" s="21" t="str">
        <f>VLOOKUP(BD112,CENY!$B$11:$G$1054,2,FALSE)</f>
        <v>Quadro You(M) 400/P2O 30kg; EB21; ľavý</v>
      </c>
      <c r="BF112" s="22">
        <f>VLOOKUP(BD112,CENY!$B$11:$G$1054,3,FALSE)</f>
        <v>20</v>
      </c>
      <c r="BG112" s="22"/>
      <c r="BH112" s="23">
        <f>AY70</f>
        <v>0</v>
      </c>
      <c r="BI112" s="326">
        <f t="shared" si="6"/>
        <v>0</v>
      </c>
      <c r="BJ112" s="95">
        <f>VLOOKUP(BD112,CENY!$B$11:$M$2025,12,FALSE)</f>
        <v>263.07337999999999</v>
      </c>
      <c r="BK112" s="95">
        <f t="shared" si="7"/>
        <v>0</v>
      </c>
    </row>
    <row r="113" spans="47:63">
      <c r="AU113" s="20"/>
      <c r="AV113" s="21"/>
      <c r="AW113" s="22"/>
      <c r="AX113" s="22"/>
      <c r="AY113" s="23"/>
      <c r="AZ113" s="326" t="str">
        <f t="shared" si="5"/>
        <v/>
      </c>
      <c r="BA113" s="95"/>
      <c r="BB113" s="95" t="str">
        <f t="shared" si="4"/>
        <v/>
      </c>
      <c r="BD113" s="319">
        <f>OBJ!B348</f>
        <v>9256910</v>
      </c>
      <c r="BE113" s="21" t="str">
        <f>VLOOKUP(BD113,CENY!$B$11:$G$1054,2,FALSE)</f>
        <v>Quadro You(M) 400/P2O 30kg; EB21; pravý</v>
      </c>
      <c r="BF113" s="22">
        <f>VLOOKUP(BD113,CENY!$B$11:$G$1054,3,FALSE)</f>
        <v>20</v>
      </c>
      <c r="BG113" s="22"/>
      <c r="BH113" s="23">
        <f>AY70</f>
        <v>0</v>
      </c>
      <c r="BI113" s="326">
        <f t="shared" si="6"/>
        <v>0</v>
      </c>
      <c r="BJ113" s="95">
        <f>VLOOKUP(BD113,CENY!$B$11:$M$2025,12,FALSE)</f>
        <v>263.07337999999999</v>
      </c>
      <c r="BK113" s="95">
        <f t="shared" si="7"/>
        <v>0</v>
      </c>
    </row>
    <row r="114" spans="47:63">
      <c r="AU114" s="20"/>
      <c r="AV114" s="21"/>
      <c r="AW114" s="22"/>
      <c r="AX114" s="22"/>
      <c r="AY114" s="23"/>
      <c r="AZ114" s="326" t="str">
        <f t="shared" si="5"/>
        <v/>
      </c>
      <c r="BA114" s="95"/>
      <c r="BB114" s="95" t="str">
        <f t="shared" si="4"/>
        <v/>
      </c>
      <c r="BD114" s="319">
        <f>OBJ!B349</f>
        <v>9256913</v>
      </c>
      <c r="BE114" s="21" t="str">
        <f>VLOOKUP(BD114,CENY!$B$11:$G$1054,2,FALSE)</f>
        <v>Quadro You(M) 450/P2O 30kg; EB21; ľavý</v>
      </c>
      <c r="BF114" s="22">
        <f>VLOOKUP(BD114,CENY!$B$11:$G$1054,3,FALSE)</f>
        <v>20</v>
      </c>
      <c r="BG114" s="22"/>
      <c r="BH114" s="23">
        <f>AY71</f>
        <v>0</v>
      </c>
      <c r="BI114" s="326">
        <f t="shared" si="6"/>
        <v>0</v>
      </c>
      <c r="BJ114" s="95">
        <f>VLOOKUP(BD114,CENY!$B$11:$M$2025,12,FALSE)</f>
        <v>267.92221999999998</v>
      </c>
      <c r="BK114" s="95">
        <f t="shared" si="7"/>
        <v>0</v>
      </c>
    </row>
    <row r="115" spans="47:63">
      <c r="AU115" s="20"/>
      <c r="AV115" s="21"/>
      <c r="AW115" s="22"/>
      <c r="AX115" s="22"/>
      <c r="AY115" s="23"/>
      <c r="AZ115" s="326" t="str">
        <f t="shared" si="5"/>
        <v/>
      </c>
      <c r="BA115" s="95"/>
      <c r="BB115" s="95" t="str">
        <f t="shared" si="4"/>
        <v/>
      </c>
      <c r="BD115" s="319">
        <f>OBJ!B350</f>
        <v>9256914</v>
      </c>
      <c r="BE115" s="21" t="str">
        <f>VLOOKUP(BD115,CENY!$B$11:$G$1054,2,FALSE)</f>
        <v>Quadro You(M) 450/P2O 30kg; EB21; pravý</v>
      </c>
      <c r="BF115" s="22">
        <f>VLOOKUP(BD115,CENY!$B$11:$G$1054,3,FALSE)</f>
        <v>20</v>
      </c>
      <c r="BG115" s="22"/>
      <c r="BH115" s="23">
        <f>AY71</f>
        <v>0</v>
      </c>
      <c r="BI115" s="326">
        <f t="shared" si="6"/>
        <v>0</v>
      </c>
      <c r="BJ115" s="95">
        <f>VLOOKUP(BD115,CENY!$B$11:$M$2025,12,FALSE)</f>
        <v>267.92221999999998</v>
      </c>
      <c r="BK115" s="95">
        <f t="shared" si="7"/>
        <v>0</v>
      </c>
    </row>
    <row r="116" spans="47:63">
      <c r="AU116" s="20"/>
      <c r="AV116" s="21"/>
      <c r="AW116" s="22"/>
      <c r="AX116" s="22"/>
      <c r="AY116" s="23"/>
      <c r="AZ116" s="326" t="str">
        <f t="shared" si="5"/>
        <v/>
      </c>
      <c r="BA116" s="95"/>
      <c r="BB116" s="95" t="str">
        <f t="shared" si="4"/>
        <v/>
      </c>
      <c r="BD116" s="319">
        <f>OBJ!B351</f>
        <v>9256917</v>
      </c>
      <c r="BE116" s="21" t="str">
        <f>VLOOKUP(BD116,CENY!$B$11:$G$1054,2,FALSE)</f>
        <v>Quadro You(M) 500/P2O 30kg; EB21; ľavý</v>
      </c>
      <c r="BF116" s="22">
        <f>VLOOKUP(BD116,CENY!$B$11:$G$1054,3,FALSE)</f>
        <v>20</v>
      </c>
      <c r="BG116" s="22"/>
      <c r="BH116" s="23">
        <f>AY72</f>
        <v>0</v>
      </c>
      <c r="BI116" s="326">
        <f t="shared" si="6"/>
        <v>0</v>
      </c>
      <c r="BJ116" s="95">
        <f>VLOOKUP(BD116,CENY!$B$11:$M$2025,12,FALSE)</f>
        <v>265.52375999999998</v>
      </c>
      <c r="BK116" s="95">
        <f t="shared" si="7"/>
        <v>0</v>
      </c>
    </row>
    <row r="117" spans="47:63">
      <c r="AU117" s="20"/>
      <c r="AV117" s="21"/>
      <c r="AW117" s="22"/>
      <c r="AX117" s="22"/>
      <c r="AY117" s="23"/>
      <c r="AZ117" s="326" t="str">
        <f t="shared" si="5"/>
        <v/>
      </c>
      <c r="BA117" s="95"/>
      <c r="BB117" s="95" t="str">
        <f t="shared" si="4"/>
        <v/>
      </c>
      <c r="BD117" s="319">
        <f>OBJ!B352</f>
        <v>9256918</v>
      </c>
      <c r="BE117" s="21" t="str">
        <f>VLOOKUP(BD117,CENY!$B$11:$G$1054,2,FALSE)</f>
        <v>Quadro You(M) 500/P2O 30kg; EB21; pravý</v>
      </c>
      <c r="BF117" s="22">
        <f>VLOOKUP(BD117,CENY!$B$11:$G$1054,3,FALSE)</f>
        <v>20</v>
      </c>
      <c r="BG117" s="22"/>
      <c r="BH117" s="23">
        <f>AY72</f>
        <v>0</v>
      </c>
      <c r="BI117" s="326">
        <f t="shared" si="6"/>
        <v>0</v>
      </c>
      <c r="BJ117" s="95">
        <f>VLOOKUP(BD117,CENY!$B$11:$M$2025,12,FALSE)</f>
        <v>265.52375999999998</v>
      </c>
      <c r="BK117" s="95">
        <f t="shared" si="7"/>
        <v>0</v>
      </c>
    </row>
    <row r="118" spans="47:63">
      <c r="AU118" s="20"/>
      <c r="AV118" s="21"/>
      <c r="AW118" s="22"/>
      <c r="AX118" s="22"/>
      <c r="AY118" s="23"/>
      <c r="AZ118" s="326" t="str">
        <f t="shared" si="5"/>
        <v/>
      </c>
      <c r="BA118" s="95"/>
      <c r="BB118" s="95" t="str">
        <f t="shared" si="4"/>
        <v/>
      </c>
      <c r="BD118" s="319">
        <f>OBJ!B353</f>
        <v>9256921</v>
      </c>
      <c r="BE118" s="21" t="str">
        <f>VLOOKUP(BD118,CENY!$B$11:$G$1054,2,FALSE)</f>
        <v>Quadro You(M) 550/P2O 30kg; EB21; ľavý</v>
      </c>
      <c r="BF118" s="22">
        <f>VLOOKUP(BD118,CENY!$B$11:$G$1054,3,FALSE)</f>
        <v>20</v>
      </c>
      <c r="BG118" s="22"/>
      <c r="BH118" s="23">
        <f>AY73</f>
        <v>0</v>
      </c>
      <c r="BI118" s="326">
        <f t="shared" si="6"/>
        <v>0</v>
      </c>
      <c r="BJ118" s="95">
        <f>VLOOKUP(BD118,CENY!$B$11:$M$2025,12,FALSE)</f>
        <v>270.22431</v>
      </c>
      <c r="BK118" s="95">
        <f t="shared" si="7"/>
        <v>0</v>
      </c>
    </row>
    <row r="119" spans="47:63">
      <c r="AU119" s="20"/>
      <c r="AV119" s="21"/>
      <c r="AW119" s="22"/>
      <c r="AX119" s="22"/>
      <c r="AY119" s="23"/>
      <c r="AZ119" s="326" t="str">
        <f t="shared" si="5"/>
        <v/>
      </c>
      <c r="BA119" s="95"/>
      <c r="BB119" s="95" t="str">
        <f t="shared" si="4"/>
        <v/>
      </c>
      <c r="BD119" s="319">
        <f>OBJ!B354</f>
        <v>9256922</v>
      </c>
      <c r="BE119" s="21" t="str">
        <f>VLOOKUP(BD119,CENY!$B$11:$G$1054,2,FALSE)</f>
        <v>Quadro You(M) 550/P2O 30kg; EB21; pravý</v>
      </c>
      <c r="BF119" s="22">
        <f>VLOOKUP(BD119,CENY!$B$11:$G$1054,3,FALSE)</f>
        <v>20</v>
      </c>
      <c r="BG119" s="22"/>
      <c r="BH119" s="23">
        <f>AY73</f>
        <v>0</v>
      </c>
      <c r="BI119" s="326">
        <f t="shared" si="6"/>
        <v>0</v>
      </c>
      <c r="BJ119" s="95">
        <f>VLOOKUP(BD119,CENY!$B$11:$M$2025,12,FALSE)</f>
        <v>277.60748999999998</v>
      </c>
      <c r="BK119" s="95">
        <f t="shared" si="7"/>
        <v>0</v>
      </c>
    </row>
    <row r="120" spans="47:63">
      <c r="AU120" s="20"/>
      <c r="AV120" s="21"/>
      <c r="AW120" s="22"/>
      <c r="AX120" s="22"/>
      <c r="AY120" s="23"/>
      <c r="AZ120" s="326" t="str">
        <f t="shared" si="5"/>
        <v/>
      </c>
      <c r="BA120" s="95"/>
      <c r="BB120" s="95" t="str">
        <f t="shared" si="4"/>
        <v/>
      </c>
      <c r="BD120" s="319">
        <f>OBJ!B355</f>
        <v>9256925</v>
      </c>
      <c r="BE120" s="21" t="str">
        <f>VLOOKUP(BD120,CENY!$B$11:$G$1054,2,FALSE)</f>
        <v>Quadro You(M) 600/P2O 25kg; EB21; ľavý</v>
      </c>
      <c r="BF120" s="22">
        <f>VLOOKUP(BD120,CENY!$B$11:$G$1054,3,FALSE)</f>
        <v>20</v>
      </c>
      <c r="BG120" s="22"/>
      <c r="BH120" s="23">
        <f>AY74</f>
        <v>0</v>
      </c>
      <c r="BI120" s="326">
        <f t="shared" si="6"/>
        <v>0</v>
      </c>
      <c r="BJ120" s="95">
        <f>VLOOKUP(BD120,CENY!$B$11:$M$2025,12,FALSE)</f>
        <v>282.45375999999999</v>
      </c>
      <c r="BK120" s="95">
        <f t="shared" si="7"/>
        <v>0</v>
      </c>
    </row>
    <row r="121" spans="47:63">
      <c r="AU121" s="20"/>
      <c r="AV121" s="21"/>
      <c r="AW121" s="22"/>
      <c r="AX121" s="22"/>
      <c r="AY121" s="23"/>
      <c r="AZ121" s="326" t="str">
        <f t="shared" si="5"/>
        <v/>
      </c>
      <c r="BA121" s="95"/>
      <c r="BB121" s="95" t="str">
        <f t="shared" si="4"/>
        <v/>
      </c>
      <c r="BD121" s="319">
        <f>OBJ!B356</f>
        <v>9256926</v>
      </c>
      <c r="BE121" s="21" t="str">
        <f>VLOOKUP(BD121,CENY!$B$11:$G$1054,2,FALSE)</f>
        <v>Quadro You(M) 600/P2O 25kg; EB21; pravý</v>
      </c>
      <c r="BF121" s="22">
        <f>VLOOKUP(BD121,CENY!$B$11:$G$1054,3,FALSE)</f>
        <v>20</v>
      </c>
      <c r="BG121" s="22"/>
      <c r="BH121" s="23">
        <f>AY74</f>
        <v>0</v>
      </c>
      <c r="BI121" s="326">
        <f t="shared" si="6"/>
        <v>0</v>
      </c>
      <c r="BJ121" s="95">
        <f>VLOOKUP(BD121,CENY!$B$11:$M$2025,12,FALSE)</f>
        <v>282.45375999999999</v>
      </c>
      <c r="BK121" s="95">
        <f t="shared" si="7"/>
        <v>0</v>
      </c>
    </row>
    <row r="122" spans="47:63">
      <c r="AU122" s="20"/>
      <c r="AV122" s="21"/>
      <c r="AW122" s="22"/>
      <c r="AX122" s="22"/>
      <c r="AY122" s="23"/>
      <c r="AZ122" s="326" t="str">
        <f t="shared" si="5"/>
        <v/>
      </c>
      <c r="BA122" s="95"/>
      <c r="BB122" s="95" t="str">
        <f t="shared" si="4"/>
        <v/>
      </c>
      <c r="BD122" s="319"/>
      <c r="BE122" s="21"/>
      <c r="BF122" s="22"/>
      <c r="BG122" s="22"/>
      <c r="BH122" s="23"/>
      <c r="BI122" s="326" t="str">
        <f t="shared" si="6"/>
        <v/>
      </c>
      <c r="BJ122" s="95"/>
      <c r="BK122" s="95" t="str">
        <f t="shared" si="7"/>
        <v/>
      </c>
    </row>
    <row r="123" spans="47:63">
      <c r="AU123" s="20"/>
      <c r="AV123" s="21"/>
      <c r="AW123" s="22"/>
      <c r="AX123" s="22"/>
      <c r="AY123" s="23"/>
      <c r="AZ123" s="326" t="str">
        <f t="shared" si="5"/>
        <v/>
      </c>
      <c r="BA123" s="95"/>
      <c r="BB123" s="95" t="str">
        <f t="shared" si="4"/>
        <v/>
      </c>
      <c r="BD123" s="319">
        <f>OBJ!B358</f>
        <v>9219966</v>
      </c>
      <c r="BE123" s="21" t="str">
        <f>VLOOKUP(BD123,CENY!$B$11:$G$1054,2,FALSE)</f>
        <v>Push to open Synchro / adaptér typ A</v>
      </c>
      <c r="BF123" s="22">
        <f>VLOOKUP(BD123,CENY!$B$11:$G$1054,3,FALSE)</f>
        <v>200</v>
      </c>
      <c r="BG123" s="22"/>
      <c r="BH123" s="23">
        <f>AY76</f>
        <v>0</v>
      </c>
      <c r="BI123" s="326">
        <f t="shared" si="6"/>
        <v>0</v>
      </c>
      <c r="BJ123" s="95">
        <f>VLOOKUP(BD123,CENY!$B$11:$M$2025,12,FALSE)</f>
        <v>16.488900000000001</v>
      </c>
      <c r="BK123" s="95">
        <f t="shared" si="7"/>
        <v>0</v>
      </c>
    </row>
    <row r="124" spans="47:63">
      <c r="AU124" s="20"/>
      <c r="AV124" s="21"/>
      <c r="AW124" s="22"/>
      <c r="AX124" s="22"/>
      <c r="AY124" s="23"/>
      <c r="AZ124" s="326" t="str">
        <f t="shared" si="5"/>
        <v/>
      </c>
      <c r="BA124" s="95"/>
      <c r="BB124" s="95" t="str">
        <f t="shared" si="4"/>
        <v/>
      </c>
      <c r="BD124" s="319"/>
      <c r="BE124" s="21"/>
      <c r="BF124" s="22"/>
      <c r="BG124" s="22"/>
      <c r="BH124" s="23"/>
      <c r="BI124" s="326" t="str">
        <f t="shared" si="6"/>
        <v/>
      </c>
      <c r="BJ124" s="95"/>
      <c r="BK124" s="95" t="str">
        <f t="shared" si="7"/>
        <v/>
      </c>
    </row>
    <row r="125" spans="47:63">
      <c r="AU125" s="20"/>
      <c r="AV125" s="21"/>
      <c r="AW125" s="22"/>
      <c r="AX125" s="22"/>
      <c r="AY125" s="23"/>
      <c r="AZ125" s="326" t="str">
        <f t="shared" si="5"/>
        <v/>
      </c>
      <c r="BA125" s="95"/>
      <c r="BB125" s="95" t="str">
        <f t="shared" si="4"/>
        <v/>
      </c>
      <c r="BD125" s="319">
        <f>OBJ!B214</f>
        <v>0</v>
      </c>
      <c r="BE125" s="21" t="e">
        <f>VLOOKUP(BD125,CENY!$B$11:$G$1054,2,FALSE)</f>
        <v>#N/A</v>
      </c>
      <c r="BF125" s="22" t="e">
        <f>VLOOKUP(BD125,CENY!$B$11:$G$1054,3,FALSE)</f>
        <v>#N/A</v>
      </c>
      <c r="BG125" s="22"/>
      <c r="BH125" s="23">
        <f>AY80</f>
        <v>0</v>
      </c>
      <c r="BI125" s="326">
        <f t="shared" si="6"/>
        <v>0</v>
      </c>
      <c r="BJ125" s="324" t="str">
        <f>IF(BD125=0,"",VLOOKUP(BD125,CENY!$B$11:$M$2025,12,FALSE))</f>
        <v/>
      </c>
      <c r="BK125" s="95" t="str">
        <f>IF(BJ125="","",BJ125*BH125)</f>
        <v/>
      </c>
    </row>
    <row r="126" spans="47:63">
      <c r="AU126" s="20"/>
      <c r="AV126" s="21"/>
      <c r="AW126" s="22"/>
      <c r="AX126" s="22"/>
      <c r="AY126" s="23"/>
      <c r="AZ126" s="326" t="str">
        <f t="shared" si="5"/>
        <v/>
      </c>
      <c r="BA126" s="95"/>
      <c r="BB126" s="95" t="str">
        <f t="shared" si="4"/>
        <v/>
      </c>
      <c r="BD126" s="319"/>
      <c r="BE126" s="21"/>
      <c r="BF126" s="22"/>
      <c r="BG126" s="22"/>
      <c r="BH126" s="23"/>
      <c r="BI126" s="326" t="str">
        <f t="shared" si="6"/>
        <v/>
      </c>
      <c r="BJ126" s="95"/>
      <c r="BK126" s="95" t="str">
        <f t="shared" si="7"/>
        <v/>
      </c>
    </row>
    <row r="127" spans="47:63">
      <c r="AU127" s="20"/>
      <c r="AV127" s="21"/>
      <c r="AW127" s="22"/>
      <c r="AX127" s="22"/>
      <c r="AY127" s="23"/>
      <c r="AZ127" s="326" t="str">
        <f t="shared" si="5"/>
        <v/>
      </c>
      <c r="BA127" s="95"/>
      <c r="BB127" s="95" t="str">
        <f t="shared" si="4"/>
        <v/>
      </c>
      <c r="BD127" s="319"/>
      <c r="BE127" s="21"/>
      <c r="BF127" s="22"/>
      <c r="BG127" s="22"/>
      <c r="BH127" s="23"/>
      <c r="BI127" s="326" t="str">
        <f t="shared" si="6"/>
        <v/>
      </c>
      <c r="BJ127" s="95"/>
      <c r="BK127" s="95" t="str">
        <f t="shared" si="7"/>
        <v/>
      </c>
    </row>
    <row r="128" spans="47:63">
      <c r="AU128" s="20"/>
      <c r="AV128" s="21"/>
      <c r="AW128" s="22"/>
      <c r="AX128" s="22"/>
      <c r="AY128" s="23"/>
      <c r="AZ128" s="326" t="str">
        <f t="shared" si="5"/>
        <v/>
      </c>
      <c r="BA128" s="95"/>
      <c r="BB128" s="95" t="str">
        <f t="shared" si="4"/>
        <v/>
      </c>
      <c r="BD128" s="319">
        <f>OBJ!B194</f>
        <v>9257269</v>
      </c>
      <c r="BE128" s="21" t="str">
        <f>VLOOKUP(BD128,CENY!$B$11:$G$1054,2,FALSE)</f>
        <v>AvanY-čelo vnút.zásuvky /v101/d2000/strieb.</v>
      </c>
      <c r="BF128" s="22">
        <f>VLOOKUP(BD128,CENY!$B$11:$G$1054,3,FALSE)</f>
        <v>1</v>
      </c>
      <c r="BG128" s="22"/>
      <c r="BH128" s="23">
        <f>AY83</f>
        <v>0</v>
      </c>
      <c r="BI128" s="326">
        <f>IF(BH128="","",IF($AW$4=0,BH128,0))</f>
        <v>0</v>
      </c>
      <c r="BJ128" s="95">
        <f>VLOOKUP(BD128,CENY!$B$11:$M$2025,12,FALSE)</f>
        <v>1483.13021</v>
      </c>
      <c r="BK128" s="95">
        <f>IF(BJ128="","",BJ128*BH128)</f>
        <v>0</v>
      </c>
    </row>
    <row r="129" spans="47:63">
      <c r="AU129" s="20"/>
      <c r="AV129" s="21"/>
      <c r="AW129" s="22"/>
      <c r="AX129" s="22"/>
      <c r="AY129" s="23"/>
      <c r="AZ129" s="326" t="str">
        <f t="shared" si="5"/>
        <v/>
      </c>
      <c r="BA129" s="95"/>
      <c r="BB129" s="95" t="str">
        <f t="shared" si="4"/>
        <v/>
      </c>
      <c r="BD129" s="319"/>
      <c r="BE129" s="21"/>
      <c r="BF129" s="22"/>
      <c r="BG129" s="22"/>
      <c r="BH129" s="23"/>
      <c r="BI129" s="326" t="str">
        <f>IF(BH129="","",IF($AW$4=0,BH129,0))</f>
        <v/>
      </c>
      <c r="BJ129" s="95"/>
      <c r="BK129" s="95" t="str">
        <f>IF(BJ129="","",BJ129*BH129)</f>
        <v/>
      </c>
    </row>
    <row r="130" spans="47:63">
      <c r="AU130" s="20"/>
      <c r="AV130" s="21"/>
      <c r="AW130" s="22"/>
      <c r="AX130" s="22"/>
      <c r="AY130" s="23"/>
      <c r="AZ130" s="326" t="str">
        <f t="shared" si="5"/>
        <v/>
      </c>
      <c r="BA130" s="95"/>
      <c r="BB130" s="95" t="str">
        <f t="shared" si="4"/>
        <v/>
      </c>
      <c r="BD130" s="319">
        <f>OBJ!B203</f>
        <v>9257641</v>
      </c>
      <c r="BE130" s="21" t="str">
        <f>VLOOKUP(BD130,CENY!$B$11:$G$1054,2,FALSE)</f>
        <v>AvanY-stabilizátor čela vnút.zásuvky</v>
      </c>
      <c r="BF130" s="22">
        <f>VLOOKUP(BD130,CENY!$B$11:$G$1054,3,FALSE)</f>
        <v>100</v>
      </c>
      <c r="BG130" s="22"/>
      <c r="BH130" s="23">
        <f>AY84</f>
        <v>0</v>
      </c>
      <c r="BI130" s="326">
        <f>IF(BH130="","",IF($AW$4=0,BH130,0))</f>
        <v>0</v>
      </c>
      <c r="BJ130" s="95">
        <f>VLOOKUP(BD130,CENY!$B$11:$M$2025,12,FALSE)</f>
        <v>10.840870000000001</v>
      </c>
      <c r="BK130" s="95">
        <f>IF(BJ130="","",BJ130*BH130)</f>
        <v>0</v>
      </c>
    </row>
    <row r="131" spans="47:63">
      <c r="AU131" s="20"/>
      <c r="AV131" s="21"/>
      <c r="AW131" s="22"/>
      <c r="AX131" s="22"/>
      <c r="AY131" s="23"/>
      <c r="AZ131" s="326" t="str">
        <f t="shared" si="5"/>
        <v/>
      </c>
      <c r="BA131" s="95"/>
      <c r="BB131" s="95" t="str">
        <f t="shared" si="4"/>
        <v/>
      </c>
      <c r="BD131" s="319">
        <f>OBJ!B204</f>
        <v>9257629</v>
      </c>
      <c r="BE131" s="21" t="str">
        <f>VLOOKUP(BD131,CENY!$B$11:$G$1054,2,FALSE)</f>
        <v>AvanY-krytka čela vnút.zás./v101/strieb.</v>
      </c>
      <c r="BF131" s="22">
        <f>VLOOKUP(BD131,CENY!$B$11:$G$1054,3,FALSE)</f>
        <v>200</v>
      </c>
      <c r="BG131" s="22"/>
      <c r="BH131" s="23">
        <f>2*AY84</f>
        <v>0</v>
      </c>
      <c r="BI131" s="326">
        <f>IF(BH131="","",IF($AW$4=0,BH131,0))</f>
        <v>0</v>
      </c>
      <c r="BJ131" s="95">
        <f>VLOOKUP(BD131,CENY!$B$11:$M$2025,12,FALSE)</f>
        <v>4.4243899999999998</v>
      </c>
      <c r="BK131" s="95">
        <f>IF(BJ131="","",BJ131*BH131)</f>
        <v>0</v>
      </c>
    </row>
    <row r="132" spans="47:63">
      <c r="AU132" s="20"/>
      <c r="AV132" s="21"/>
      <c r="AW132" s="22"/>
      <c r="AX132" s="22"/>
      <c r="AY132" s="23"/>
      <c r="AZ132" s="326" t="str">
        <f t="shared" ref="AZ132:AZ137" si="9">IF(AY132="","",IF($AW$4=1,AY132,0))</f>
        <v/>
      </c>
      <c r="BA132" s="95"/>
      <c r="BB132" s="95" t="str">
        <f t="shared" si="4"/>
        <v/>
      </c>
      <c r="BD132" s="319"/>
      <c r="BE132" s="21"/>
      <c r="BF132" s="22"/>
      <c r="BG132" s="22"/>
      <c r="BH132" s="23"/>
      <c r="BI132" s="326" t="str">
        <f t="shared" si="6"/>
        <v/>
      </c>
      <c r="BJ132" s="95"/>
      <c r="BK132" s="95" t="str">
        <f t="shared" si="7"/>
        <v/>
      </c>
    </row>
    <row r="133" spans="47:63">
      <c r="AU133" s="319">
        <f>OBJ!B361</f>
        <v>45167</v>
      </c>
      <c r="AV133" s="21" t="str">
        <f>VLOOKUP(AU133,CENY!$B$11:$G$1054,2,FALSE)</f>
        <v>Skrutka s polgul.hlavou 3,5x12mm</v>
      </c>
      <c r="AW133" s="22">
        <f>VLOOKUP(AU133,CENY!$B$11:$G$1054,3,FALSE)</f>
        <v>200</v>
      </c>
      <c r="AX133" s="22"/>
      <c r="AY133" s="23">
        <f>SUMPRODUCT(AX5:AX13,AY5:AY13)</f>
        <v>0</v>
      </c>
      <c r="AZ133" s="326">
        <f t="shared" si="9"/>
        <v>0</v>
      </c>
      <c r="BA133" s="95">
        <f>VLOOKUP(AU133,CENY!$B$11:$M$2025,12,FALSE)</f>
        <v>0.84719999999999995</v>
      </c>
      <c r="BB133" s="95">
        <f>IF(BA133="","",BA133*AY133)</f>
        <v>0</v>
      </c>
      <c r="BC133" s="86" t="s">
        <v>396</v>
      </c>
      <c r="BD133" s="319">
        <f>OBJ!B361</f>
        <v>45167</v>
      </c>
      <c r="BE133" s="21" t="str">
        <f>VLOOKUP(BD133,CENY!$B$11:$G$1054,2,FALSE)</f>
        <v>Skrutka s polgul.hlavou 3,5x12mm</v>
      </c>
      <c r="BF133" s="22">
        <f>VLOOKUP(BD133,CENY!$B$11:$G$1054,3,FALSE)</f>
        <v>200</v>
      </c>
      <c r="BG133" s="22"/>
      <c r="BH133" s="23">
        <f>AY133+BH25*2+BH130</f>
        <v>0</v>
      </c>
      <c r="BI133" s="326">
        <f>IF(BH133="","",IF($AW$4=0,BH133,0))</f>
        <v>0</v>
      </c>
      <c r="BJ133" s="95">
        <f>VLOOKUP(BD133,CENY!$B$11:$M$2025,12,FALSE)</f>
        <v>0.84719999999999995</v>
      </c>
      <c r="BK133" s="95">
        <f>IF(BJ133="","",BJ133*BH133)</f>
        <v>0</v>
      </c>
    </row>
    <row r="134" spans="47:63">
      <c r="AU134" s="319">
        <f>OBJ!B362</f>
        <v>45168</v>
      </c>
      <c r="AV134" s="21" t="str">
        <f>VLOOKUP(AU134,CENY!$B$11:$G$1054,2,FALSE)</f>
        <v>Skrutka s polgul.hlavou 3,5x20mm</v>
      </c>
      <c r="AW134" s="22">
        <f>VLOOKUP(AU134,CENY!$B$11:$G$1054,3,FALSE)</f>
        <v>200</v>
      </c>
      <c r="AX134" s="22"/>
      <c r="AY134" s="360">
        <v>0</v>
      </c>
      <c r="AZ134" s="326">
        <f t="shared" si="9"/>
        <v>0</v>
      </c>
      <c r="BA134" s="95">
        <f>VLOOKUP(AU134,CENY!$B$11:$M$2025,12,FALSE)</f>
        <v>1.2154199999999999</v>
      </c>
      <c r="BB134" s="95">
        <f>IF(BA134="","",BA134*AY134)</f>
        <v>0</v>
      </c>
      <c r="BC134" s="86" t="s">
        <v>397</v>
      </c>
      <c r="BD134" s="319">
        <f>OBJ!B362</f>
        <v>45168</v>
      </c>
      <c r="BE134" s="21" t="str">
        <f>VLOOKUP(BD134,CENY!$B$11:$G$1054,2,FALSE)</f>
        <v>Skrutka s polgul.hlavou 3,5x20mm</v>
      </c>
      <c r="BF134" s="22">
        <f>VLOOKUP(BD134,CENY!$B$11:$G$1054,3,FALSE)</f>
        <v>200</v>
      </c>
      <c r="BG134" s="22"/>
      <c r="BH134" s="360">
        <v>0</v>
      </c>
      <c r="BI134" s="326">
        <f>IF(BH134="","",IF($AW$4=0,BH134,0))</f>
        <v>0</v>
      </c>
      <c r="BJ134" s="95">
        <f>VLOOKUP(BD134,CENY!$B$11:$M$2025,12,FALSE)</f>
        <v>1.2154199999999999</v>
      </c>
      <c r="BK134" s="95">
        <f>IF(BJ134="","",BJ134*BH134)</f>
        <v>0</v>
      </c>
    </row>
    <row r="135" spans="47:63">
      <c r="AU135" s="319">
        <f>OBJ!B363</f>
        <v>9278224</v>
      </c>
      <c r="AV135" s="21" t="str">
        <f>VLOOKUP(AU135,CENY!$B$11:$G$1054,2,FALSE)</f>
        <v>Skrutka s polgul.hlavou 3,5x30mm</v>
      </c>
      <c r="AW135" s="22">
        <f>VLOOKUP(AU135,CENY!$B$11:$G$1054,3,FALSE)</f>
        <v>200</v>
      </c>
      <c r="AX135" s="22"/>
      <c r="AY135" s="360">
        <v>0</v>
      </c>
      <c r="AZ135" s="326">
        <f t="shared" si="9"/>
        <v>0</v>
      </c>
      <c r="BA135" s="95">
        <f>VLOOKUP(AU135,CENY!$B$11:$M$2025,12,FALSE)</f>
        <v>0.89337999999999995</v>
      </c>
      <c r="BB135" s="95">
        <f>IF(BA135="","",BA135*AY135)</f>
        <v>0</v>
      </c>
      <c r="BC135" s="86" t="s">
        <v>398</v>
      </c>
      <c r="BD135" s="319">
        <f>OBJ!B363</f>
        <v>9278224</v>
      </c>
      <c r="BE135" s="21" t="str">
        <f>VLOOKUP(BD135,CENY!$B$11:$G$1054,2,FALSE)</f>
        <v>Skrutka s polgul.hlavou 3,5x30mm</v>
      </c>
      <c r="BF135" s="22">
        <f>VLOOKUP(BD135,CENY!$B$11:$G$1054,3,FALSE)</f>
        <v>200</v>
      </c>
      <c r="BG135" s="22"/>
      <c r="BH135" s="360">
        <f>SUM(BH5:BH22)</f>
        <v>0</v>
      </c>
      <c r="BI135" s="326">
        <f>IF(BH135="","",IF($AW$4=0,BH135,0))</f>
        <v>0</v>
      </c>
      <c r="BJ135" s="95">
        <f>VLOOKUP(BD135,CENY!$B$11:$M$2025,12,FALSE)</f>
        <v>0.89337999999999995</v>
      </c>
      <c r="BK135" s="95">
        <f>IF(BJ135="","",BJ135*BH135)</f>
        <v>0</v>
      </c>
    </row>
    <row r="136" spans="47:63">
      <c r="AU136" s="319">
        <f>OBJ!B364</f>
        <v>9279197</v>
      </c>
      <c r="AV136" s="21" t="str">
        <f>VLOOKUP(AU136,CENY!$B$11:$G$1054,2,FALSE)</f>
        <v>Skrutka s polgul.hlavou M3,5x12mm</v>
      </c>
      <c r="AW136" s="22">
        <f>VLOOKUP(AU136,CENY!$B$11:$G$1054,3,FALSE)</f>
        <v>1000</v>
      </c>
      <c r="AX136" s="22"/>
      <c r="AY136" s="68">
        <v>0</v>
      </c>
      <c r="AZ136" s="326">
        <f t="shared" si="9"/>
        <v>0</v>
      </c>
      <c r="BA136" s="95">
        <f>VLOOKUP(AU136,CENY!$B$11:$M$2025,12,FALSE)</f>
        <v>0</v>
      </c>
      <c r="BB136" s="95">
        <f>IF(BA136="","",BA136*AY136)</f>
        <v>0</v>
      </c>
      <c r="BC136" s="86" t="s">
        <v>399</v>
      </c>
      <c r="BD136" s="319">
        <f>OBJ!B364</f>
        <v>9279197</v>
      </c>
      <c r="BE136" s="21" t="str">
        <f>VLOOKUP(BD136,CENY!$B$11:$G$1054,2,FALSE)</f>
        <v>Skrutka s polgul.hlavou M3,5x12mm</v>
      </c>
      <c r="BF136" s="22">
        <f>VLOOKUP(BD136,CENY!$B$11:$G$1054,3,FALSE)</f>
        <v>1000</v>
      </c>
      <c r="BG136" s="22"/>
      <c r="BH136" s="68">
        <f>2*BH24</f>
        <v>0</v>
      </c>
      <c r="BI136" s="326">
        <f>IF(BH136="","",IF($AW$4=0,BH136,0))</f>
        <v>0</v>
      </c>
      <c r="BJ136" s="95">
        <f>VLOOKUP(BD136,CENY!$B$11:$M$2025,12,FALSE)</f>
        <v>0</v>
      </c>
      <c r="BK136" s="95">
        <f>IF(BJ136="","",BJ136*BH136)</f>
        <v>0</v>
      </c>
    </row>
    <row r="137" spans="47:63">
      <c r="AU137" s="319">
        <f>OBJ!B365</f>
        <v>9137114</v>
      </c>
      <c r="AV137" s="21" t="str">
        <f>VLOOKUP(AU137,CENY!$B$11:$G$1054,2,FALSE)</f>
        <v>EURO-skrutka  6,0x14mm / niklovaná</v>
      </c>
      <c r="AW137" s="22">
        <f>VLOOKUP(AU137,CENY!$B$11:$G$1054,3,FALSE)</f>
        <v>200</v>
      </c>
      <c r="AX137" s="22"/>
      <c r="AY137" s="23">
        <f>SUMPRODUCT(AX25:AX74,AY25:AY74)</f>
        <v>0</v>
      </c>
      <c r="AZ137" s="326">
        <f t="shared" si="9"/>
        <v>0</v>
      </c>
      <c r="BA137" s="95">
        <f>VLOOKUP(AU137,CENY!$B$11:$M$2025,12,FALSE)</f>
        <v>1.8839300000000001</v>
      </c>
      <c r="BB137" s="95">
        <f>IF(BA137="","",BA137*AY137)</f>
        <v>0</v>
      </c>
      <c r="BC137" s="86" t="s">
        <v>400</v>
      </c>
      <c r="BD137" s="319">
        <f>OBJ!B365</f>
        <v>9137114</v>
      </c>
      <c r="BE137" s="21" t="str">
        <f>VLOOKUP(BD137,CENY!$B$11:$G$1054,2,FALSE)</f>
        <v>EURO-skrutka  6,0x14mm / niklovaná</v>
      </c>
      <c r="BF137" s="22">
        <f>VLOOKUP(BD137,CENY!$B$11:$G$1054,3,FALSE)</f>
        <v>200</v>
      </c>
      <c r="BG137" s="22"/>
      <c r="BH137" s="23">
        <f>AY137</f>
        <v>0</v>
      </c>
      <c r="BI137" s="326">
        <f>IF(BH137="","",IF($AW$4=0,BH137,0))</f>
        <v>0</v>
      </c>
      <c r="BJ137" s="95">
        <f>VLOOKUP(BD137,CENY!$B$11:$M$2025,12,FALSE)</f>
        <v>1.8839300000000001</v>
      </c>
      <c r="BK137" s="95">
        <f>IF(BJ137="","",BJ137*BH137)</f>
        <v>0</v>
      </c>
    </row>
    <row r="138" spans="47:63">
      <c r="AU138" s="20"/>
      <c r="AV138" s="21"/>
      <c r="AW138" s="22"/>
      <c r="AX138" s="22"/>
      <c r="AY138" s="23"/>
      <c r="AZ138" s="326"/>
      <c r="BA138" s="95"/>
      <c r="BB138" s="95"/>
      <c r="BD138" s="319"/>
      <c r="BE138" s="21"/>
      <c r="BF138" s="22"/>
      <c r="BG138" s="22"/>
      <c r="BH138" s="23"/>
      <c r="BI138" s="326"/>
      <c r="BJ138" s="95"/>
      <c r="BK138" s="95"/>
    </row>
    <row r="139" spans="47:63">
      <c r="AU139" s="20"/>
      <c r="AV139" s="21"/>
      <c r="AW139" s="22"/>
      <c r="AX139" s="22"/>
      <c r="AY139" s="23"/>
      <c r="AZ139" s="326"/>
      <c r="BA139" s="95"/>
      <c r="BB139" s="95"/>
      <c r="BD139" s="319"/>
      <c r="BE139" s="21"/>
      <c r="BF139" s="22"/>
      <c r="BG139" s="22"/>
      <c r="BH139" s="23"/>
      <c r="BI139" s="326"/>
      <c r="BJ139" s="95"/>
      <c r="BK139" s="95"/>
    </row>
    <row r="140" spans="47:63">
      <c r="AU140" s="20"/>
      <c r="AV140" s="21"/>
      <c r="AW140" s="22"/>
      <c r="AX140" s="22"/>
      <c r="AY140" s="23"/>
      <c r="AZ140" s="326"/>
      <c r="BA140" s="95"/>
      <c r="BB140" s="95"/>
      <c r="BD140" s="319"/>
      <c r="BE140" s="21"/>
      <c r="BF140" s="22"/>
      <c r="BG140" s="22"/>
      <c r="BH140" s="23"/>
      <c r="BI140" s="326"/>
      <c r="BJ140" s="95"/>
      <c r="BK140" s="95"/>
    </row>
    <row r="141" spans="47:63">
      <c r="AU141" s="20"/>
      <c r="AV141" s="21"/>
      <c r="AW141" s="22"/>
      <c r="AX141" s="22"/>
      <c r="AY141" s="23"/>
      <c r="AZ141" s="326" t="str">
        <f>IF(AY141="","",IF($AW$4=1,AY141,0))</f>
        <v/>
      </c>
      <c r="BA141" s="95"/>
      <c r="BB141" s="95" t="str">
        <f>IF(BA141="","",BA141*AY141)</f>
        <v/>
      </c>
      <c r="BD141" s="319"/>
      <c r="BE141" s="21"/>
      <c r="BF141" s="22"/>
      <c r="BG141" s="22"/>
      <c r="BH141" s="23"/>
      <c r="BI141" s="326" t="str">
        <f t="shared" si="6"/>
        <v/>
      </c>
      <c r="BJ141" s="95"/>
      <c r="BK141" s="95" t="str">
        <f t="shared" si="7"/>
        <v/>
      </c>
    </row>
    <row r="142" spans="47:63">
      <c r="BD142" s="319"/>
      <c r="BE142" s="21"/>
      <c r="BF142" s="22"/>
      <c r="BG142" s="22"/>
      <c r="BH142" s="23"/>
      <c r="BI142" s="326" t="str">
        <f>IF(BH142="","",IF($AW$4=0,BH142,0))</f>
        <v/>
      </c>
      <c r="BJ142" s="95"/>
      <c r="BK142" s="95" t="str">
        <f>IF(BJ142="","",BJ142*BH142)</f>
        <v/>
      </c>
    </row>
    <row r="143" spans="47:63">
      <c r="BD143" s="319"/>
      <c r="BE143" s="21"/>
      <c r="BF143" s="22"/>
      <c r="BG143" s="22"/>
      <c r="BH143" s="23"/>
      <c r="BI143" s="326" t="str">
        <f>IF(BH143="","",IF($AW$4=0,BH143,0))</f>
        <v/>
      </c>
      <c r="BJ143" s="95"/>
      <c r="BK143" s="95" t="str">
        <f>IF(BJ143="","",BJ143*BH143)</f>
        <v/>
      </c>
    </row>
  </sheetData>
  <sheetProtection algorithmName="SHA-512" hashValue="pyaDT2f1Y/lfHfae9LeR4jSXYtzALy7JPHwkWScYTy90VEaF5nNWO6mwJQX4ps4U5UDmUcMnRvWbvxLuxev5rQ==" saltValue="4br+gwurX6FHX4KFy8eCrQ==" spinCount="100000" sheet="1" objects="1" scenarios="1"/>
  <mergeCells count="179">
    <mergeCell ref="AK9:AP10"/>
    <mergeCell ref="Q81:R81"/>
    <mergeCell ref="AI67:AM67"/>
    <mergeCell ref="AO67:AR67"/>
    <mergeCell ref="W30:X30"/>
    <mergeCell ref="Y30:Z30"/>
    <mergeCell ref="AG80:AH80"/>
    <mergeCell ref="AI80:AJ80"/>
    <mergeCell ref="AG81:AH81"/>
    <mergeCell ref="AI81:AJ81"/>
    <mergeCell ref="AK81:AL81"/>
    <mergeCell ref="Q80:R80"/>
    <mergeCell ref="S80:T80"/>
    <mergeCell ref="U81:V81"/>
    <mergeCell ref="W81:X81"/>
    <mergeCell ref="U80:V80"/>
    <mergeCell ref="W80:X80"/>
    <mergeCell ref="Y80:Z80"/>
    <mergeCell ref="AA80:AB80"/>
    <mergeCell ref="AC80:AD80"/>
    <mergeCell ref="AE80:AF80"/>
    <mergeCell ref="AN29:AO29"/>
    <mergeCell ref="AC30:AD30"/>
    <mergeCell ref="AI25:AO25"/>
    <mergeCell ref="AA85:AB85"/>
    <mergeCell ref="Y84:Z84"/>
    <mergeCell ref="AA84:AB84"/>
    <mergeCell ref="O81:P81"/>
    <mergeCell ref="AC85:AD85"/>
    <mergeCell ref="AE85:AF85"/>
    <mergeCell ref="AG85:AH85"/>
    <mergeCell ref="AI85:AJ85"/>
    <mergeCell ref="O82:AJ82"/>
    <mergeCell ref="AG84:AH84"/>
    <mergeCell ref="AI84:AJ84"/>
    <mergeCell ref="O85:P85"/>
    <mergeCell ref="Q85:R85"/>
    <mergeCell ref="Y81:Z81"/>
    <mergeCell ref="AA81:AB81"/>
    <mergeCell ref="AC81:AD81"/>
    <mergeCell ref="AE81:AF81"/>
    <mergeCell ref="AC83:AD83"/>
    <mergeCell ref="AE83:AF83"/>
    <mergeCell ref="AG83:AH83"/>
    <mergeCell ref="AI83:AJ83"/>
    <mergeCell ref="A66:A105"/>
    <mergeCell ref="B67:E67"/>
    <mergeCell ref="G67:K67"/>
    <mergeCell ref="O67:S67"/>
    <mergeCell ref="U67:Y67"/>
    <mergeCell ref="AA67:AE67"/>
    <mergeCell ref="O83:P83"/>
    <mergeCell ref="Q83:R83"/>
    <mergeCell ref="S83:T83"/>
    <mergeCell ref="U83:V83"/>
    <mergeCell ref="W83:X83"/>
    <mergeCell ref="Y83:Z83"/>
    <mergeCell ref="AC84:AD84"/>
    <mergeCell ref="AE84:AF84"/>
    <mergeCell ref="M84:N84"/>
    <mergeCell ref="O84:P84"/>
    <mergeCell ref="Q84:R84"/>
    <mergeCell ref="S84:T84"/>
    <mergeCell ref="U84:V84"/>
    <mergeCell ref="W84:X84"/>
    <mergeCell ref="S85:T85"/>
    <mergeCell ref="U85:V85"/>
    <mergeCell ref="W85:X85"/>
    <mergeCell ref="Y85:Z85"/>
    <mergeCell ref="B30:G30"/>
    <mergeCell ref="H30:L30"/>
    <mergeCell ref="M30:N30"/>
    <mergeCell ref="O30:P30"/>
    <mergeCell ref="Q30:R30"/>
    <mergeCell ref="S30:T30"/>
    <mergeCell ref="U30:V30"/>
    <mergeCell ref="AA83:AB83"/>
    <mergeCell ref="S81:T81"/>
    <mergeCell ref="AA30:AB30"/>
    <mergeCell ref="O80:P80"/>
    <mergeCell ref="B27:G27"/>
    <mergeCell ref="H27:L27"/>
    <mergeCell ref="M27:N27"/>
    <mergeCell ref="O27:P27"/>
    <mergeCell ref="Q27:R27"/>
    <mergeCell ref="S27:T27"/>
    <mergeCell ref="AN27:AO27"/>
    <mergeCell ref="B28:G28"/>
    <mergeCell ref="H28:L28"/>
    <mergeCell ref="M28:N28"/>
    <mergeCell ref="O28:P28"/>
    <mergeCell ref="Q28:R28"/>
    <mergeCell ref="S28:T28"/>
    <mergeCell ref="U28:V28"/>
    <mergeCell ref="W28:X28"/>
    <mergeCell ref="Y28:Z28"/>
    <mergeCell ref="AA28:AB28"/>
    <mergeCell ref="AC28:AD28"/>
    <mergeCell ref="AN28:AO28"/>
    <mergeCell ref="O26:P26"/>
    <mergeCell ref="Q26:R26"/>
    <mergeCell ref="S26:T26"/>
    <mergeCell ref="U26:V26"/>
    <mergeCell ref="W26:X26"/>
    <mergeCell ref="Y26:Z26"/>
    <mergeCell ref="AA26:AB26"/>
    <mergeCell ref="AC26:AD26"/>
    <mergeCell ref="AI26:AO26"/>
    <mergeCell ref="AN21:AO21"/>
    <mergeCell ref="B22:G22"/>
    <mergeCell ref="H22:L22"/>
    <mergeCell ref="M22:N22"/>
    <mergeCell ref="O22:P22"/>
    <mergeCell ref="Q22:R22"/>
    <mergeCell ref="S22:T22"/>
    <mergeCell ref="U22:V22"/>
    <mergeCell ref="W22:X22"/>
    <mergeCell ref="Y22:Z22"/>
    <mergeCell ref="AA22:AB22"/>
    <mergeCell ref="AC22:AD22"/>
    <mergeCell ref="AE22:AF22"/>
    <mergeCell ref="AN22:AO22"/>
    <mergeCell ref="B19:G19"/>
    <mergeCell ref="H19:L19"/>
    <mergeCell ref="M19:N19"/>
    <mergeCell ref="O19:P19"/>
    <mergeCell ref="Q19:R19"/>
    <mergeCell ref="S19:T19"/>
    <mergeCell ref="AN19:AO19"/>
    <mergeCell ref="B20:G20"/>
    <mergeCell ref="H20:L20"/>
    <mergeCell ref="M20:N20"/>
    <mergeCell ref="O20:P20"/>
    <mergeCell ref="Q20:R20"/>
    <mergeCell ref="S20:T20"/>
    <mergeCell ref="U20:V20"/>
    <mergeCell ref="W20:X20"/>
    <mergeCell ref="Y20:Z20"/>
    <mergeCell ref="AA20:AB20"/>
    <mergeCell ref="AC20:AD20"/>
    <mergeCell ref="AE20:AF20"/>
    <mergeCell ref="AN20:AO20"/>
    <mergeCell ref="B12:E12"/>
    <mergeCell ref="F12:I12"/>
    <mergeCell ref="J12:K12"/>
    <mergeCell ref="B13:E13"/>
    <mergeCell ref="F13:I13"/>
    <mergeCell ref="J13:K13"/>
    <mergeCell ref="O17:AF17"/>
    <mergeCell ref="AI17:AO17"/>
    <mergeCell ref="O18:P18"/>
    <mergeCell ref="Q18:R18"/>
    <mergeCell ref="S18:T18"/>
    <mergeCell ref="U18:V18"/>
    <mergeCell ref="W18:X18"/>
    <mergeCell ref="Y18:Z18"/>
    <mergeCell ref="AA18:AB18"/>
    <mergeCell ref="AC18:AD18"/>
    <mergeCell ref="AE18:AF18"/>
    <mergeCell ref="AI18:AO18"/>
    <mergeCell ref="B8:E8"/>
    <mergeCell ref="F8:K8"/>
    <mergeCell ref="B2:E2"/>
    <mergeCell ref="G2:K2"/>
    <mergeCell ref="B9:E9"/>
    <mergeCell ref="F9:K9"/>
    <mergeCell ref="B10:E10"/>
    <mergeCell ref="F10:K10"/>
    <mergeCell ref="B11:E11"/>
    <mergeCell ref="F11:K11"/>
    <mergeCell ref="U2:Y2"/>
    <mergeCell ref="AA2:AE2"/>
    <mergeCell ref="AI2:AM2"/>
    <mergeCell ref="AO2:AR2"/>
    <mergeCell ref="B6:E6"/>
    <mergeCell ref="F6:K6"/>
    <mergeCell ref="O2:S2"/>
    <mergeCell ref="B7:E7"/>
    <mergeCell ref="F7:K7"/>
  </mergeCells>
  <conditionalFormatting sqref="BH26:BH85 AY5:AZ5 AY6:AY42 BH5:BI5 BH6:BH24 AZ6:AZ82 AZ85:AZ132 AZ138:AZ141">
    <cfRule type="cellIs" dxfId="720" priority="39" stopIfTrue="1" operator="equal">
      <formula>0</formula>
    </cfRule>
  </conditionalFormatting>
  <conditionalFormatting sqref="AY53:AY56 AY66:AY69 AY43:AY50">
    <cfRule type="cellIs" dxfId="719" priority="37" stopIfTrue="1" operator="equal">
      <formula>0</formula>
    </cfRule>
  </conditionalFormatting>
  <conditionalFormatting sqref="O17:AF17 O19:T19 O20:AD20 W22:AF22 O27:T27 O28:AD28 O30:AD30">
    <cfRule type="expression" dxfId="718" priority="38" stopIfTrue="1">
      <formula>$AW$4=0</formula>
    </cfRule>
  </conditionalFormatting>
  <conditionalFormatting sqref="AY76:AY77 AY79 AY81:AY82">
    <cfRule type="cellIs" dxfId="717" priority="36" stopIfTrue="1" operator="equal">
      <formula>0</formula>
    </cfRule>
  </conditionalFormatting>
  <conditionalFormatting sqref="AY88:AY97">
    <cfRule type="cellIs" dxfId="716" priority="34" stopIfTrue="1" operator="equal">
      <formula>0</formula>
    </cfRule>
  </conditionalFormatting>
  <conditionalFormatting sqref="BH25">
    <cfRule type="cellIs" dxfId="715" priority="33" stopIfTrue="1" operator="equal">
      <formula>0</formula>
    </cfRule>
  </conditionalFormatting>
  <conditionalFormatting sqref="AY51:AY52">
    <cfRule type="cellIs" dxfId="714" priority="32" stopIfTrue="1" operator="equal">
      <formula>0</formula>
    </cfRule>
  </conditionalFormatting>
  <conditionalFormatting sqref="AY57:AY63">
    <cfRule type="cellIs" dxfId="713" priority="31" stopIfTrue="1" operator="equal">
      <formula>0</formula>
    </cfRule>
  </conditionalFormatting>
  <conditionalFormatting sqref="AY70:AY73">
    <cfRule type="cellIs" dxfId="712" priority="30" stopIfTrue="1" operator="equal">
      <formula>0</formula>
    </cfRule>
  </conditionalFormatting>
  <conditionalFormatting sqref="AY74">
    <cfRule type="cellIs" dxfId="711" priority="29" stopIfTrue="1" operator="equal">
      <formula>0</formula>
    </cfRule>
  </conditionalFormatting>
  <conditionalFormatting sqref="AY75">
    <cfRule type="cellIs" dxfId="710" priority="28" stopIfTrue="1" operator="equal">
      <formula>0</formula>
    </cfRule>
  </conditionalFormatting>
  <conditionalFormatting sqref="AY78">
    <cfRule type="cellIs" dxfId="709" priority="27" stopIfTrue="1" operator="equal">
      <formula>0</formula>
    </cfRule>
  </conditionalFormatting>
  <conditionalFormatting sqref="AY85:AY87">
    <cfRule type="cellIs" dxfId="708" priority="26" stopIfTrue="1" operator="equal">
      <formula>0</formula>
    </cfRule>
  </conditionalFormatting>
  <conditionalFormatting sqref="BH101:BH106">
    <cfRule type="cellIs" dxfId="707" priority="25" stopIfTrue="1" operator="equal">
      <formula>0</formula>
    </cfRule>
  </conditionalFormatting>
  <conditionalFormatting sqref="BH122:BH124 BH126:BH127 BH132 BH138:BH143">
    <cfRule type="cellIs" dxfId="706" priority="24" stopIfTrue="1" operator="equal">
      <formula>0</formula>
    </cfRule>
  </conditionalFormatting>
  <conditionalFormatting sqref="AY98:AY132 AY138:AY141">
    <cfRule type="cellIs" dxfId="705" priority="23" stopIfTrue="1" operator="equal">
      <formula>0</formula>
    </cfRule>
  </conditionalFormatting>
  <conditionalFormatting sqref="AY64:AY65">
    <cfRule type="cellIs" dxfId="704" priority="22" stopIfTrue="1" operator="equal">
      <formula>0</formula>
    </cfRule>
  </conditionalFormatting>
  <conditionalFormatting sqref="BH86:BH100">
    <cfRule type="cellIs" dxfId="703" priority="21" stopIfTrue="1" operator="equal">
      <formula>0</formula>
    </cfRule>
  </conditionalFormatting>
  <conditionalFormatting sqref="BH107:BH121">
    <cfRule type="cellIs" dxfId="702" priority="20" stopIfTrue="1" operator="equal">
      <formula>0</formula>
    </cfRule>
  </conditionalFormatting>
  <conditionalFormatting sqref="AY80">
    <cfRule type="cellIs" dxfId="701" priority="19" stopIfTrue="1" operator="equal">
      <formula>0</formula>
    </cfRule>
  </conditionalFormatting>
  <conditionalFormatting sqref="BH125">
    <cfRule type="cellIs" dxfId="700" priority="18" stopIfTrue="1" operator="equal">
      <formula>0</formula>
    </cfRule>
  </conditionalFormatting>
  <conditionalFormatting sqref="F13:K13">
    <cfRule type="expression" dxfId="699" priority="17" stopIfTrue="1">
      <formula>$AW$4=1</formula>
    </cfRule>
  </conditionalFormatting>
  <conditionalFormatting sqref="BI6:BI127 BI132 BI138:BI143">
    <cfRule type="cellIs" dxfId="698" priority="16" stopIfTrue="1" operator="equal">
      <formula>0</formula>
    </cfRule>
  </conditionalFormatting>
  <conditionalFormatting sqref="AZ83:AZ84">
    <cfRule type="cellIs" dxfId="697" priority="14" stopIfTrue="1" operator="equal">
      <formula>0</formula>
    </cfRule>
  </conditionalFormatting>
  <conditionalFormatting sqref="AY83:AY84">
    <cfRule type="cellIs" dxfId="696" priority="13" stopIfTrue="1" operator="equal">
      <formula>0</formula>
    </cfRule>
  </conditionalFormatting>
  <conditionalFormatting sqref="BH128:BH129">
    <cfRule type="cellIs" dxfId="695" priority="12" stopIfTrue="1" operator="equal">
      <formula>0</formula>
    </cfRule>
  </conditionalFormatting>
  <conditionalFormatting sqref="BI128:BI129">
    <cfRule type="cellIs" dxfId="694" priority="11" stopIfTrue="1" operator="equal">
      <formula>0</formula>
    </cfRule>
  </conditionalFormatting>
  <conditionalFormatting sqref="BH130:BH131">
    <cfRule type="cellIs" dxfId="693" priority="10" stopIfTrue="1" operator="equal">
      <formula>0</formula>
    </cfRule>
  </conditionalFormatting>
  <conditionalFormatting sqref="BI130:BI131">
    <cfRule type="cellIs" dxfId="692" priority="9" stopIfTrue="1" operator="equal">
      <formula>0</formula>
    </cfRule>
  </conditionalFormatting>
  <conditionalFormatting sqref="AR87">
    <cfRule type="expression" dxfId="691" priority="8" stopIfTrue="1">
      <formula>$AU$87=AU89</formula>
    </cfRule>
  </conditionalFormatting>
  <conditionalFormatting sqref="AZ133:AZ137">
    <cfRule type="cellIs" dxfId="690" priority="7" stopIfTrue="1" operator="equal">
      <formula>0</formula>
    </cfRule>
  </conditionalFormatting>
  <conditionalFormatting sqref="AY133:AY137">
    <cfRule type="cellIs" dxfId="689" priority="6" stopIfTrue="1" operator="equal">
      <formula>0</formula>
    </cfRule>
  </conditionalFormatting>
  <conditionalFormatting sqref="BH133 BH136:BH137">
    <cfRule type="cellIs" dxfId="688" priority="5" stopIfTrue="1" operator="equal">
      <formula>0</formula>
    </cfRule>
  </conditionalFormatting>
  <conditionalFormatting sqref="BI133:BI137">
    <cfRule type="cellIs" dxfId="687" priority="4" stopIfTrue="1" operator="equal">
      <formula>0</formula>
    </cfRule>
  </conditionalFormatting>
  <conditionalFormatting sqref="BH134:BH135">
    <cfRule type="cellIs" dxfId="686" priority="3" stopIfTrue="1" operator="equal">
      <formula>0</formula>
    </cfRule>
  </conditionalFormatting>
  <conditionalFormatting sqref="AI17:AO17">
    <cfRule type="expression" dxfId="685" priority="2" stopIfTrue="1">
      <formula>$AW$4=0</formula>
    </cfRule>
  </conditionalFormatting>
  <conditionalFormatting sqref="AI25:AO25">
    <cfRule type="expression" dxfId="684" priority="1" stopIfTrue="1">
      <formula>$AW$4=0</formula>
    </cfRule>
  </conditionalFormatting>
  <hyperlinks>
    <hyperlink ref="M4" location="MENU!A1" display="MENU!A1" xr:uid="{00000000-0004-0000-0A00-000000000000}"/>
    <hyperlink ref="M10" location="OBJ!A1" display="OBJ!A1" xr:uid="{00000000-0004-0000-0A00-000001000000}"/>
    <hyperlink ref="M9" location="suhrn!A1" display="suhrn!A1" xr:uid="{00000000-0004-0000-0A00-000002000000}"/>
    <hyperlink ref="O2:S2" location="MENU!A5" display="MENU!A5" xr:uid="{00000000-0004-0000-0A00-000003000000}"/>
    <hyperlink ref="M69" location="MENU!A1" display="MENU!A1" xr:uid="{00000000-0004-0000-0A00-000004000000}"/>
    <hyperlink ref="B67:E67" location="'AVT101(vn-A)'!A1" display="'AVT101(vn-A)'!A1" xr:uid="{00000000-0004-0000-0A00-000005000000}"/>
    <hyperlink ref="AK9:AO10" location="'IT70(vn100)'!A66" display="'IT70(vn100)'!A66" xr:uid="{00000000-0004-0000-0A00-000006000000}"/>
    <hyperlink ref="AK9:AP10" location="'AVT101(vn-A)'!A66" display="'AVT101(vn-A)'!A66" xr:uid="{00000000-0004-0000-0A00-000007000000}"/>
  </hyperlinks>
  <printOptions horizontalCentered="1"/>
  <pageMargins left="0.19685039370078741" right="0.19685039370078741" top="0.19685039370078741" bottom="0.19685039370078741" header="0.31496062992125984" footer="0.31496062992125984"/>
  <pageSetup paperSize="9" orientation="landscape" r:id="rId1"/>
  <headerFooter>
    <oddHeader>&amp;R&amp;"Aptos"&amp;10&amp;K000000 Restricted&amp;1#_x000D_</oddHeader>
  </headerFooter>
  <drawing r:id="rId2"/>
  <legacy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List54">
    <tabColor rgb="FFFF0000"/>
  </sheetPr>
  <dimension ref="A1:BK140"/>
  <sheetViews>
    <sheetView showGridLines="0" showRowColHeaders="0" zoomScale="95" zoomScaleNormal="95" workbookViewId="0"/>
  </sheetViews>
  <sheetFormatPr defaultColWidth="9" defaultRowHeight="13.8"/>
  <cols>
    <col min="1" max="1" width="3.59765625" style="86" customWidth="1"/>
    <col min="2" max="4" width="3.09765625" style="86" customWidth="1"/>
    <col min="5" max="5" width="7.59765625" style="86" customWidth="1"/>
    <col min="6" max="44" width="3.09765625" style="86" customWidth="1"/>
    <col min="45" max="45" width="3.59765625" style="86" customWidth="1"/>
    <col min="46" max="46" width="9" style="86" customWidth="1"/>
    <col min="47" max="47" width="9" style="86" hidden="1" customWidth="1"/>
    <col min="48" max="48" width="32.5" style="86" hidden="1" customWidth="1"/>
    <col min="49" max="49" width="4.3984375" style="86" hidden="1" customWidth="1"/>
    <col min="50" max="50" width="2" style="86" hidden="1" customWidth="1"/>
    <col min="51" max="52" width="4.59765625" style="86" hidden="1" customWidth="1"/>
    <col min="53" max="54" width="9" style="86" hidden="1" customWidth="1"/>
    <col min="55" max="55" width="2.59765625" style="86" hidden="1" customWidth="1"/>
    <col min="56" max="56" width="9" style="86" hidden="1" customWidth="1"/>
    <col min="57" max="57" width="33.8984375" style="86" hidden="1" customWidth="1"/>
    <col min="58" max="58" width="4.3984375" style="86" hidden="1" customWidth="1"/>
    <col min="59" max="59" width="2" style="86" hidden="1" customWidth="1"/>
    <col min="60" max="61" width="4.59765625" style="86" hidden="1" customWidth="1"/>
    <col min="62" max="63" width="9" style="86" hidden="1" customWidth="1"/>
    <col min="64" max="75" width="9" style="86" customWidth="1"/>
    <col min="76" max="16384" width="9" style="86"/>
  </cols>
  <sheetData>
    <row r="1" spans="1:63" ht="12.9" customHeight="1" thickBot="1">
      <c r="AU1" s="140"/>
      <c r="AV1" s="279"/>
      <c r="AW1" s="279"/>
      <c r="AX1" s="140"/>
      <c r="AY1" s="140"/>
      <c r="AZ1" s="140"/>
      <c r="BA1" s="140"/>
      <c r="BB1" s="140"/>
      <c r="BC1" s="140"/>
      <c r="BD1" s="140"/>
      <c r="BE1" s="140"/>
      <c r="BF1" s="140"/>
      <c r="BG1" s="140"/>
      <c r="BH1" s="140"/>
      <c r="BI1" s="140"/>
      <c r="BJ1" s="140"/>
      <c r="BK1" s="140"/>
    </row>
    <row r="2" spans="1:63" ht="23.1" customHeight="1" thickBot="1">
      <c r="B2" s="475" t="str">
        <f>verze!E13</f>
        <v>&lt;&lt;  zpět</v>
      </c>
      <c r="C2" s="476"/>
      <c r="D2" s="476"/>
      <c r="E2" s="477"/>
      <c r="G2" s="513" t="str">
        <f>verze!E6</f>
        <v xml:space="preserve"> Úvod</v>
      </c>
      <c r="H2" s="514"/>
      <c r="I2" s="514"/>
      <c r="J2" s="514"/>
      <c r="K2" s="515"/>
      <c r="O2" s="500" t="str">
        <f>verze!E7</f>
        <v xml:space="preserve"> Výběr zásuvek</v>
      </c>
      <c r="P2" s="501"/>
      <c r="Q2" s="501"/>
      <c r="R2" s="501"/>
      <c r="S2" s="502"/>
      <c r="U2" s="513" t="str">
        <f>verze!E8</f>
        <v xml:space="preserve"> </v>
      </c>
      <c r="V2" s="514"/>
      <c r="W2" s="514"/>
      <c r="X2" s="514"/>
      <c r="Y2" s="515"/>
      <c r="AA2" s="513" t="str">
        <f>verze!E9</f>
        <v xml:space="preserve"> </v>
      </c>
      <c r="AB2" s="514"/>
      <c r="AC2" s="514"/>
      <c r="AD2" s="514"/>
      <c r="AE2" s="515"/>
      <c r="AI2" s="513" t="str">
        <f>verze!E10</f>
        <v xml:space="preserve"> Objednávka</v>
      </c>
      <c r="AJ2" s="514"/>
      <c r="AK2" s="514"/>
      <c r="AL2" s="514"/>
      <c r="AM2" s="515"/>
      <c r="AO2" s="475" t="str">
        <f>verze!E14</f>
        <v>vpřed  &gt;&gt;</v>
      </c>
      <c r="AP2" s="476"/>
      <c r="AQ2" s="476"/>
      <c r="AR2" s="477"/>
      <c r="AV2" s="143"/>
      <c r="AW2" s="143"/>
    </row>
    <row r="3" spans="1:63" ht="12.9" customHeight="1">
      <c r="AV3" s="143"/>
      <c r="AW3" s="143"/>
    </row>
    <row r="4" spans="1:63" ht="23.1" customHeight="1">
      <c r="A4" s="89"/>
      <c r="B4" s="93" t="str">
        <f>verze!E206&amp;" AVANTECH YOU  139"</f>
        <v>Zásuvka AVANTECH YOU  139</v>
      </c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U4" s="94" t="s">
        <v>33</v>
      </c>
      <c r="AW4" s="285">
        <f>IF(FORM!AU13=FORM!U18,1,0)</f>
        <v>1</v>
      </c>
      <c r="BB4" s="322">
        <f>SUM(BB6:BB989)</f>
        <v>0</v>
      </c>
      <c r="BD4" s="94" t="s">
        <v>34</v>
      </c>
      <c r="BK4" s="322">
        <f>SUM(BK7:BK990)</f>
        <v>0</v>
      </c>
    </row>
    <row r="5" spans="1:63" ht="14.4" customHeight="1">
      <c r="AU5" s="319">
        <f>OBJ!B81</f>
        <v>9353344</v>
      </c>
      <c r="AV5" s="21" t="str">
        <f>VLOOKUP(AU5,CENY!$B$11:$G$1054,2,FALSE)</f>
        <v>AvanY-sólo oceľ.boky-NW 139/270mm/strieb.</v>
      </c>
      <c r="AW5" s="22">
        <f>VLOOKUP(AU5,CENY!$B$11:$G$1054,3,FALSE)</f>
        <v>1</v>
      </c>
      <c r="AX5" s="362">
        <v>4</v>
      </c>
      <c r="AY5" s="23">
        <f>O19+O20+O27+O28+O30</f>
        <v>0</v>
      </c>
      <c r="AZ5" s="326">
        <f>IF(AY5="","",IF($AW$4=1,AY5,0))</f>
        <v>0</v>
      </c>
      <c r="BA5" s="95">
        <f>VLOOKUP(AU5,CENY!$B$11:$M$2025,12,FALSE)</f>
        <v>645.97351000000003</v>
      </c>
      <c r="BB5" s="95">
        <f t="shared" ref="BB5" si="0">IF(BA5="","",BA5*AY5)</f>
        <v>0</v>
      </c>
      <c r="BD5" s="319">
        <f>OBJ!B91</f>
        <v>9255026</v>
      </c>
      <c r="BE5" s="21" t="str">
        <f>VLOOKUP(BD5,CENY!$B$11:$G$1054,2,FALSE)</f>
        <v>AvanY-bok ľavý /v139/h270/ strieborná</v>
      </c>
      <c r="BF5" s="22">
        <f>VLOOKUP(BD5,CENY!$B$11:$G$1054,3,FALSE)</f>
        <v>20</v>
      </c>
      <c r="BG5" s="22"/>
      <c r="BH5" s="23">
        <f>AY5</f>
        <v>0</v>
      </c>
      <c r="BI5" s="326">
        <f>IF(BH5="","",IF($AW$4=0,BH5,0))</f>
        <v>0</v>
      </c>
      <c r="BJ5" s="95">
        <f>VLOOKUP(BD5,CENY!$B$11:$M$2025,12,FALSE)</f>
        <v>0</v>
      </c>
      <c r="BK5" s="95">
        <f>IF(BJ5="","",BJ5*BH5)</f>
        <v>0</v>
      </c>
    </row>
    <row r="6" spans="1:63" ht="14.4" customHeight="1">
      <c r="B6" s="549" t="str">
        <f>" "&amp;verze!E90</f>
        <v xml:space="preserve"> bočnice:</v>
      </c>
      <c r="C6" s="549"/>
      <c r="D6" s="549"/>
      <c r="E6" s="549"/>
      <c r="F6" s="564" t="s">
        <v>327</v>
      </c>
      <c r="G6" s="564"/>
      <c r="H6" s="564"/>
      <c r="I6" s="564"/>
      <c r="J6" s="564"/>
      <c r="K6" s="564"/>
      <c r="AU6" s="319">
        <f>OBJ!B82</f>
        <v>9353345</v>
      </c>
      <c r="AV6" s="21" t="str">
        <f>VLOOKUP(AU6,CENY!$B$11:$G$1054,2,FALSE)</f>
        <v>AvanY-sólo oceľ.boky-NW 139/300mm/strieb.</v>
      </c>
      <c r="AW6" s="22">
        <f>VLOOKUP(AU6,CENY!$B$11:$G$1054,3,FALSE)</f>
        <v>1</v>
      </c>
      <c r="AX6" s="362">
        <v>4</v>
      </c>
      <c r="AY6" s="23">
        <f>Q19+Q20+Q27+Q28+Q30</f>
        <v>0</v>
      </c>
      <c r="AZ6" s="326">
        <f>IF(AY6="","",IF($AW$4=1,AY6,0))</f>
        <v>0</v>
      </c>
      <c r="BA6" s="95">
        <f>VLOOKUP(AU6,CENY!$B$11:$M$2025,12,FALSE)</f>
        <v>650.52683000000002</v>
      </c>
      <c r="BB6" s="95">
        <f t="shared" ref="BB6:BB78" si="1">IF(BA6="","",BA6*AY6)</f>
        <v>0</v>
      </c>
      <c r="BD6" s="319">
        <f>OBJ!B92</f>
        <v>9255027</v>
      </c>
      <c r="BE6" s="21" t="str">
        <f>VLOOKUP(BD6,CENY!$B$11:$G$1054,2,FALSE)</f>
        <v>AvanY-bok pravý /v139/h270/ strieborná</v>
      </c>
      <c r="BF6" s="22">
        <f>VLOOKUP(BD6,CENY!$B$11:$G$1054,3,FALSE)</f>
        <v>20</v>
      </c>
      <c r="BG6" s="22"/>
      <c r="BH6" s="23">
        <f>AY5</f>
        <v>0</v>
      </c>
      <c r="BI6" s="326">
        <f t="shared" ref="BI6" si="2">IF(BH6="","",IF($AW$4=0,BH6,0))</f>
        <v>0</v>
      </c>
      <c r="BJ6" s="95">
        <f>VLOOKUP(BD6,CENY!$B$11:$M$2025,12,FALSE)</f>
        <v>0</v>
      </c>
      <c r="BK6" s="95">
        <f t="shared" ref="BK6" si="3">IF(BJ6="","",BJ6*BH6)</f>
        <v>0</v>
      </c>
    </row>
    <row r="7" spans="1:63" ht="14.4" customHeight="1">
      <c r="B7" s="549" t="str">
        <f>" "&amp;verze!E56</f>
        <v xml:space="preserve"> barva:</v>
      </c>
      <c r="C7" s="549"/>
      <c r="D7" s="549"/>
      <c r="E7" s="549"/>
      <c r="F7" s="564" t="str">
        <f>" "&amp;FORM!U8</f>
        <v xml:space="preserve"> stříbrná</v>
      </c>
      <c r="G7" s="564"/>
      <c r="H7" s="564"/>
      <c r="I7" s="564"/>
      <c r="J7" s="564"/>
      <c r="K7" s="564"/>
      <c r="AU7" s="319">
        <f>OBJ!B83</f>
        <v>9353346</v>
      </c>
      <c r="AV7" s="21" t="str">
        <f>VLOOKUP(AU7,CENY!$B$11:$G$1054,2,FALSE)</f>
        <v>AvanY-sólo oceľ.boky-NW 139/350mm/strieb.</v>
      </c>
      <c r="AW7" s="22">
        <f>VLOOKUP(AU7,CENY!$B$11:$G$1054,3,FALSE)</f>
        <v>1</v>
      </c>
      <c r="AX7" s="362">
        <v>6</v>
      </c>
      <c r="AY7" s="23">
        <f>S19+S20+S27+S28+S30</f>
        <v>0</v>
      </c>
      <c r="AZ7" s="326">
        <f t="shared" ref="AZ7:AZ79" si="4">IF(AY7="","",IF($AW$4=1,AY7,0))</f>
        <v>0</v>
      </c>
      <c r="BA7" s="95">
        <f>VLOOKUP(AU7,CENY!$B$11:$M$2025,12,FALSE)</f>
        <v>659.97708</v>
      </c>
      <c r="BB7" s="95">
        <f t="shared" si="1"/>
        <v>0</v>
      </c>
      <c r="BD7" s="319">
        <f>OBJ!B93</f>
        <v>9255028</v>
      </c>
      <c r="BE7" s="21" t="str">
        <f>VLOOKUP(BD7,CENY!$B$11:$G$1054,2,FALSE)</f>
        <v>AvanY-bok ľavý /v139/h300/ strieborná</v>
      </c>
      <c r="BF7" s="22">
        <f>VLOOKUP(BD7,CENY!$B$11:$G$1054,3,FALSE)</f>
        <v>20</v>
      </c>
      <c r="BG7" s="22"/>
      <c r="BH7" s="23">
        <f>AY6</f>
        <v>0</v>
      </c>
      <c r="BI7" s="326">
        <f>IF(BH7="","",IF($AW$4=0,BH7,0))</f>
        <v>0</v>
      </c>
      <c r="BJ7" s="95">
        <f>VLOOKUP(BD7,CENY!$B$11:$M$2025,12,FALSE)</f>
        <v>268.07722999999999</v>
      </c>
      <c r="BK7" s="95">
        <f>IF(BJ7="","",BJ7*BH7)</f>
        <v>0</v>
      </c>
    </row>
    <row r="8" spans="1:63" ht="14.4" customHeight="1" thickBot="1">
      <c r="B8" s="549" t="str">
        <f>" "&amp;verze!E70</f>
        <v xml:space="preserve"> dekorativní profil:</v>
      </c>
      <c r="C8" s="549"/>
      <c r="D8" s="549"/>
      <c r="E8" s="549"/>
      <c r="F8" s="564" t="str">
        <f>" "&amp;FORM!AM18</f>
        <v xml:space="preserve"> v barvě bočnice</v>
      </c>
      <c r="G8" s="564"/>
      <c r="H8" s="564"/>
      <c r="I8" s="564"/>
      <c r="J8" s="564"/>
      <c r="K8" s="564"/>
      <c r="AU8" s="319">
        <f>OBJ!B84</f>
        <v>9353347</v>
      </c>
      <c r="AV8" s="21" t="str">
        <f>VLOOKUP(AU8,CENY!$B$11:$G$1054,2,FALSE)</f>
        <v>AvanY-sólo oceľ.boky-NW 139/400mm/strieb.</v>
      </c>
      <c r="AW8" s="22">
        <f>VLOOKUP(AU8,CENY!$B$11:$G$1054,3,FALSE)</f>
        <v>1</v>
      </c>
      <c r="AX8" s="362">
        <v>6</v>
      </c>
      <c r="AY8" s="23">
        <f>U20+U28+U30</f>
        <v>0</v>
      </c>
      <c r="AZ8" s="326">
        <f t="shared" si="4"/>
        <v>0</v>
      </c>
      <c r="BA8" s="95">
        <f>VLOOKUP(AU8,CENY!$B$11:$M$2025,12,FALSE)</f>
        <v>669.42296999999996</v>
      </c>
      <c r="BB8" s="95">
        <f t="shared" si="1"/>
        <v>0</v>
      </c>
      <c r="BD8" s="319">
        <f>OBJ!B94</f>
        <v>9255029</v>
      </c>
      <c r="BE8" s="21" t="str">
        <f>VLOOKUP(BD8,CENY!$B$11:$G$1054,2,FALSE)</f>
        <v>AvanY-bok pravý /v139/h300/ strieborná</v>
      </c>
      <c r="BF8" s="22">
        <f>VLOOKUP(BD8,CENY!$B$11:$G$1054,3,FALSE)</f>
        <v>20</v>
      </c>
      <c r="BG8" s="22"/>
      <c r="BH8" s="23">
        <f>AY6</f>
        <v>0</v>
      </c>
      <c r="BI8" s="326">
        <f t="shared" ref="BI8:BI83" si="5">IF(BH8="","",IF($AW$4=0,BH8,0))</f>
        <v>0</v>
      </c>
      <c r="BJ8" s="95">
        <f>VLOOKUP(BD8,CENY!$B$11:$M$2025,12,FALSE)</f>
        <v>268.07722999999999</v>
      </c>
      <c r="BK8" s="95">
        <f t="shared" ref="BK8:BK83" si="6">IF(BJ8="","",BJ8*BH8)</f>
        <v>0</v>
      </c>
    </row>
    <row r="9" spans="1:63" ht="14.4" customHeight="1" thickTop="1">
      <c r="B9" s="549"/>
      <c r="C9" s="549"/>
      <c r="D9" s="549"/>
      <c r="E9" s="549"/>
      <c r="F9" s="564"/>
      <c r="G9" s="564"/>
      <c r="H9" s="564"/>
      <c r="I9" s="564"/>
      <c r="J9" s="564"/>
      <c r="K9" s="564"/>
      <c r="AK9" s="585" t="str">
        <f>verze!E160</f>
        <v>Je nutné natypovat šířky čel ?</v>
      </c>
      <c r="AL9" s="586"/>
      <c r="AM9" s="586"/>
      <c r="AN9" s="586"/>
      <c r="AO9" s="586"/>
      <c r="AP9" s="587"/>
      <c r="AU9" s="319">
        <f>OBJ!B85</f>
        <v>9353348</v>
      </c>
      <c r="AV9" s="21" t="str">
        <f>VLOOKUP(AU9,CENY!$B$11:$G$1054,2,FALSE)</f>
        <v>AvanY-sólo oceľ.boky-NW 139/450mm/strieb.</v>
      </c>
      <c r="AW9" s="22">
        <f>VLOOKUP(AU9,CENY!$B$11:$G$1054,3,FALSE)</f>
        <v>1</v>
      </c>
      <c r="AX9" s="362">
        <v>6</v>
      </c>
      <c r="AY9" s="23">
        <f>W20+W22+W28+W30</f>
        <v>0</v>
      </c>
      <c r="AZ9" s="326">
        <f t="shared" si="4"/>
        <v>0</v>
      </c>
      <c r="BA9" s="95">
        <f>VLOOKUP(AU9,CENY!$B$11:$M$2025,12,FALSE)</f>
        <v>660.82442000000003</v>
      </c>
      <c r="BB9" s="95">
        <f t="shared" si="1"/>
        <v>0</v>
      </c>
      <c r="BD9" s="319">
        <f>OBJ!B95</f>
        <v>9255030</v>
      </c>
      <c r="BE9" s="21" t="str">
        <f>VLOOKUP(BD9,CENY!$B$11:$G$1054,2,FALSE)</f>
        <v>AvanY-bok ľavý /v139/h350/ strieborná</v>
      </c>
      <c r="BF9" s="22">
        <f>VLOOKUP(BD9,CENY!$B$11:$G$1054,3,FALSE)</f>
        <v>20</v>
      </c>
      <c r="BG9" s="22"/>
      <c r="BH9" s="23">
        <f>AY7</f>
        <v>0</v>
      </c>
      <c r="BI9" s="326">
        <f t="shared" si="5"/>
        <v>0</v>
      </c>
      <c r="BJ9" s="95">
        <f>VLOOKUP(BD9,CENY!$B$11:$M$2025,12,FALSE)</f>
        <v>273.01260000000002</v>
      </c>
      <c r="BK9" s="95">
        <f t="shared" si="6"/>
        <v>0</v>
      </c>
    </row>
    <row r="10" spans="1:63" ht="14.4" customHeight="1">
      <c r="B10" s="549" t="str">
        <f>" "&amp;verze!E57</f>
        <v xml:space="preserve"> čelní kování:</v>
      </c>
      <c r="C10" s="549"/>
      <c r="D10" s="549"/>
      <c r="E10" s="549"/>
      <c r="F10" s="563" t="str">
        <f>" "&amp;FORM!AM8</f>
        <v xml:space="preserve"> na vruty</v>
      </c>
      <c r="G10" s="563"/>
      <c r="H10" s="563"/>
      <c r="I10" s="563"/>
      <c r="J10" s="563"/>
      <c r="K10" s="563"/>
      <c r="AK10" s="588"/>
      <c r="AL10" s="589"/>
      <c r="AM10" s="589"/>
      <c r="AN10" s="589"/>
      <c r="AO10" s="589"/>
      <c r="AP10" s="590"/>
      <c r="AU10" s="319">
        <f>OBJ!B86</f>
        <v>9353349</v>
      </c>
      <c r="AV10" s="21" t="str">
        <f>VLOOKUP(AU10,CENY!$B$11:$G$1054,2,FALSE)</f>
        <v>AvanY-sólo oceľ.boky-NW 139/500mm/strieb.</v>
      </c>
      <c r="AW10" s="22">
        <f>VLOOKUP(AU10,CENY!$B$11:$G$1054,3,FALSE)</f>
        <v>1</v>
      </c>
      <c r="AX10" s="362">
        <v>8</v>
      </c>
      <c r="AY10" s="23">
        <f>Y20+Y22+Y28+Y30</f>
        <v>0</v>
      </c>
      <c r="AZ10" s="326">
        <f t="shared" si="4"/>
        <v>0</v>
      </c>
      <c r="BA10" s="95">
        <f>VLOOKUP(AU10,CENY!$B$11:$M$2025,12,FALSE)</f>
        <v>670.01910999999996</v>
      </c>
      <c r="BB10" s="95">
        <f t="shared" si="1"/>
        <v>0</v>
      </c>
      <c r="BD10" s="319">
        <f>OBJ!B96</f>
        <v>9255031</v>
      </c>
      <c r="BE10" s="21" t="str">
        <f>VLOOKUP(BD10,CENY!$B$11:$G$1054,2,FALSE)</f>
        <v>AvanY-bok pravý /v139/h350/ strieborná</v>
      </c>
      <c r="BF10" s="22">
        <f>VLOOKUP(BD10,CENY!$B$11:$G$1054,3,FALSE)</f>
        <v>20</v>
      </c>
      <c r="BG10" s="22"/>
      <c r="BH10" s="23">
        <f>AY7</f>
        <v>0</v>
      </c>
      <c r="BI10" s="326">
        <f t="shared" si="5"/>
        <v>0</v>
      </c>
      <c r="BJ10" s="95">
        <f>VLOOKUP(BD10,CENY!$B$11:$M$2025,12,FALSE)</f>
        <v>273.01260000000002</v>
      </c>
      <c r="BK10" s="95">
        <f t="shared" si="6"/>
        <v>0</v>
      </c>
    </row>
    <row r="11" spans="1:63" ht="14.4" customHeight="1">
      <c r="B11" s="549" t="str">
        <f>" "&amp;verze!E76</f>
        <v xml:space="preserve"> krytka:</v>
      </c>
      <c r="C11" s="549"/>
      <c r="D11" s="549"/>
      <c r="E11" s="549"/>
      <c r="F11" s="563" t="str">
        <f>" "&amp;FORM!AM21</f>
        <v xml:space="preserve"> žádná</v>
      </c>
      <c r="G11" s="563"/>
      <c r="H11" s="563"/>
      <c r="I11" s="563"/>
      <c r="J11" s="563"/>
      <c r="K11" s="563"/>
      <c r="AU11" s="319">
        <f>OBJ!B87</f>
        <v>9353350</v>
      </c>
      <c r="AV11" s="21" t="str">
        <f>VLOOKUP(AU11,CENY!$B$11:$G$1054,2,FALSE)</f>
        <v>AvanY-sólo oceľ.boky-NW 139/550mm/strieb.</v>
      </c>
      <c r="AW11" s="22">
        <f>VLOOKUP(AU11,CENY!$B$11:$G$1054,3,FALSE)</f>
        <v>1</v>
      </c>
      <c r="AX11" s="362">
        <v>8</v>
      </c>
      <c r="AY11" s="23">
        <f>AA20+AA22+AA28+AA30</f>
        <v>0</v>
      </c>
      <c r="AZ11" s="326">
        <f t="shared" si="4"/>
        <v>0</v>
      </c>
      <c r="BA11" s="95">
        <f>VLOOKUP(AU11,CENY!$B$11:$M$2025,12,FALSE)</f>
        <v>697.76926000000003</v>
      </c>
      <c r="BB11" s="95">
        <f t="shared" si="1"/>
        <v>0</v>
      </c>
      <c r="BD11" s="319">
        <f>OBJ!B97</f>
        <v>9255032</v>
      </c>
      <c r="BE11" s="21" t="str">
        <f>VLOOKUP(BD11,CENY!$B$11:$G$1054,2,FALSE)</f>
        <v>AvanY-bok ľavý /v139/h400/ strieborná</v>
      </c>
      <c r="BF11" s="22">
        <f>VLOOKUP(BD11,CENY!$B$11:$G$1054,3,FALSE)</f>
        <v>20</v>
      </c>
      <c r="BG11" s="22"/>
      <c r="BH11" s="23">
        <f>AY8</f>
        <v>0</v>
      </c>
      <c r="BI11" s="326">
        <f t="shared" si="5"/>
        <v>0</v>
      </c>
      <c r="BJ11" s="95">
        <f>VLOOKUP(BD11,CENY!$B$11:$M$2025,12,FALSE)</f>
        <v>277.95048000000003</v>
      </c>
      <c r="BK11" s="95">
        <f t="shared" si="6"/>
        <v>0</v>
      </c>
    </row>
    <row r="12" spans="1:63" ht="14.4" customHeight="1" thickBot="1">
      <c r="B12" s="549"/>
      <c r="C12" s="549"/>
      <c r="D12" s="549"/>
      <c r="E12" s="550"/>
      <c r="F12" s="564"/>
      <c r="G12" s="564"/>
      <c r="H12" s="564"/>
      <c r="I12" s="564"/>
      <c r="J12" s="564"/>
      <c r="K12" s="564"/>
      <c r="AU12" s="319">
        <f>OBJ!B88</f>
        <v>9353351</v>
      </c>
      <c r="AV12" s="21" t="str">
        <f>VLOOKUP(AU12,CENY!$B$11:$G$1054,2,FALSE)</f>
        <v>AvanY-sólo oceľ.boky-NW 139/600mm/strieb.</v>
      </c>
      <c r="AW12" s="22">
        <f>VLOOKUP(AU12,CENY!$B$11:$G$1054,3,FALSE)</f>
        <v>1</v>
      </c>
      <c r="AX12" s="362">
        <v>8</v>
      </c>
      <c r="AY12" s="23">
        <f>AC20+AC22+AC28+AC30</f>
        <v>0</v>
      </c>
      <c r="AZ12" s="326">
        <f t="shared" si="4"/>
        <v>0</v>
      </c>
      <c r="BA12" s="95">
        <f>VLOOKUP(AU12,CENY!$B$11:$M$2025,12,FALSE)</f>
        <v>712.95127000000002</v>
      </c>
      <c r="BB12" s="95">
        <f t="shared" si="1"/>
        <v>0</v>
      </c>
      <c r="BD12" s="319">
        <f>OBJ!B98</f>
        <v>9255033</v>
      </c>
      <c r="BE12" s="21" t="str">
        <f>VLOOKUP(BD12,CENY!$B$11:$G$1054,2,FALSE)</f>
        <v>AvanY-bok pravý /v139/h400/ strieborná</v>
      </c>
      <c r="BF12" s="22">
        <f>VLOOKUP(BD12,CENY!$B$11:$G$1054,3,FALSE)</f>
        <v>20</v>
      </c>
      <c r="BG12" s="22"/>
      <c r="BH12" s="23">
        <f>AY8</f>
        <v>0</v>
      </c>
      <c r="BI12" s="326">
        <f t="shared" si="5"/>
        <v>0</v>
      </c>
      <c r="BJ12" s="95">
        <f>VLOOKUP(BD12,CENY!$B$11:$M$2025,12,FALSE)</f>
        <v>277.95048000000003</v>
      </c>
      <c r="BK12" s="95">
        <f t="shared" si="6"/>
        <v>0</v>
      </c>
    </row>
    <row r="13" spans="1:63" ht="14.4" customHeight="1">
      <c r="B13" s="549" t="str">
        <f>" "&amp;verze!E92</f>
        <v xml:space="preserve"> cena kování:</v>
      </c>
      <c r="C13" s="549"/>
      <c r="D13" s="549"/>
      <c r="E13" s="550"/>
      <c r="F13" s="555">
        <f>IF(AW4=1,BB4,BK4)</f>
        <v>0</v>
      </c>
      <c r="G13" s="555"/>
      <c r="H13" s="555"/>
      <c r="I13" s="555"/>
      <c r="J13" s="556" t="str">
        <f>IF(verze!E1="CZK","CZK","EUR")</f>
        <v>CZK</v>
      </c>
      <c r="K13" s="557"/>
      <c r="AU13" s="319">
        <f>OBJ!B89</f>
        <v>9353352</v>
      </c>
      <c r="AV13" s="21" t="str">
        <f>VLOOKUP(AU13,CENY!$B$11:$G$1054,2,FALSE)</f>
        <v>AvanY-sólo oceľ.boky-NW 139/650mm/strieb.</v>
      </c>
      <c r="AW13" s="22">
        <f>VLOOKUP(AU13,CENY!$B$11:$G$1054,3,FALSE)</f>
        <v>1</v>
      </c>
      <c r="AX13" s="362">
        <v>8</v>
      </c>
      <c r="AY13" s="23">
        <f>AE22</f>
        <v>0</v>
      </c>
      <c r="AZ13" s="326">
        <f t="shared" ref="AZ13" si="7">IF(AY13="","",IF($AW$4=1,AY13,0))</f>
        <v>0</v>
      </c>
      <c r="BA13" s="95">
        <f>VLOOKUP(AU13,CENY!$B$11:$M$2025,12,FALSE)</f>
        <v>730.98166000000003</v>
      </c>
      <c r="BB13" s="95">
        <f t="shared" ref="BB13" si="8">IF(BA13="","",BA13*AY13)</f>
        <v>0</v>
      </c>
      <c r="BD13" s="319">
        <f>OBJ!B99</f>
        <v>9255034</v>
      </c>
      <c r="BE13" s="21" t="str">
        <f>VLOOKUP(BD13,CENY!$B$11:$G$1054,2,FALSE)</f>
        <v>AvanY-bok ľavý /v139/h450/ strieborná</v>
      </c>
      <c r="BF13" s="22">
        <f>VLOOKUP(BD13,CENY!$B$11:$G$1054,3,FALSE)</f>
        <v>20</v>
      </c>
      <c r="BG13" s="22"/>
      <c r="BH13" s="23">
        <f>AY9</f>
        <v>0</v>
      </c>
      <c r="BI13" s="326">
        <f t="shared" si="5"/>
        <v>0</v>
      </c>
      <c r="BJ13" s="95">
        <f>VLOOKUP(BD13,CENY!$B$11:$M$2025,12,FALSE)</f>
        <v>282.88328000000001</v>
      </c>
      <c r="BK13" s="95">
        <f t="shared" si="6"/>
        <v>0</v>
      </c>
    </row>
    <row r="14" spans="1:63" ht="14.4" customHeight="1">
      <c r="AU14" s="319"/>
      <c r="AV14" s="21"/>
      <c r="AW14" s="22"/>
      <c r="AX14" s="362"/>
      <c r="AY14" s="23"/>
      <c r="AZ14" s="326"/>
      <c r="BA14" s="95"/>
      <c r="BB14" s="95"/>
      <c r="BD14" s="319">
        <f>OBJ!B100</f>
        <v>9255035</v>
      </c>
      <c r="BE14" s="21" t="str">
        <f>VLOOKUP(BD14,CENY!$B$11:$G$1054,2,FALSE)</f>
        <v>AvanY-bok pravý /v139/h450/ strieborná</v>
      </c>
      <c r="BF14" s="22">
        <f>VLOOKUP(BD14,CENY!$B$11:$G$1054,3,FALSE)</f>
        <v>20</v>
      </c>
      <c r="BG14" s="22"/>
      <c r="BH14" s="23">
        <f>AY9</f>
        <v>0</v>
      </c>
      <c r="BI14" s="326">
        <f t="shared" si="5"/>
        <v>0</v>
      </c>
      <c r="BJ14" s="95">
        <f>VLOOKUP(BD14,CENY!$B$11:$M$2025,12,FALSE)</f>
        <v>282.88328000000001</v>
      </c>
      <c r="BK14" s="95">
        <f t="shared" si="6"/>
        <v>0</v>
      </c>
    </row>
    <row r="15" spans="1:63" ht="14.4" customHeight="1">
      <c r="AU15" s="319">
        <f>OBJ!B71</f>
        <v>9347502</v>
      </c>
      <c r="AV15" s="21" t="str">
        <f>VLOOKUP(AU15,CENY!$B$11:$G$1054,2,FALSE)</f>
        <v>AvanY-design ALprofil Hybrid na bok 270/ strieb.</v>
      </c>
      <c r="AW15" s="22">
        <f>VLOOKUP(AU15,CENY!$B$11:$G$1054,3,FALSE)</f>
        <v>200</v>
      </c>
      <c r="AX15" s="22"/>
      <c r="AY15" s="23">
        <f>IF(FORM!AM18=FORM!AU16,0,2*(O19+O20+O27+O28+O30))</f>
        <v>0</v>
      </c>
      <c r="AZ15" s="326">
        <f t="shared" ref="AZ15" si="9">IF(AY15="","",IF($AW$4=1,AY15,0))</f>
        <v>0</v>
      </c>
      <c r="BA15" s="95">
        <f>VLOOKUP(AU15,CENY!$B$11:$M$2025,12,FALSE)</f>
        <v>19.78839</v>
      </c>
      <c r="BB15" s="95">
        <f t="shared" ref="BB15" si="10">IF(BA15="","",BA15*AY15)</f>
        <v>0</v>
      </c>
      <c r="BD15" s="319">
        <f>OBJ!B101</f>
        <v>9255036</v>
      </c>
      <c r="BE15" s="21" t="str">
        <f>VLOOKUP(BD15,CENY!$B$11:$G$1054,2,FALSE)</f>
        <v>AvanY-bok ľavý /v139/h500/ strieborná</v>
      </c>
      <c r="BF15" s="22">
        <f>VLOOKUP(BD15,CENY!$B$11:$G$1054,3,FALSE)</f>
        <v>20</v>
      </c>
      <c r="BG15" s="22"/>
      <c r="BH15" s="23">
        <f>AY10</f>
        <v>0</v>
      </c>
      <c r="BI15" s="326">
        <f t="shared" si="5"/>
        <v>0</v>
      </c>
      <c r="BJ15" s="95">
        <f>VLOOKUP(BD15,CENY!$B$11:$M$2025,12,FALSE)</f>
        <v>280.16149000000001</v>
      </c>
      <c r="BK15" s="95">
        <f t="shared" si="6"/>
        <v>0</v>
      </c>
    </row>
    <row r="16" spans="1:63" ht="14.4" customHeight="1">
      <c r="AU16" s="319">
        <f>OBJ!B72</f>
        <v>9347503</v>
      </c>
      <c r="AV16" s="21" t="str">
        <f>VLOOKUP(AU16,CENY!$B$11:$G$1054,2,FALSE)</f>
        <v>AvanY-design ALprofil Hybrid na bok 300/ strieb.</v>
      </c>
      <c r="AW16" s="22">
        <f>VLOOKUP(AU16,CENY!$B$11:$G$1054,3,FALSE)</f>
        <v>200</v>
      </c>
      <c r="AX16" s="22"/>
      <c r="AY16" s="23">
        <f>IF(FORM!AM18=FORM!AU16,0,2*(Q19+Q20+Q27+Q28+Q30))</f>
        <v>0</v>
      </c>
      <c r="AZ16" s="326">
        <f t="shared" si="4"/>
        <v>0</v>
      </c>
      <c r="BA16" s="95">
        <f>VLOOKUP(AU16,CENY!$B$11:$M$2025,12,FALSE)</f>
        <v>20.006769999999999</v>
      </c>
      <c r="BB16" s="95">
        <f t="shared" si="1"/>
        <v>0</v>
      </c>
      <c r="BD16" s="319">
        <f>OBJ!B102</f>
        <v>9255037</v>
      </c>
      <c r="BE16" s="21" t="str">
        <f>VLOOKUP(BD16,CENY!$B$11:$G$1054,2,FALSE)</f>
        <v>AvanY-bok pravý /v139/h500/ strieborná</v>
      </c>
      <c r="BF16" s="22">
        <f>VLOOKUP(BD16,CENY!$B$11:$G$1054,3,FALSE)</f>
        <v>20</v>
      </c>
      <c r="BG16" s="22"/>
      <c r="BH16" s="23">
        <f>AY10</f>
        <v>0</v>
      </c>
      <c r="BI16" s="326">
        <f t="shared" si="5"/>
        <v>0</v>
      </c>
      <c r="BJ16" s="95">
        <f>VLOOKUP(BD16,CENY!$B$11:$M$2025,12,FALSE)</f>
        <v>280.16149000000001</v>
      </c>
      <c r="BK16" s="95">
        <f t="shared" si="6"/>
        <v>0</v>
      </c>
    </row>
    <row r="17" spans="2:63" ht="14.4" customHeight="1" thickBot="1">
      <c r="B17" s="1" t="s">
        <v>284</v>
      </c>
      <c r="O17" s="547" t="str">
        <f>FORM!U18</f>
        <v>flexibilní sety</v>
      </c>
      <c r="P17" s="548"/>
      <c r="Q17" s="548"/>
      <c r="R17" s="548"/>
      <c r="S17" s="548"/>
      <c r="T17" s="548"/>
      <c r="U17" s="548"/>
      <c r="V17" s="548"/>
      <c r="W17" s="548"/>
      <c r="X17" s="548"/>
      <c r="Y17" s="548"/>
      <c r="Z17" s="548"/>
      <c r="AA17" s="548"/>
      <c r="AB17" s="548"/>
      <c r="AC17" s="548"/>
      <c r="AD17" s="548"/>
      <c r="AE17" s="548"/>
      <c r="AF17" s="548"/>
      <c r="AI17" s="540" t="str">
        <f>verze!E198</f>
        <v>P2O Silent pro Actro</v>
      </c>
      <c r="AJ17" s="541"/>
      <c r="AK17" s="541"/>
      <c r="AL17" s="541"/>
      <c r="AM17" s="541"/>
      <c r="AN17" s="541"/>
      <c r="AO17" s="541"/>
      <c r="AU17" s="319">
        <f>OBJ!B73</f>
        <v>9347504</v>
      </c>
      <c r="AV17" s="21" t="str">
        <f>VLOOKUP(AU17,CENY!$B$11:$G$1054,2,FALSE)</f>
        <v>AvanY-design ALprofil Hybrid na bok 350/ strieb.</v>
      </c>
      <c r="AW17" s="22">
        <f>VLOOKUP(AU17,CENY!$B$11:$G$1054,3,FALSE)</f>
        <v>200</v>
      </c>
      <c r="AX17" s="22"/>
      <c r="AY17" s="23">
        <f>IF(FORM!AM18=FORM!AU16,0,2*(S19+S20+S27+S28+S30))</f>
        <v>0</v>
      </c>
      <c r="AZ17" s="326">
        <f t="shared" si="4"/>
        <v>0</v>
      </c>
      <c r="BA17" s="95">
        <f>VLOOKUP(AU17,CENY!$B$11:$M$2025,12,FALSE)</f>
        <v>20.37642</v>
      </c>
      <c r="BB17" s="95">
        <f t="shared" si="1"/>
        <v>0</v>
      </c>
      <c r="BD17" s="319">
        <f>OBJ!B103</f>
        <v>9255038</v>
      </c>
      <c r="BE17" s="21" t="str">
        <f>VLOOKUP(BD17,CENY!$B$11:$G$1054,2,FALSE)</f>
        <v>AvanY-bok ľavý /v139/h550/ strieborná</v>
      </c>
      <c r="BF17" s="22">
        <f>VLOOKUP(BD17,CENY!$B$11:$G$1054,3,FALSE)</f>
        <v>20</v>
      </c>
      <c r="BG17" s="22"/>
      <c r="BH17" s="23">
        <f>AY11</f>
        <v>0</v>
      </c>
      <c r="BI17" s="326">
        <f t="shared" si="5"/>
        <v>0</v>
      </c>
      <c r="BJ17" s="95">
        <f>VLOOKUP(BD17,CENY!$B$11:$M$2025,12,FALSE)</f>
        <v>292.74898000000002</v>
      </c>
      <c r="BK17" s="95">
        <f t="shared" si="6"/>
        <v>0</v>
      </c>
    </row>
    <row r="18" spans="2:63" ht="14.4" customHeight="1" thickBot="1">
      <c r="B18" s="96"/>
      <c r="C18" s="96"/>
      <c r="D18" s="96"/>
      <c r="E18" s="96"/>
      <c r="F18" s="96"/>
      <c r="G18" s="96"/>
      <c r="H18" s="72"/>
      <c r="I18" s="72"/>
      <c r="J18" s="72"/>
      <c r="K18" s="72"/>
      <c r="L18" s="72"/>
      <c r="M18" s="72"/>
      <c r="N18" s="72" t="str">
        <f>verze!$E$20&amp;" "</f>
        <v xml:space="preserve">Jmenovitá délka: </v>
      </c>
      <c r="O18" s="535">
        <v>270</v>
      </c>
      <c r="P18" s="536"/>
      <c r="Q18" s="535">
        <v>300</v>
      </c>
      <c r="R18" s="536"/>
      <c r="S18" s="535">
        <v>350</v>
      </c>
      <c r="T18" s="536"/>
      <c r="U18" s="535">
        <v>400</v>
      </c>
      <c r="V18" s="536"/>
      <c r="W18" s="535">
        <v>450</v>
      </c>
      <c r="X18" s="536"/>
      <c r="Y18" s="537">
        <v>500</v>
      </c>
      <c r="Z18" s="538"/>
      <c r="AA18" s="535">
        <v>550</v>
      </c>
      <c r="AB18" s="536"/>
      <c r="AC18" s="535">
        <v>600</v>
      </c>
      <c r="AD18" s="536"/>
      <c r="AE18" s="535">
        <v>650</v>
      </c>
      <c r="AF18" s="536"/>
      <c r="AI18" s="543" t="s">
        <v>299</v>
      </c>
      <c r="AJ18" s="543"/>
      <c r="AK18" s="543"/>
      <c r="AL18" s="543"/>
      <c r="AM18" s="543"/>
      <c r="AN18" s="543"/>
      <c r="AO18" s="543"/>
      <c r="AU18" s="319">
        <f>OBJ!B74</f>
        <v>9347505</v>
      </c>
      <c r="AV18" s="21" t="str">
        <f>VLOOKUP(AU18,CENY!$B$11:$G$1054,2,FALSE)</f>
        <v>AvanY-design ALprofil Hybrid na bok 400/ strieb.</v>
      </c>
      <c r="AW18" s="22">
        <f>VLOOKUP(AU18,CENY!$B$11:$G$1054,3,FALSE)</f>
        <v>200</v>
      </c>
      <c r="AX18" s="22"/>
      <c r="AY18" s="23">
        <f>IF(FORM!AM18=FORM!AU16,0,2*(U20+U28+U30))</f>
        <v>0</v>
      </c>
      <c r="AZ18" s="326">
        <f t="shared" si="4"/>
        <v>0</v>
      </c>
      <c r="BA18" s="95">
        <f>VLOOKUP(AU18,CENY!$B$11:$M$2025,12,FALSE)</f>
        <v>20.742249999999999</v>
      </c>
      <c r="BB18" s="95">
        <f t="shared" si="1"/>
        <v>0</v>
      </c>
      <c r="BD18" s="319">
        <f>OBJ!B104</f>
        <v>9255039</v>
      </c>
      <c r="BE18" s="21" t="str">
        <f>VLOOKUP(BD18,CENY!$B$11:$G$1054,2,FALSE)</f>
        <v>AvanY-bok pravý /v139/h550/ strieborná</v>
      </c>
      <c r="BF18" s="22">
        <f>VLOOKUP(BD18,CENY!$B$11:$G$1054,3,FALSE)</f>
        <v>20</v>
      </c>
      <c r="BG18" s="22"/>
      <c r="BH18" s="23">
        <f>AY11</f>
        <v>0</v>
      </c>
      <c r="BI18" s="326">
        <f t="shared" si="5"/>
        <v>0</v>
      </c>
      <c r="BJ18" s="95">
        <f>VLOOKUP(BD18,CENY!$B$11:$M$2025,12,FALSE)</f>
        <v>292.74898000000002</v>
      </c>
      <c r="BK18" s="95">
        <f t="shared" si="6"/>
        <v>0</v>
      </c>
    </row>
    <row r="19" spans="2:63" ht="14.4" customHeight="1" thickBot="1">
      <c r="B19" s="530" t="s">
        <v>289</v>
      </c>
      <c r="C19" s="530"/>
      <c r="D19" s="530"/>
      <c r="E19" s="530"/>
      <c r="F19" s="530"/>
      <c r="G19" s="530"/>
      <c r="H19" s="531" t="str">
        <f>verze!E18</f>
        <v>plnovýsuv</v>
      </c>
      <c r="I19" s="531"/>
      <c r="J19" s="531"/>
      <c r="K19" s="531"/>
      <c r="L19" s="531"/>
      <c r="M19" s="532" t="s">
        <v>286</v>
      </c>
      <c r="N19" s="533"/>
      <c r="O19" s="567"/>
      <c r="P19" s="568"/>
      <c r="Q19" s="567"/>
      <c r="R19" s="568"/>
      <c r="S19" s="567"/>
      <c r="T19" s="568"/>
      <c r="U19" s="283"/>
      <c r="V19" s="284"/>
      <c r="W19" s="283"/>
      <c r="X19" s="284"/>
      <c r="Y19" s="283"/>
      <c r="Z19" s="284"/>
      <c r="AA19" s="283"/>
      <c r="AB19" s="284"/>
      <c r="AC19" s="283"/>
      <c r="AD19" s="284"/>
      <c r="AE19" s="280"/>
      <c r="AF19" s="281"/>
      <c r="AI19" s="289"/>
      <c r="AJ19" s="290"/>
      <c r="AK19" s="289"/>
      <c r="AL19" s="290"/>
      <c r="AM19" s="291" t="s">
        <v>295</v>
      </c>
      <c r="AN19" s="534"/>
      <c r="AO19" s="534"/>
      <c r="AU19" s="319">
        <f>OBJ!B75</f>
        <v>9347506</v>
      </c>
      <c r="AV19" s="21" t="str">
        <f>VLOOKUP(AU19,CENY!$B$11:$G$1054,2,FALSE)</f>
        <v>AvanY-design ALprofil Hybrid na bok 450/ strieb.</v>
      </c>
      <c r="AW19" s="22">
        <f>VLOOKUP(AU19,CENY!$B$11:$G$1054,3,FALSE)</f>
        <v>200</v>
      </c>
      <c r="AX19" s="22"/>
      <c r="AY19" s="23">
        <f>IF(FORM!AM18=FORM!AU16,0,2*(W20+W22+W28+W30))</f>
        <v>0</v>
      </c>
      <c r="AZ19" s="326">
        <f t="shared" si="4"/>
        <v>0</v>
      </c>
      <c r="BA19" s="95">
        <f>VLOOKUP(AU19,CENY!$B$11:$M$2025,12,FALSE)</f>
        <v>21.111910000000002</v>
      </c>
      <c r="BB19" s="95">
        <f t="shared" si="1"/>
        <v>0</v>
      </c>
      <c r="BD19" s="319">
        <f>OBJ!B105</f>
        <v>9255040</v>
      </c>
      <c r="BE19" s="21" t="str">
        <f>VLOOKUP(BD19,CENY!$B$11:$G$1054,2,FALSE)</f>
        <v>AvanY-bok ľavý /v139/h600/ strieborná</v>
      </c>
      <c r="BF19" s="22">
        <f>VLOOKUP(BD19,CENY!$B$11:$G$1054,3,FALSE)</f>
        <v>20</v>
      </c>
      <c r="BG19" s="22"/>
      <c r="BH19" s="23">
        <f>AY12</f>
        <v>0</v>
      </c>
      <c r="BI19" s="326">
        <f t="shared" si="5"/>
        <v>0</v>
      </c>
      <c r="BJ19" s="95">
        <f>VLOOKUP(BD19,CENY!$B$11:$M$2025,12,FALSE)</f>
        <v>300.18995999999999</v>
      </c>
      <c r="BK19" s="95">
        <f t="shared" si="6"/>
        <v>0</v>
      </c>
    </row>
    <row r="20" spans="2:63" ht="14.4" customHeight="1" thickBot="1">
      <c r="B20" s="521" t="s">
        <v>290</v>
      </c>
      <c r="C20" s="521"/>
      <c r="D20" s="521"/>
      <c r="E20" s="521"/>
      <c r="F20" s="521"/>
      <c r="G20" s="521"/>
      <c r="H20" s="522" t="str">
        <f>verze!E18</f>
        <v>plnovýsuv</v>
      </c>
      <c r="I20" s="522"/>
      <c r="J20" s="522"/>
      <c r="K20" s="522"/>
      <c r="L20" s="522"/>
      <c r="M20" s="523" t="s">
        <v>287</v>
      </c>
      <c r="N20" s="546"/>
      <c r="O20" s="516"/>
      <c r="P20" s="517"/>
      <c r="Q20" s="516"/>
      <c r="R20" s="517"/>
      <c r="S20" s="516"/>
      <c r="T20" s="517"/>
      <c r="U20" s="516"/>
      <c r="V20" s="517"/>
      <c r="W20" s="516"/>
      <c r="X20" s="517"/>
      <c r="Y20" s="516"/>
      <c r="Z20" s="517"/>
      <c r="AA20" s="516"/>
      <c r="AB20" s="517"/>
      <c r="AC20" s="565"/>
      <c r="AD20" s="566"/>
      <c r="AE20" s="518"/>
      <c r="AF20" s="519"/>
      <c r="AI20" s="287"/>
      <c r="AJ20" s="288"/>
      <c r="AK20" s="287"/>
      <c r="AL20" s="288"/>
      <c r="AM20" s="286" t="s">
        <v>294</v>
      </c>
      <c r="AN20" s="520"/>
      <c r="AO20" s="520"/>
      <c r="AU20" s="319">
        <f>OBJ!B76</f>
        <v>9347507</v>
      </c>
      <c r="AV20" s="21" t="str">
        <f>VLOOKUP(AU20,CENY!$B$11:$G$1054,2,FALSE)</f>
        <v>AvanY-design ALprofil Hybrid na bok 500/ strieb.</v>
      </c>
      <c r="AW20" s="22">
        <f>VLOOKUP(AU20,CENY!$B$11:$G$1054,3,FALSE)</f>
        <v>200</v>
      </c>
      <c r="AX20" s="22"/>
      <c r="AY20" s="23">
        <f>IF(FORM!AM18=FORM!AU16,0,2*(Y20+Y22+Y28+Y30))</f>
        <v>0</v>
      </c>
      <c r="AZ20" s="326">
        <f t="shared" si="4"/>
        <v>0</v>
      </c>
      <c r="BA20" s="95">
        <f>VLOOKUP(AU20,CENY!$B$11:$M$2025,12,FALSE)</f>
        <v>21.479700000000001</v>
      </c>
      <c r="BB20" s="95">
        <f t="shared" si="1"/>
        <v>0</v>
      </c>
      <c r="BD20" s="319">
        <f>OBJ!B106</f>
        <v>9255041</v>
      </c>
      <c r="BE20" s="21" t="str">
        <f>VLOOKUP(BD20,CENY!$B$11:$G$1054,2,FALSE)</f>
        <v>AvanY-bok pravý /v139/h600/ strieborná</v>
      </c>
      <c r="BF20" s="22">
        <f>VLOOKUP(BD20,CENY!$B$11:$G$1054,3,FALSE)</f>
        <v>20</v>
      </c>
      <c r="BG20" s="22"/>
      <c r="BH20" s="23">
        <f>AY12</f>
        <v>0</v>
      </c>
      <c r="BI20" s="326">
        <f t="shared" si="5"/>
        <v>0</v>
      </c>
      <c r="BJ20" s="95">
        <f>VLOOKUP(BD20,CENY!$B$11:$M$2025,12,FALSE)</f>
        <v>300.18995999999999</v>
      </c>
      <c r="BK20" s="95">
        <f t="shared" si="6"/>
        <v>0</v>
      </c>
    </row>
    <row r="21" spans="2:63" ht="14.4" customHeight="1" thickBot="1">
      <c r="O21" s="283"/>
      <c r="P21" s="284"/>
      <c r="Q21" s="283"/>
      <c r="R21" s="284"/>
      <c r="S21" s="283"/>
      <c r="T21" s="284"/>
      <c r="U21" s="283"/>
      <c r="V21" s="284"/>
      <c r="W21" s="283"/>
      <c r="X21" s="284"/>
      <c r="Y21" s="283"/>
      <c r="Z21" s="284"/>
      <c r="AA21" s="283"/>
      <c r="AB21" s="284"/>
      <c r="AC21" s="283"/>
      <c r="AD21" s="284"/>
      <c r="AE21" s="283"/>
      <c r="AF21" s="284"/>
      <c r="AI21" s="287"/>
      <c r="AJ21" s="288"/>
      <c r="AK21" s="287"/>
      <c r="AL21" s="288"/>
      <c r="AM21" s="286" t="s">
        <v>296</v>
      </c>
      <c r="AN21" s="542"/>
      <c r="AO21" s="542"/>
      <c r="AU21" s="319">
        <f>OBJ!B77</f>
        <v>9347508</v>
      </c>
      <c r="AV21" s="21" t="str">
        <f>VLOOKUP(AU21,CENY!$B$11:$G$1054,2,FALSE)</f>
        <v>AvanY-design ALprofil Hybrid na bok 550/ strieb.</v>
      </c>
      <c r="AW21" s="22">
        <f>VLOOKUP(AU21,CENY!$B$11:$G$1054,3,FALSE)</f>
        <v>200</v>
      </c>
      <c r="AX21" s="22"/>
      <c r="AY21" s="23">
        <f>IF(FORM!AM18=FORM!AU16,0,2*(AA20+AA22+AA28+AA30))</f>
        <v>0</v>
      </c>
      <c r="AZ21" s="326">
        <f t="shared" si="4"/>
        <v>0</v>
      </c>
      <c r="BA21" s="95">
        <f>VLOOKUP(AU21,CENY!$B$11:$M$2025,12,FALSE)</f>
        <v>21.84564</v>
      </c>
      <c r="BB21" s="95">
        <f t="shared" si="1"/>
        <v>0</v>
      </c>
      <c r="BD21" s="319">
        <f>OBJ!B107</f>
        <v>9255042</v>
      </c>
      <c r="BE21" s="21" t="str">
        <f>VLOOKUP(BD21,CENY!$B$11:$G$1054,2,FALSE)</f>
        <v>AvanY-bok ľavý /v139/h650/ strieborná</v>
      </c>
      <c r="BF21" s="22">
        <f>VLOOKUP(BD21,CENY!$B$11:$G$1054,3,FALSE)</f>
        <v>20</v>
      </c>
      <c r="BG21" s="22"/>
      <c r="BH21" s="23">
        <f>AY13</f>
        <v>0</v>
      </c>
      <c r="BI21" s="326">
        <f t="shared" ref="BI21:BI22" si="11">IF(BH21="","",IF($AW$4=0,BH21,0))</f>
        <v>0</v>
      </c>
      <c r="BJ21" s="95">
        <f>VLOOKUP(BD21,CENY!$B$11:$M$2025,12,FALSE)</f>
        <v>308.13261999999997</v>
      </c>
      <c r="BK21" s="95">
        <f t="shared" ref="BK21:BK22" si="12">IF(BJ21="","",BJ21*BH21)</f>
        <v>0</v>
      </c>
    </row>
    <row r="22" spans="2:63" ht="14.4" customHeight="1" thickBot="1">
      <c r="B22" s="544" t="s">
        <v>291</v>
      </c>
      <c r="C22" s="544"/>
      <c r="D22" s="544"/>
      <c r="E22" s="544"/>
      <c r="F22" s="544"/>
      <c r="G22" s="544"/>
      <c r="H22" s="545" t="str">
        <f>verze!E18</f>
        <v>plnovýsuv</v>
      </c>
      <c r="I22" s="545"/>
      <c r="J22" s="545"/>
      <c r="K22" s="545"/>
      <c r="L22" s="545"/>
      <c r="M22" s="523" t="s">
        <v>288</v>
      </c>
      <c r="N22" s="524"/>
      <c r="O22" s="518"/>
      <c r="P22" s="519"/>
      <c r="Q22" s="518"/>
      <c r="R22" s="519"/>
      <c r="S22" s="518"/>
      <c r="T22" s="519"/>
      <c r="U22" s="518"/>
      <c r="V22" s="519"/>
      <c r="W22" s="516"/>
      <c r="X22" s="517"/>
      <c r="Y22" s="516"/>
      <c r="Z22" s="517"/>
      <c r="AA22" s="516"/>
      <c r="AB22" s="517"/>
      <c r="AC22" s="516"/>
      <c r="AD22" s="517"/>
      <c r="AE22" s="516"/>
      <c r="AF22" s="517"/>
      <c r="AI22" s="287"/>
      <c r="AJ22" s="288"/>
      <c r="AK22" s="287"/>
      <c r="AL22" s="288"/>
      <c r="AM22" s="286" t="s">
        <v>297</v>
      </c>
      <c r="AN22" s="539"/>
      <c r="AO22" s="539"/>
      <c r="AU22" s="319">
        <f>OBJ!B78</f>
        <v>9347509</v>
      </c>
      <c r="AV22" s="21" t="str">
        <f>VLOOKUP(AU22,CENY!$B$11:$G$1054,2,FALSE)</f>
        <v>AvanY-design ALprofil Hybrid na bok 600/ strieb.</v>
      </c>
      <c r="AW22" s="22">
        <f>VLOOKUP(AU22,CENY!$B$11:$G$1054,3,FALSE)</f>
        <v>200</v>
      </c>
      <c r="AX22" s="22"/>
      <c r="AY22" s="23">
        <f>IF(FORM!AM18=FORM!AU16,0,2*(AC20+AC22+AC28+AC30))</f>
        <v>0</v>
      </c>
      <c r="AZ22" s="326">
        <f t="shared" si="4"/>
        <v>0</v>
      </c>
      <c r="BA22" s="95">
        <f>VLOOKUP(AU22,CENY!$B$11:$M$2025,12,FALSE)</f>
        <v>22.79205</v>
      </c>
      <c r="BB22" s="95">
        <f t="shared" si="1"/>
        <v>0</v>
      </c>
      <c r="BD22" s="319">
        <f>OBJ!B108</f>
        <v>9255043</v>
      </c>
      <c r="BE22" s="21" t="str">
        <f>VLOOKUP(BD22,CENY!$B$11:$G$1054,2,FALSE)</f>
        <v>AvanY-bok pravý /v139/h650/ strieborná</v>
      </c>
      <c r="BF22" s="22">
        <f>VLOOKUP(BD22,CENY!$B$11:$G$1054,3,FALSE)</f>
        <v>20</v>
      </c>
      <c r="BG22" s="22"/>
      <c r="BH22" s="23">
        <f>AY13</f>
        <v>0</v>
      </c>
      <c r="BI22" s="326">
        <f t="shared" si="11"/>
        <v>0</v>
      </c>
      <c r="BJ22" s="95">
        <f>VLOOKUP(BD22,CENY!$B$11:$M$2025,12,FALSE)</f>
        <v>308.13261999999997</v>
      </c>
      <c r="BK22" s="95">
        <f t="shared" si="12"/>
        <v>0</v>
      </c>
    </row>
    <row r="23" spans="2:63" ht="14.4" customHeight="1">
      <c r="O23" s="4"/>
      <c r="P23" s="4"/>
      <c r="AU23" s="319">
        <f>OBJ!B79</f>
        <v>9347510</v>
      </c>
      <c r="AV23" s="21" t="str">
        <f>VLOOKUP(AU23,CENY!$B$11:$G$1054,2,FALSE)</f>
        <v>AvanY-design ALprofil Hybrid na bok 650/ strieb.</v>
      </c>
      <c r="AW23" s="22">
        <f>VLOOKUP(AU23,CENY!$B$11:$G$1054,3,FALSE)</f>
        <v>200</v>
      </c>
      <c r="AX23" s="22"/>
      <c r="AY23" s="23">
        <f>IF(FORM!AM18=FORM!AU16,0,2*(AE22))</f>
        <v>0</v>
      </c>
      <c r="AZ23" s="326">
        <f t="shared" ref="AZ23" si="13">IF(AY23="","",IF($AW$4=1,AY23,0))</f>
        <v>0</v>
      </c>
      <c r="BA23" s="95">
        <f>VLOOKUP(AU23,CENY!$B$11:$M$2025,12,FALSE)</f>
        <v>24.580449999999999</v>
      </c>
      <c r="BB23" s="95">
        <f t="shared" ref="BB23" si="14">IF(BA23="","",BA23*AY23)</f>
        <v>0</v>
      </c>
      <c r="BD23" s="319"/>
      <c r="BE23" s="21"/>
      <c r="BF23" s="22"/>
      <c r="BG23" s="22"/>
      <c r="BH23" s="23"/>
      <c r="BI23" s="326" t="str">
        <f t="shared" si="5"/>
        <v/>
      </c>
      <c r="BJ23" s="95"/>
      <c r="BK23" s="95" t="str">
        <f t="shared" si="6"/>
        <v/>
      </c>
    </row>
    <row r="24" spans="2:63" ht="14.4" customHeight="1">
      <c r="AU24" s="319"/>
      <c r="AV24" s="21"/>
      <c r="AW24" s="22"/>
      <c r="AX24" s="22"/>
      <c r="AY24" s="23"/>
      <c r="AZ24" s="326"/>
      <c r="BA24" s="95"/>
      <c r="BB24" s="95"/>
      <c r="BD24" s="320">
        <v>9257884</v>
      </c>
      <c r="BE24" s="321" t="str">
        <f>VLOOKUP(BD24,CENY!$B$11:$G$1054,2,FALSE)</f>
        <v>AvanY-príchytka čela k naskrutk./ v139</v>
      </c>
      <c r="BF24" s="22">
        <f>VLOOKUP(BD24,CENY!$B$11:$G$1054,3,FALSE)</f>
        <v>200</v>
      </c>
      <c r="BG24" s="22"/>
      <c r="BH24" s="68">
        <f>2*(SUM(O19:T19)+SUM(O20:AD20)+SUM(W22:AF22)+SUM(O27:T27)+SUM(O28:AD28)+SUM(O30:AD30))</f>
        <v>0</v>
      </c>
      <c r="BI24" s="326">
        <f t="shared" si="5"/>
        <v>0</v>
      </c>
      <c r="BJ24" s="95">
        <f>VLOOKUP(BD24,CENY!$B$11:$M$2025,12,FALSE)</f>
        <v>32.920310000000001</v>
      </c>
      <c r="BK24" s="95">
        <f t="shared" si="6"/>
        <v>0</v>
      </c>
    </row>
    <row r="25" spans="2:63" ht="14.4" customHeight="1" thickBot="1">
      <c r="B25" s="2" t="s">
        <v>285</v>
      </c>
      <c r="AI25" s="540" t="str">
        <f>verze!E199</f>
        <v>P2O Silent pro Quadro</v>
      </c>
      <c r="AJ25" s="541"/>
      <c r="AK25" s="541"/>
      <c r="AL25" s="541"/>
      <c r="AM25" s="541"/>
      <c r="AN25" s="541"/>
      <c r="AO25" s="541"/>
      <c r="AU25" s="319">
        <f>OBJ!B233</f>
        <v>9318154</v>
      </c>
      <c r="AV25" s="21" t="str">
        <f>VLOOKUP(AU25,CENY!$B$11:$G$1054,2,FALSE)</f>
        <v>Actro You(S) 270/SiSy 10kg; EB21</v>
      </c>
      <c r="AW25" s="22">
        <f>VLOOKUP(AU25,CENY!$B$11:$G$1054,3,FALSE)</f>
        <v>1</v>
      </c>
      <c r="AX25" s="362">
        <v>4</v>
      </c>
      <c r="AY25" s="23">
        <f>O19</f>
        <v>0</v>
      </c>
      <c r="AZ25" s="326">
        <f t="shared" ref="AZ25" si="15">IF(AY25="","",IF($AW$4=1,AY25,0))</f>
        <v>0</v>
      </c>
      <c r="BA25" s="95">
        <f>VLOOKUP(AU25,CENY!$B$11:$M$2025,12,FALSE)</f>
        <v>657.45060999999998</v>
      </c>
      <c r="BB25" s="95">
        <f t="shared" ref="BB25" si="16">IF(BA25="","",BA25*AY25)</f>
        <v>0</v>
      </c>
      <c r="BD25" s="319">
        <f>OBJ!B48</f>
        <v>9257702</v>
      </c>
      <c r="BE25" s="21" t="str">
        <f>VLOOKUP(BD25,CENY!$B$11:$G$1054,2,FALSE)</f>
        <v>AvanY-stabilizátor chrbáta</v>
      </c>
      <c r="BF25" s="22">
        <f>VLOOKUP(BD25,CENY!$B$11:$G$1054,3,FALSE)</f>
        <v>200</v>
      </c>
      <c r="BG25" s="22"/>
      <c r="BH25" s="23">
        <f>2*(SUM(O19:T19)+SUM(O20:AD20)+SUM(W22:AF22)+SUM(O27:T27)+SUM(O28:AD28)+SUM(O30:AD30))</f>
        <v>0</v>
      </c>
      <c r="BI25" s="326">
        <f t="shared" si="5"/>
        <v>0</v>
      </c>
      <c r="BJ25" s="95">
        <f>VLOOKUP(BD25,CENY!$B$11:$M$2025,12,FALSE)</f>
        <v>15.54837</v>
      </c>
      <c r="BK25" s="95">
        <f t="shared" si="6"/>
        <v>0</v>
      </c>
    </row>
    <row r="26" spans="2:63" ht="14.4" customHeight="1" thickBot="1">
      <c r="B26" s="96"/>
      <c r="C26" s="96"/>
      <c r="D26" s="96"/>
      <c r="E26" s="96"/>
      <c r="F26" s="96"/>
      <c r="G26" s="96"/>
      <c r="H26" s="72"/>
      <c r="I26" s="72"/>
      <c r="J26" s="72"/>
      <c r="K26" s="72"/>
      <c r="L26" s="72"/>
      <c r="M26" s="72"/>
      <c r="N26" s="72" t="str">
        <f>verze!$E$20&amp;" "</f>
        <v xml:space="preserve">Jmenovitá délka: </v>
      </c>
      <c r="O26" s="535">
        <v>270</v>
      </c>
      <c r="P26" s="536"/>
      <c r="Q26" s="535">
        <v>300</v>
      </c>
      <c r="R26" s="536"/>
      <c r="S26" s="535">
        <v>350</v>
      </c>
      <c r="T26" s="536"/>
      <c r="U26" s="535">
        <v>400</v>
      </c>
      <c r="V26" s="536"/>
      <c r="W26" s="535">
        <v>450</v>
      </c>
      <c r="X26" s="536"/>
      <c r="Y26" s="537">
        <v>500</v>
      </c>
      <c r="Z26" s="538"/>
      <c r="AA26" s="535">
        <v>550</v>
      </c>
      <c r="AB26" s="536"/>
      <c r="AC26" s="535">
        <v>600</v>
      </c>
      <c r="AD26" s="536"/>
      <c r="AI26" s="543" t="s">
        <v>299</v>
      </c>
      <c r="AJ26" s="543"/>
      <c r="AK26" s="543"/>
      <c r="AL26" s="543"/>
      <c r="AM26" s="543"/>
      <c r="AN26" s="543"/>
      <c r="AO26" s="543"/>
      <c r="AU26" s="319">
        <f>OBJ!B234</f>
        <v>9318156</v>
      </c>
      <c r="AV26" s="21" t="str">
        <f>VLOOKUP(AU26,CENY!$B$11:$G$1054,2,FALSE)</f>
        <v>Actro You(S) 300/SiSy 10kg; EB21</v>
      </c>
      <c r="AW26" s="22">
        <f>VLOOKUP(AU26,CENY!$B$11:$G$1054,3,FALSE)</f>
        <v>1</v>
      </c>
      <c r="AX26" s="362">
        <v>4</v>
      </c>
      <c r="AY26" s="23">
        <f>Q19</f>
        <v>0</v>
      </c>
      <c r="AZ26" s="326">
        <f t="shared" si="4"/>
        <v>0</v>
      </c>
      <c r="BA26" s="95">
        <f>VLOOKUP(AU26,CENY!$B$11:$M$2025,12,FALSE)</f>
        <v>657.45060999999998</v>
      </c>
      <c r="BB26" s="95">
        <f t="shared" si="1"/>
        <v>0</v>
      </c>
      <c r="BD26" s="319"/>
      <c r="BE26" s="21"/>
      <c r="BF26" s="22"/>
      <c r="BG26" s="22"/>
      <c r="BH26" s="23"/>
      <c r="BI26" s="326" t="str">
        <f t="shared" si="5"/>
        <v/>
      </c>
      <c r="BJ26" s="95"/>
      <c r="BK26" s="95" t="str">
        <f t="shared" si="6"/>
        <v/>
      </c>
    </row>
    <row r="27" spans="2:63" ht="14.4" customHeight="1" thickBot="1">
      <c r="B27" s="530" t="s">
        <v>292</v>
      </c>
      <c r="C27" s="530"/>
      <c r="D27" s="530"/>
      <c r="E27" s="530"/>
      <c r="F27" s="530"/>
      <c r="G27" s="530"/>
      <c r="H27" s="531" t="str">
        <f>verze!E18</f>
        <v>plnovýsuv</v>
      </c>
      <c r="I27" s="531"/>
      <c r="J27" s="531"/>
      <c r="K27" s="531"/>
      <c r="L27" s="531"/>
      <c r="M27" s="532" t="s">
        <v>286</v>
      </c>
      <c r="N27" s="533"/>
      <c r="O27" s="567"/>
      <c r="P27" s="568"/>
      <c r="Q27" s="567"/>
      <c r="R27" s="568"/>
      <c r="S27" s="567"/>
      <c r="T27" s="568"/>
      <c r="U27" s="283"/>
      <c r="V27" s="284"/>
      <c r="W27" s="283"/>
      <c r="X27" s="284"/>
      <c r="Y27" s="283"/>
      <c r="Z27" s="284"/>
      <c r="AA27" s="283"/>
      <c r="AB27" s="284"/>
      <c r="AC27" s="283"/>
      <c r="AD27" s="284"/>
      <c r="AI27" s="289"/>
      <c r="AJ27" s="290"/>
      <c r="AK27" s="289"/>
      <c r="AL27" s="290"/>
      <c r="AM27" s="291" t="s">
        <v>295</v>
      </c>
      <c r="AN27" s="534"/>
      <c r="AO27" s="534"/>
      <c r="AU27" s="319">
        <f>OBJ!B235</f>
        <v>9318160</v>
      </c>
      <c r="AV27" s="21" t="str">
        <f>VLOOKUP(AU27,CENY!$B$11:$G$1054,2,FALSE)</f>
        <v>Actro You(S) 350/SiSy 10kg; EB21</v>
      </c>
      <c r="AW27" s="22">
        <f>VLOOKUP(AU27,CENY!$B$11:$G$1054,3,FALSE)</f>
        <v>1</v>
      </c>
      <c r="AX27" s="362">
        <v>4</v>
      </c>
      <c r="AY27" s="23">
        <f>S19</f>
        <v>0</v>
      </c>
      <c r="AZ27" s="326">
        <f t="shared" si="4"/>
        <v>0</v>
      </c>
      <c r="BA27" s="95">
        <f>VLOOKUP(AU27,CENY!$B$11:$M$2025,12,FALSE)</f>
        <v>657.45060999999998</v>
      </c>
      <c r="BB27" s="95">
        <f t="shared" si="1"/>
        <v>0</v>
      </c>
      <c r="BD27" s="319">
        <f>OBJ!B71</f>
        <v>9347502</v>
      </c>
      <c r="BE27" s="21" t="str">
        <f>VLOOKUP(BD27,CENY!$B$11:$G$1054,2,FALSE)</f>
        <v>AvanY-design ALprofil Hybrid na bok 270/ strieb.</v>
      </c>
      <c r="BF27" s="22">
        <f>VLOOKUP(BD27,CENY!$B$11:$G$1054,3,FALSE)</f>
        <v>200</v>
      </c>
      <c r="BG27" s="22"/>
      <c r="BH27" s="23">
        <f>2*(O19+O20+O27+O28+O30)</f>
        <v>0</v>
      </c>
      <c r="BI27" s="326">
        <f t="shared" ref="BI27" si="17">IF(BH27="","",IF($AW$4=0,BH27,0))</f>
        <v>0</v>
      </c>
      <c r="BJ27" s="95">
        <f>VLOOKUP(BD27,CENY!$B$11:$M$2025,12,FALSE)</f>
        <v>19.78839</v>
      </c>
      <c r="BK27" s="95">
        <f t="shared" ref="BK27" si="18">IF(BJ27="","",BJ27*BH27)</f>
        <v>0</v>
      </c>
    </row>
    <row r="28" spans="2:63" ht="14.4" customHeight="1" thickBot="1">
      <c r="B28" s="521" t="s">
        <v>372</v>
      </c>
      <c r="C28" s="521"/>
      <c r="D28" s="521"/>
      <c r="E28" s="521"/>
      <c r="F28" s="521"/>
      <c r="G28" s="521"/>
      <c r="H28" s="522" t="str">
        <f>verze!E18</f>
        <v>plnovýsuv</v>
      </c>
      <c r="I28" s="522"/>
      <c r="J28" s="522"/>
      <c r="K28" s="522"/>
      <c r="L28" s="522"/>
      <c r="M28" s="523" t="s">
        <v>1</v>
      </c>
      <c r="N28" s="524"/>
      <c r="O28" s="516"/>
      <c r="P28" s="517"/>
      <c r="Q28" s="516"/>
      <c r="R28" s="517"/>
      <c r="S28" s="516"/>
      <c r="T28" s="517"/>
      <c r="U28" s="516"/>
      <c r="V28" s="517"/>
      <c r="W28" s="516"/>
      <c r="X28" s="517"/>
      <c r="Y28" s="516"/>
      <c r="Z28" s="517"/>
      <c r="AA28" s="516"/>
      <c r="AB28" s="517"/>
      <c r="AC28" s="516"/>
      <c r="AD28" s="517"/>
      <c r="AI28" s="287"/>
      <c r="AJ28" s="288"/>
      <c r="AK28" s="287"/>
      <c r="AL28" s="288"/>
      <c r="AM28" s="286" t="s">
        <v>294</v>
      </c>
      <c r="AN28" s="520"/>
      <c r="AO28" s="520"/>
      <c r="AU28" s="319"/>
      <c r="AV28" s="21"/>
      <c r="AW28" s="22"/>
      <c r="AX28" s="22"/>
      <c r="AY28" s="23"/>
      <c r="AZ28" s="326" t="str">
        <f t="shared" si="4"/>
        <v/>
      </c>
      <c r="BA28" s="95"/>
      <c r="BB28" s="95" t="str">
        <f t="shared" si="1"/>
        <v/>
      </c>
      <c r="BD28" s="319">
        <f>OBJ!B72</f>
        <v>9347503</v>
      </c>
      <c r="BE28" s="21" t="str">
        <f>VLOOKUP(BD28,CENY!$B$11:$G$1054,2,FALSE)</f>
        <v>AvanY-design ALprofil Hybrid na bok 300/ strieb.</v>
      </c>
      <c r="BF28" s="22">
        <f>VLOOKUP(BD28,CENY!$B$11:$G$1054,3,FALSE)</f>
        <v>200</v>
      </c>
      <c r="BG28" s="22"/>
      <c r="BH28" s="23">
        <f>2*(Q19+Q20+Q27+Q28+Q30)</f>
        <v>0</v>
      </c>
      <c r="BI28" s="326">
        <f t="shared" si="5"/>
        <v>0</v>
      </c>
      <c r="BJ28" s="95">
        <f>VLOOKUP(BD28,CENY!$B$11:$M$2025,12,FALSE)</f>
        <v>20.006769999999999</v>
      </c>
      <c r="BK28" s="95">
        <f t="shared" si="6"/>
        <v>0</v>
      </c>
    </row>
    <row r="29" spans="2:63" ht="14.4" customHeight="1" thickBot="1">
      <c r="O29" s="283"/>
      <c r="P29" s="284"/>
      <c r="Q29" s="283"/>
      <c r="R29" s="284"/>
      <c r="S29" s="283"/>
      <c r="T29" s="284"/>
      <c r="U29" s="283"/>
      <c r="V29" s="284"/>
      <c r="W29" s="283"/>
      <c r="X29" s="284"/>
      <c r="Y29" s="283"/>
      <c r="Z29" s="284"/>
      <c r="AA29" s="283"/>
      <c r="AB29" s="284"/>
      <c r="AC29" s="283"/>
      <c r="AD29" s="284"/>
      <c r="AI29" s="287"/>
      <c r="AJ29" s="288"/>
      <c r="AK29" s="287"/>
      <c r="AL29" s="288"/>
      <c r="AM29" s="286" t="s">
        <v>298</v>
      </c>
      <c r="AN29" s="527"/>
      <c r="AO29" s="527"/>
      <c r="AU29" s="319">
        <f>OBJ!B243</f>
        <v>9318186</v>
      </c>
      <c r="AV29" s="21" t="str">
        <f>VLOOKUP(AU29,CENY!$B$11:$G$1054,2,FALSE)</f>
        <v>Actro You(L) 270/SiSy 40kg; EB21</v>
      </c>
      <c r="AW29" s="22">
        <f>VLOOKUP(AU29,CENY!$B$11:$G$1054,3,FALSE)</f>
        <v>1</v>
      </c>
      <c r="AX29" s="362">
        <v>8</v>
      </c>
      <c r="AY29" s="23">
        <f>O20</f>
        <v>0</v>
      </c>
      <c r="AZ29" s="326">
        <f t="shared" ref="AZ29" si="19">IF(AY29="","",IF($AW$4=1,AY29,0))</f>
        <v>0</v>
      </c>
      <c r="BA29" s="95">
        <f>VLOOKUP(AU29,CENY!$B$11:$M$2025,12,FALSE)</f>
        <v>657.45060999999998</v>
      </c>
      <c r="BB29" s="95">
        <f t="shared" ref="BB29" si="20">IF(BA29="","",BA29*AY29)</f>
        <v>0</v>
      </c>
      <c r="BD29" s="319">
        <f>OBJ!B73</f>
        <v>9347504</v>
      </c>
      <c r="BE29" s="21" t="str">
        <f>VLOOKUP(BD29,CENY!$B$11:$G$1054,2,FALSE)</f>
        <v>AvanY-design ALprofil Hybrid na bok 350/ strieb.</v>
      </c>
      <c r="BF29" s="22">
        <f>VLOOKUP(BD29,CENY!$B$11:$G$1054,3,FALSE)</f>
        <v>200</v>
      </c>
      <c r="BG29" s="22"/>
      <c r="BH29" s="23">
        <f>2*(S19+S20+S27+S28+S30)</f>
        <v>0</v>
      </c>
      <c r="BI29" s="326">
        <f t="shared" si="5"/>
        <v>0</v>
      </c>
      <c r="BJ29" s="95">
        <f>VLOOKUP(BD29,CENY!$B$11:$M$2025,12,FALSE)</f>
        <v>20.37642</v>
      </c>
      <c r="BK29" s="95">
        <f t="shared" si="6"/>
        <v>0</v>
      </c>
    </row>
    <row r="30" spans="2:63" ht="14.4" customHeight="1" thickBot="1">
      <c r="B30" s="528" t="s">
        <v>373</v>
      </c>
      <c r="C30" s="528"/>
      <c r="D30" s="528"/>
      <c r="E30" s="528"/>
      <c r="F30" s="528"/>
      <c r="G30" s="528"/>
      <c r="H30" s="529" t="str">
        <f>verze!E18</f>
        <v>plnovýsuv</v>
      </c>
      <c r="I30" s="529"/>
      <c r="J30" s="529"/>
      <c r="K30" s="529"/>
      <c r="L30" s="529"/>
      <c r="M30" s="523" t="s">
        <v>1</v>
      </c>
      <c r="N30" s="524"/>
      <c r="O30" s="516"/>
      <c r="P30" s="517"/>
      <c r="Q30" s="516"/>
      <c r="R30" s="517"/>
      <c r="S30" s="516"/>
      <c r="T30" s="517"/>
      <c r="U30" s="516"/>
      <c r="V30" s="517"/>
      <c r="W30" s="516"/>
      <c r="X30" s="517"/>
      <c r="Y30" s="516"/>
      <c r="Z30" s="517"/>
      <c r="AA30" s="516"/>
      <c r="AB30" s="517"/>
      <c r="AC30" s="565"/>
      <c r="AD30" s="566"/>
      <c r="AU30" s="319">
        <f>OBJ!B244</f>
        <v>9318187</v>
      </c>
      <c r="AV30" s="21" t="str">
        <f>VLOOKUP(AU30,CENY!$B$11:$G$1054,2,FALSE)</f>
        <v>Actro You(L) 300/SiSy 40kg; EB21</v>
      </c>
      <c r="AW30" s="22">
        <f>VLOOKUP(AU30,CENY!$B$11:$G$1054,3,FALSE)</f>
        <v>1</v>
      </c>
      <c r="AX30" s="362">
        <v>8</v>
      </c>
      <c r="AY30" s="23">
        <f>Q20</f>
        <v>0</v>
      </c>
      <c r="AZ30" s="326">
        <f t="shared" si="4"/>
        <v>0</v>
      </c>
      <c r="BA30" s="95">
        <f>VLOOKUP(AU30,CENY!$B$11:$M$2025,12,FALSE)</f>
        <v>657.45060999999998</v>
      </c>
      <c r="BB30" s="95">
        <f t="shared" si="1"/>
        <v>0</v>
      </c>
      <c r="BD30" s="319">
        <f>OBJ!B74</f>
        <v>9347505</v>
      </c>
      <c r="BE30" s="21" t="str">
        <f>VLOOKUP(BD30,CENY!$B$11:$G$1054,2,FALSE)</f>
        <v>AvanY-design ALprofil Hybrid na bok 400/ strieb.</v>
      </c>
      <c r="BF30" s="22">
        <f>VLOOKUP(BD30,CENY!$B$11:$G$1054,3,FALSE)</f>
        <v>200</v>
      </c>
      <c r="BG30" s="22"/>
      <c r="BH30" s="23">
        <f>2*(U20+U28+U30)</f>
        <v>0</v>
      </c>
      <c r="BI30" s="326">
        <f t="shared" si="5"/>
        <v>0</v>
      </c>
      <c r="BJ30" s="95">
        <f>VLOOKUP(BD30,CENY!$B$11:$M$2025,12,FALSE)</f>
        <v>20.742249999999999</v>
      </c>
      <c r="BK30" s="95">
        <f t="shared" si="6"/>
        <v>0</v>
      </c>
    </row>
    <row r="31" spans="2:63" ht="14.4" customHeight="1">
      <c r="AU31" s="319">
        <f>OBJ!B245</f>
        <v>9318188</v>
      </c>
      <c r="AV31" s="21" t="str">
        <f>VLOOKUP(AU31,CENY!$B$11:$G$1054,2,FALSE)</f>
        <v>Actro You(L) 350/SiSy 40kg; EB21</v>
      </c>
      <c r="AW31" s="22">
        <f>VLOOKUP(AU31,CENY!$B$11:$G$1054,3,FALSE)</f>
        <v>1</v>
      </c>
      <c r="AX31" s="362">
        <v>8</v>
      </c>
      <c r="AY31" s="23">
        <f>S20</f>
        <v>0</v>
      </c>
      <c r="AZ31" s="326">
        <f t="shared" si="4"/>
        <v>0</v>
      </c>
      <c r="BA31" s="95">
        <f>VLOOKUP(AU31,CENY!$B$11:$M$2025,12,FALSE)</f>
        <v>657.45060999999998</v>
      </c>
      <c r="BB31" s="95">
        <f t="shared" si="1"/>
        <v>0</v>
      </c>
      <c r="BD31" s="319">
        <f>OBJ!B75</f>
        <v>9347506</v>
      </c>
      <c r="BE31" s="21" t="str">
        <f>VLOOKUP(BD31,CENY!$B$11:$G$1054,2,FALSE)</f>
        <v>AvanY-design ALprofil Hybrid na bok 450/ strieb.</v>
      </c>
      <c r="BF31" s="22">
        <f>VLOOKUP(BD31,CENY!$B$11:$G$1054,3,FALSE)</f>
        <v>200</v>
      </c>
      <c r="BG31" s="22"/>
      <c r="BH31" s="23">
        <f>2*(W20+W22+W28+W30)</f>
        <v>0</v>
      </c>
      <c r="BI31" s="326">
        <f t="shared" si="5"/>
        <v>0</v>
      </c>
      <c r="BJ31" s="95">
        <f>VLOOKUP(BD31,CENY!$B$11:$M$2025,12,FALSE)</f>
        <v>21.111910000000002</v>
      </c>
      <c r="BK31" s="95">
        <f t="shared" si="6"/>
        <v>0</v>
      </c>
    </row>
    <row r="32" spans="2:63" ht="14.4" customHeight="1">
      <c r="B32" s="366" t="str">
        <f>verze!E201</f>
        <v>SiSy = tlumení Silent System</v>
      </c>
      <c r="AU32" s="319">
        <f>OBJ!B246</f>
        <v>9318190</v>
      </c>
      <c r="AV32" s="21" t="str">
        <f>VLOOKUP(AU32,CENY!$B$11:$G$1054,2,FALSE)</f>
        <v>Actro You(L) 400/SiSy 40kg; EB21</v>
      </c>
      <c r="AW32" s="22">
        <f>VLOOKUP(AU32,CENY!$B$11:$G$1054,3,FALSE)</f>
        <v>1</v>
      </c>
      <c r="AX32" s="362">
        <v>8</v>
      </c>
      <c r="AY32" s="23">
        <f>U20</f>
        <v>0</v>
      </c>
      <c r="AZ32" s="326">
        <f t="shared" si="4"/>
        <v>0</v>
      </c>
      <c r="BA32" s="95">
        <f>VLOOKUP(AU32,CENY!$B$11:$M$2025,12,FALSE)</f>
        <v>664.73978</v>
      </c>
      <c r="BB32" s="95">
        <f t="shared" si="1"/>
        <v>0</v>
      </c>
      <c r="BD32" s="319">
        <f>OBJ!B76</f>
        <v>9347507</v>
      </c>
      <c r="BE32" s="21" t="str">
        <f>VLOOKUP(BD32,CENY!$B$11:$G$1054,2,FALSE)</f>
        <v>AvanY-design ALprofil Hybrid na bok 500/ strieb.</v>
      </c>
      <c r="BF32" s="22">
        <f>VLOOKUP(BD32,CENY!$B$11:$G$1054,3,FALSE)</f>
        <v>200</v>
      </c>
      <c r="BG32" s="22"/>
      <c r="BH32" s="23">
        <f>2*(Y20+Y22+Y28+Y30)</f>
        <v>0</v>
      </c>
      <c r="BI32" s="326">
        <f t="shared" si="5"/>
        <v>0</v>
      </c>
      <c r="BJ32" s="95">
        <f>VLOOKUP(BD32,CENY!$B$11:$M$2025,12,FALSE)</f>
        <v>21.479700000000001</v>
      </c>
      <c r="BK32" s="95">
        <f t="shared" si="6"/>
        <v>0</v>
      </c>
    </row>
    <row r="33" spans="2:63" ht="14.4" customHeight="1">
      <c r="B33" s="366" t="str">
        <f>verze!E204</f>
        <v>P2O = otvírání bez úchytky Push to open</v>
      </c>
      <c r="AU33" s="319">
        <f>OBJ!B247</f>
        <v>9318191</v>
      </c>
      <c r="AV33" s="21" t="str">
        <f>VLOOKUP(AU33,CENY!$B$11:$G$1054,2,FALSE)</f>
        <v>Actro You(L) 450/SiSy 40kg; EB21</v>
      </c>
      <c r="AW33" s="22">
        <f>VLOOKUP(AU33,CENY!$B$11:$G$1054,3,FALSE)</f>
        <v>1</v>
      </c>
      <c r="AX33" s="362">
        <v>10</v>
      </c>
      <c r="AY33" s="23">
        <f>W20</f>
        <v>0</v>
      </c>
      <c r="AZ33" s="326">
        <f t="shared" si="4"/>
        <v>0</v>
      </c>
      <c r="BA33" s="95">
        <f>VLOOKUP(AU33,CENY!$B$11:$M$2025,12,FALSE)</f>
        <v>671.97520999999995</v>
      </c>
      <c r="BB33" s="95">
        <f t="shared" si="1"/>
        <v>0</v>
      </c>
      <c r="BD33" s="319">
        <f>OBJ!B77</f>
        <v>9347508</v>
      </c>
      <c r="BE33" s="21" t="str">
        <f>VLOOKUP(BD33,CENY!$B$11:$G$1054,2,FALSE)</f>
        <v>AvanY-design ALprofil Hybrid na bok 550/ strieb.</v>
      </c>
      <c r="BF33" s="22">
        <f>VLOOKUP(BD33,CENY!$B$11:$G$1054,3,FALSE)</f>
        <v>200</v>
      </c>
      <c r="BG33" s="22"/>
      <c r="BH33" s="23">
        <f>2*(AA20+AA22+AA28+AA30)</f>
        <v>0</v>
      </c>
      <c r="BI33" s="326">
        <f t="shared" si="5"/>
        <v>0</v>
      </c>
      <c r="BJ33" s="95">
        <f>VLOOKUP(BD33,CENY!$B$11:$M$2025,12,FALSE)</f>
        <v>21.84564</v>
      </c>
      <c r="BK33" s="95">
        <f t="shared" si="6"/>
        <v>0</v>
      </c>
    </row>
    <row r="34" spans="2:63" ht="14.4" customHeight="1">
      <c r="B34" s="366" t="str">
        <f>verze!E203</f>
        <v>P2O Silent = tlumení s otvíráním bez úchytky Push to open Silent</v>
      </c>
      <c r="Y34" s="86" t="str">
        <f>IF(AND(M31=0,SUM('AVT101(vn-A)'!O84:AJ84)&lt;&gt;0),verze!E118&amp;"  ","")</f>
        <v/>
      </c>
      <c r="AU34" s="319">
        <f>OBJ!B248</f>
        <v>9318192</v>
      </c>
      <c r="AV34" s="21" t="str">
        <f>VLOOKUP(AU34,CENY!$B$11:$G$1054,2,FALSE)</f>
        <v>Actro You(L) 500/SiSy 40kg; EB21</v>
      </c>
      <c r="AW34" s="22">
        <f>VLOOKUP(AU34,CENY!$B$11:$G$1054,3,FALSE)</f>
        <v>1</v>
      </c>
      <c r="AX34" s="362">
        <v>10</v>
      </c>
      <c r="AY34" s="23">
        <f>Y20</f>
        <v>0</v>
      </c>
      <c r="AZ34" s="326">
        <f t="shared" si="4"/>
        <v>0</v>
      </c>
      <c r="BA34" s="95">
        <f>VLOOKUP(AU34,CENY!$B$11:$M$2025,12,FALSE)</f>
        <v>164.23333</v>
      </c>
      <c r="BB34" s="95">
        <f t="shared" si="1"/>
        <v>0</v>
      </c>
      <c r="BD34" s="319">
        <f>OBJ!B78</f>
        <v>9347509</v>
      </c>
      <c r="BE34" s="21" t="str">
        <f>VLOOKUP(BD34,CENY!$B$11:$G$1054,2,FALSE)</f>
        <v>AvanY-design ALprofil Hybrid na bok 600/ strieb.</v>
      </c>
      <c r="BF34" s="22">
        <f>VLOOKUP(BD34,CENY!$B$11:$G$1054,3,FALSE)</f>
        <v>200</v>
      </c>
      <c r="BG34" s="22"/>
      <c r="BH34" s="23">
        <f>2*(AC20+AC22+AC28+AC30)</f>
        <v>0</v>
      </c>
      <c r="BI34" s="326">
        <f t="shared" si="5"/>
        <v>0</v>
      </c>
      <c r="BJ34" s="95">
        <f>VLOOKUP(BD34,CENY!$B$11:$M$2025,12,FALSE)</f>
        <v>22.79205</v>
      </c>
      <c r="BK34" s="95">
        <f t="shared" si="6"/>
        <v>0</v>
      </c>
    </row>
    <row r="35" spans="2:63" ht="14.4" customHeight="1">
      <c r="AU35" s="319">
        <f>OBJ!B249</f>
        <v>9318194</v>
      </c>
      <c r="AV35" s="21" t="str">
        <f>VLOOKUP(AU35,CENY!$B$11:$G$1054,2,FALSE)</f>
        <v>Actro You(L) 550/SiSy 40kg; EB21</v>
      </c>
      <c r="AW35" s="22">
        <f>VLOOKUP(AU35,CENY!$B$11:$G$1054,3,FALSE)</f>
        <v>1</v>
      </c>
      <c r="AX35" s="362">
        <v>10</v>
      </c>
      <c r="AY35" s="23">
        <f>AA20</f>
        <v>0</v>
      </c>
      <c r="AZ35" s="326">
        <f t="shared" si="4"/>
        <v>0</v>
      </c>
      <c r="BA35" s="95">
        <f>VLOOKUP(AU35,CENY!$B$11:$M$2025,12,FALSE)</f>
        <v>173.62268</v>
      </c>
      <c r="BB35" s="95">
        <f t="shared" si="1"/>
        <v>0</v>
      </c>
      <c r="BD35" s="319">
        <f>OBJ!B79</f>
        <v>9347510</v>
      </c>
      <c r="BE35" s="21" t="str">
        <f>VLOOKUP(BD35,CENY!$B$11:$G$1054,2,FALSE)</f>
        <v>AvanY-design ALprofil Hybrid na bok 650/ strieb.</v>
      </c>
      <c r="BF35" s="22">
        <f>VLOOKUP(BD35,CENY!$B$11:$G$1054,3,FALSE)</f>
        <v>200</v>
      </c>
      <c r="BG35" s="22"/>
      <c r="BH35" s="23">
        <f>2*(AE22)</f>
        <v>0</v>
      </c>
      <c r="BI35" s="326">
        <f t="shared" ref="BI35" si="21">IF(BH35="","",IF($AW$4=0,BH35,0))</f>
        <v>0</v>
      </c>
      <c r="BJ35" s="95">
        <f>VLOOKUP(BD35,CENY!$B$11:$M$2025,12,FALSE)</f>
        <v>24.580449999999999</v>
      </c>
      <c r="BK35" s="95">
        <f t="shared" ref="BK35" si="22">IF(BJ35="","",BJ35*BH35)</f>
        <v>0</v>
      </c>
    </row>
    <row r="36" spans="2:63" ht="14.4" customHeight="1">
      <c r="AU36" s="319">
        <f>OBJ!B250</f>
        <v>9318196</v>
      </c>
      <c r="AV36" s="21" t="str">
        <f>VLOOKUP(AU36,CENY!$B$11:$G$1054,2,FALSE)</f>
        <v>Actro You(L) 600/SiSy 40kg; EB21</v>
      </c>
      <c r="AW36" s="22">
        <f>VLOOKUP(AU36,CENY!$B$11:$G$1054,3,FALSE)</f>
        <v>1</v>
      </c>
      <c r="AX36" s="362">
        <v>10</v>
      </c>
      <c r="AY36" s="23">
        <f>AC20</f>
        <v>0</v>
      </c>
      <c r="AZ36" s="326">
        <f t="shared" si="4"/>
        <v>0</v>
      </c>
      <c r="BA36" s="95">
        <f>VLOOKUP(AU36,CENY!$B$11:$M$2025,12,FALSE)</f>
        <v>726.70140000000004</v>
      </c>
      <c r="BB36" s="95">
        <f t="shared" si="1"/>
        <v>0</v>
      </c>
      <c r="BD36" s="319"/>
      <c r="BE36" s="21"/>
      <c r="BF36" s="22"/>
      <c r="BG36" s="22"/>
      <c r="BH36" s="23"/>
      <c r="BI36" s="326"/>
      <c r="BJ36" s="95"/>
      <c r="BK36" s="95"/>
    </row>
    <row r="37" spans="2:63" ht="14.4" customHeight="1">
      <c r="AU37" s="319"/>
      <c r="AV37" s="21"/>
      <c r="AW37" s="22"/>
      <c r="AX37" s="22"/>
      <c r="AY37" s="23"/>
      <c r="AZ37" s="326" t="str">
        <f t="shared" si="4"/>
        <v/>
      </c>
      <c r="BA37" s="95"/>
      <c r="BB37" s="95" t="str">
        <f t="shared" si="1"/>
        <v/>
      </c>
      <c r="BD37" s="319">
        <f>OBJ!B236</f>
        <v>9318145</v>
      </c>
      <c r="BE37" s="21" t="str">
        <f>VLOOKUP(BD37,CENY!$B$11:$G$1054,2,FALSE)</f>
        <v>Actro You(S) 270/SiSy 10kg; EB21; ľavý</v>
      </c>
      <c r="BF37" s="22">
        <f>VLOOKUP(BD37,CENY!$B$11:$G$1054,3,FALSE)</f>
        <v>10</v>
      </c>
      <c r="BG37" s="22"/>
      <c r="BH37" s="23">
        <f>AY25</f>
        <v>0</v>
      </c>
      <c r="BI37" s="326">
        <f t="shared" ref="BI37:BI38" si="23">IF(BH37="","",IF($AW$4=0,BH37,0))</f>
        <v>0</v>
      </c>
      <c r="BJ37" s="95">
        <f>VLOOKUP(BD37,CENY!$B$11:$M$2025,12,FALSE)</f>
        <v>298.88173999999998</v>
      </c>
      <c r="BK37" s="95">
        <f t="shared" ref="BK37:BK38" si="24">IF(BJ37="","",BJ37*BH37)</f>
        <v>0</v>
      </c>
    </row>
    <row r="38" spans="2:63" ht="14.4" customHeight="1">
      <c r="AU38" s="319">
        <f>OBJ!B268</f>
        <v>9318215</v>
      </c>
      <c r="AV38" s="21" t="str">
        <f>VLOOKUP(AU38,CENY!$B$11:$G$1054,2,FALSE)</f>
        <v>Actro You(XL) 450/SiSy 70kg; EB21</v>
      </c>
      <c r="AW38" s="22">
        <f>VLOOKUP(AU38,CENY!$B$11:$G$1054,3,FALSE)</f>
        <v>1</v>
      </c>
      <c r="AX38" s="362">
        <v>10</v>
      </c>
      <c r="AY38" s="23">
        <f>W22</f>
        <v>0</v>
      </c>
      <c r="AZ38" s="326">
        <f t="shared" si="4"/>
        <v>0</v>
      </c>
      <c r="BA38" s="95">
        <f>VLOOKUP(AU38,CENY!$B$11:$M$2025,12,FALSE)</f>
        <v>197.37184999999999</v>
      </c>
      <c r="BB38" s="95">
        <f t="shared" si="1"/>
        <v>0</v>
      </c>
      <c r="BD38" s="319">
        <f>OBJ!B237</f>
        <v>9318146</v>
      </c>
      <c r="BE38" s="21" t="str">
        <f>VLOOKUP(BD38,CENY!$B$11:$G$1054,2,FALSE)</f>
        <v>Actro You(S) 270/SiSy 10kg; EB21; pravý</v>
      </c>
      <c r="BF38" s="22">
        <f>VLOOKUP(BD38,CENY!$B$11:$G$1054,3,FALSE)</f>
        <v>10</v>
      </c>
      <c r="BG38" s="22"/>
      <c r="BH38" s="23">
        <f>AY25</f>
        <v>0</v>
      </c>
      <c r="BI38" s="326">
        <f t="shared" si="23"/>
        <v>0</v>
      </c>
      <c r="BJ38" s="95">
        <f>VLOOKUP(BD38,CENY!$B$11:$M$2025,12,FALSE)</f>
        <v>298.88173999999998</v>
      </c>
      <c r="BK38" s="95">
        <f t="shared" si="24"/>
        <v>0</v>
      </c>
    </row>
    <row r="39" spans="2:63" ht="14.4" customHeight="1">
      <c r="AU39" s="319">
        <f>OBJ!B269</f>
        <v>9318216</v>
      </c>
      <c r="AV39" s="21" t="str">
        <f>VLOOKUP(AU39,CENY!$B$11:$G$1054,2,FALSE)</f>
        <v>Actro You(XL) 500/SiSy 70kg; EB21</v>
      </c>
      <c r="AW39" s="22">
        <f>VLOOKUP(AU39,CENY!$B$11:$G$1054,3,FALSE)</f>
        <v>1</v>
      </c>
      <c r="AX39" s="362">
        <v>10</v>
      </c>
      <c r="AY39" s="23">
        <f>Y22</f>
        <v>0</v>
      </c>
      <c r="AZ39" s="326">
        <f t="shared" si="4"/>
        <v>0</v>
      </c>
      <c r="BA39" s="95">
        <f>VLOOKUP(AU39,CENY!$B$11:$M$2025,12,FALSE)</f>
        <v>823.68502000000001</v>
      </c>
      <c r="BB39" s="95">
        <f t="shared" si="1"/>
        <v>0</v>
      </c>
      <c r="BD39" s="319">
        <f>OBJ!B238</f>
        <v>9318147</v>
      </c>
      <c r="BE39" s="21" t="str">
        <f>VLOOKUP(BD39,CENY!$B$11:$G$1054,2,FALSE)</f>
        <v>Actro You(S) 300/SiSy 10kg; EB21; ľavý</v>
      </c>
      <c r="BF39" s="22">
        <f>VLOOKUP(BD39,CENY!$B$11:$G$1054,3,FALSE)</f>
        <v>10</v>
      </c>
      <c r="BG39" s="22"/>
      <c r="BH39" s="23">
        <f>AY26</f>
        <v>0</v>
      </c>
      <c r="BI39" s="326">
        <f t="shared" si="5"/>
        <v>0</v>
      </c>
      <c r="BJ39" s="95">
        <f>VLOOKUP(BD39,CENY!$B$11:$M$2025,12,FALSE)</f>
        <v>298.88173999999998</v>
      </c>
      <c r="BK39" s="95">
        <f t="shared" si="6"/>
        <v>0</v>
      </c>
    </row>
    <row r="40" spans="2:63" ht="14.4" customHeight="1">
      <c r="AU40" s="319">
        <f>OBJ!B270</f>
        <v>9318217</v>
      </c>
      <c r="AV40" s="21" t="str">
        <f>VLOOKUP(AU40,CENY!$B$11:$G$1054,2,FALSE)</f>
        <v>Actro You(XL) 550/SiSy 70kg; EB21</v>
      </c>
      <c r="AW40" s="22">
        <f>VLOOKUP(AU40,CENY!$B$11:$G$1054,3,FALSE)</f>
        <v>1</v>
      </c>
      <c r="AX40" s="362">
        <v>10</v>
      </c>
      <c r="AY40" s="23">
        <f>AA22</f>
        <v>0</v>
      </c>
      <c r="AZ40" s="326">
        <f t="shared" si="4"/>
        <v>0</v>
      </c>
      <c r="BA40" s="95">
        <f>VLOOKUP(AU40,CENY!$B$11:$M$2025,12,FALSE)</f>
        <v>862.82307000000003</v>
      </c>
      <c r="BB40" s="95">
        <f t="shared" si="1"/>
        <v>0</v>
      </c>
      <c r="BD40" s="319">
        <f>OBJ!B239</f>
        <v>9318148</v>
      </c>
      <c r="BE40" s="21" t="str">
        <f>VLOOKUP(BD40,CENY!$B$11:$G$1054,2,FALSE)</f>
        <v>Actro You(S) 300/SiSy 10kg; EB21; pravý</v>
      </c>
      <c r="BF40" s="22">
        <f>VLOOKUP(BD40,CENY!$B$11:$G$1054,3,FALSE)</f>
        <v>10</v>
      </c>
      <c r="BG40" s="22"/>
      <c r="BH40" s="23">
        <f>AY26</f>
        <v>0</v>
      </c>
      <c r="BI40" s="326">
        <f t="shared" si="5"/>
        <v>0</v>
      </c>
      <c r="BJ40" s="95">
        <f>VLOOKUP(BD40,CENY!$B$11:$M$2025,12,FALSE)</f>
        <v>298.88173999999998</v>
      </c>
      <c r="BK40" s="95">
        <f t="shared" si="6"/>
        <v>0</v>
      </c>
    </row>
    <row r="41" spans="2:63" ht="14.4" customHeight="1">
      <c r="AU41" s="319">
        <f>OBJ!B271</f>
        <v>9318218</v>
      </c>
      <c r="AV41" s="21" t="str">
        <f>VLOOKUP(AU41,CENY!$B$11:$G$1054,2,FALSE)</f>
        <v>Actro You(XL) 600/SiSy 70kg; EB21</v>
      </c>
      <c r="AW41" s="22">
        <f>VLOOKUP(AU41,CENY!$B$11:$G$1054,3,FALSE)</f>
        <v>1</v>
      </c>
      <c r="AX41" s="362">
        <v>10</v>
      </c>
      <c r="AY41" s="23">
        <f>AC22</f>
        <v>0</v>
      </c>
      <c r="AZ41" s="326">
        <f t="shared" si="4"/>
        <v>0</v>
      </c>
      <c r="BA41" s="95">
        <f>VLOOKUP(AU41,CENY!$B$11:$M$2025,12,FALSE)</f>
        <v>941.88580999999999</v>
      </c>
      <c r="BB41" s="95">
        <f t="shared" si="1"/>
        <v>0</v>
      </c>
      <c r="BD41" s="319">
        <f>OBJ!B240</f>
        <v>9318149</v>
      </c>
      <c r="BE41" s="21" t="str">
        <f>VLOOKUP(BD41,CENY!$B$11:$G$1054,2,FALSE)</f>
        <v>Actro You(S) 350/SiSy 10kg; EB21; ľavý</v>
      </c>
      <c r="BF41" s="22">
        <f>VLOOKUP(BD41,CENY!$B$11:$G$1054,3,FALSE)</f>
        <v>10</v>
      </c>
      <c r="BG41" s="22"/>
      <c r="BH41" s="23">
        <f>AY27</f>
        <v>0</v>
      </c>
      <c r="BI41" s="326">
        <f t="shared" si="5"/>
        <v>0</v>
      </c>
      <c r="BJ41" s="95">
        <f>VLOOKUP(BD41,CENY!$B$11:$M$2025,12,FALSE)</f>
        <v>298.88173999999998</v>
      </c>
      <c r="BK41" s="95">
        <f t="shared" si="6"/>
        <v>0</v>
      </c>
    </row>
    <row r="42" spans="2:63" ht="14.4" customHeight="1">
      <c r="AU42" s="319">
        <f>OBJ!B272</f>
        <v>9318219</v>
      </c>
      <c r="AV42" s="21" t="str">
        <f>VLOOKUP(AU42,CENY!$B$11:$G$1054,2,FALSE)</f>
        <v>Actro You(XL) 650/SiSy 70kg; EB21</v>
      </c>
      <c r="AW42" s="22">
        <f>VLOOKUP(AU42,CENY!$B$11:$G$1054,3,FALSE)</f>
        <v>1</v>
      </c>
      <c r="AX42" s="362">
        <v>10</v>
      </c>
      <c r="AY42" s="23">
        <f>AE22</f>
        <v>0</v>
      </c>
      <c r="AZ42" s="326">
        <f t="shared" ref="AZ42" si="25">IF(AY42="","",IF($AW$4=1,AY42,0))</f>
        <v>0</v>
      </c>
      <c r="BA42" s="95">
        <f>VLOOKUP(AU42,CENY!$B$11:$M$2025,12,FALSE)</f>
        <v>977.56314999999995</v>
      </c>
      <c r="BB42" s="95">
        <f t="shared" ref="BB42" si="26">IF(BA42="","",BA42*AY42)</f>
        <v>0</v>
      </c>
      <c r="BD42" s="319">
        <f>OBJ!B241</f>
        <v>9318150</v>
      </c>
      <c r="BE42" s="21" t="str">
        <f>VLOOKUP(BD42,CENY!$B$11:$G$1054,2,FALSE)</f>
        <v>Actro You(S) 350/SiSy 10kg; EB21; pravý</v>
      </c>
      <c r="BF42" s="22">
        <f>VLOOKUP(BD42,CENY!$B$11:$G$1054,3,FALSE)</f>
        <v>10</v>
      </c>
      <c r="BG42" s="22"/>
      <c r="BH42" s="23">
        <f>AY27</f>
        <v>0</v>
      </c>
      <c r="BI42" s="326">
        <f t="shared" si="5"/>
        <v>0</v>
      </c>
      <c r="BJ42" s="95">
        <f>VLOOKUP(BD42,CENY!$B$11:$M$2025,12,FALSE)</f>
        <v>298.88173999999998</v>
      </c>
      <c r="BK42" s="95">
        <f t="shared" si="6"/>
        <v>0</v>
      </c>
    </row>
    <row r="43" spans="2:63" ht="14.4" customHeight="1">
      <c r="AU43" s="319"/>
      <c r="AV43" s="21"/>
      <c r="AW43" s="22"/>
      <c r="AX43" s="22"/>
      <c r="AY43" s="23"/>
      <c r="AZ43" s="326" t="str">
        <f t="shared" si="4"/>
        <v/>
      </c>
      <c r="BA43" s="95"/>
      <c r="BB43" s="95" t="str">
        <f t="shared" si="1"/>
        <v/>
      </c>
      <c r="BD43" s="319"/>
      <c r="BE43" s="21"/>
      <c r="BF43" s="22"/>
      <c r="BG43" s="22"/>
      <c r="BH43" s="23"/>
      <c r="BI43" s="326" t="str">
        <f t="shared" si="5"/>
        <v/>
      </c>
      <c r="BJ43" s="95"/>
      <c r="BK43" s="95" t="str">
        <f t="shared" si="6"/>
        <v/>
      </c>
    </row>
    <row r="44" spans="2:63" ht="14.4" customHeight="1">
      <c r="AU44" s="319">
        <f>OBJ!B284</f>
        <v>9257890</v>
      </c>
      <c r="AV44" s="21" t="str">
        <f>VLOOKUP(AU44,CENY!$B$11:$G$1054,2,FALSE)</f>
        <v>Actro You - Push to open Silent; &lt;10kg</v>
      </c>
      <c r="AW44" s="22">
        <f>VLOOKUP(AU44,CENY!$B$11:$G$1054,3,FALSE)</f>
        <v>1</v>
      </c>
      <c r="AX44" s="22"/>
      <c r="AY44" s="23">
        <f>AN19</f>
        <v>0</v>
      </c>
      <c r="AZ44" s="326">
        <f t="shared" si="4"/>
        <v>0</v>
      </c>
      <c r="BA44" s="95">
        <f>VLOOKUP(AU44,CENY!$B$11:$M$2025,12,FALSE)</f>
        <v>481.81412999999998</v>
      </c>
      <c r="BB44" s="95">
        <f t="shared" si="1"/>
        <v>0</v>
      </c>
      <c r="BD44" s="319">
        <f>OBJ!B251</f>
        <v>9318167</v>
      </c>
      <c r="BE44" s="21" t="str">
        <f>VLOOKUP(BD44,CENY!$B$11:$G$1054,2,FALSE)</f>
        <v>Actro You(L) 270/SiSy 40kg; EB21; ľavý</v>
      </c>
      <c r="BF44" s="22">
        <f>VLOOKUP(BD44,CENY!$B$11:$G$1054,3,FALSE)</f>
        <v>10</v>
      </c>
      <c r="BG44" s="22"/>
      <c r="BH44" s="23">
        <f>AY29</f>
        <v>0</v>
      </c>
      <c r="BI44" s="326">
        <f t="shared" ref="BI44:BI45" si="27">IF(BH44="","",IF($AW$4=0,BH44,0))</f>
        <v>0</v>
      </c>
      <c r="BJ44" s="95">
        <f>VLOOKUP(BD44,CENY!$B$11:$M$2025,12,FALSE)</f>
        <v>298.88173999999998</v>
      </c>
      <c r="BK44" s="95">
        <f t="shared" ref="BK44:BK45" si="28">IF(BJ44="","",BJ44*BH44)</f>
        <v>0</v>
      </c>
    </row>
    <row r="45" spans="2:63" ht="14.4" customHeight="1">
      <c r="AU45" s="319">
        <f>OBJ!B285</f>
        <v>9257891</v>
      </c>
      <c r="AV45" s="21" t="str">
        <f>VLOOKUP(AU45,CENY!$B$11:$G$1054,2,FALSE)</f>
        <v>Actro You - Push to open Silent; 8-20kg</v>
      </c>
      <c r="AW45" s="22">
        <f>VLOOKUP(AU45,CENY!$B$11:$G$1054,3,FALSE)</f>
        <v>1</v>
      </c>
      <c r="AX45" s="22"/>
      <c r="AY45" s="23">
        <f>AN20</f>
        <v>0</v>
      </c>
      <c r="AZ45" s="326">
        <f t="shared" si="4"/>
        <v>0</v>
      </c>
      <c r="BA45" s="95">
        <f>VLOOKUP(AU45,CENY!$B$11:$M$2025,12,FALSE)</f>
        <v>481.81412999999998</v>
      </c>
      <c r="BB45" s="95">
        <f t="shared" si="1"/>
        <v>0</v>
      </c>
      <c r="BD45" s="319">
        <f>OBJ!B252</f>
        <v>9318170</v>
      </c>
      <c r="BE45" s="21" t="str">
        <f>VLOOKUP(BD45,CENY!$B$11:$G$1054,2,FALSE)</f>
        <v>Actro You(L) 270/SiSy 40kg; EB21; pravý</v>
      </c>
      <c r="BF45" s="22">
        <f>VLOOKUP(BD45,CENY!$B$11:$G$1054,3,FALSE)</f>
        <v>10</v>
      </c>
      <c r="BG45" s="22"/>
      <c r="BH45" s="23">
        <f>AY29</f>
        <v>0</v>
      </c>
      <c r="BI45" s="326">
        <f t="shared" si="27"/>
        <v>0</v>
      </c>
      <c r="BJ45" s="95">
        <f>VLOOKUP(BD45,CENY!$B$11:$M$2025,12,FALSE)</f>
        <v>298.88173999999998</v>
      </c>
      <c r="BK45" s="95">
        <f t="shared" si="28"/>
        <v>0</v>
      </c>
    </row>
    <row r="46" spans="2:63" ht="14.4" customHeight="1">
      <c r="AU46" s="319">
        <f>OBJ!B286</f>
        <v>9257892</v>
      </c>
      <c r="AV46" s="21" t="str">
        <f>VLOOKUP(AU46,CENY!$B$11:$G$1054,2,FALSE)</f>
        <v>Actro You - Push to open Silent; 10-40kg</v>
      </c>
      <c r="AW46" s="22">
        <f>VLOOKUP(AU46,CENY!$B$11:$G$1054,3,FALSE)</f>
        <v>1</v>
      </c>
      <c r="AX46" s="22"/>
      <c r="AY46" s="23">
        <f>AN21</f>
        <v>0</v>
      </c>
      <c r="AZ46" s="326">
        <f t="shared" si="4"/>
        <v>0</v>
      </c>
      <c r="BA46" s="95">
        <f>VLOOKUP(AU46,CENY!$B$11:$M$2025,12,FALSE)</f>
        <v>481.81412999999998</v>
      </c>
      <c r="BB46" s="95">
        <f t="shared" si="1"/>
        <v>0</v>
      </c>
      <c r="BD46" s="319">
        <f>OBJ!B253</f>
        <v>9318171</v>
      </c>
      <c r="BE46" s="21" t="str">
        <f>VLOOKUP(BD46,CENY!$B$11:$G$1054,2,FALSE)</f>
        <v>Actro You(L) 300/SiSy 40kg; EB21; ľavý</v>
      </c>
      <c r="BF46" s="22">
        <f>VLOOKUP(BD46,CENY!$B$11:$G$1054,3,FALSE)</f>
        <v>10</v>
      </c>
      <c r="BG46" s="22"/>
      <c r="BH46" s="23">
        <f>AY30</f>
        <v>0</v>
      </c>
      <c r="BI46" s="326">
        <f t="shared" si="5"/>
        <v>0</v>
      </c>
      <c r="BJ46" s="95">
        <f>VLOOKUP(BD46,CENY!$B$11:$M$2025,12,FALSE)</f>
        <v>298.88173999999998</v>
      </c>
      <c r="BK46" s="95">
        <f t="shared" si="6"/>
        <v>0</v>
      </c>
    </row>
    <row r="47" spans="2:63" ht="14.4" customHeight="1">
      <c r="AU47" s="319">
        <f>OBJ!B287</f>
        <v>9257893</v>
      </c>
      <c r="AV47" s="21" t="str">
        <f>VLOOKUP(AU47,CENY!$B$11:$G$1054,2,FALSE)</f>
        <v>Actro You - Push to open Silent; 20-70kg</v>
      </c>
      <c r="AW47" s="22">
        <f>VLOOKUP(AU47,CENY!$B$11:$G$1054,3,FALSE)</f>
        <v>1</v>
      </c>
      <c r="AX47" s="22"/>
      <c r="AY47" s="23">
        <f>AN22</f>
        <v>0</v>
      </c>
      <c r="AZ47" s="326">
        <f t="shared" si="4"/>
        <v>0</v>
      </c>
      <c r="BA47" s="95">
        <f>VLOOKUP(AU47,CENY!$B$11:$M$2025,12,FALSE)</f>
        <v>481.81412999999998</v>
      </c>
      <c r="BB47" s="95">
        <f t="shared" si="1"/>
        <v>0</v>
      </c>
      <c r="BD47" s="319">
        <f>OBJ!B254</f>
        <v>9318172</v>
      </c>
      <c r="BE47" s="21" t="str">
        <f>VLOOKUP(BD47,CENY!$B$11:$G$1054,2,FALSE)</f>
        <v>Actro You(L) 300/SiSy 40kg; EB21; pravý</v>
      </c>
      <c r="BF47" s="22">
        <f>VLOOKUP(BD47,CENY!$B$11:$G$1054,3,FALSE)</f>
        <v>10</v>
      </c>
      <c r="BG47" s="22"/>
      <c r="BH47" s="23">
        <f>AY30</f>
        <v>0</v>
      </c>
      <c r="BI47" s="326">
        <f t="shared" si="5"/>
        <v>0</v>
      </c>
      <c r="BJ47" s="95">
        <f>VLOOKUP(BD47,CENY!$B$11:$M$2025,12,FALSE)</f>
        <v>298.88173999999998</v>
      </c>
      <c r="BK47" s="95">
        <f t="shared" si="6"/>
        <v>0</v>
      </c>
    </row>
    <row r="48" spans="2:63" ht="14.4" customHeight="1">
      <c r="AU48" s="319">
        <f>OBJ!B288</f>
        <v>9236718</v>
      </c>
      <c r="AV48" s="21" t="str">
        <f>VLOOKUP(AU48,CENY!$B$11:$G$1054,2,FALSE)</f>
        <v>Push to open Synchro / tyč 2.000 mm</v>
      </c>
      <c r="AW48" s="22">
        <f>VLOOKUP(AU48,CENY!$B$11:$G$1054,3,FALSE)</f>
        <v>100</v>
      </c>
      <c r="AX48" s="22"/>
      <c r="AY48" s="23">
        <f>IF(SUM(AN19:AO22)+SUM(AN27:AO29)+SUM(O30:AD30)=0,0,AY93)</f>
        <v>0</v>
      </c>
      <c r="AZ48" s="326">
        <f t="shared" si="4"/>
        <v>0</v>
      </c>
      <c r="BA48" s="95">
        <f>VLOOKUP(AU48,CENY!$B$11:$M$2025,12,FALSE)</f>
        <v>182.03933000000001</v>
      </c>
      <c r="BB48" s="95">
        <f t="shared" si="1"/>
        <v>0</v>
      </c>
      <c r="BD48" s="319">
        <f>OBJ!B255</f>
        <v>9318173</v>
      </c>
      <c r="BE48" s="21" t="str">
        <f>VLOOKUP(BD48,CENY!$B$11:$G$1054,2,FALSE)</f>
        <v>Actro You(L) 350/SiSy 40kg; EB21; ľavý</v>
      </c>
      <c r="BF48" s="22">
        <f>VLOOKUP(BD48,CENY!$B$11:$G$1054,3,FALSE)</f>
        <v>10</v>
      </c>
      <c r="BG48" s="22"/>
      <c r="BH48" s="23">
        <f>AY31</f>
        <v>0</v>
      </c>
      <c r="BI48" s="326">
        <f t="shared" si="5"/>
        <v>0</v>
      </c>
      <c r="BJ48" s="95">
        <f>VLOOKUP(BD48,CENY!$B$11:$M$2025,12,FALSE)</f>
        <v>298.88173999999998</v>
      </c>
      <c r="BK48" s="95">
        <f t="shared" si="6"/>
        <v>0</v>
      </c>
    </row>
    <row r="49" spans="47:63" ht="14.4" customHeight="1">
      <c r="AU49" s="319"/>
      <c r="AV49" s="21"/>
      <c r="AW49" s="22"/>
      <c r="AX49" s="22"/>
      <c r="AY49" s="23"/>
      <c r="AZ49" s="326" t="str">
        <f t="shared" si="4"/>
        <v/>
      </c>
      <c r="BA49" s="95"/>
      <c r="BB49" s="95" t="str">
        <f t="shared" si="1"/>
        <v/>
      </c>
      <c r="BD49" s="319">
        <f>OBJ!B256</f>
        <v>9318174</v>
      </c>
      <c r="BE49" s="21" t="str">
        <f>VLOOKUP(BD49,CENY!$B$11:$G$1054,2,FALSE)</f>
        <v>Actro You(L) 350/SiSy 40kg; EB21; pravý</v>
      </c>
      <c r="BF49" s="22">
        <f>VLOOKUP(BD49,CENY!$B$11:$G$1054,3,FALSE)</f>
        <v>10</v>
      </c>
      <c r="BG49" s="22"/>
      <c r="BH49" s="23">
        <f>AY31</f>
        <v>0</v>
      </c>
      <c r="BI49" s="326">
        <f t="shared" si="5"/>
        <v>0</v>
      </c>
      <c r="BJ49" s="95">
        <f>VLOOKUP(BD49,CENY!$B$11:$M$2025,12,FALSE)</f>
        <v>298.88173999999998</v>
      </c>
      <c r="BK49" s="95">
        <f t="shared" si="6"/>
        <v>0</v>
      </c>
    </row>
    <row r="50" spans="47:63" ht="14.4" customHeight="1">
      <c r="AU50" s="319">
        <f>OBJ!B294</f>
        <v>9256953</v>
      </c>
      <c r="AV50" s="21" t="str">
        <f>VLOOKUP(AU50,CENY!$B$11:$G$1054,2,FALSE)</f>
        <v>Quadro You(S) 270/SiSy 10kg; EB21</v>
      </c>
      <c r="AW50" s="22">
        <f>VLOOKUP(AU50,CENY!$B$11:$G$1054,3,FALSE)</f>
        <v>1</v>
      </c>
      <c r="AX50" s="362">
        <v>4</v>
      </c>
      <c r="AY50" s="23">
        <f>O27</f>
        <v>0</v>
      </c>
      <c r="AZ50" s="326">
        <f t="shared" ref="AZ50" si="29">IF(AY50="","",IF($AW$4=1,AY50,0))</f>
        <v>0</v>
      </c>
      <c r="BA50" s="95">
        <f>VLOOKUP(AU50,CENY!$B$11:$M$2025,12,FALSE)</f>
        <v>478.60127999999997</v>
      </c>
      <c r="BB50" s="95">
        <f t="shared" ref="BB50" si="30">IF(BA50="","",BA50*AY50)</f>
        <v>0</v>
      </c>
      <c r="BD50" s="319">
        <f>OBJ!B257</f>
        <v>9318175</v>
      </c>
      <c r="BE50" s="21" t="str">
        <f>VLOOKUP(BD50,CENY!$B$11:$G$1054,2,FALSE)</f>
        <v>Actro You(L) 400/SiSy 40kg; EB21; ľavý</v>
      </c>
      <c r="BF50" s="22">
        <f>VLOOKUP(BD50,CENY!$B$11:$G$1054,3,FALSE)</f>
        <v>10</v>
      </c>
      <c r="BG50" s="22"/>
      <c r="BH50" s="23">
        <f>AY32</f>
        <v>0</v>
      </c>
      <c r="BI50" s="326">
        <f t="shared" si="5"/>
        <v>0</v>
      </c>
      <c r="BJ50" s="95">
        <f>VLOOKUP(BD50,CENY!$B$11:$M$2025,12,FALSE)</f>
        <v>302.69770999999997</v>
      </c>
      <c r="BK50" s="95">
        <f t="shared" si="6"/>
        <v>0</v>
      </c>
    </row>
    <row r="51" spans="47:63" ht="14.4" customHeight="1">
      <c r="AU51" s="319">
        <f>OBJ!B295</f>
        <v>9256954</v>
      </c>
      <c r="AV51" s="21" t="str">
        <f>VLOOKUP(AU51,CENY!$B$11:$G$1054,2,FALSE)</f>
        <v>Quadro You(S) 300/SiSy 10kg; EB21</v>
      </c>
      <c r="AW51" s="22">
        <f>VLOOKUP(AU51,CENY!$B$11:$G$1054,3,FALSE)</f>
        <v>1</v>
      </c>
      <c r="AX51" s="362">
        <v>4</v>
      </c>
      <c r="AY51" s="23">
        <f>Q27</f>
        <v>0</v>
      </c>
      <c r="AZ51" s="326">
        <f t="shared" si="4"/>
        <v>0</v>
      </c>
      <c r="BA51" s="95">
        <f>VLOOKUP(AU51,CENY!$B$11:$M$2025,12,FALSE)</f>
        <v>479.57344999999998</v>
      </c>
      <c r="BB51" s="95">
        <f t="shared" si="1"/>
        <v>0</v>
      </c>
      <c r="BD51" s="319">
        <f>OBJ!B258</f>
        <v>9318176</v>
      </c>
      <c r="BE51" s="21" t="str">
        <f>VLOOKUP(BD51,CENY!$B$11:$G$1054,2,FALSE)</f>
        <v>Actro You(L) 400/SiSy 40kg; EB21; pravý</v>
      </c>
      <c r="BF51" s="22">
        <f>VLOOKUP(BD51,CENY!$B$11:$G$1054,3,FALSE)</f>
        <v>10</v>
      </c>
      <c r="BG51" s="22"/>
      <c r="BH51" s="23">
        <f>AY32</f>
        <v>0</v>
      </c>
      <c r="BI51" s="326">
        <f t="shared" si="5"/>
        <v>0</v>
      </c>
      <c r="BJ51" s="95">
        <f>VLOOKUP(BD51,CENY!$B$11:$M$2025,12,FALSE)</f>
        <v>302.69770999999997</v>
      </c>
      <c r="BK51" s="95">
        <f t="shared" si="6"/>
        <v>0</v>
      </c>
    </row>
    <row r="52" spans="47:63" ht="14.4" customHeight="1">
      <c r="AU52" s="319">
        <f>OBJ!B296</f>
        <v>9256956</v>
      </c>
      <c r="AV52" s="21" t="str">
        <f>VLOOKUP(AU52,CENY!$B$11:$G$1054,2,FALSE)</f>
        <v>Quadro You(S) 350/SiSy 10kg; EB21</v>
      </c>
      <c r="AW52" s="22">
        <f>VLOOKUP(AU52,CENY!$B$11:$G$1054,3,FALSE)</f>
        <v>1</v>
      </c>
      <c r="AX52" s="362">
        <v>4</v>
      </c>
      <c r="AY52" s="23">
        <f>S27</f>
        <v>0</v>
      </c>
      <c r="AZ52" s="326">
        <f t="shared" si="4"/>
        <v>0</v>
      </c>
      <c r="BA52" s="95">
        <f>VLOOKUP(AU52,CENY!$B$11:$M$2025,12,FALSE)</f>
        <v>489.27857</v>
      </c>
      <c r="BB52" s="95">
        <f t="shared" si="1"/>
        <v>0</v>
      </c>
      <c r="BD52" s="319">
        <f>OBJ!B259</f>
        <v>9318177</v>
      </c>
      <c r="BE52" s="21" t="str">
        <f>VLOOKUP(BD52,CENY!$B$11:$G$1054,2,FALSE)</f>
        <v>Actro You(L) 450/SiSy 40kg; EB21; ľavý</v>
      </c>
      <c r="BF52" s="22">
        <f>VLOOKUP(BD52,CENY!$B$11:$G$1054,3,FALSE)</f>
        <v>10</v>
      </c>
      <c r="BG52" s="22"/>
      <c r="BH52" s="23">
        <f>AY33</f>
        <v>0</v>
      </c>
      <c r="BI52" s="326">
        <f t="shared" si="5"/>
        <v>0</v>
      </c>
      <c r="BJ52" s="95">
        <f>VLOOKUP(BD52,CENY!$B$11:$M$2025,12,FALSE)</f>
        <v>298.33073999999999</v>
      </c>
      <c r="BK52" s="95">
        <f t="shared" si="6"/>
        <v>0</v>
      </c>
    </row>
    <row r="53" spans="47:63" ht="14.4" customHeight="1">
      <c r="AU53" s="319"/>
      <c r="AV53" s="21"/>
      <c r="AW53" s="22"/>
      <c r="AX53" s="22"/>
      <c r="AY53" s="23"/>
      <c r="AZ53" s="326" t="str">
        <f t="shared" si="4"/>
        <v/>
      </c>
      <c r="BA53" s="95"/>
      <c r="BB53" s="95" t="str">
        <f t="shared" si="1"/>
        <v/>
      </c>
      <c r="BD53" s="319">
        <f>OBJ!B260</f>
        <v>9318178</v>
      </c>
      <c r="BE53" s="21" t="str">
        <f>VLOOKUP(BD53,CENY!$B$11:$G$1054,2,FALSE)</f>
        <v>Actro You(L) 450/SiSy 40kg; EB21; pravý</v>
      </c>
      <c r="BF53" s="22">
        <f>VLOOKUP(BD53,CENY!$B$11:$G$1054,3,FALSE)</f>
        <v>10</v>
      </c>
      <c r="BG53" s="22"/>
      <c r="BH53" s="23">
        <f>AY33</f>
        <v>0</v>
      </c>
      <c r="BI53" s="326">
        <f t="shared" si="5"/>
        <v>0</v>
      </c>
      <c r="BJ53" s="95">
        <f>VLOOKUP(BD53,CENY!$B$11:$M$2025,12,FALSE)</f>
        <v>298.33073999999999</v>
      </c>
      <c r="BK53" s="95">
        <f t="shared" si="6"/>
        <v>0</v>
      </c>
    </row>
    <row r="54" spans="47:63" ht="14.4" customHeight="1">
      <c r="AU54" s="319">
        <f>OBJ!B304</f>
        <v>9256883</v>
      </c>
      <c r="AV54" s="21" t="str">
        <f>VLOOKUP(AU54,CENY!$B$11:$G$1054,2,FALSE)</f>
        <v>Quadro You(M) 270/SiSy 20kg; EB21</v>
      </c>
      <c r="AW54" s="22">
        <f>VLOOKUP(AU54,CENY!$B$11:$G$1054,3,FALSE)</f>
        <v>1</v>
      </c>
      <c r="AX54" s="362">
        <v>8</v>
      </c>
      <c r="AY54" s="23">
        <f>O28</f>
        <v>0</v>
      </c>
      <c r="AZ54" s="326">
        <f t="shared" ref="AZ54" si="31">IF(AY54="","",IF($AW$4=1,AY54,0))</f>
        <v>0</v>
      </c>
      <c r="BA54" s="95">
        <f>VLOOKUP(AU54,CENY!$B$11:$M$2025,12,FALSE)</f>
        <v>478.60127999999997</v>
      </c>
      <c r="BB54" s="95">
        <f t="shared" ref="BB54" si="32">IF(BA54="","",BA54*AY54)</f>
        <v>0</v>
      </c>
      <c r="BD54" s="319">
        <f>OBJ!B261</f>
        <v>9318179</v>
      </c>
      <c r="BE54" s="21" t="str">
        <f>VLOOKUP(BD54,CENY!$B$11:$G$1054,2,FALSE)</f>
        <v>Actro You(L) 500/SiSy 40kg; EB21; ľavý</v>
      </c>
      <c r="BF54" s="22">
        <f>VLOOKUP(BD54,CENY!$B$11:$G$1054,3,FALSE)</f>
        <v>10</v>
      </c>
      <c r="BG54" s="22"/>
      <c r="BH54" s="23">
        <f>AY34</f>
        <v>0</v>
      </c>
      <c r="BI54" s="326">
        <f t="shared" si="5"/>
        <v>0</v>
      </c>
      <c r="BJ54" s="95">
        <f>VLOOKUP(BD54,CENY!$B$11:$M$2025,12,FALSE)</f>
        <v>296.00905</v>
      </c>
      <c r="BK54" s="95">
        <f t="shared" si="6"/>
        <v>0</v>
      </c>
    </row>
    <row r="55" spans="47:63" ht="14.4" customHeight="1">
      <c r="AU55" s="319">
        <f>OBJ!B305</f>
        <v>9256884</v>
      </c>
      <c r="AV55" s="21" t="str">
        <f>VLOOKUP(AU55,CENY!$B$11:$G$1054,2,FALSE)</f>
        <v>Quadro You(M) 300/SiSy 20kg; EB21</v>
      </c>
      <c r="AW55" s="22">
        <f>VLOOKUP(AU55,CENY!$B$11:$G$1054,3,FALSE)</f>
        <v>1</v>
      </c>
      <c r="AX55" s="362">
        <v>8</v>
      </c>
      <c r="AY55" s="23">
        <f>Q28</f>
        <v>0</v>
      </c>
      <c r="AZ55" s="326">
        <f t="shared" si="4"/>
        <v>0</v>
      </c>
      <c r="BA55" s="95">
        <f>VLOOKUP(AU55,CENY!$B$11:$M$2025,12,FALSE)</f>
        <v>479.57344999999998</v>
      </c>
      <c r="BB55" s="95">
        <f t="shared" si="1"/>
        <v>0</v>
      </c>
      <c r="BD55" s="319">
        <f>OBJ!B262</f>
        <v>9318180</v>
      </c>
      <c r="BE55" s="21" t="str">
        <f>VLOOKUP(BD55,CENY!$B$11:$G$1054,2,FALSE)</f>
        <v>Actro You(L) 500/SiSy 40kg; EB21; pravý</v>
      </c>
      <c r="BF55" s="22">
        <f>VLOOKUP(BD55,CENY!$B$11:$G$1054,3,FALSE)</f>
        <v>10</v>
      </c>
      <c r="BG55" s="22"/>
      <c r="BH55" s="23">
        <f>AY34</f>
        <v>0</v>
      </c>
      <c r="BI55" s="326">
        <f t="shared" si="5"/>
        <v>0</v>
      </c>
      <c r="BJ55" s="95">
        <f>VLOOKUP(BD55,CENY!$B$11:$M$2025,12,FALSE)</f>
        <v>296.00905</v>
      </c>
      <c r="BK55" s="95">
        <f t="shared" si="6"/>
        <v>0</v>
      </c>
    </row>
    <row r="56" spans="47:63" ht="14.4" customHeight="1">
      <c r="AU56" s="319">
        <f>OBJ!B306</f>
        <v>9256886</v>
      </c>
      <c r="AV56" s="21" t="str">
        <f>VLOOKUP(AU56,CENY!$B$11:$G$1054,2,FALSE)</f>
        <v>Quadro You(M) 350/SiSy 25kg; EB21</v>
      </c>
      <c r="AW56" s="22">
        <f>VLOOKUP(AU56,CENY!$B$11:$G$1054,3,FALSE)</f>
        <v>1</v>
      </c>
      <c r="AX56" s="362">
        <v>8</v>
      </c>
      <c r="AY56" s="23">
        <f>S28</f>
        <v>0</v>
      </c>
      <c r="AZ56" s="326">
        <f t="shared" si="4"/>
        <v>0</v>
      </c>
      <c r="BA56" s="95">
        <f>VLOOKUP(AU56,CENY!$B$11:$M$2025,12,FALSE)</f>
        <v>489.27857</v>
      </c>
      <c r="BB56" s="95">
        <f t="shared" si="1"/>
        <v>0</v>
      </c>
      <c r="BD56" s="319">
        <f>OBJ!B263</f>
        <v>9318181</v>
      </c>
      <c r="BE56" s="21" t="str">
        <f>VLOOKUP(BD56,CENY!$B$11:$G$1054,2,FALSE)</f>
        <v>Actro You(L) 550/SiSy 40kg; EB21; ľavý</v>
      </c>
      <c r="BF56" s="22">
        <f>VLOOKUP(BD56,CENY!$B$11:$G$1054,3,FALSE)</f>
        <v>10</v>
      </c>
      <c r="BG56" s="22"/>
      <c r="BH56" s="23">
        <f>AY35</f>
        <v>0</v>
      </c>
      <c r="BI56" s="326">
        <f t="shared" si="5"/>
        <v>0</v>
      </c>
      <c r="BJ56" s="95">
        <f>VLOOKUP(BD56,CENY!$B$11:$M$2025,12,FALSE)</f>
        <v>321.83461999999997</v>
      </c>
      <c r="BK56" s="95">
        <f t="shared" si="6"/>
        <v>0</v>
      </c>
    </row>
    <row r="57" spans="47:63" ht="14.4" customHeight="1">
      <c r="AU57" s="319">
        <f>OBJ!B307</f>
        <v>9256888</v>
      </c>
      <c r="AV57" s="21" t="str">
        <f>VLOOKUP(AU57,CENY!$B$11:$G$1054,2,FALSE)</f>
        <v>Quadro You(M) 400/SiSy 30kg; EB21</v>
      </c>
      <c r="AW57" s="22">
        <f>VLOOKUP(AU57,CENY!$B$11:$G$1054,3,FALSE)</f>
        <v>1</v>
      </c>
      <c r="AX57" s="362">
        <v>8</v>
      </c>
      <c r="AY57" s="23">
        <f>U28</f>
        <v>0</v>
      </c>
      <c r="AZ57" s="326">
        <f t="shared" si="4"/>
        <v>0</v>
      </c>
      <c r="BA57" s="95">
        <f>VLOOKUP(AU57,CENY!$B$11:$M$2025,12,FALSE)</f>
        <v>498.97861999999998</v>
      </c>
      <c r="BB57" s="95">
        <f t="shared" si="1"/>
        <v>0</v>
      </c>
      <c r="BD57" s="319">
        <f>OBJ!B264</f>
        <v>9318182</v>
      </c>
      <c r="BE57" s="21" t="str">
        <f>VLOOKUP(BD57,CENY!$B$11:$G$1054,2,FALSE)</f>
        <v>Actro You(L) 550/SiSy 40kg; EB21; pravý</v>
      </c>
      <c r="BF57" s="22">
        <f>VLOOKUP(BD57,CENY!$B$11:$G$1054,3,FALSE)</f>
        <v>10</v>
      </c>
      <c r="BG57" s="22"/>
      <c r="BH57" s="23">
        <f>AY35</f>
        <v>0</v>
      </c>
      <c r="BI57" s="326">
        <f t="shared" si="5"/>
        <v>0</v>
      </c>
      <c r="BJ57" s="95">
        <f>VLOOKUP(BD57,CENY!$B$11:$M$2025,12,FALSE)</f>
        <v>321.83461999999997</v>
      </c>
      <c r="BK57" s="95">
        <f t="shared" si="6"/>
        <v>0</v>
      </c>
    </row>
    <row r="58" spans="47:63" ht="14.4" customHeight="1">
      <c r="AU58" s="319">
        <f>OBJ!B308</f>
        <v>9256890</v>
      </c>
      <c r="AV58" s="21" t="str">
        <f>VLOOKUP(AU58,CENY!$B$11:$G$1054,2,FALSE)</f>
        <v>Quadro You(M) 450/SiSy 30kg; EB21</v>
      </c>
      <c r="AW58" s="22">
        <f>VLOOKUP(AU58,CENY!$B$11:$G$1054,3,FALSE)</f>
        <v>1</v>
      </c>
      <c r="AX58" s="362">
        <v>8</v>
      </c>
      <c r="AY58" s="23">
        <f>W28</f>
        <v>0</v>
      </c>
      <c r="AZ58" s="326">
        <f t="shared" si="4"/>
        <v>0</v>
      </c>
      <c r="BA58" s="95">
        <f>VLOOKUP(AU58,CENY!$B$11:$M$2025,12,FALSE)</f>
        <v>122.98869999999999</v>
      </c>
      <c r="BB58" s="95">
        <f t="shared" si="1"/>
        <v>0</v>
      </c>
      <c r="BD58" s="319">
        <f>OBJ!B265</f>
        <v>9318183</v>
      </c>
      <c r="BE58" s="21" t="str">
        <f>VLOOKUP(BD58,CENY!$B$11:$G$1054,2,FALSE)</f>
        <v>Actro You(L) 600/SiSy 40kg; EB21; ľavý</v>
      </c>
      <c r="BF58" s="22">
        <f>VLOOKUP(BD58,CENY!$B$11:$G$1054,3,FALSE)</f>
        <v>10</v>
      </c>
      <c r="BG58" s="22"/>
      <c r="BH58" s="23">
        <f>AY36</f>
        <v>0</v>
      </c>
      <c r="BI58" s="326">
        <f t="shared" si="5"/>
        <v>0</v>
      </c>
      <c r="BJ58" s="95">
        <f>VLOOKUP(BD58,CENY!$B$11:$M$2025,12,FALSE)</f>
        <v>326.21229</v>
      </c>
      <c r="BK58" s="95">
        <f t="shared" si="6"/>
        <v>0</v>
      </c>
    </row>
    <row r="59" spans="47:63" ht="14.4" customHeight="1">
      <c r="AU59" s="319">
        <f>OBJ!B309</f>
        <v>9256892</v>
      </c>
      <c r="AV59" s="21" t="str">
        <f>VLOOKUP(AU59,CENY!$B$11:$G$1054,2,FALSE)</f>
        <v>Quadro You(M) 500/SiSy 30kg; EB21</v>
      </c>
      <c r="AW59" s="22">
        <f>VLOOKUP(AU59,CENY!$B$11:$G$1054,3,FALSE)</f>
        <v>1</v>
      </c>
      <c r="AX59" s="362">
        <v>8</v>
      </c>
      <c r="AY59" s="23">
        <f>Y28</f>
        <v>0</v>
      </c>
      <c r="AZ59" s="326">
        <f t="shared" si="4"/>
        <v>0</v>
      </c>
      <c r="BA59" s="95">
        <f>VLOOKUP(AU59,CENY!$B$11:$M$2025,12,FALSE)</f>
        <v>504.59701000000001</v>
      </c>
      <c r="BB59" s="95">
        <f t="shared" si="1"/>
        <v>0</v>
      </c>
      <c r="BD59" s="319">
        <f>OBJ!B266</f>
        <v>9318184</v>
      </c>
      <c r="BE59" s="21" t="str">
        <f>VLOOKUP(BD59,CENY!$B$11:$G$1054,2,FALSE)</f>
        <v>Actro You(L) 600/SiSy 40kg; EB21; pravý</v>
      </c>
      <c r="BF59" s="22">
        <f>VLOOKUP(BD59,CENY!$B$11:$G$1054,3,FALSE)</f>
        <v>10</v>
      </c>
      <c r="BG59" s="22"/>
      <c r="BH59" s="23">
        <f>AY36</f>
        <v>0</v>
      </c>
      <c r="BI59" s="326">
        <f t="shared" si="5"/>
        <v>0</v>
      </c>
      <c r="BJ59" s="95">
        <f>VLOOKUP(BD59,CENY!$B$11:$M$2025,12,FALSE)</f>
        <v>326.21229</v>
      </c>
      <c r="BK59" s="95">
        <f t="shared" si="6"/>
        <v>0</v>
      </c>
    </row>
    <row r="60" spans="47:63" ht="14.4" customHeight="1">
      <c r="AU60" s="319">
        <f>OBJ!B310</f>
        <v>9256894</v>
      </c>
      <c r="AV60" s="21" t="str">
        <f>VLOOKUP(AU60,CENY!$B$11:$G$1054,2,FALSE)</f>
        <v>Quadro You(M) 550/SiSy 30kg; EB21</v>
      </c>
      <c r="AW60" s="22">
        <f>VLOOKUP(AU60,CENY!$B$11:$G$1054,3,FALSE)</f>
        <v>1</v>
      </c>
      <c r="AX60" s="362">
        <v>8</v>
      </c>
      <c r="AY60" s="23">
        <f>AA28</f>
        <v>0</v>
      </c>
      <c r="AZ60" s="326">
        <f t="shared" si="4"/>
        <v>0</v>
      </c>
      <c r="BA60" s="95">
        <f>VLOOKUP(AU60,CENY!$B$11:$M$2025,12,FALSE)</f>
        <v>127.68105</v>
      </c>
      <c r="BB60" s="95">
        <f t="shared" si="1"/>
        <v>0</v>
      </c>
      <c r="BD60" s="319"/>
      <c r="BE60" s="21"/>
      <c r="BF60" s="22"/>
      <c r="BG60" s="22"/>
      <c r="BH60" s="23"/>
      <c r="BI60" s="326" t="str">
        <f t="shared" si="5"/>
        <v/>
      </c>
      <c r="BJ60" s="95"/>
      <c r="BK60" s="95" t="str">
        <f t="shared" si="6"/>
        <v/>
      </c>
    </row>
    <row r="61" spans="47:63" ht="14.4" customHeight="1">
      <c r="AU61" s="319">
        <f>OBJ!B311</f>
        <v>9256896</v>
      </c>
      <c r="AV61" s="21" t="str">
        <f>VLOOKUP(AU61,CENY!$B$11:$G$1054,2,FALSE)</f>
        <v>Quadro You(M) 600/SiSy 25kg; EB21</v>
      </c>
      <c r="AW61" s="22">
        <f>VLOOKUP(AU61,CENY!$B$11:$G$1054,3,FALSE)</f>
        <v>1</v>
      </c>
      <c r="AX61" s="362">
        <v>8</v>
      </c>
      <c r="AY61" s="23">
        <f>AC28</f>
        <v>0</v>
      </c>
      <c r="AZ61" s="326">
        <f t="shared" si="4"/>
        <v>0</v>
      </c>
      <c r="BA61" s="95">
        <f>VLOOKUP(AU61,CENY!$B$11:$M$2025,12,FALSE)</f>
        <v>537.79395</v>
      </c>
      <c r="BB61" s="95">
        <f t="shared" si="1"/>
        <v>0</v>
      </c>
      <c r="BD61" s="319">
        <f>OBJ!B273</f>
        <v>9318198</v>
      </c>
      <c r="BE61" s="21" t="str">
        <f>VLOOKUP(BD61,CENY!$B$11:$G$1054,2,FALSE)</f>
        <v>Actro You(XL) 450/SiSy 70kg; EB21; ľavý</v>
      </c>
      <c r="BF61" s="22">
        <f>VLOOKUP(BD61,CENY!$B$11:$G$1054,3,FALSE)</f>
        <v>10</v>
      </c>
      <c r="BG61" s="22"/>
      <c r="BH61" s="23">
        <f>AY38</f>
        <v>0</v>
      </c>
      <c r="BI61" s="326">
        <f t="shared" si="5"/>
        <v>0</v>
      </c>
      <c r="BJ61" s="95">
        <f>VLOOKUP(BD61,CENY!$B$11:$M$2025,12,FALSE)</f>
        <v>368.62277</v>
      </c>
      <c r="BK61" s="95">
        <f t="shared" si="6"/>
        <v>0</v>
      </c>
    </row>
    <row r="62" spans="47:63" ht="14.4" customHeight="1">
      <c r="AU62" s="319"/>
      <c r="AV62" s="21"/>
      <c r="AW62" s="22"/>
      <c r="AX62" s="22"/>
      <c r="AY62" s="23"/>
      <c r="AZ62" s="326" t="str">
        <f t="shared" si="4"/>
        <v/>
      </c>
      <c r="BA62" s="95"/>
      <c r="BB62" s="95" t="str">
        <f t="shared" si="1"/>
        <v/>
      </c>
      <c r="BD62" s="319">
        <f>OBJ!B274</f>
        <v>9318199</v>
      </c>
      <c r="BE62" s="21" t="str">
        <f>VLOOKUP(BD62,CENY!$B$11:$G$1054,2,FALSE)</f>
        <v>Actro You(XL) 450/SiSy 70kg; EB21; pravý</v>
      </c>
      <c r="BF62" s="22">
        <f>VLOOKUP(BD62,CENY!$B$11:$G$1054,3,FALSE)</f>
        <v>10</v>
      </c>
      <c r="BG62" s="22"/>
      <c r="BH62" s="23">
        <f>AY38</f>
        <v>0</v>
      </c>
      <c r="BI62" s="326">
        <f t="shared" si="5"/>
        <v>0</v>
      </c>
      <c r="BJ62" s="95">
        <f>VLOOKUP(BD62,CENY!$B$11:$M$2025,12,FALSE)</f>
        <v>368.62277</v>
      </c>
      <c r="BK62" s="95">
        <f t="shared" si="6"/>
        <v>0</v>
      </c>
    </row>
    <row r="63" spans="47:63" ht="14.4" customHeight="1">
      <c r="AU63" s="319">
        <f>OBJ!B329</f>
        <v>9257894</v>
      </c>
      <c r="AV63" s="21" t="str">
        <f>VLOOKUP(AU63,CENY!$B$11:$G$1054,2,FALSE)</f>
        <v>Quadro You - Push to open Silent; &lt;10kg</v>
      </c>
      <c r="AW63" s="22">
        <f>VLOOKUP(AU63,CENY!$B$11:$G$1054,3,FALSE)</f>
        <v>1</v>
      </c>
      <c r="AX63" s="22"/>
      <c r="AY63" s="23">
        <f>AN27</f>
        <v>0</v>
      </c>
      <c r="AZ63" s="326">
        <f t="shared" si="4"/>
        <v>0</v>
      </c>
      <c r="BA63" s="95">
        <f>VLOOKUP(AU63,CENY!$B$11:$M$2025,12,FALSE)</f>
        <v>480.50922000000003</v>
      </c>
      <c r="BB63" s="95">
        <f t="shared" si="1"/>
        <v>0</v>
      </c>
      <c r="BD63" s="319">
        <f>OBJ!B275</f>
        <v>9318201</v>
      </c>
      <c r="BE63" s="21" t="str">
        <f>VLOOKUP(BD63,CENY!$B$11:$G$1054,2,FALSE)</f>
        <v>Actro You(XL) 500/SiSy 70kg; EB21; ľavý</v>
      </c>
      <c r="BF63" s="22">
        <f>VLOOKUP(BD63,CENY!$B$11:$G$1054,3,FALSE)</f>
        <v>10</v>
      </c>
      <c r="BG63" s="22"/>
      <c r="BH63" s="23">
        <f>AY39</f>
        <v>0</v>
      </c>
      <c r="BI63" s="326">
        <f t="shared" si="5"/>
        <v>0</v>
      </c>
      <c r="BJ63" s="95">
        <f>VLOOKUP(BD63,CENY!$B$11:$M$2025,12,FALSE)</f>
        <v>372.33726999999999</v>
      </c>
      <c r="BK63" s="95">
        <f t="shared" si="6"/>
        <v>0</v>
      </c>
    </row>
    <row r="64" spans="47:63" ht="14.4" customHeight="1">
      <c r="AU64" s="319">
        <f>OBJ!B330</f>
        <v>9257895</v>
      </c>
      <c r="AV64" s="21" t="str">
        <f>VLOOKUP(AU64,CENY!$B$11:$G$1054,2,FALSE)</f>
        <v>Quadro You - Push to open Silent; 8-20kg</v>
      </c>
      <c r="AW64" s="22">
        <f>VLOOKUP(AU64,CENY!$B$11:$G$1054,3,FALSE)</f>
        <v>1</v>
      </c>
      <c r="AX64" s="22"/>
      <c r="AY64" s="23">
        <f>AN28</f>
        <v>0</v>
      </c>
      <c r="AZ64" s="326">
        <f t="shared" si="4"/>
        <v>0</v>
      </c>
      <c r="BA64" s="95">
        <f>VLOOKUP(AU64,CENY!$B$11:$M$2025,12,FALSE)</f>
        <v>480.50922000000003</v>
      </c>
      <c r="BB64" s="95">
        <f t="shared" si="1"/>
        <v>0</v>
      </c>
      <c r="BD64" s="319">
        <f>OBJ!B276</f>
        <v>9318203</v>
      </c>
      <c r="BE64" s="21" t="str">
        <f>VLOOKUP(BD64,CENY!$B$11:$G$1054,2,FALSE)</f>
        <v>Actro You(XL) 500/SiSy 70kg; EB21; pravý</v>
      </c>
      <c r="BF64" s="22">
        <f>VLOOKUP(BD64,CENY!$B$11:$G$1054,3,FALSE)</f>
        <v>10</v>
      </c>
      <c r="BG64" s="22"/>
      <c r="BH64" s="23">
        <f>AY39</f>
        <v>0</v>
      </c>
      <c r="BI64" s="326">
        <f t="shared" si="5"/>
        <v>0</v>
      </c>
      <c r="BJ64" s="95">
        <f>VLOOKUP(BD64,CENY!$B$11:$M$2025,12,FALSE)</f>
        <v>372.33726999999999</v>
      </c>
      <c r="BK64" s="95">
        <f t="shared" si="6"/>
        <v>0</v>
      </c>
    </row>
    <row r="65" spans="1:63" ht="14.4" customHeight="1">
      <c r="AU65" s="319">
        <f>OBJ!B331</f>
        <v>9257896</v>
      </c>
      <c r="AV65" s="21" t="str">
        <f>VLOOKUP(AU65,CENY!$B$11:$G$1054,2,FALSE)</f>
        <v>Quadro You - Push to open Silent; 10-30kg</v>
      </c>
      <c r="AW65" s="22">
        <f>VLOOKUP(AU65,CENY!$B$11:$G$1054,3,FALSE)</f>
        <v>1</v>
      </c>
      <c r="AX65" s="22"/>
      <c r="AY65" s="23">
        <f>AN29</f>
        <v>0</v>
      </c>
      <c r="AZ65" s="326">
        <f t="shared" si="4"/>
        <v>0</v>
      </c>
      <c r="BA65" s="95">
        <f>VLOOKUP(AU65,CENY!$B$11:$M$2025,12,FALSE)</f>
        <v>480.50922000000003</v>
      </c>
      <c r="BB65" s="95">
        <f t="shared" si="1"/>
        <v>0</v>
      </c>
      <c r="BD65" s="319">
        <f>OBJ!B277</f>
        <v>9318208</v>
      </c>
      <c r="BE65" s="21" t="str">
        <f>VLOOKUP(BD65,CENY!$B$11:$G$1054,2,FALSE)</f>
        <v>Actro You(XL) 550/SiSy 70kg; EB21; ľavý</v>
      </c>
      <c r="BF65" s="22">
        <f>VLOOKUP(BD65,CENY!$B$11:$G$1054,3,FALSE)</f>
        <v>10</v>
      </c>
      <c r="BG65" s="22"/>
      <c r="BH65" s="23">
        <f>AY40</f>
        <v>0</v>
      </c>
      <c r="BI65" s="326">
        <f t="shared" si="5"/>
        <v>0</v>
      </c>
      <c r="BJ65" s="95">
        <f>VLOOKUP(BD65,CENY!$B$11:$M$2025,12,FALSE)</f>
        <v>392.11943000000002</v>
      </c>
      <c r="BK65" s="95">
        <f t="shared" si="6"/>
        <v>0</v>
      </c>
    </row>
    <row r="66" spans="1:63" ht="12.9" customHeight="1" thickBot="1">
      <c r="A66" s="577"/>
      <c r="AU66" s="319"/>
      <c r="AV66" s="21"/>
      <c r="AW66" s="22"/>
      <c r="AX66" s="22"/>
      <c r="AY66" s="23"/>
      <c r="AZ66" s="326" t="str">
        <f t="shared" si="4"/>
        <v/>
      </c>
      <c r="BA66" s="95"/>
      <c r="BB66" s="95" t="str">
        <f t="shared" si="1"/>
        <v/>
      </c>
      <c r="BD66" s="319">
        <f>OBJ!B278</f>
        <v>9318209</v>
      </c>
      <c r="BE66" s="21" t="str">
        <f>VLOOKUP(BD66,CENY!$B$11:$G$1054,2,FALSE)</f>
        <v>Actro You(XL) 550/SiSy 70kg; EB21; pravý</v>
      </c>
      <c r="BF66" s="22">
        <f>VLOOKUP(BD66,CENY!$B$11:$G$1054,3,FALSE)</f>
        <v>10</v>
      </c>
      <c r="BG66" s="22"/>
      <c r="BH66" s="23">
        <f>AY40</f>
        <v>0</v>
      </c>
      <c r="BI66" s="326">
        <f t="shared" si="5"/>
        <v>0</v>
      </c>
      <c r="BJ66" s="95">
        <f>VLOOKUP(BD66,CENY!$B$11:$M$2025,12,FALSE)</f>
        <v>392.11943000000002</v>
      </c>
      <c r="BK66" s="95">
        <f t="shared" si="6"/>
        <v>0</v>
      </c>
    </row>
    <row r="67" spans="1:63" ht="23.1" customHeight="1" thickBot="1">
      <c r="A67" s="577"/>
      <c r="B67" s="484" t="str">
        <f>verze!E13</f>
        <v>&lt;&lt;  zpět</v>
      </c>
      <c r="C67" s="485"/>
      <c r="D67" s="485"/>
      <c r="E67" s="486"/>
      <c r="G67" s="513" t="str">
        <f>verze!E6</f>
        <v xml:space="preserve"> Úvod</v>
      </c>
      <c r="H67" s="514"/>
      <c r="I67" s="514"/>
      <c r="J67" s="514"/>
      <c r="K67" s="515"/>
      <c r="O67" s="513" t="str">
        <f>verze!E7</f>
        <v xml:space="preserve"> Výběr zásuvek</v>
      </c>
      <c r="P67" s="514"/>
      <c r="Q67" s="514"/>
      <c r="R67" s="514"/>
      <c r="S67" s="515"/>
      <c r="U67" s="513" t="str">
        <f>verze!E8</f>
        <v xml:space="preserve"> </v>
      </c>
      <c r="V67" s="514"/>
      <c r="W67" s="514"/>
      <c r="X67" s="514"/>
      <c r="Y67" s="515"/>
      <c r="AA67" s="513" t="str">
        <f>verze!E9</f>
        <v xml:space="preserve"> </v>
      </c>
      <c r="AB67" s="514"/>
      <c r="AC67" s="514"/>
      <c r="AD67" s="514"/>
      <c r="AE67" s="515"/>
      <c r="AI67" s="513" t="str">
        <f>verze!E10</f>
        <v xml:space="preserve"> Objednávka</v>
      </c>
      <c r="AJ67" s="514"/>
      <c r="AK67" s="514"/>
      <c r="AL67" s="514"/>
      <c r="AM67" s="515"/>
      <c r="AO67" s="475" t="str">
        <f>verze!E14</f>
        <v>vpřed  &gt;&gt;</v>
      </c>
      <c r="AP67" s="476"/>
      <c r="AQ67" s="476"/>
      <c r="AR67" s="477"/>
      <c r="AU67" s="319">
        <f>OBJ!B333</f>
        <v>9256928</v>
      </c>
      <c r="AV67" s="21" t="str">
        <f>VLOOKUP(AU67,CENY!$B$11:$G$1054,2,FALSE)</f>
        <v>Quadro You(M) 270/P2O 20kg; EB21</v>
      </c>
      <c r="AW67" s="22">
        <f>VLOOKUP(AU67,CENY!$B$11:$G$1054,3,FALSE)</f>
        <v>1</v>
      </c>
      <c r="AX67" s="362">
        <v>8</v>
      </c>
      <c r="AY67" s="23">
        <f>O30</f>
        <v>0</v>
      </c>
      <c r="AZ67" s="326">
        <f t="shared" ref="AZ67" si="33">IF(AY67="","",IF($AW$4=1,AY67,0))</f>
        <v>0</v>
      </c>
      <c r="BA67" s="95">
        <f>VLOOKUP(AU67,CENY!$B$11:$M$2025,12,FALSE)</f>
        <v>536.84897999999998</v>
      </c>
      <c r="BB67" s="95">
        <f t="shared" ref="BB67" si="34">IF(BA67="","",BA67*AY67)</f>
        <v>0</v>
      </c>
      <c r="BD67" s="319">
        <f>OBJ!B279</f>
        <v>9318211</v>
      </c>
      <c r="BE67" s="21" t="str">
        <f>VLOOKUP(BD67,CENY!$B$11:$G$1054,2,FALSE)</f>
        <v>Actro You(XL) 600/SiSy 70kg; EB21; ľavý</v>
      </c>
      <c r="BF67" s="22">
        <f>VLOOKUP(BD67,CENY!$B$11:$G$1054,3,FALSE)</f>
        <v>10</v>
      </c>
      <c r="BG67" s="22"/>
      <c r="BH67" s="23">
        <f>AY41</f>
        <v>0</v>
      </c>
      <c r="BI67" s="326">
        <f t="shared" si="5"/>
        <v>0</v>
      </c>
      <c r="BJ67" s="95">
        <f>VLOOKUP(BD67,CENY!$B$11:$M$2025,12,FALSE)</f>
        <v>443.89010999999999</v>
      </c>
      <c r="BK67" s="95">
        <f t="shared" si="6"/>
        <v>0</v>
      </c>
    </row>
    <row r="68" spans="1:63" ht="12.9" customHeight="1">
      <c r="A68" s="577"/>
      <c r="AU68" s="319">
        <f>OBJ!B334</f>
        <v>9256929</v>
      </c>
      <c r="AV68" s="21" t="str">
        <f>VLOOKUP(AU68,CENY!$B$11:$G$1054,2,FALSE)</f>
        <v>Quadro You(M) 300/P2O 20kg; EB21</v>
      </c>
      <c r="AW68" s="22">
        <f>VLOOKUP(AU68,CENY!$B$11:$G$1054,3,FALSE)</f>
        <v>1</v>
      </c>
      <c r="AX68" s="362">
        <v>8</v>
      </c>
      <c r="AY68" s="23">
        <f>Q30</f>
        <v>0</v>
      </c>
      <c r="AZ68" s="326">
        <f t="shared" si="4"/>
        <v>0</v>
      </c>
      <c r="BA68" s="95">
        <f>VLOOKUP(AU68,CENY!$B$11:$M$2025,12,FALSE)</f>
        <v>537.79395</v>
      </c>
      <c r="BB68" s="95">
        <f t="shared" si="1"/>
        <v>0</v>
      </c>
      <c r="BD68" s="319">
        <f>OBJ!B280</f>
        <v>9318212</v>
      </c>
      <c r="BE68" s="21" t="str">
        <f>VLOOKUP(BD68,CENY!$B$11:$G$1054,2,FALSE)</f>
        <v>Actro You(XL) 600/SiSy 70kg; EB21; pravý</v>
      </c>
      <c r="BF68" s="22">
        <f>VLOOKUP(BD68,CENY!$B$11:$G$1054,3,FALSE)</f>
        <v>10</v>
      </c>
      <c r="BG68" s="22"/>
      <c r="BH68" s="23">
        <f>AY41</f>
        <v>0</v>
      </c>
      <c r="BI68" s="326">
        <f t="shared" si="5"/>
        <v>0</v>
      </c>
      <c r="BJ68" s="95">
        <f>VLOOKUP(BD68,CENY!$B$11:$M$2025,12,FALSE)</f>
        <v>443.89010999999999</v>
      </c>
      <c r="BK68" s="95">
        <f t="shared" si="6"/>
        <v>0</v>
      </c>
    </row>
    <row r="69" spans="1:63" ht="23.1" customHeight="1">
      <c r="A69" s="577"/>
      <c r="B69" s="93" t="str">
        <f>B4</f>
        <v>Zásuvka AVANTECH YOU  139</v>
      </c>
      <c r="C69" s="89"/>
      <c r="D69" s="89"/>
      <c r="E69" s="89"/>
      <c r="F69" s="89"/>
      <c r="G69" s="89"/>
      <c r="H69" s="89"/>
      <c r="I69" s="89"/>
      <c r="J69" s="89"/>
      <c r="K69" s="89"/>
      <c r="L69" s="89"/>
      <c r="M69" s="89"/>
      <c r="N69" s="89"/>
      <c r="O69" s="89"/>
      <c r="P69" s="89"/>
      <c r="Q69" s="89"/>
      <c r="R69" s="89"/>
      <c r="S69" s="89"/>
      <c r="T69" s="89"/>
      <c r="U69" s="89"/>
      <c r="V69" s="89"/>
      <c r="W69" s="89"/>
      <c r="X69" s="89"/>
      <c r="Y69" s="89"/>
      <c r="Z69" s="89"/>
      <c r="AA69" s="89"/>
      <c r="AB69" s="89"/>
      <c r="AC69" s="89"/>
      <c r="AD69" s="89"/>
      <c r="AE69" s="89"/>
      <c r="AF69" s="89"/>
      <c r="AG69" s="89"/>
      <c r="AH69" s="89"/>
      <c r="AI69" s="89"/>
      <c r="AJ69" s="89"/>
      <c r="AK69" s="89"/>
      <c r="AL69" s="89"/>
      <c r="AM69" s="89"/>
      <c r="AN69" s="89"/>
      <c r="AO69" s="89"/>
      <c r="AP69" s="89"/>
      <c r="AQ69" s="89"/>
      <c r="AR69" s="89"/>
      <c r="AU69" s="319">
        <f>OBJ!B335</f>
        <v>9256931</v>
      </c>
      <c r="AV69" s="21" t="str">
        <f>VLOOKUP(AU69,CENY!$B$11:$G$1054,2,FALSE)</f>
        <v>Quadro You(M) 350/P2O 25kg; EB21</v>
      </c>
      <c r="AW69" s="22">
        <f>VLOOKUP(AU69,CENY!$B$11:$G$1054,3,FALSE)</f>
        <v>1</v>
      </c>
      <c r="AX69" s="362">
        <v>8</v>
      </c>
      <c r="AY69" s="23">
        <f>S30</f>
        <v>0</v>
      </c>
      <c r="AZ69" s="326">
        <f t="shared" si="4"/>
        <v>0</v>
      </c>
      <c r="BA69" s="95">
        <f>VLOOKUP(AU69,CENY!$B$11:$M$2025,12,FALSE)</f>
        <v>547.49897999999996</v>
      </c>
      <c r="BB69" s="95">
        <f t="shared" si="1"/>
        <v>0</v>
      </c>
      <c r="BD69" s="319">
        <f>OBJ!B281</f>
        <v>9318213</v>
      </c>
      <c r="BE69" s="21" t="str">
        <f>VLOOKUP(BD69,CENY!$B$11:$G$1054,2,FALSE)</f>
        <v>Actro You(XL) 650/SiSy 70kg; EB21; ľavý</v>
      </c>
      <c r="BF69" s="22">
        <f>VLOOKUP(BD69,CENY!$B$11:$G$1054,3,FALSE)</f>
        <v>5</v>
      </c>
      <c r="BG69" s="22"/>
      <c r="BH69" s="23">
        <f>AY42</f>
        <v>0</v>
      </c>
      <c r="BI69" s="326">
        <f t="shared" ref="BI69:BI70" si="35">IF(BH69="","",IF($AW$4=0,BH69,0))</f>
        <v>0</v>
      </c>
      <c r="BJ69" s="95">
        <f>VLOOKUP(BD69,CENY!$B$11:$M$2025,12,FALSE)</f>
        <v>462.41142000000002</v>
      </c>
      <c r="BK69" s="95">
        <f t="shared" ref="BK69:BK70" si="36">IF(BJ69="","",BJ69*BH69)</f>
        <v>0</v>
      </c>
    </row>
    <row r="70" spans="1:63" ht="14.4" customHeight="1">
      <c r="A70" s="577"/>
      <c r="AU70" s="319">
        <f>OBJ!B336</f>
        <v>9256933</v>
      </c>
      <c r="AV70" s="21" t="str">
        <f>VLOOKUP(AU70,CENY!$B$11:$G$1054,2,FALSE)</f>
        <v>Quadro You(M) 400/P2O 30kg; EB21</v>
      </c>
      <c r="AW70" s="22">
        <f>VLOOKUP(AU70,CENY!$B$11:$G$1054,3,FALSE)</f>
        <v>1</v>
      </c>
      <c r="AX70" s="362">
        <v>8</v>
      </c>
      <c r="AY70" s="23">
        <f>U30</f>
        <v>0</v>
      </c>
      <c r="AZ70" s="326">
        <f t="shared" si="4"/>
        <v>0</v>
      </c>
      <c r="BA70" s="95">
        <f>VLOOKUP(AU70,CENY!$B$11:$M$2025,12,FALSE)</f>
        <v>557.20162000000005</v>
      </c>
      <c r="BB70" s="95">
        <f t="shared" si="1"/>
        <v>0</v>
      </c>
      <c r="BD70" s="319">
        <f>OBJ!B282</f>
        <v>9318214</v>
      </c>
      <c r="BE70" s="21" t="str">
        <f>VLOOKUP(BD70,CENY!$B$11:$G$1054,2,FALSE)</f>
        <v>Actro You(XL) 650/SiSy 70kg; EB21; pravý</v>
      </c>
      <c r="BF70" s="22">
        <f>VLOOKUP(BD70,CENY!$B$11:$G$1054,3,FALSE)</f>
        <v>5</v>
      </c>
      <c r="BG70" s="22"/>
      <c r="BH70" s="23">
        <f>AY42</f>
        <v>0</v>
      </c>
      <c r="BI70" s="326">
        <f t="shared" si="35"/>
        <v>0</v>
      </c>
      <c r="BJ70" s="95">
        <f>VLOOKUP(BD70,CENY!$B$11:$M$2025,12,FALSE)</f>
        <v>462.41142000000002</v>
      </c>
      <c r="BK70" s="95">
        <f t="shared" si="36"/>
        <v>0</v>
      </c>
    </row>
    <row r="71" spans="1:63" ht="14.4" customHeight="1">
      <c r="A71" s="577"/>
      <c r="AU71" s="319">
        <f>OBJ!B337</f>
        <v>9256935</v>
      </c>
      <c r="AV71" s="21" t="str">
        <f>VLOOKUP(AU71,CENY!$B$11:$G$1054,2,FALSE)</f>
        <v>Quadro You(M) 450/P2O 30kg; EB21</v>
      </c>
      <c r="AW71" s="22">
        <f>VLOOKUP(AU71,CENY!$B$11:$G$1054,3,FALSE)</f>
        <v>1</v>
      </c>
      <c r="AX71" s="362">
        <v>8</v>
      </c>
      <c r="AY71" s="23">
        <f>W30</f>
        <v>0</v>
      </c>
      <c r="AZ71" s="326">
        <f t="shared" si="4"/>
        <v>0</v>
      </c>
      <c r="BA71" s="95">
        <f>VLOOKUP(AU71,CENY!$B$11:$M$2025,12,FALSE)</f>
        <v>566.90911000000006</v>
      </c>
      <c r="BB71" s="95">
        <f t="shared" si="1"/>
        <v>0</v>
      </c>
      <c r="BD71" s="319"/>
      <c r="BE71" s="21"/>
      <c r="BF71" s="22"/>
      <c r="BG71" s="22"/>
      <c r="BH71" s="23"/>
      <c r="BI71" s="326" t="str">
        <f t="shared" si="5"/>
        <v/>
      </c>
      <c r="BJ71" s="95"/>
      <c r="BK71" s="95" t="str">
        <f t="shared" si="6"/>
        <v/>
      </c>
    </row>
    <row r="72" spans="1:63" ht="14.4" customHeight="1">
      <c r="A72" s="577"/>
      <c r="AU72" s="319">
        <f>OBJ!B338</f>
        <v>9256937</v>
      </c>
      <c r="AV72" s="21" t="str">
        <f>VLOOKUP(AU72,CENY!$B$11:$G$1054,2,FALSE)</f>
        <v>Quadro You(M) 500/P2O 30kg; EB21</v>
      </c>
      <c r="AW72" s="22">
        <f>VLOOKUP(AU72,CENY!$B$11:$G$1054,3,FALSE)</f>
        <v>1</v>
      </c>
      <c r="AX72" s="362">
        <v>8</v>
      </c>
      <c r="AY72" s="23">
        <f>Y30</f>
        <v>0</v>
      </c>
      <c r="AZ72" s="326">
        <f t="shared" si="4"/>
        <v>0</v>
      </c>
      <c r="BA72" s="95">
        <f>VLOOKUP(AU72,CENY!$B$11:$M$2025,12,FALSE)</f>
        <v>139.41228000000001</v>
      </c>
      <c r="BB72" s="95">
        <f t="shared" si="1"/>
        <v>0</v>
      </c>
      <c r="BD72" s="319">
        <f>OBJ!B284</f>
        <v>9257890</v>
      </c>
      <c r="BE72" s="21" t="str">
        <f>VLOOKUP(BD72,CENY!$B$11:$G$1054,2,FALSE)</f>
        <v>Actro You - Push to open Silent; &lt;10kg</v>
      </c>
      <c r="BF72" s="22">
        <f>VLOOKUP(BD72,CENY!$B$11:$G$1054,3,FALSE)</f>
        <v>1</v>
      </c>
      <c r="BG72" s="22"/>
      <c r="BH72" s="23">
        <f>AY44</f>
        <v>0</v>
      </c>
      <c r="BI72" s="326">
        <f t="shared" si="5"/>
        <v>0</v>
      </c>
      <c r="BJ72" s="95">
        <f>VLOOKUP(BD72,CENY!$B$11:$M$2025,12,FALSE)</f>
        <v>481.81412999999998</v>
      </c>
      <c r="BK72" s="95">
        <f t="shared" si="6"/>
        <v>0</v>
      </c>
    </row>
    <row r="73" spans="1:63" ht="14.4" customHeight="1">
      <c r="A73" s="577"/>
      <c r="AU73" s="319">
        <f>OBJ!B339</f>
        <v>9256939</v>
      </c>
      <c r="AV73" s="21" t="str">
        <f>VLOOKUP(AU73,CENY!$B$11:$G$1054,2,FALSE)</f>
        <v>Quadro You(M) 550/P2O 30kg; EB21</v>
      </c>
      <c r="AW73" s="22">
        <f>VLOOKUP(AU73,CENY!$B$11:$G$1054,3,FALSE)</f>
        <v>1</v>
      </c>
      <c r="AX73" s="362">
        <v>8</v>
      </c>
      <c r="AY73" s="23">
        <f>AA30</f>
        <v>0</v>
      </c>
      <c r="AZ73" s="326">
        <f t="shared" si="4"/>
        <v>0</v>
      </c>
      <c r="BA73" s="95">
        <f>VLOOKUP(AU73,CENY!$B$11:$M$2025,12,FALSE)</f>
        <v>586.3143</v>
      </c>
      <c r="BB73" s="95">
        <f t="shared" si="1"/>
        <v>0</v>
      </c>
      <c r="BD73" s="319">
        <f>OBJ!B285</f>
        <v>9257891</v>
      </c>
      <c r="BE73" s="21" t="str">
        <f>VLOOKUP(BD73,CENY!$B$11:$G$1054,2,FALSE)</f>
        <v>Actro You - Push to open Silent; 8-20kg</v>
      </c>
      <c r="BF73" s="22">
        <f>VLOOKUP(BD73,CENY!$B$11:$G$1054,3,FALSE)</f>
        <v>1</v>
      </c>
      <c r="BG73" s="22"/>
      <c r="BH73" s="23">
        <f>AY45</f>
        <v>0</v>
      </c>
      <c r="BI73" s="326">
        <f t="shared" si="5"/>
        <v>0</v>
      </c>
      <c r="BJ73" s="95">
        <f>VLOOKUP(BD73,CENY!$B$11:$M$2025,12,FALSE)</f>
        <v>481.81412999999998</v>
      </c>
      <c r="BK73" s="95">
        <f t="shared" si="6"/>
        <v>0</v>
      </c>
    </row>
    <row r="74" spans="1:63" ht="14.4" customHeight="1">
      <c r="A74" s="577"/>
      <c r="AU74" s="319">
        <f>OBJ!B340</f>
        <v>9256941</v>
      </c>
      <c r="AV74" s="21" t="str">
        <f>VLOOKUP(AU74,CENY!$B$11:$G$1054,2,FALSE)</f>
        <v>Quadro You(M) 600/P2O 25kg; EB21</v>
      </c>
      <c r="AW74" s="22">
        <f>VLOOKUP(AU74,CENY!$B$11:$G$1054,3,FALSE)</f>
        <v>1</v>
      </c>
      <c r="AX74" s="362">
        <v>8</v>
      </c>
      <c r="AY74" s="23">
        <f>AC30</f>
        <v>0</v>
      </c>
      <c r="AZ74" s="326">
        <f t="shared" si="4"/>
        <v>0</v>
      </c>
      <c r="BA74" s="95">
        <f>VLOOKUP(AU74,CENY!$B$11:$M$2025,12,FALSE)</f>
        <v>596.01683000000003</v>
      </c>
      <c r="BB74" s="95">
        <f t="shared" si="1"/>
        <v>0</v>
      </c>
      <c r="BD74" s="319">
        <f>OBJ!B286</f>
        <v>9257892</v>
      </c>
      <c r="BE74" s="21" t="str">
        <f>VLOOKUP(BD74,CENY!$B$11:$G$1054,2,FALSE)</f>
        <v>Actro You - Push to open Silent; 10-40kg</v>
      </c>
      <c r="BF74" s="22">
        <f>VLOOKUP(BD74,CENY!$B$11:$G$1054,3,FALSE)</f>
        <v>1</v>
      </c>
      <c r="BG74" s="22"/>
      <c r="BH74" s="23">
        <f>AY46</f>
        <v>0</v>
      </c>
      <c r="BI74" s="326">
        <f t="shared" si="5"/>
        <v>0</v>
      </c>
      <c r="BJ74" s="95">
        <f>VLOOKUP(BD74,CENY!$B$11:$M$2025,12,FALSE)</f>
        <v>481.81412999999998</v>
      </c>
      <c r="BK74" s="95">
        <f t="shared" si="6"/>
        <v>0</v>
      </c>
    </row>
    <row r="75" spans="1:63" ht="14.4" customHeight="1">
      <c r="A75" s="577"/>
      <c r="AU75" s="319"/>
      <c r="AV75" s="21"/>
      <c r="AW75" s="22"/>
      <c r="AX75" s="22"/>
      <c r="AY75" s="23"/>
      <c r="AZ75" s="326" t="str">
        <f t="shared" si="4"/>
        <v/>
      </c>
      <c r="BA75" s="95"/>
      <c r="BB75" s="95" t="str">
        <f t="shared" si="1"/>
        <v/>
      </c>
      <c r="BD75" s="319">
        <f>OBJ!B287</f>
        <v>9257893</v>
      </c>
      <c r="BE75" s="21" t="str">
        <f>VLOOKUP(BD75,CENY!$B$11:$G$1054,2,FALSE)</f>
        <v>Actro You - Push to open Silent; 20-70kg</v>
      </c>
      <c r="BF75" s="22">
        <f>VLOOKUP(BD75,CENY!$B$11:$G$1054,3,FALSE)</f>
        <v>1</v>
      </c>
      <c r="BG75" s="22"/>
      <c r="BH75" s="23">
        <f>AY47</f>
        <v>0</v>
      </c>
      <c r="BI75" s="326">
        <f t="shared" si="5"/>
        <v>0</v>
      </c>
      <c r="BJ75" s="95">
        <f>VLOOKUP(BD75,CENY!$B$11:$M$2025,12,FALSE)</f>
        <v>481.81412999999998</v>
      </c>
      <c r="BK75" s="95">
        <f t="shared" si="6"/>
        <v>0</v>
      </c>
    </row>
    <row r="76" spans="1:63" ht="14.4" customHeight="1">
      <c r="A76" s="577"/>
      <c r="AU76" s="319">
        <f>OBJ!B358</f>
        <v>9219966</v>
      </c>
      <c r="AV76" s="21" t="str">
        <f>VLOOKUP(AU76,CENY!$B$11:$G$1054,2,FALSE)</f>
        <v>Push to open Synchro / adaptér typ A</v>
      </c>
      <c r="AW76" s="22">
        <f>VLOOKUP(AU76,CENY!$B$11:$G$1054,3,FALSE)</f>
        <v>200</v>
      </c>
      <c r="AX76" s="22"/>
      <c r="AY76" s="23">
        <f>2*SUM(O30:AD30)</f>
        <v>0</v>
      </c>
      <c r="AZ76" s="326">
        <f t="shared" si="4"/>
        <v>0</v>
      </c>
      <c r="BA76" s="95">
        <f>VLOOKUP(AU76,CENY!$B$11:$M$2025,12,FALSE)</f>
        <v>16.488900000000001</v>
      </c>
      <c r="BB76" s="95">
        <f t="shared" si="1"/>
        <v>0</v>
      </c>
      <c r="BD76" s="319">
        <f>OBJ!B288</f>
        <v>9236718</v>
      </c>
      <c r="BE76" s="21" t="str">
        <f>VLOOKUP(BD76,CENY!$B$11:$G$1054,2,FALSE)</f>
        <v>Push to open Synchro / tyč 2.000 mm</v>
      </c>
      <c r="BF76" s="22">
        <f>VLOOKUP(BD76,CENY!$B$11:$G$1054,3,FALSE)</f>
        <v>100</v>
      </c>
      <c r="BG76" s="22"/>
      <c r="BH76" s="23">
        <f>AY48</f>
        <v>0</v>
      </c>
      <c r="BI76" s="326">
        <f t="shared" si="5"/>
        <v>0</v>
      </c>
      <c r="BJ76" s="95">
        <f>VLOOKUP(BD76,CENY!$B$11:$M$2025,12,FALSE)</f>
        <v>182.03933000000001</v>
      </c>
      <c r="BK76" s="95">
        <f t="shared" si="6"/>
        <v>0</v>
      </c>
    </row>
    <row r="77" spans="1:63" ht="14.4" customHeight="1">
      <c r="A77" s="577"/>
      <c r="AU77" s="319"/>
      <c r="AV77" s="21"/>
      <c r="AW77" s="22"/>
      <c r="AX77" s="22"/>
      <c r="AY77" s="23"/>
      <c r="AZ77" s="326" t="str">
        <f t="shared" si="4"/>
        <v/>
      </c>
      <c r="BA77" s="95"/>
      <c r="BB77" s="95" t="str">
        <f t="shared" si="1"/>
        <v/>
      </c>
      <c r="BD77" s="319"/>
      <c r="BE77" s="21"/>
      <c r="BF77" s="22"/>
      <c r="BG77" s="22"/>
      <c r="BH77" s="23"/>
      <c r="BI77" s="326" t="str">
        <f t="shared" si="5"/>
        <v/>
      </c>
      <c r="BJ77" s="95"/>
      <c r="BK77" s="95" t="str">
        <f t="shared" si="6"/>
        <v/>
      </c>
    </row>
    <row r="78" spans="1:63" ht="14.4" customHeight="1">
      <c r="A78" s="577"/>
      <c r="AU78" s="320">
        <v>9257885</v>
      </c>
      <c r="AV78" s="321" t="str">
        <f>VLOOKUP(AU78,CENY!$B$11:$G$1054,2,FALSE)</f>
        <v>AvanY-príchytka čela s rozp.púzdrom/ v139</v>
      </c>
      <c r="AW78" s="22">
        <f>VLOOKUP(AU78,CENY!$B$11:$G$1054,3,FALSE)</f>
        <v>200</v>
      </c>
      <c r="AX78" s="22"/>
      <c r="AY78" s="68">
        <v>0</v>
      </c>
      <c r="AZ78" s="326">
        <f t="shared" si="4"/>
        <v>0</v>
      </c>
      <c r="BA78" s="95">
        <f>VLOOKUP(AU78,CENY!$B$11:$M$2025,12,FALSE)</f>
        <v>33.53387</v>
      </c>
      <c r="BB78" s="95">
        <f t="shared" si="1"/>
        <v>0</v>
      </c>
      <c r="BD78" s="319">
        <f>OBJ!B297</f>
        <v>9256944</v>
      </c>
      <c r="BE78" s="21" t="str">
        <f>VLOOKUP(BD78,CENY!$B$11:$G$1054,2,FALSE)</f>
        <v>Quadro You(S) 270/SiSy 10kg; EB21; ľavý</v>
      </c>
      <c r="BF78" s="22">
        <f>VLOOKUP(BD78,CENY!$B$11:$G$1054,3,FALSE)</f>
        <v>20</v>
      </c>
      <c r="BG78" s="22"/>
      <c r="BH78" s="23">
        <f>AY50</f>
        <v>0</v>
      </c>
      <c r="BI78" s="326">
        <f t="shared" ref="BI78:BI79" si="37">IF(BH78="","",IF($AW$4=0,BH78,0))</f>
        <v>0</v>
      </c>
      <c r="BJ78" s="95">
        <f>VLOOKUP(BD78,CENY!$B$11:$M$2025,12,FALSE)</f>
        <v>223.77942999999999</v>
      </c>
      <c r="BK78" s="95">
        <f t="shared" ref="BK78:BK79" si="38">IF(BJ78="","",BJ78*BH78)</f>
        <v>0</v>
      </c>
    </row>
    <row r="79" spans="1:63" ht="14.4" customHeight="1">
      <c r="A79" s="577"/>
      <c r="AU79" s="319"/>
      <c r="AV79" s="21"/>
      <c r="AW79" s="22"/>
      <c r="AX79" s="22"/>
      <c r="AY79" s="23"/>
      <c r="AZ79" s="326" t="str">
        <f t="shared" si="4"/>
        <v/>
      </c>
      <c r="BA79" s="95"/>
      <c r="BB79" s="95" t="str">
        <f t="shared" ref="BB79:BB124" si="39">IF(BA79="","",BA79*AY79)</f>
        <v/>
      </c>
      <c r="BD79" s="319">
        <f>OBJ!B298</f>
        <v>9256945</v>
      </c>
      <c r="BE79" s="21" t="str">
        <f>VLOOKUP(BD79,CENY!$B$11:$G$1054,2,FALSE)</f>
        <v>Quadro You(S) 270/SiSy 10kg; EB21; pravý</v>
      </c>
      <c r="BF79" s="22">
        <f>VLOOKUP(BD79,CENY!$B$11:$G$1054,3,FALSE)</f>
        <v>20</v>
      </c>
      <c r="BG79" s="22"/>
      <c r="BH79" s="23">
        <f>AY50</f>
        <v>0</v>
      </c>
      <c r="BI79" s="326">
        <f t="shared" si="37"/>
        <v>0</v>
      </c>
      <c r="BJ79" s="95">
        <f>VLOOKUP(BD79,CENY!$B$11:$M$2025,12,FALSE)</f>
        <v>223.77942999999999</v>
      </c>
      <c r="BK79" s="95">
        <f t="shared" si="38"/>
        <v>0</v>
      </c>
    </row>
    <row r="80" spans="1:63" ht="14.4" customHeight="1">
      <c r="A80" s="577"/>
      <c r="O80" s="576">
        <f>CEILING(O84/FLOOR(2000/O85,1),1)</f>
        <v>0</v>
      </c>
      <c r="P80" s="576"/>
      <c r="Q80" s="576">
        <f>CEILING(Q84/FLOOR(2000/Q85,1),1)</f>
        <v>0</v>
      </c>
      <c r="R80" s="576"/>
      <c r="S80" s="576">
        <f>CEILING(S84/FLOOR(2000/S85,1),1)</f>
        <v>0</v>
      </c>
      <c r="T80" s="576"/>
      <c r="U80" s="576">
        <f>CEILING(U84/FLOOR(2000/U85,1),1)</f>
        <v>0</v>
      </c>
      <c r="V80" s="576"/>
      <c r="W80" s="576">
        <f>CEILING(W84/FLOOR(2000/W85,1),1)</f>
        <v>0</v>
      </c>
      <c r="X80" s="576"/>
      <c r="Y80" s="576">
        <f>CEILING(Y84/FLOOR(2000/Y85,1),1)</f>
        <v>0</v>
      </c>
      <c r="Z80" s="576"/>
      <c r="AA80" s="576">
        <f>CEILING(AA84/FLOOR(2000/AA85,1),1)</f>
        <v>0</v>
      </c>
      <c r="AB80" s="576"/>
      <c r="AC80" s="576">
        <f>CEILING(AC84/FLOOR(2000/AC85,1),1)</f>
        <v>0</v>
      </c>
      <c r="AD80" s="576"/>
      <c r="AE80" s="576">
        <f>CEILING(AE84/FLOOR(2000/AE85,1),1)</f>
        <v>0</v>
      </c>
      <c r="AF80" s="576"/>
      <c r="AG80" s="576">
        <f>CEILING(AG84/FLOOR(2000/AG85,1),1)</f>
        <v>0</v>
      </c>
      <c r="AH80" s="576"/>
      <c r="AI80" s="576">
        <f>CEILING(AI84/FLOOR(2000/AI85,1),1)</f>
        <v>0</v>
      </c>
      <c r="AJ80" s="576"/>
      <c r="AU80" s="319">
        <f>OBJ!B214</f>
        <v>0</v>
      </c>
      <c r="AV80" s="21" t="e">
        <f>VLOOKUP(AU80,CENY!$B$11:$G$1054,2,FALSE)</f>
        <v>#N/A</v>
      </c>
      <c r="AW80" s="22" t="e">
        <f>VLOOKUP(AU80,CENY!$B$11:$G$1054,3,FALSE)</f>
        <v>#N/A</v>
      </c>
      <c r="AX80" s="22"/>
      <c r="AY80" s="68">
        <f>IF(FORM!AM21&lt;&gt;FORM!AW16,(2*(+SUM(O19:T19)+SUM(O20:AD20)+SUM(W22:AF22)+SUM(O27:T27)+SUM(O28:AD28)+SUM(O30:AD30))),0)</f>
        <v>0</v>
      </c>
      <c r="AZ80" s="326">
        <f t="shared" ref="AZ80:AZ124" si="40">IF(AY80="","",IF($AW$4=1,AY80,0))</f>
        <v>0</v>
      </c>
      <c r="BA80" s="324" t="str">
        <f>IF(AU80=0,"",VLOOKUP(AU80,CENY!$B$11:$M$2025,12,FALSE))</f>
        <v/>
      </c>
      <c r="BB80" s="95" t="str">
        <f t="shared" si="39"/>
        <v/>
      </c>
      <c r="BD80" s="319">
        <f>OBJ!B299</f>
        <v>9256946</v>
      </c>
      <c r="BE80" s="21" t="str">
        <f>VLOOKUP(BD80,CENY!$B$11:$G$1054,2,FALSE)</f>
        <v>Quadro You(S) 300/SiSy 10kg; EB21; ľavý</v>
      </c>
      <c r="BF80" s="22">
        <f>VLOOKUP(BD80,CENY!$B$11:$G$1054,3,FALSE)</f>
        <v>20</v>
      </c>
      <c r="BG80" s="22"/>
      <c r="BH80" s="23">
        <f>AY51</f>
        <v>0</v>
      </c>
      <c r="BI80" s="326">
        <f t="shared" si="5"/>
        <v>0</v>
      </c>
      <c r="BJ80" s="95">
        <f>VLOOKUP(BD80,CENY!$B$11:$M$2025,12,FALSE)</f>
        <v>224.26065</v>
      </c>
      <c r="BK80" s="95">
        <f t="shared" si="6"/>
        <v>0</v>
      </c>
    </row>
    <row r="81" spans="1:63" ht="14.4" customHeight="1">
      <c r="A81" s="577"/>
      <c r="O81" s="592">
        <f>O85*O84</f>
        <v>0</v>
      </c>
      <c r="P81" s="592"/>
      <c r="Q81" s="592">
        <f>Q85*Q84</f>
        <v>0</v>
      </c>
      <c r="R81" s="592"/>
      <c r="S81" s="592">
        <f>S85*S84</f>
        <v>0</v>
      </c>
      <c r="T81" s="592"/>
      <c r="U81" s="592">
        <f>U85*U84</f>
        <v>0</v>
      </c>
      <c r="V81" s="592"/>
      <c r="W81" s="592">
        <f>W85*W84</f>
        <v>0</v>
      </c>
      <c r="X81" s="592"/>
      <c r="Y81" s="592">
        <f>Y85*Y84</f>
        <v>0</v>
      </c>
      <c r="Z81" s="592"/>
      <c r="AA81" s="592">
        <f>AA85*AA84</f>
        <v>0</v>
      </c>
      <c r="AB81" s="592"/>
      <c r="AC81" s="592">
        <f>AC85*AC84</f>
        <v>0</v>
      </c>
      <c r="AD81" s="592"/>
      <c r="AE81" s="592">
        <f>AE85*AE84</f>
        <v>0</v>
      </c>
      <c r="AF81" s="592"/>
      <c r="AG81" s="592">
        <f>AG85*AG84</f>
        <v>0</v>
      </c>
      <c r="AH81" s="592"/>
      <c r="AI81" s="592">
        <f>AI85*AI84</f>
        <v>0</v>
      </c>
      <c r="AJ81" s="592"/>
      <c r="AK81" s="577"/>
      <c r="AL81" s="577"/>
      <c r="AU81" s="319"/>
      <c r="AV81" s="21"/>
      <c r="AW81" s="22"/>
      <c r="AX81" s="22"/>
      <c r="AY81" s="23"/>
      <c r="AZ81" s="326" t="str">
        <f t="shared" si="40"/>
        <v/>
      </c>
      <c r="BA81" s="95"/>
      <c r="BB81" s="95" t="str">
        <f t="shared" si="39"/>
        <v/>
      </c>
      <c r="BD81" s="319">
        <f>OBJ!B300</f>
        <v>9256947</v>
      </c>
      <c r="BE81" s="21" t="str">
        <f>VLOOKUP(BD81,CENY!$B$11:$G$1054,2,FALSE)</f>
        <v>Quadro You(S) 300/SiSy 10kg; EB21; pravý</v>
      </c>
      <c r="BF81" s="22">
        <f>VLOOKUP(BD81,CENY!$B$11:$G$1054,3,FALSE)</f>
        <v>20</v>
      </c>
      <c r="BG81" s="22"/>
      <c r="BH81" s="23">
        <f>AY51</f>
        <v>0</v>
      </c>
      <c r="BI81" s="326">
        <f t="shared" si="5"/>
        <v>0</v>
      </c>
      <c r="BJ81" s="95">
        <f>VLOOKUP(BD81,CENY!$B$11:$M$2025,12,FALSE)</f>
        <v>224.26065</v>
      </c>
      <c r="BK81" s="95">
        <f t="shared" si="6"/>
        <v>0</v>
      </c>
    </row>
    <row r="82" spans="1:63" ht="14.4" customHeight="1" thickBot="1">
      <c r="A82" s="577"/>
      <c r="B82" s="1" t="str">
        <f>verze!E162</f>
        <v>Čelo na vnitřní zásuvku</v>
      </c>
      <c r="O82" s="581" t="str">
        <f>verze!E163</f>
        <v>vnější rozměry zásuvkové skřínky [mm]</v>
      </c>
      <c r="P82" s="582"/>
      <c r="Q82" s="582"/>
      <c r="R82" s="582"/>
      <c r="S82" s="582"/>
      <c r="T82" s="582"/>
      <c r="U82" s="582"/>
      <c r="V82" s="582"/>
      <c r="W82" s="582"/>
      <c r="X82" s="582"/>
      <c r="Y82" s="582"/>
      <c r="Z82" s="582"/>
      <c r="AA82" s="582"/>
      <c r="AB82" s="582"/>
      <c r="AC82" s="582"/>
      <c r="AD82" s="582"/>
      <c r="AE82" s="582"/>
      <c r="AF82" s="582"/>
      <c r="AG82" s="582"/>
      <c r="AH82" s="582"/>
      <c r="AI82" s="582"/>
      <c r="AJ82" s="582"/>
      <c r="AU82" s="319"/>
      <c r="AV82" s="21"/>
      <c r="AW82" s="22"/>
      <c r="AX82" s="22"/>
      <c r="AY82" s="23"/>
      <c r="AZ82" s="326" t="str">
        <f t="shared" si="40"/>
        <v/>
      </c>
      <c r="BA82" s="95"/>
      <c r="BB82" s="95" t="str">
        <f t="shared" si="39"/>
        <v/>
      </c>
      <c r="BD82" s="319">
        <f>OBJ!B301</f>
        <v>9256950</v>
      </c>
      <c r="BE82" s="21" t="str">
        <f>VLOOKUP(BD82,CENY!$B$11:$G$1054,2,FALSE)</f>
        <v>Quadro You(S) 350/SiSy 10kg; EB21; ľavý</v>
      </c>
      <c r="BF82" s="22">
        <f>VLOOKUP(BD82,CENY!$B$11:$G$1054,3,FALSE)</f>
        <v>20</v>
      </c>
      <c r="BG82" s="22"/>
      <c r="BH82" s="23">
        <f>AY52</f>
        <v>0</v>
      </c>
      <c r="BI82" s="326">
        <f t="shared" si="5"/>
        <v>0</v>
      </c>
      <c r="BJ82" s="95">
        <f>VLOOKUP(BD82,CENY!$B$11:$M$2025,12,FALSE)</f>
        <v>229.11434</v>
      </c>
      <c r="BK82" s="95">
        <f t="shared" si="6"/>
        <v>0</v>
      </c>
    </row>
    <row r="83" spans="1:63" ht="14.4" customHeight="1" thickBot="1">
      <c r="A83" s="577"/>
      <c r="B83" s="96"/>
      <c r="C83" s="96"/>
      <c r="D83" s="96"/>
      <c r="E83" s="96"/>
      <c r="F83" s="96"/>
      <c r="G83" s="96"/>
      <c r="H83" s="72"/>
      <c r="I83" s="72"/>
      <c r="J83" s="72"/>
      <c r="K83" s="72"/>
      <c r="L83" s="72"/>
      <c r="M83" s="72"/>
      <c r="N83" s="72" t="str">
        <f>verze!E166&amp;" "</f>
        <v xml:space="preserve">Šířka korpusu: </v>
      </c>
      <c r="O83" s="535">
        <v>300</v>
      </c>
      <c r="P83" s="536"/>
      <c r="Q83" s="535">
        <v>400</v>
      </c>
      <c r="R83" s="536"/>
      <c r="S83" s="535">
        <v>450</v>
      </c>
      <c r="T83" s="536"/>
      <c r="U83" s="535">
        <v>500</v>
      </c>
      <c r="V83" s="536"/>
      <c r="W83" s="535">
        <v>550</v>
      </c>
      <c r="X83" s="536"/>
      <c r="Y83" s="535">
        <v>600</v>
      </c>
      <c r="Z83" s="536"/>
      <c r="AA83" s="535">
        <v>700</v>
      </c>
      <c r="AB83" s="536"/>
      <c r="AC83" s="535">
        <v>800</v>
      </c>
      <c r="AD83" s="536"/>
      <c r="AE83" s="535">
        <v>900</v>
      </c>
      <c r="AF83" s="584"/>
      <c r="AG83" s="535">
        <v>1000</v>
      </c>
      <c r="AH83" s="584"/>
      <c r="AI83" s="535">
        <v>1200</v>
      </c>
      <c r="AJ83" s="536"/>
      <c r="AU83" s="319"/>
      <c r="AV83" s="21"/>
      <c r="AW83" s="22"/>
      <c r="AX83" s="22"/>
      <c r="AY83" s="23"/>
      <c r="AZ83" s="326" t="str">
        <f t="shared" si="40"/>
        <v/>
      </c>
      <c r="BA83" s="95"/>
      <c r="BB83" s="95" t="str">
        <f t="shared" si="39"/>
        <v/>
      </c>
      <c r="BD83" s="319">
        <f>OBJ!B302</f>
        <v>9256951</v>
      </c>
      <c r="BE83" s="21" t="str">
        <f>VLOOKUP(BD83,CENY!$B$11:$G$1054,2,FALSE)</f>
        <v>Quadro You(S) 350/SiSy 10kg; EB21; pravý</v>
      </c>
      <c r="BF83" s="22">
        <f>VLOOKUP(BD83,CENY!$B$11:$G$1054,3,FALSE)</f>
        <v>20</v>
      </c>
      <c r="BG83" s="22"/>
      <c r="BH83" s="23">
        <f>AY52</f>
        <v>0</v>
      </c>
      <c r="BI83" s="326">
        <f t="shared" si="5"/>
        <v>0</v>
      </c>
      <c r="BJ83" s="95">
        <f>VLOOKUP(BD83,CENY!$B$11:$M$2025,12,FALSE)</f>
        <v>229.11434</v>
      </c>
      <c r="BK83" s="95">
        <f t="shared" si="6"/>
        <v>0</v>
      </c>
    </row>
    <row r="84" spans="1:63" ht="14.4" customHeight="1" thickBot="1">
      <c r="A84" s="577"/>
      <c r="B84" s="158" t="str">
        <f>" "&amp;verze!E167</f>
        <v xml:space="preserve"> ALU čelo</v>
      </c>
      <c r="C84" s="158"/>
      <c r="D84" s="158"/>
      <c r="E84" s="158"/>
      <c r="F84" s="158"/>
      <c r="G84" s="158"/>
      <c r="H84" s="158"/>
      <c r="I84" s="158"/>
      <c r="J84" s="158"/>
      <c r="K84" s="158"/>
      <c r="L84" s="158"/>
      <c r="M84" s="523"/>
      <c r="N84" s="546"/>
      <c r="O84" s="578"/>
      <c r="P84" s="579"/>
      <c r="Q84" s="578"/>
      <c r="R84" s="579"/>
      <c r="S84" s="578"/>
      <c r="T84" s="579"/>
      <c r="U84" s="578"/>
      <c r="V84" s="579"/>
      <c r="W84" s="578"/>
      <c r="X84" s="579"/>
      <c r="Y84" s="578"/>
      <c r="Z84" s="579"/>
      <c r="AA84" s="578"/>
      <c r="AB84" s="579"/>
      <c r="AC84" s="578"/>
      <c r="AD84" s="579"/>
      <c r="AE84" s="578"/>
      <c r="AF84" s="579"/>
      <c r="AG84" s="578"/>
      <c r="AH84" s="579"/>
      <c r="AI84" s="578"/>
      <c r="AJ84" s="583"/>
      <c r="AU84" s="319"/>
      <c r="AV84" s="21"/>
      <c r="AW84" s="22"/>
      <c r="AX84" s="22"/>
      <c r="AY84" s="23"/>
      <c r="AZ84" s="326" t="str">
        <f t="shared" si="40"/>
        <v/>
      </c>
      <c r="BA84" s="95"/>
      <c r="BB84" s="95" t="str">
        <f t="shared" si="39"/>
        <v/>
      </c>
      <c r="BD84" s="319"/>
      <c r="BE84" s="21"/>
      <c r="BF84" s="22"/>
      <c r="BG84" s="22"/>
      <c r="BH84" s="23"/>
      <c r="BI84" s="326" t="str">
        <f t="shared" ref="BI84:BI132" si="41">IF(BH84="","",IF($AW$4=0,BH84,0))</f>
        <v/>
      </c>
      <c r="BJ84" s="95"/>
      <c r="BK84" s="95" t="str">
        <f t="shared" ref="BK84:BK132" si="42">IF(BJ84="","",BJ84*BH84)</f>
        <v/>
      </c>
    </row>
    <row r="85" spans="1:63" ht="14.4" customHeight="1">
      <c r="A85" s="577"/>
      <c r="O85" s="591">
        <f>O83-2*FORM!$AM$24-12</f>
        <v>252</v>
      </c>
      <c r="P85" s="591"/>
      <c r="Q85" s="591">
        <f>Q83-2*FORM!$AM$24-12</f>
        <v>352</v>
      </c>
      <c r="R85" s="591"/>
      <c r="S85" s="591">
        <f>S83-2*FORM!$AM$24-12</f>
        <v>402</v>
      </c>
      <c r="T85" s="591"/>
      <c r="U85" s="591">
        <f>U83-2*FORM!$AM$24-12</f>
        <v>452</v>
      </c>
      <c r="V85" s="591"/>
      <c r="W85" s="591">
        <f>W83-2*FORM!$AM$24-12</f>
        <v>502</v>
      </c>
      <c r="X85" s="591"/>
      <c r="Y85" s="591">
        <f>Y83-2*FORM!$AM$24-12</f>
        <v>552</v>
      </c>
      <c r="Z85" s="591"/>
      <c r="AA85" s="591">
        <f>AA83-2*FORM!$AM$24-12</f>
        <v>652</v>
      </c>
      <c r="AB85" s="591"/>
      <c r="AC85" s="591">
        <f>AC83-2*FORM!$AM$24-12</f>
        <v>752</v>
      </c>
      <c r="AD85" s="591"/>
      <c r="AE85" s="591">
        <f>AE83-2*FORM!$AM$24-12</f>
        <v>852</v>
      </c>
      <c r="AF85" s="591"/>
      <c r="AG85" s="591">
        <f>AG83-2*FORM!$AM$24-12</f>
        <v>952</v>
      </c>
      <c r="AH85" s="591"/>
      <c r="AI85" s="591">
        <f>AI83-2*FORM!$AM$24-12</f>
        <v>1152</v>
      </c>
      <c r="AJ85" s="591"/>
      <c r="AU85" s="319"/>
      <c r="AV85" s="21"/>
      <c r="AW85" s="22"/>
      <c r="AX85" s="22"/>
      <c r="AY85" s="23"/>
      <c r="AZ85" s="326" t="str">
        <f t="shared" si="40"/>
        <v/>
      </c>
      <c r="BA85" s="95"/>
      <c r="BB85" s="95" t="str">
        <f t="shared" si="39"/>
        <v/>
      </c>
      <c r="BD85" s="319">
        <f>OBJ!B312</f>
        <v>9256854</v>
      </c>
      <c r="BE85" s="21" t="str">
        <f>VLOOKUP(BD85,CENY!$B$11:$G$1054,2,FALSE)</f>
        <v>Quadro You(M) 270/SiSy 20kg; EB21; ľavý</v>
      </c>
      <c r="BF85" s="22">
        <f>VLOOKUP(BD85,CENY!$B$11:$G$1054,3,FALSE)</f>
        <v>20</v>
      </c>
      <c r="BG85" s="22"/>
      <c r="BH85" s="23">
        <f>AY54</f>
        <v>0</v>
      </c>
      <c r="BI85" s="326">
        <f t="shared" ref="BI85:BI86" si="43">IF(BH85="","",IF($AW$4=0,BH85,0))</f>
        <v>0</v>
      </c>
      <c r="BJ85" s="95">
        <f>VLOOKUP(BD85,CENY!$B$11:$M$2025,12,FALSE)</f>
        <v>223.77942999999999</v>
      </c>
      <c r="BK85" s="95">
        <f t="shared" ref="BK85:BK86" si="44">IF(BJ85="","",BJ85*BH85)</f>
        <v>0</v>
      </c>
    </row>
    <row r="86" spans="1:63" ht="14.4" customHeight="1">
      <c r="A86" s="577"/>
      <c r="AR86" s="157" t="str">
        <f>IF(AU99=0,verze!E169&amp;" "&amp;AU97&amp;" "&amp;verze!E170,"")</f>
        <v>Je potřebné vybrat 0 ks vnitřních čel.</v>
      </c>
      <c r="AU86" s="319"/>
      <c r="AV86" s="21"/>
      <c r="AW86" s="22"/>
      <c r="AX86" s="22"/>
      <c r="AY86" s="23"/>
      <c r="AZ86" s="326" t="str">
        <f t="shared" si="40"/>
        <v/>
      </c>
      <c r="BA86" s="95"/>
      <c r="BB86" s="95" t="str">
        <f t="shared" si="39"/>
        <v/>
      </c>
      <c r="BD86" s="319">
        <f>OBJ!B313</f>
        <v>9256855</v>
      </c>
      <c r="BE86" s="21" t="str">
        <f>VLOOKUP(BD86,CENY!$B$11:$G$1054,2,FALSE)</f>
        <v>Quadro You(M) 270/SiSy 20kg; EB21; pravý</v>
      </c>
      <c r="BF86" s="22">
        <f>VLOOKUP(BD86,CENY!$B$11:$G$1054,3,FALSE)</f>
        <v>20</v>
      </c>
      <c r="BG86" s="22"/>
      <c r="BH86" s="23">
        <f>AY54</f>
        <v>0</v>
      </c>
      <c r="BI86" s="326">
        <f t="shared" si="43"/>
        <v>0</v>
      </c>
      <c r="BJ86" s="95">
        <f>VLOOKUP(BD86,CENY!$B$11:$M$2025,12,FALSE)</f>
        <v>223.77942999999999</v>
      </c>
      <c r="BK86" s="95">
        <f t="shared" si="44"/>
        <v>0</v>
      </c>
    </row>
    <row r="87" spans="1:63" ht="14.4" customHeight="1">
      <c r="A87" s="577"/>
      <c r="AR87" s="332" t="str">
        <f>IF(AU99=0,"",IF(AU97=AU99,verze!E174,IF(AU100&gt;0,verze!E171&amp;" "&amp;AU100&amp;" "&amp;verze!E170,verze!E172&amp;" "&amp;AU101&amp;" "&amp;verze!E173)))</f>
        <v/>
      </c>
      <c r="AU87" s="319"/>
      <c r="AV87" s="21"/>
      <c r="AW87" s="22"/>
      <c r="AX87" s="22"/>
      <c r="AY87" s="23"/>
      <c r="AZ87" s="326" t="str">
        <f t="shared" si="40"/>
        <v/>
      </c>
      <c r="BA87" s="95"/>
      <c r="BB87" s="95" t="str">
        <f t="shared" si="39"/>
        <v/>
      </c>
      <c r="BD87" s="319">
        <f>OBJ!B314</f>
        <v>9256856</v>
      </c>
      <c r="BE87" s="21" t="str">
        <f>VLOOKUP(BD87,CENY!$B$11:$G$1054,2,FALSE)</f>
        <v>Quadro You(M) 300/SiSy 20kg; EB21; ľavý</v>
      </c>
      <c r="BF87" s="22">
        <f>VLOOKUP(BD87,CENY!$B$11:$G$1054,3,FALSE)</f>
        <v>20</v>
      </c>
      <c r="BG87" s="22"/>
      <c r="BH87" s="23">
        <f>AY55</f>
        <v>0</v>
      </c>
      <c r="BI87" s="326">
        <f t="shared" si="41"/>
        <v>0</v>
      </c>
      <c r="BJ87" s="95">
        <f>VLOOKUP(BD87,CENY!$B$11:$M$2025,12,FALSE)</f>
        <v>224.26065</v>
      </c>
      <c r="BK87" s="95">
        <f t="shared" si="42"/>
        <v>0</v>
      </c>
    </row>
    <row r="88" spans="1:63" ht="14.4" customHeight="1">
      <c r="A88" s="577"/>
      <c r="AU88" s="319"/>
      <c r="AV88" s="21"/>
      <c r="AW88" s="22"/>
      <c r="AX88" s="22"/>
      <c r="AY88" s="23"/>
      <c r="AZ88" s="326" t="str">
        <f t="shared" si="40"/>
        <v/>
      </c>
      <c r="BA88" s="95"/>
      <c r="BB88" s="95" t="str">
        <f t="shared" si="39"/>
        <v/>
      </c>
      <c r="BD88" s="319">
        <f>OBJ!B315</f>
        <v>9256857</v>
      </c>
      <c r="BE88" s="21" t="str">
        <f>VLOOKUP(BD88,CENY!$B$11:$G$1054,2,FALSE)</f>
        <v>Quadro You(M) 300/SiSy 20kg; EB21; pravý</v>
      </c>
      <c r="BF88" s="22">
        <f>VLOOKUP(BD88,CENY!$B$11:$G$1054,3,FALSE)</f>
        <v>20</v>
      </c>
      <c r="BG88" s="22"/>
      <c r="BH88" s="23">
        <f>AY55</f>
        <v>0</v>
      </c>
      <c r="BI88" s="326">
        <f t="shared" si="41"/>
        <v>0</v>
      </c>
      <c r="BJ88" s="95">
        <f>VLOOKUP(BD88,CENY!$B$11:$M$2025,12,FALSE)</f>
        <v>224.26065</v>
      </c>
      <c r="BK88" s="95">
        <f t="shared" si="42"/>
        <v>0</v>
      </c>
    </row>
    <row r="89" spans="1:63" ht="14.4" customHeight="1">
      <c r="A89" s="577"/>
      <c r="AU89" s="319"/>
      <c r="AV89" s="21"/>
      <c r="AW89" s="22"/>
      <c r="AX89" s="22"/>
      <c r="AY89" s="23"/>
      <c r="AZ89" s="326" t="str">
        <f t="shared" si="40"/>
        <v/>
      </c>
      <c r="BA89" s="95"/>
      <c r="BB89" s="95" t="str">
        <f t="shared" si="39"/>
        <v/>
      </c>
      <c r="BD89" s="319">
        <f>OBJ!B316</f>
        <v>9256860</v>
      </c>
      <c r="BE89" s="21" t="str">
        <f>VLOOKUP(BD89,CENY!$B$11:$G$1054,2,FALSE)</f>
        <v>Quadro You(M) 350/SiSy 25kg; EB21; ľavý</v>
      </c>
      <c r="BF89" s="22">
        <f>VLOOKUP(BD89,CENY!$B$11:$G$1054,3,FALSE)</f>
        <v>20</v>
      </c>
      <c r="BG89" s="22"/>
      <c r="BH89" s="23">
        <f>AY56</f>
        <v>0</v>
      </c>
      <c r="BI89" s="326">
        <f t="shared" si="41"/>
        <v>0</v>
      </c>
      <c r="BJ89" s="95">
        <f>VLOOKUP(BD89,CENY!$B$11:$M$2025,12,FALSE)</f>
        <v>229.11434</v>
      </c>
      <c r="BK89" s="95">
        <f t="shared" si="42"/>
        <v>0</v>
      </c>
    </row>
    <row r="90" spans="1:63" ht="14.4" customHeight="1">
      <c r="A90" s="577"/>
      <c r="AU90" s="319"/>
      <c r="AV90" s="21"/>
      <c r="AW90" s="22"/>
      <c r="AX90" s="22"/>
      <c r="AY90" s="23"/>
      <c r="AZ90" s="326" t="str">
        <f t="shared" si="40"/>
        <v/>
      </c>
      <c r="BA90" s="95"/>
      <c r="BB90" s="95" t="str">
        <f t="shared" si="39"/>
        <v/>
      </c>
      <c r="BD90" s="319">
        <f>OBJ!B317</f>
        <v>9256861</v>
      </c>
      <c r="BE90" s="21" t="str">
        <f>VLOOKUP(BD90,CENY!$B$11:$G$1054,2,FALSE)</f>
        <v>Quadro You(M) 350/SiSy 25kg; EB21; pravý</v>
      </c>
      <c r="BF90" s="22">
        <f>VLOOKUP(BD90,CENY!$B$11:$G$1054,3,FALSE)</f>
        <v>20</v>
      </c>
      <c r="BG90" s="22"/>
      <c r="BH90" s="23">
        <f>AY56</f>
        <v>0</v>
      </c>
      <c r="BI90" s="326">
        <f t="shared" si="41"/>
        <v>0</v>
      </c>
      <c r="BJ90" s="95">
        <f>VLOOKUP(BD90,CENY!$B$11:$M$2025,12,FALSE)</f>
        <v>229.11434</v>
      </c>
      <c r="BK90" s="95">
        <f t="shared" si="42"/>
        <v>0</v>
      </c>
    </row>
    <row r="91" spans="1:63" ht="14.4" customHeight="1">
      <c r="A91" s="577"/>
      <c r="AU91" s="319"/>
      <c r="AV91" s="21"/>
      <c r="AW91" s="22"/>
      <c r="AX91" s="22"/>
      <c r="AY91" s="23"/>
      <c r="AZ91" s="326" t="str">
        <f t="shared" si="40"/>
        <v/>
      </c>
      <c r="BA91" s="95"/>
      <c r="BB91" s="95" t="str">
        <f t="shared" si="39"/>
        <v/>
      </c>
      <c r="BD91" s="319">
        <f>OBJ!B318</f>
        <v>9256864</v>
      </c>
      <c r="BE91" s="21" t="str">
        <f>VLOOKUP(BD91,CENY!$B$11:$G$1054,2,FALSE)</f>
        <v>Quadro You(M) 400/SiSy 30kg; EB21; ľavý</v>
      </c>
      <c r="BF91" s="22">
        <f>VLOOKUP(BD91,CENY!$B$11:$G$1054,3,FALSE)</f>
        <v>20</v>
      </c>
      <c r="BG91" s="22"/>
      <c r="BH91" s="23">
        <f>AY57</f>
        <v>0</v>
      </c>
      <c r="BI91" s="326">
        <f t="shared" si="41"/>
        <v>0</v>
      </c>
      <c r="BJ91" s="95">
        <f>VLOOKUP(BD91,CENY!$B$11:$M$2025,12,FALSE)</f>
        <v>233.96566000000001</v>
      </c>
      <c r="BK91" s="95">
        <f t="shared" si="42"/>
        <v>0</v>
      </c>
    </row>
    <row r="92" spans="1:63" ht="14.4" customHeight="1">
      <c r="A92" s="577"/>
      <c r="AU92" s="319"/>
      <c r="AV92" s="21"/>
      <c r="AW92" s="22"/>
      <c r="AX92" s="22"/>
      <c r="AY92" s="23"/>
      <c r="AZ92" s="326" t="str">
        <f t="shared" si="40"/>
        <v/>
      </c>
      <c r="BA92" s="95"/>
      <c r="BB92" s="95" t="str">
        <f t="shared" si="39"/>
        <v/>
      </c>
      <c r="BD92" s="319">
        <f>OBJ!B319</f>
        <v>9256865</v>
      </c>
      <c r="BE92" s="21" t="str">
        <f>VLOOKUP(BD92,CENY!$B$11:$G$1054,2,FALSE)</f>
        <v>Quadro You(M) 400/SiSy 30kg; EB21; pravý</v>
      </c>
      <c r="BF92" s="22">
        <f>VLOOKUP(BD92,CENY!$B$11:$G$1054,3,FALSE)</f>
        <v>20</v>
      </c>
      <c r="BG92" s="22"/>
      <c r="BH92" s="23">
        <f>AY57</f>
        <v>0</v>
      </c>
      <c r="BI92" s="326">
        <f t="shared" si="41"/>
        <v>0</v>
      </c>
      <c r="BJ92" s="95">
        <f>VLOOKUP(BD92,CENY!$B$11:$M$2025,12,FALSE)</f>
        <v>233.96566000000001</v>
      </c>
      <c r="BK92" s="95">
        <f t="shared" si="42"/>
        <v>0</v>
      </c>
    </row>
    <row r="93" spans="1:63" ht="14.4" customHeight="1">
      <c r="A93" s="577"/>
      <c r="AU93" s="319">
        <f>OBJ!B195</f>
        <v>9257270</v>
      </c>
      <c r="AV93" s="21" t="str">
        <f>VLOOKUP(AU93,CENY!$B$11:$G$1054,2,FALSE)</f>
        <v>AvanY-čelo vnút.zásuvky /v139/d2000/strieb.</v>
      </c>
      <c r="AW93" s="22">
        <f>VLOOKUP(AU93,CENY!$B$11:$G$1054,3,FALSE)</f>
        <v>1</v>
      </c>
      <c r="AX93" s="22"/>
      <c r="AY93" s="23">
        <f>IF(AU97=0,0,IF(AU103&lt;2000,1,SUM(O80:AJ80)))</f>
        <v>0</v>
      </c>
      <c r="AZ93" s="326">
        <f>IF(AY93="","",IF($AW$4=1,AY93,0))</f>
        <v>0</v>
      </c>
      <c r="BA93" s="95">
        <f>VLOOKUP(AU93,CENY!$B$11:$M$2025,12,FALSE)</f>
        <v>1774.2111399999999</v>
      </c>
      <c r="BB93" s="95">
        <f t="shared" si="39"/>
        <v>0</v>
      </c>
      <c r="BD93" s="319">
        <f>OBJ!B320</f>
        <v>9256868</v>
      </c>
      <c r="BE93" s="21" t="str">
        <f>VLOOKUP(BD93,CENY!$B$11:$G$1054,2,FALSE)</f>
        <v>Quadro You(M) 450/SiSy 30kg; EB21; ľavý</v>
      </c>
      <c r="BF93" s="22">
        <f>VLOOKUP(BD93,CENY!$B$11:$G$1054,3,FALSE)</f>
        <v>20</v>
      </c>
      <c r="BG93" s="22"/>
      <c r="BH93" s="23">
        <f>AY58</f>
        <v>0</v>
      </c>
      <c r="BI93" s="326">
        <f t="shared" si="41"/>
        <v>0</v>
      </c>
      <c r="BJ93" s="95">
        <f>VLOOKUP(BD93,CENY!$B$11:$M$2025,12,FALSE)</f>
        <v>238.81201999999999</v>
      </c>
      <c r="BK93" s="95">
        <f t="shared" si="42"/>
        <v>0</v>
      </c>
    </row>
    <row r="94" spans="1:63" ht="14.4" customHeight="1">
      <c r="A94" s="577"/>
      <c r="AU94" s="319">
        <f>OBJ!B199</f>
        <v>9257612</v>
      </c>
      <c r="AV94" s="21" t="str">
        <f>VLOOKUP(AU94,CENY!$B$11:$G$1054,2,FALSE)</f>
        <v>AvanY-spojky čela vnút.zás./v139/strieb.</v>
      </c>
      <c r="AW94" s="22">
        <f>VLOOKUP(AU94,CENY!$B$11:$G$1054,3,FALSE)</f>
        <v>1</v>
      </c>
      <c r="AX94" s="22"/>
      <c r="AY94" s="23">
        <f>1*(+SUM(O19:T19)+SUM(O20:AD20)+SUM(W22:AF22)+SUM(O27:T27)+SUM(O28:AD28)+SUM(O30:AD30))</f>
        <v>0</v>
      </c>
      <c r="AZ94" s="326">
        <f>IF(AY94="","",IF($AW$4=1,AY94,0))</f>
        <v>0</v>
      </c>
      <c r="BA94" s="95">
        <f>VLOOKUP(AU94,CENY!$B$11:$M$2025,12,FALSE)</f>
        <v>123.13359</v>
      </c>
      <c r="BB94" s="95">
        <f t="shared" si="39"/>
        <v>0</v>
      </c>
      <c r="BD94" s="319">
        <f>OBJ!B321</f>
        <v>9256869</v>
      </c>
      <c r="BE94" s="21" t="str">
        <f>VLOOKUP(BD94,CENY!$B$11:$G$1054,2,FALSE)</f>
        <v>Quadro You(M) 450/SiSy 30kg; EB21; pravý</v>
      </c>
      <c r="BF94" s="22">
        <f>VLOOKUP(BD94,CENY!$B$11:$G$1054,3,FALSE)</f>
        <v>20</v>
      </c>
      <c r="BG94" s="22"/>
      <c r="BH94" s="23">
        <f>AY58</f>
        <v>0</v>
      </c>
      <c r="BI94" s="326">
        <f t="shared" si="41"/>
        <v>0</v>
      </c>
      <c r="BJ94" s="95">
        <f>VLOOKUP(BD94,CENY!$B$11:$M$2025,12,FALSE)</f>
        <v>238.81201999999999</v>
      </c>
      <c r="BK94" s="95">
        <f t="shared" si="42"/>
        <v>0</v>
      </c>
    </row>
    <row r="95" spans="1:63" ht="14.4" customHeight="1">
      <c r="A95" s="577"/>
      <c r="AU95" s="319"/>
      <c r="AV95" s="21"/>
      <c r="AW95" s="22"/>
      <c r="AX95" s="22"/>
      <c r="AY95" s="23"/>
      <c r="AZ95" s="326" t="str">
        <f t="shared" ref="AZ95:AZ103" si="45">IF(AY95="","",IF($AW$4=1,AY95,0))</f>
        <v/>
      </c>
      <c r="BA95" s="95"/>
      <c r="BB95" s="95" t="str">
        <f t="shared" si="39"/>
        <v/>
      </c>
      <c r="BD95" s="319">
        <f>OBJ!B322</f>
        <v>9256872</v>
      </c>
      <c r="BE95" s="21" t="str">
        <f>VLOOKUP(BD95,CENY!$B$11:$G$1054,2,FALSE)</f>
        <v>Quadro You(M) 500/SiSy 30kg; EB21; ľavý</v>
      </c>
      <c r="BF95" s="22">
        <f>VLOOKUP(BD95,CENY!$B$11:$G$1054,3,FALSE)</f>
        <v>20</v>
      </c>
      <c r="BG95" s="22"/>
      <c r="BH95" s="23">
        <f>AY59</f>
        <v>0</v>
      </c>
      <c r="BI95" s="326">
        <f t="shared" si="41"/>
        <v>0</v>
      </c>
      <c r="BJ95" s="95">
        <f>VLOOKUP(BD95,CENY!$B$11:$M$2025,12,FALSE)</f>
        <v>237.18776</v>
      </c>
      <c r="BK95" s="95">
        <f t="shared" si="42"/>
        <v>0</v>
      </c>
    </row>
    <row r="96" spans="1:63" ht="14.4" customHeight="1">
      <c r="A96" s="577"/>
      <c r="AU96" s="319"/>
      <c r="AV96" s="21"/>
      <c r="AW96" s="22"/>
      <c r="AX96" s="22"/>
      <c r="AY96" s="23"/>
      <c r="AZ96" s="326" t="str">
        <f t="shared" si="45"/>
        <v/>
      </c>
      <c r="BA96" s="95"/>
      <c r="BB96" s="95" t="str">
        <f t="shared" si="39"/>
        <v/>
      </c>
      <c r="BD96" s="319">
        <f>OBJ!B323</f>
        <v>9256873</v>
      </c>
      <c r="BE96" s="21" t="str">
        <f>VLOOKUP(BD96,CENY!$B$11:$G$1054,2,FALSE)</f>
        <v>Quadro You(M) 500/SiSy 30kg; EB21; pravý</v>
      </c>
      <c r="BF96" s="22">
        <f>VLOOKUP(BD96,CENY!$B$11:$G$1054,3,FALSE)</f>
        <v>20</v>
      </c>
      <c r="BG96" s="22"/>
      <c r="BH96" s="23">
        <f>AY59</f>
        <v>0</v>
      </c>
      <c r="BI96" s="326">
        <f t="shared" si="41"/>
        <v>0</v>
      </c>
      <c r="BJ96" s="95">
        <f>VLOOKUP(BD96,CENY!$B$11:$M$2025,12,FALSE)</f>
        <v>237.18776</v>
      </c>
      <c r="BK96" s="95">
        <f t="shared" si="42"/>
        <v>0</v>
      </c>
    </row>
    <row r="97" spans="1:63" ht="14.4" customHeight="1">
      <c r="A97" s="577"/>
      <c r="AU97" s="330">
        <f>1*(+SUM(O19:T19)+SUM(O20:AD20)+SUM(W22:AF22)+SUM(O27:T27)+SUM(O28:AD28)+SUM(O30:AD30))</f>
        <v>0</v>
      </c>
      <c r="AV97" s="329" t="s">
        <v>356</v>
      </c>
      <c r="AW97" s="22"/>
      <c r="AX97" s="22"/>
      <c r="AY97" s="23"/>
      <c r="AZ97" s="326" t="str">
        <f t="shared" si="45"/>
        <v/>
      </c>
      <c r="BA97" s="95"/>
      <c r="BB97" s="95" t="str">
        <f t="shared" si="39"/>
        <v/>
      </c>
      <c r="BD97" s="319">
        <f>OBJ!B324</f>
        <v>9256876</v>
      </c>
      <c r="BE97" s="21" t="str">
        <f>VLOOKUP(BD97,CENY!$B$11:$G$1054,2,FALSE)</f>
        <v>Quadro You(M) 550/SiSy 30kg; EB21; ľavý</v>
      </c>
      <c r="BF97" s="22">
        <f>VLOOKUP(BD97,CENY!$B$11:$G$1054,3,FALSE)</f>
        <v>20</v>
      </c>
      <c r="BG97" s="22"/>
      <c r="BH97" s="23">
        <f>AY60</f>
        <v>0</v>
      </c>
      <c r="BI97" s="326">
        <f t="shared" si="41"/>
        <v>0</v>
      </c>
      <c r="BJ97" s="95">
        <f>VLOOKUP(BD97,CENY!$B$11:$M$2025,12,FALSE)</f>
        <v>241.90996999999999</v>
      </c>
      <c r="BK97" s="95">
        <f t="shared" si="42"/>
        <v>0</v>
      </c>
    </row>
    <row r="98" spans="1:63" ht="14.4" customHeight="1">
      <c r="A98" s="577"/>
      <c r="AU98" s="20"/>
      <c r="AV98" s="21"/>
      <c r="AW98" s="22"/>
      <c r="AX98" s="22"/>
      <c r="AY98" s="23"/>
      <c r="AZ98" s="326" t="str">
        <f t="shared" si="45"/>
        <v/>
      </c>
      <c r="BA98" s="95"/>
      <c r="BB98" s="95" t="str">
        <f t="shared" si="39"/>
        <v/>
      </c>
      <c r="BD98" s="319">
        <f>OBJ!B325</f>
        <v>9256877</v>
      </c>
      <c r="BE98" s="21" t="str">
        <f>VLOOKUP(BD98,CENY!$B$11:$G$1054,2,FALSE)</f>
        <v>Quadro You(M) 550/SiSy 30kg; EB21; pravý</v>
      </c>
      <c r="BF98" s="22">
        <f>VLOOKUP(BD98,CENY!$B$11:$G$1054,3,FALSE)</f>
        <v>20</v>
      </c>
      <c r="BG98" s="22"/>
      <c r="BH98" s="23">
        <f>AY60</f>
        <v>0</v>
      </c>
      <c r="BI98" s="326">
        <f t="shared" si="41"/>
        <v>0</v>
      </c>
      <c r="BJ98" s="95">
        <f>VLOOKUP(BD98,CENY!$B$11:$M$2025,12,FALSE)</f>
        <v>248.51953</v>
      </c>
      <c r="BK98" s="95">
        <f t="shared" si="42"/>
        <v>0</v>
      </c>
    </row>
    <row r="99" spans="1:63" ht="14.4" customHeight="1">
      <c r="A99" s="577"/>
      <c r="AU99" s="331">
        <f>SUM(O84:AJ84)</f>
        <v>0</v>
      </c>
      <c r="AV99" s="21" t="s">
        <v>357</v>
      </c>
      <c r="AW99" s="22"/>
      <c r="AX99" s="22"/>
      <c r="AY99" s="23"/>
      <c r="AZ99" s="326" t="str">
        <f t="shared" si="45"/>
        <v/>
      </c>
      <c r="BA99" s="95"/>
      <c r="BB99" s="95" t="str">
        <f t="shared" si="39"/>
        <v/>
      </c>
      <c r="BD99" s="319">
        <f>OBJ!B326</f>
        <v>9256880</v>
      </c>
      <c r="BE99" s="21" t="str">
        <f>VLOOKUP(BD99,CENY!$B$11:$G$1054,2,FALSE)</f>
        <v>Quadro You(M) 600/SiSy 25kg; EB21; ľavý</v>
      </c>
      <c r="BF99" s="22">
        <f>VLOOKUP(BD99,CENY!$B$11:$G$1054,3,FALSE)</f>
        <v>20</v>
      </c>
      <c r="BG99" s="22"/>
      <c r="BH99" s="23">
        <f>AY61</f>
        <v>0</v>
      </c>
      <c r="BI99" s="326">
        <f t="shared" si="41"/>
        <v>0</v>
      </c>
      <c r="BJ99" s="95">
        <f>VLOOKUP(BD99,CENY!$B$11:$M$2025,12,FALSE)</f>
        <v>253.36837</v>
      </c>
      <c r="BK99" s="95">
        <f t="shared" si="42"/>
        <v>0</v>
      </c>
    </row>
    <row r="100" spans="1:63" ht="14.4" customHeight="1">
      <c r="A100" s="577"/>
      <c r="AU100" s="22">
        <f>AU97-AU99</f>
        <v>0</v>
      </c>
      <c r="AV100" s="21"/>
      <c r="AW100" s="22"/>
      <c r="AX100" s="22"/>
      <c r="AY100" s="23"/>
      <c r="AZ100" s="326" t="str">
        <f t="shared" si="45"/>
        <v/>
      </c>
      <c r="BA100" s="95"/>
      <c r="BB100" s="95" t="str">
        <f t="shared" si="39"/>
        <v/>
      </c>
      <c r="BD100" s="319">
        <f>OBJ!B327</f>
        <v>9256881</v>
      </c>
      <c r="BE100" s="21" t="str">
        <f>VLOOKUP(BD100,CENY!$B$11:$G$1054,2,FALSE)</f>
        <v>Quadro You(M) 600/SiSy 25kg; EB21; pravý</v>
      </c>
      <c r="BF100" s="22">
        <f>VLOOKUP(BD100,CENY!$B$11:$G$1054,3,FALSE)</f>
        <v>20</v>
      </c>
      <c r="BG100" s="22"/>
      <c r="BH100" s="23">
        <f>AY61</f>
        <v>0</v>
      </c>
      <c r="BI100" s="326">
        <f t="shared" si="41"/>
        <v>0</v>
      </c>
      <c r="BJ100" s="95">
        <f>VLOOKUP(BD100,CENY!$B$11:$M$2025,12,FALSE)</f>
        <v>253.36837</v>
      </c>
      <c r="BK100" s="95">
        <f t="shared" si="42"/>
        <v>0</v>
      </c>
    </row>
    <row r="101" spans="1:63">
      <c r="A101" s="577"/>
      <c r="AU101" s="22">
        <f>ABS(AU100)</f>
        <v>0</v>
      </c>
      <c r="AV101" s="21"/>
      <c r="AW101" s="22"/>
      <c r="AX101" s="22"/>
      <c r="AY101" s="23"/>
      <c r="AZ101" s="326" t="str">
        <f t="shared" si="45"/>
        <v/>
      </c>
      <c r="BA101" s="95"/>
      <c r="BB101" s="95" t="str">
        <f t="shared" si="39"/>
        <v/>
      </c>
      <c r="BD101" s="319"/>
      <c r="BE101" s="21"/>
      <c r="BF101" s="22"/>
      <c r="BG101" s="22"/>
      <c r="BH101" s="23"/>
      <c r="BI101" s="326" t="str">
        <f t="shared" si="41"/>
        <v/>
      </c>
      <c r="BJ101" s="95"/>
      <c r="BK101" s="95" t="str">
        <f t="shared" si="42"/>
        <v/>
      </c>
    </row>
    <row r="102" spans="1:63">
      <c r="A102" s="577"/>
      <c r="AU102" s="20"/>
      <c r="AV102" s="21"/>
      <c r="AW102" s="22"/>
      <c r="AX102" s="22"/>
      <c r="AY102" s="23"/>
      <c r="AZ102" s="326" t="str">
        <f t="shared" si="45"/>
        <v/>
      </c>
      <c r="BA102" s="95"/>
      <c r="BB102" s="95" t="str">
        <f t="shared" si="39"/>
        <v/>
      </c>
      <c r="BD102" s="319">
        <f>OBJ!B329</f>
        <v>9257894</v>
      </c>
      <c r="BE102" s="21" t="str">
        <f>VLOOKUP(BD102,CENY!$B$11:$G$1054,2,FALSE)</f>
        <v>Quadro You - Push to open Silent; &lt;10kg</v>
      </c>
      <c r="BF102" s="22">
        <f>VLOOKUP(BD102,CENY!$B$11:$G$1054,3,FALSE)</f>
        <v>1</v>
      </c>
      <c r="BG102" s="22"/>
      <c r="BH102" s="23">
        <f>AY63</f>
        <v>0</v>
      </c>
      <c r="BI102" s="326">
        <f t="shared" si="41"/>
        <v>0</v>
      </c>
      <c r="BJ102" s="95">
        <f>VLOOKUP(BD102,CENY!$B$11:$M$2025,12,FALSE)</f>
        <v>480.50922000000003</v>
      </c>
      <c r="BK102" s="95">
        <f t="shared" si="42"/>
        <v>0</v>
      </c>
    </row>
    <row r="103" spans="1:63">
      <c r="A103" s="577"/>
      <c r="AU103" s="22">
        <f>(AU99-1)*4+SUM(O81:AJ81)</f>
        <v>-4</v>
      </c>
      <c r="AV103" s="21" t="s">
        <v>358</v>
      </c>
      <c r="AW103" s="22"/>
      <c r="AX103" s="22"/>
      <c r="AY103" s="23"/>
      <c r="AZ103" s="326" t="str">
        <f t="shared" si="45"/>
        <v/>
      </c>
      <c r="BA103" s="95"/>
      <c r="BB103" s="95" t="str">
        <f t="shared" si="39"/>
        <v/>
      </c>
      <c r="BD103" s="319">
        <f>OBJ!B330</f>
        <v>9257895</v>
      </c>
      <c r="BE103" s="21" t="str">
        <f>VLOOKUP(BD103,CENY!$B$11:$G$1054,2,FALSE)</f>
        <v>Quadro You - Push to open Silent; 8-20kg</v>
      </c>
      <c r="BF103" s="22">
        <f>VLOOKUP(BD103,CENY!$B$11:$G$1054,3,FALSE)</f>
        <v>1</v>
      </c>
      <c r="BG103" s="22"/>
      <c r="BH103" s="23">
        <f>AY64</f>
        <v>0</v>
      </c>
      <c r="BI103" s="326">
        <f t="shared" si="41"/>
        <v>0</v>
      </c>
      <c r="BJ103" s="95">
        <f>VLOOKUP(BD103,CENY!$B$11:$M$2025,12,FALSE)</f>
        <v>480.50922000000003</v>
      </c>
      <c r="BK103" s="95">
        <f t="shared" si="42"/>
        <v>0</v>
      </c>
    </row>
    <row r="104" spans="1:63">
      <c r="A104" s="577"/>
      <c r="AU104" s="20"/>
      <c r="AV104" s="21"/>
      <c r="AW104" s="22"/>
      <c r="AX104" s="22"/>
      <c r="AY104" s="23"/>
      <c r="AZ104" s="326" t="str">
        <f t="shared" si="40"/>
        <v/>
      </c>
      <c r="BA104" s="95"/>
      <c r="BB104" s="95" t="str">
        <f t="shared" si="39"/>
        <v/>
      </c>
      <c r="BD104" s="319">
        <f>OBJ!B331</f>
        <v>9257896</v>
      </c>
      <c r="BE104" s="21" t="str">
        <f>VLOOKUP(BD104,CENY!$B$11:$G$1054,2,FALSE)</f>
        <v>Quadro You - Push to open Silent; 10-30kg</v>
      </c>
      <c r="BF104" s="22">
        <f>VLOOKUP(BD104,CENY!$B$11:$G$1054,3,FALSE)</f>
        <v>1</v>
      </c>
      <c r="BG104" s="22"/>
      <c r="BH104" s="23">
        <f>AY65</f>
        <v>0</v>
      </c>
      <c r="BI104" s="326">
        <f t="shared" si="41"/>
        <v>0</v>
      </c>
      <c r="BJ104" s="95">
        <f>VLOOKUP(BD104,CENY!$B$11:$M$2025,12,FALSE)</f>
        <v>480.50922000000003</v>
      </c>
      <c r="BK104" s="95">
        <f t="shared" si="42"/>
        <v>0</v>
      </c>
    </row>
    <row r="105" spans="1:63">
      <c r="A105" s="577"/>
      <c r="AU105" s="20"/>
      <c r="AV105" s="21"/>
      <c r="AW105" s="22"/>
      <c r="AX105" s="22"/>
      <c r="AY105" s="23"/>
      <c r="AZ105" s="326" t="str">
        <f t="shared" si="40"/>
        <v/>
      </c>
      <c r="BA105" s="95"/>
      <c r="BB105" s="95" t="str">
        <f t="shared" si="39"/>
        <v/>
      </c>
      <c r="BD105" s="319"/>
      <c r="BE105" s="21"/>
      <c r="BF105" s="22"/>
      <c r="BG105" s="22"/>
      <c r="BH105" s="23"/>
      <c r="BI105" s="326" t="str">
        <f t="shared" si="41"/>
        <v/>
      </c>
      <c r="BJ105" s="95"/>
      <c r="BK105" s="95" t="str">
        <f t="shared" si="42"/>
        <v/>
      </c>
    </row>
    <row r="106" spans="1:63">
      <c r="AU106" s="20"/>
      <c r="AV106" s="21"/>
      <c r="AW106" s="22"/>
      <c r="AX106" s="22"/>
      <c r="AY106" s="23"/>
      <c r="AZ106" s="326" t="str">
        <f t="shared" si="40"/>
        <v/>
      </c>
      <c r="BA106" s="95"/>
      <c r="BB106" s="95" t="str">
        <f t="shared" si="39"/>
        <v/>
      </c>
      <c r="BD106" s="319">
        <f>OBJ!B341</f>
        <v>9256899</v>
      </c>
      <c r="BE106" s="21" t="str">
        <f>VLOOKUP(BD106,CENY!$B$11:$G$1054,2,FALSE)</f>
        <v>Quadro You(M) 270/P2O 20kg; EB21; ľavý</v>
      </c>
      <c r="BF106" s="22">
        <f>VLOOKUP(BD106,CENY!$B$11:$G$1054,3,FALSE)</f>
        <v>20</v>
      </c>
      <c r="BG106" s="22"/>
      <c r="BH106" s="23">
        <f>AY67</f>
        <v>0</v>
      </c>
      <c r="BI106" s="326">
        <f t="shared" ref="BI106:BI107" si="46">IF(BH106="","",IF($AW$4=0,BH106,0))</f>
        <v>0</v>
      </c>
      <c r="BJ106" s="95">
        <f>VLOOKUP(BD106,CENY!$B$11:$M$2025,12,FALSE)</f>
        <v>252.8922</v>
      </c>
      <c r="BK106" s="95">
        <f t="shared" ref="BK106:BK107" si="47">IF(BJ106="","",BJ106*BH106)</f>
        <v>0</v>
      </c>
    </row>
    <row r="107" spans="1:63">
      <c r="AU107" s="20"/>
      <c r="AV107" s="21"/>
      <c r="AW107" s="22"/>
      <c r="AX107" s="22"/>
      <c r="AY107" s="23"/>
      <c r="AZ107" s="326" t="str">
        <f t="shared" si="40"/>
        <v/>
      </c>
      <c r="BA107" s="95"/>
      <c r="BB107" s="95" t="str">
        <f t="shared" si="39"/>
        <v/>
      </c>
      <c r="BD107" s="319">
        <f>OBJ!B342</f>
        <v>9256900</v>
      </c>
      <c r="BE107" s="21" t="str">
        <f>VLOOKUP(BD107,CENY!$B$11:$G$1054,2,FALSE)</f>
        <v>Quadro You(M) 270/P2O 20kg; EB21; pravý</v>
      </c>
      <c r="BF107" s="22">
        <f>VLOOKUP(BD107,CENY!$B$11:$G$1054,3,FALSE)</f>
        <v>20</v>
      </c>
      <c r="BG107" s="22"/>
      <c r="BH107" s="23">
        <f>AY67</f>
        <v>0</v>
      </c>
      <c r="BI107" s="326">
        <f t="shared" si="46"/>
        <v>0</v>
      </c>
      <c r="BJ107" s="95">
        <f>VLOOKUP(BD107,CENY!$B$11:$M$2025,12,FALSE)</f>
        <v>252.8922</v>
      </c>
      <c r="BK107" s="95">
        <f t="shared" si="47"/>
        <v>0</v>
      </c>
    </row>
    <row r="108" spans="1:63">
      <c r="AU108" s="20"/>
      <c r="AV108" s="21"/>
      <c r="AW108" s="22"/>
      <c r="AX108" s="22"/>
      <c r="AY108" s="23"/>
      <c r="AZ108" s="326" t="str">
        <f t="shared" si="40"/>
        <v/>
      </c>
      <c r="BA108" s="95"/>
      <c r="BB108" s="95" t="str">
        <f t="shared" si="39"/>
        <v/>
      </c>
      <c r="BD108" s="319">
        <f>OBJ!B343</f>
        <v>9256901</v>
      </c>
      <c r="BE108" s="21" t="str">
        <f>VLOOKUP(BD108,CENY!$B$11:$G$1054,2,FALSE)</f>
        <v>Quadro You(M) 300/P2O 20kg; EB21; ľavý</v>
      </c>
      <c r="BF108" s="22">
        <f>VLOOKUP(BD108,CENY!$B$11:$G$1054,3,FALSE)</f>
        <v>20</v>
      </c>
      <c r="BG108" s="22"/>
      <c r="BH108" s="23">
        <f>AY68</f>
        <v>0</v>
      </c>
      <c r="BI108" s="326">
        <f t="shared" si="41"/>
        <v>0</v>
      </c>
      <c r="BJ108" s="95">
        <f>VLOOKUP(BD108,CENY!$B$11:$M$2025,12,FALSE)</f>
        <v>253.36837</v>
      </c>
      <c r="BK108" s="95">
        <f t="shared" si="42"/>
        <v>0</v>
      </c>
    </row>
    <row r="109" spans="1:63">
      <c r="AU109" s="20"/>
      <c r="AV109" s="21"/>
      <c r="AW109" s="22"/>
      <c r="AX109" s="22"/>
      <c r="AY109" s="23"/>
      <c r="AZ109" s="326" t="str">
        <f t="shared" si="40"/>
        <v/>
      </c>
      <c r="BA109" s="95"/>
      <c r="BB109" s="95" t="str">
        <f t="shared" si="39"/>
        <v/>
      </c>
      <c r="BD109" s="319">
        <f>OBJ!B344</f>
        <v>9256902</v>
      </c>
      <c r="BE109" s="21" t="str">
        <f>VLOOKUP(BD109,CENY!$B$11:$G$1054,2,FALSE)</f>
        <v>Quadro You(M) 300/P2O 20kg; EB21; pravý</v>
      </c>
      <c r="BF109" s="22">
        <f>VLOOKUP(BD109,CENY!$B$11:$G$1054,3,FALSE)</f>
        <v>20</v>
      </c>
      <c r="BG109" s="22"/>
      <c r="BH109" s="23">
        <f>AY68</f>
        <v>0</v>
      </c>
      <c r="BI109" s="326">
        <f t="shared" si="41"/>
        <v>0</v>
      </c>
      <c r="BJ109" s="95">
        <f>VLOOKUP(BD109,CENY!$B$11:$M$2025,12,FALSE)</f>
        <v>253.36837</v>
      </c>
      <c r="BK109" s="95">
        <f t="shared" si="42"/>
        <v>0</v>
      </c>
    </row>
    <row r="110" spans="1:63">
      <c r="AU110" s="20"/>
      <c r="AV110" s="21"/>
      <c r="AW110" s="22"/>
      <c r="AX110" s="22"/>
      <c r="AY110" s="23"/>
      <c r="AZ110" s="326" t="str">
        <f t="shared" si="40"/>
        <v/>
      </c>
      <c r="BA110" s="95"/>
      <c r="BB110" s="95" t="str">
        <f t="shared" si="39"/>
        <v/>
      </c>
      <c r="BD110" s="319">
        <f>OBJ!B345</f>
        <v>9256905</v>
      </c>
      <c r="BE110" s="21" t="str">
        <f>VLOOKUP(BD110,CENY!$B$11:$G$1054,2,FALSE)</f>
        <v>Quadro You(M) 350/P2O 25kg; EB21; ľavý</v>
      </c>
      <c r="BF110" s="22">
        <f>VLOOKUP(BD110,CENY!$B$11:$G$1054,3,FALSE)</f>
        <v>20</v>
      </c>
      <c r="BG110" s="22"/>
      <c r="BH110" s="23">
        <f>AY69</f>
        <v>0</v>
      </c>
      <c r="BI110" s="326">
        <f t="shared" si="41"/>
        <v>0</v>
      </c>
      <c r="BJ110" s="95">
        <f>VLOOKUP(BD110,CENY!$B$11:$M$2025,12,FALSE)</f>
        <v>258.22465999999997</v>
      </c>
      <c r="BK110" s="95">
        <f t="shared" si="42"/>
        <v>0</v>
      </c>
    </row>
    <row r="111" spans="1:63">
      <c r="AU111" s="20"/>
      <c r="AV111" s="21"/>
      <c r="AW111" s="22"/>
      <c r="AX111" s="22"/>
      <c r="AY111" s="23"/>
      <c r="AZ111" s="326" t="str">
        <f t="shared" si="40"/>
        <v/>
      </c>
      <c r="BA111" s="95"/>
      <c r="BB111" s="95" t="str">
        <f t="shared" si="39"/>
        <v/>
      </c>
      <c r="BD111" s="319">
        <f>OBJ!B346</f>
        <v>9256906</v>
      </c>
      <c r="BE111" s="21" t="str">
        <f>VLOOKUP(BD111,CENY!$B$11:$G$1054,2,FALSE)</f>
        <v>Quadro You(M) 350/P2O 25kg; EB21; pravý</v>
      </c>
      <c r="BF111" s="22">
        <f>VLOOKUP(BD111,CENY!$B$11:$G$1054,3,FALSE)</f>
        <v>20</v>
      </c>
      <c r="BG111" s="22"/>
      <c r="BH111" s="23">
        <f>AY69</f>
        <v>0</v>
      </c>
      <c r="BI111" s="326">
        <f t="shared" si="41"/>
        <v>0</v>
      </c>
      <c r="BJ111" s="95">
        <f>VLOOKUP(BD111,CENY!$B$11:$M$2025,12,FALSE)</f>
        <v>258.22465999999997</v>
      </c>
      <c r="BK111" s="95">
        <f t="shared" si="42"/>
        <v>0</v>
      </c>
    </row>
    <row r="112" spans="1:63">
      <c r="AU112" s="20"/>
      <c r="AV112" s="21"/>
      <c r="AW112" s="22"/>
      <c r="AX112" s="22"/>
      <c r="AY112" s="23"/>
      <c r="AZ112" s="326" t="str">
        <f t="shared" si="40"/>
        <v/>
      </c>
      <c r="BA112" s="95"/>
      <c r="BB112" s="95" t="str">
        <f t="shared" si="39"/>
        <v/>
      </c>
      <c r="BD112" s="319">
        <f>OBJ!B347</f>
        <v>9256909</v>
      </c>
      <c r="BE112" s="21" t="str">
        <f>VLOOKUP(BD112,CENY!$B$11:$G$1054,2,FALSE)</f>
        <v>Quadro You(M) 400/P2O 30kg; EB21; ľavý</v>
      </c>
      <c r="BF112" s="22">
        <f>VLOOKUP(BD112,CENY!$B$11:$G$1054,3,FALSE)</f>
        <v>20</v>
      </c>
      <c r="BG112" s="22"/>
      <c r="BH112" s="23">
        <f>AY70</f>
        <v>0</v>
      </c>
      <c r="BI112" s="326">
        <f t="shared" si="41"/>
        <v>0</v>
      </c>
      <c r="BJ112" s="95">
        <f>VLOOKUP(BD112,CENY!$B$11:$M$2025,12,FALSE)</f>
        <v>263.07337999999999</v>
      </c>
      <c r="BK112" s="95">
        <f t="shared" si="42"/>
        <v>0</v>
      </c>
    </row>
    <row r="113" spans="47:63">
      <c r="AU113" s="20"/>
      <c r="AV113" s="21"/>
      <c r="AW113" s="22"/>
      <c r="AX113" s="22"/>
      <c r="AY113" s="23"/>
      <c r="AZ113" s="326" t="str">
        <f t="shared" si="40"/>
        <v/>
      </c>
      <c r="BA113" s="95"/>
      <c r="BB113" s="95" t="str">
        <f t="shared" si="39"/>
        <v/>
      </c>
      <c r="BD113" s="319">
        <f>OBJ!B348</f>
        <v>9256910</v>
      </c>
      <c r="BE113" s="21" t="str">
        <f>VLOOKUP(BD113,CENY!$B$11:$G$1054,2,FALSE)</f>
        <v>Quadro You(M) 400/P2O 30kg; EB21; pravý</v>
      </c>
      <c r="BF113" s="22">
        <f>VLOOKUP(BD113,CENY!$B$11:$G$1054,3,FALSE)</f>
        <v>20</v>
      </c>
      <c r="BG113" s="22"/>
      <c r="BH113" s="23">
        <f>AY70</f>
        <v>0</v>
      </c>
      <c r="BI113" s="326">
        <f t="shared" si="41"/>
        <v>0</v>
      </c>
      <c r="BJ113" s="95">
        <f>VLOOKUP(BD113,CENY!$B$11:$M$2025,12,FALSE)</f>
        <v>263.07337999999999</v>
      </c>
      <c r="BK113" s="95">
        <f t="shared" si="42"/>
        <v>0</v>
      </c>
    </row>
    <row r="114" spans="47:63">
      <c r="AU114" s="20"/>
      <c r="AV114" s="21"/>
      <c r="AW114" s="22"/>
      <c r="AX114" s="22"/>
      <c r="AY114" s="23"/>
      <c r="AZ114" s="326" t="str">
        <f t="shared" si="40"/>
        <v/>
      </c>
      <c r="BA114" s="95"/>
      <c r="BB114" s="95" t="str">
        <f t="shared" si="39"/>
        <v/>
      </c>
      <c r="BD114" s="319">
        <f>OBJ!B349</f>
        <v>9256913</v>
      </c>
      <c r="BE114" s="21" t="str">
        <f>VLOOKUP(BD114,CENY!$B$11:$G$1054,2,FALSE)</f>
        <v>Quadro You(M) 450/P2O 30kg; EB21; ľavý</v>
      </c>
      <c r="BF114" s="22">
        <f>VLOOKUP(BD114,CENY!$B$11:$G$1054,3,FALSE)</f>
        <v>20</v>
      </c>
      <c r="BG114" s="22"/>
      <c r="BH114" s="23">
        <f>AY71</f>
        <v>0</v>
      </c>
      <c r="BI114" s="326">
        <f t="shared" si="41"/>
        <v>0</v>
      </c>
      <c r="BJ114" s="95">
        <f>VLOOKUP(BD114,CENY!$B$11:$M$2025,12,FALSE)</f>
        <v>267.92221999999998</v>
      </c>
      <c r="BK114" s="95">
        <f t="shared" si="42"/>
        <v>0</v>
      </c>
    </row>
    <row r="115" spans="47:63">
      <c r="AU115" s="20"/>
      <c r="AV115" s="21"/>
      <c r="AW115" s="22"/>
      <c r="AX115" s="22"/>
      <c r="AY115" s="23"/>
      <c r="AZ115" s="326" t="str">
        <f t="shared" si="40"/>
        <v/>
      </c>
      <c r="BA115" s="95"/>
      <c r="BB115" s="95" t="str">
        <f t="shared" si="39"/>
        <v/>
      </c>
      <c r="BD115" s="319">
        <f>OBJ!B350</f>
        <v>9256914</v>
      </c>
      <c r="BE115" s="21" t="str">
        <f>VLOOKUP(BD115,CENY!$B$11:$G$1054,2,FALSE)</f>
        <v>Quadro You(M) 450/P2O 30kg; EB21; pravý</v>
      </c>
      <c r="BF115" s="22">
        <f>VLOOKUP(BD115,CENY!$B$11:$G$1054,3,FALSE)</f>
        <v>20</v>
      </c>
      <c r="BG115" s="22"/>
      <c r="BH115" s="23">
        <f>AY71</f>
        <v>0</v>
      </c>
      <c r="BI115" s="326">
        <f t="shared" si="41"/>
        <v>0</v>
      </c>
      <c r="BJ115" s="95">
        <f>VLOOKUP(BD115,CENY!$B$11:$M$2025,12,FALSE)</f>
        <v>267.92221999999998</v>
      </c>
      <c r="BK115" s="95">
        <f t="shared" si="42"/>
        <v>0</v>
      </c>
    </row>
    <row r="116" spans="47:63">
      <c r="AU116" s="20"/>
      <c r="AV116" s="21"/>
      <c r="AW116" s="22"/>
      <c r="AX116" s="22"/>
      <c r="AY116" s="23"/>
      <c r="AZ116" s="326" t="str">
        <f t="shared" si="40"/>
        <v/>
      </c>
      <c r="BA116" s="95"/>
      <c r="BB116" s="95" t="str">
        <f t="shared" si="39"/>
        <v/>
      </c>
      <c r="BD116" s="319">
        <f>OBJ!B351</f>
        <v>9256917</v>
      </c>
      <c r="BE116" s="21" t="str">
        <f>VLOOKUP(BD116,CENY!$B$11:$G$1054,2,FALSE)</f>
        <v>Quadro You(M) 500/P2O 30kg; EB21; ľavý</v>
      </c>
      <c r="BF116" s="22">
        <f>VLOOKUP(BD116,CENY!$B$11:$G$1054,3,FALSE)</f>
        <v>20</v>
      </c>
      <c r="BG116" s="22"/>
      <c r="BH116" s="23">
        <f>AY72</f>
        <v>0</v>
      </c>
      <c r="BI116" s="326">
        <f t="shared" si="41"/>
        <v>0</v>
      </c>
      <c r="BJ116" s="95">
        <f>VLOOKUP(BD116,CENY!$B$11:$M$2025,12,FALSE)</f>
        <v>265.52375999999998</v>
      </c>
      <c r="BK116" s="95">
        <f t="shared" si="42"/>
        <v>0</v>
      </c>
    </row>
    <row r="117" spans="47:63">
      <c r="AU117" s="20"/>
      <c r="AV117" s="21"/>
      <c r="AW117" s="22"/>
      <c r="AX117" s="22"/>
      <c r="AY117" s="23"/>
      <c r="AZ117" s="326" t="str">
        <f t="shared" si="40"/>
        <v/>
      </c>
      <c r="BA117" s="95"/>
      <c r="BB117" s="95" t="str">
        <f t="shared" si="39"/>
        <v/>
      </c>
      <c r="BD117" s="319">
        <f>OBJ!B352</f>
        <v>9256918</v>
      </c>
      <c r="BE117" s="21" t="str">
        <f>VLOOKUP(BD117,CENY!$B$11:$G$1054,2,FALSE)</f>
        <v>Quadro You(M) 500/P2O 30kg; EB21; pravý</v>
      </c>
      <c r="BF117" s="22">
        <f>VLOOKUP(BD117,CENY!$B$11:$G$1054,3,FALSE)</f>
        <v>20</v>
      </c>
      <c r="BG117" s="22"/>
      <c r="BH117" s="23">
        <f>AY72</f>
        <v>0</v>
      </c>
      <c r="BI117" s="326">
        <f t="shared" si="41"/>
        <v>0</v>
      </c>
      <c r="BJ117" s="95">
        <f>VLOOKUP(BD117,CENY!$B$11:$M$2025,12,FALSE)</f>
        <v>265.52375999999998</v>
      </c>
      <c r="BK117" s="95">
        <f t="shared" si="42"/>
        <v>0</v>
      </c>
    </row>
    <row r="118" spans="47:63">
      <c r="AU118" s="20"/>
      <c r="AV118" s="21"/>
      <c r="AW118" s="22"/>
      <c r="AX118" s="22"/>
      <c r="AY118" s="23"/>
      <c r="AZ118" s="326" t="str">
        <f t="shared" si="40"/>
        <v/>
      </c>
      <c r="BA118" s="95"/>
      <c r="BB118" s="95" t="str">
        <f t="shared" si="39"/>
        <v/>
      </c>
      <c r="BD118" s="319">
        <f>OBJ!B353</f>
        <v>9256921</v>
      </c>
      <c r="BE118" s="21" t="str">
        <f>VLOOKUP(BD118,CENY!$B$11:$G$1054,2,FALSE)</f>
        <v>Quadro You(M) 550/P2O 30kg; EB21; ľavý</v>
      </c>
      <c r="BF118" s="22">
        <f>VLOOKUP(BD118,CENY!$B$11:$G$1054,3,FALSE)</f>
        <v>20</v>
      </c>
      <c r="BG118" s="22"/>
      <c r="BH118" s="23">
        <f>AY73</f>
        <v>0</v>
      </c>
      <c r="BI118" s="326">
        <f t="shared" si="41"/>
        <v>0</v>
      </c>
      <c r="BJ118" s="95">
        <f>VLOOKUP(BD118,CENY!$B$11:$M$2025,12,FALSE)</f>
        <v>270.22431</v>
      </c>
      <c r="BK118" s="95">
        <f t="shared" si="42"/>
        <v>0</v>
      </c>
    </row>
    <row r="119" spans="47:63">
      <c r="AU119" s="20"/>
      <c r="AV119" s="21"/>
      <c r="AW119" s="22"/>
      <c r="AX119" s="22"/>
      <c r="AY119" s="23"/>
      <c r="AZ119" s="326" t="str">
        <f t="shared" si="40"/>
        <v/>
      </c>
      <c r="BA119" s="95"/>
      <c r="BB119" s="95" t="str">
        <f t="shared" si="39"/>
        <v/>
      </c>
      <c r="BD119" s="319">
        <f>OBJ!B354</f>
        <v>9256922</v>
      </c>
      <c r="BE119" s="21" t="str">
        <f>VLOOKUP(BD119,CENY!$B$11:$G$1054,2,FALSE)</f>
        <v>Quadro You(M) 550/P2O 30kg; EB21; pravý</v>
      </c>
      <c r="BF119" s="22">
        <f>VLOOKUP(BD119,CENY!$B$11:$G$1054,3,FALSE)</f>
        <v>20</v>
      </c>
      <c r="BG119" s="22"/>
      <c r="BH119" s="23">
        <f>AY73</f>
        <v>0</v>
      </c>
      <c r="BI119" s="326">
        <f t="shared" si="41"/>
        <v>0</v>
      </c>
      <c r="BJ119" s="95">
        <f>VLOOKUP(BD119,CENY!$B$11:$M$2025,12,FALSE)</f>
        <v>277.60748999999998</v>
      </c>
      <c r="BK119" s="95">
        <f t="shared" si="42"/>
        <v>0</v>
      </c>
    </row>
    <row r="120" spans="47:63">
      <c r="AU120" s="20"/>
      <c r="AV120" s="21"/>
      <c r="AW120" s="22"/>
      <c r="AX120" s="22"/>
      <c r="AY120" s="23"/>
      <c r="AZ120" s="326" t="str">
        <f t="shared" si="40"/>
        <v/>
      </c>
      <c r="BA120" s="95"/>
      <c r="BB120" s="95" t="str">
        <f t="shared" si="39"/>
        <v/>
      </c>
      <c r="BD120" s="319">
        <f>OBJ!B355</f>
        <v>9256925</v>
      </c>
      <c r="BE120" s="21" t="str">
        <f>VLOOKUP(BD120,CENY!$B$11:$G$1054,2,FALSE)</f>
        <v>Quadro You(M) 600/P2O 25kg; EB21; ľavý</v>
      </c>
      <c r="BF120" s="22">
        <f>VLOOKUP(BD120,CENY!$B$11:$G$1054,3,FALSE)</f>
        <v>20</v>
      </c>
      <c r="BG120" s="22"/>
      <c r="BH120" s="23">
        <f>AY74</f>
        <v>0</v>
      </c>
      <c r="BI120" s="326">
        <f t="shared" si="41"/>
        <v>0</v>
      </c>
      <c r="BJ120" s="95">
        <f>VLOOKUP(BD120,CENY!$B$11:$M$2025,12,FALSE)</f>
        <v>282.45375999999999</v>
      </c>
      <c r="BK120" s="95">
        <f t="shared" si="42"/>
        <v>0</v>
      </c>
    </row>
    <row r="121" spans="47:63">
      <c r="AU121" s="20"/>
      <c r="AV121" s="21"/>
      <c r="AW121" s="22"/>
      <c r="AX121" s="22"/>
      <c r="AY121" s="23"/>
      <c r="AZ121" s="326" t="str">
        <f t="shared" si="40"/>
        <v/>
      </c>
      <c r="BA121" s="95"/>
      <c r="BB121" s="95" t="str">
        <f t="shared" si="39"/>
        <v/>
      </c>
      <c r="BD121" s="319">
        <f>OBJ!B356</f>
        <v>9256926</v>
      </c>
      <c r="BE121" s="21" t="str">
        <f>VLOOKUP(BD121,CENY!$B$11:$G$1054,2,FALSE)</f>
        <v>Quadro You(M) 600/P2O 25kg; EB21; pravý</v>
      </c>
      <c r="BF121" s="22">
        <f>VLOOKUP(BD121,CENY!$B$11:$G$1054,3,FALSE)</f>
        <v>20</v>
      </c>
      <c r="BG121" s="22"/>
      <c r="BH121" s="23">
        <f>AY74</f>
        <v>0</v>
      </c>
      <c r="BI121" s="326">
        <f t="shared" si="41"/>
        <v>0</v>
      </c>
      <c r="BJ121" s="95">
        <f>VLOOKUP(BD121,CENY!$B$11:$M$2025,12,FALSE)</f>
        <v>282.45375999999999</v>
      </c>
      <c r="BK121" s="95">
        <f t="shared" si="42"/>
        <v>0</v>
      </c>
    </row>
    <row r="122" spans="47:63">
      <c r="AU122" s="20"/>
      <c r="AV122" s="21"/>
      <c r="AW122" s="22"/>
      <c r="AX122" s="22"/>
      <c r="AY122" s="23"/>
      <c r="AZ122" s="326" t="str">
        <f t="shared" si="40"/>
        <v/>
      </c>
      <c r="BA122" s="95"/>
      <c r="BB122" s="95" t="str">
        <f t="shared" si="39"/>
        <v/>
      </c>
      <c r="BD122" s="319"/>
      <c r="BE122" s="21"/>
      <c r="BF122" s="22"/>
      <c r="BG122" s="22"/>
      <c r="BH122" s="23"/>
      <c r="BI122" s="326" t="str">
        <f t="shared" si="41"/>
        <v/>
      </c>
      <c r="BJ122" s="95"/>
      <c r="BK122" s="95" t="str">
        <f t="shared" si="42"/>
        <v/>
      </c>
    </row>
    <row r="123" spans="47:63">
      <c r="AU123" s="20"/>
      <c r="AV123" s="21"/>
      <c r="AW123" s="22"/>
      <c r="AX123" s="22"/>
      <c r="AY123" s="23"/>
      <c r="AZ123" s="326" t="str">
        <f t="shared" si="40"/>
        <v/>
      </c>
      <c r="BA123" s="95"/>
      <c r="BB123" s="95" t="str">
        <f t="shared" si="39"/>
        <v/>
      </c>
      <c r="BD123" s="319">
        <f>OBJ!B358</f>
        <v>9219966</v>
      </c>
      <c r="BE123" s="21" t="str">
        <f>VLOOKUP(BD123,CENY!$B$11:$G$1054,2,FALSE)</f>
        <v>Push to open Synchro / adaptér typ A</v>
      </c>
      <c r="BF123" s="22">
        <f>VLOOKUP(BD123,CENY!$B$11:$G$1054,3,FALSE)</f>
        <v>200</v>
      </c>
      <c r="BG123" s="22"/>
      <c r="BH123" s="23">
        <f>AY76</f>
        <v>0</v>
      </c>
      <c r="BI123" s="326">
        <f t="shared" si="41"/>
        <v>0</v>
      </c>
      <c r="BJ123" s="95">
        <f>VLOOKUP(BD123,CENY!$B$11:$M$2025,12,FALSE)</f>
        <v>16.488900000000001</v>
      </c>
      <c r="BK123" s="95">
        <f t="shared" si="42"/>
        <v>0</v>
      </c>
    </row>
    <row r="124" spans="47:63">
      <c r="AU124" s="20"/>
      <c r="AV124" s="21"/>
      <c r="AW124" s="22"/>
      <c r="AX124" s="22"/>
      <c r="AY124" s="23"/>
      <c r="AZ124" s="326" t="str">
        <f t="shared" si="40"/>
        <v/>
      </c>
      <c r="BA124" s="95"/>
      <c r="BB124" s="95" t="str">
        <f t="shared" si="39"/>
        <v/>
      </c>
      <c r="BD124" s="319"/>
      <c r="BE124" s="21"/>
      <c r="BF124" s="22"/>
      <c r="BG124" s="22"/>
      <c r="BH124" s="23"/>
      <c r="BI124" s="326" t="str">
        <f t="shared" si="41"/>
        <v/>
      </c>
      <c r="BJ124" s="95"/>
      <c r="BK124" s="95" t="str">
        <f t="shared" si="42"/>
        <v/>
      </c>
    </row>
    <row r="125" spans="47:63">
      <c r="AU125" s="319">
        <f>OBJ!B361</f>
        <v>45167</v>
      </c>
      <c r="AV125" s="21" t="str">
        <f>VLOOKUP(AU125,CENY!$B$11:$G$1054,2,FALSE)</f>
        <v>Skrutka s polgul.hlavou 3,5x12mm</v>
      </c>
      <c r="AW125" s="22">
        <f>VLOOKUP(AU125,CENY!$B$11:$G$1054,3,FALSE)</f>
        <v>200</v>
      </c>
      <c r="AX125" s="22"/>
      <c r="AY125" s="23">
        <f>SUMPRODUCT(AX5:AX13,AY5:AY13)</f>
        <v>0</v>
      </c>
      <c r="AZ125" s="326">
        <f>IF(AY125="","",IF($AW$4=1,AY125,0))</f>
        <v>0</v>
      </c>
      <c r="BA125" s="95">
        <f>VLOOKUP(AU125,CENY!$B$11:$M$2025,12,FALSE)</f>
        <v>0.84719999999999995</v>
      </c>
      <c r="BB125" s="95">
        <f>IF(BA125="","",BA125*AY125)</f>
        <v>0</v>
      </c>
      <c r="BC125" s="86" t="s">
        <v>396</v>
      </c>
      <c r="BD125" s="319">
        <f>OBJ!B214</f>
        <v>0</v>
      </c>
      <c r="BE125" s="21" t="e">
        <f>VLOOKUP(BD125,CENY!$B$11:$G$1054,2,FALSE)</f>
        <v>#N/A</v>
      </c>
      <c r="BF125" s="22" t="e">
        <f>VLOOKUP(BD125,CENY!$B$11:$G$1054,3,FALSE)</f>
        <v>#N/A</v>
      </c>
      <c r="BG125" s="22"/>
      <c r="BH125" s="23">
        <f>AY80</f>
        <v>0</v>
      </c>
      <c r="BI125" s="326">
        <f t="shared" si="41"/>
        <v>0</v>
      </c>
      <c r="BJ125" s="324" t="str">
        <f>IF(BD125=0,"",VLOOKUP(BD125,CENY!$B$11:$M$2025,12,FALSE))</f>
        <v/>
      </c>
      <c r="BK125" s="95" t="str">
        <f t="shared" si="42"/>
        <v/>
      </c>
    </row>
    <row r="126" spans="47:63">
      <c r="AU126" s="319">
        <f>OBJ!B362</f>
        <v>45168</v>
      </c>
      <c r="AV126" s="21" t="str">
        <f>VLOOKUP(AU126,CENY!$B$11:$G$1054,2,FALSE)</f>
        <v>Skrutka s polgul.hlavou 3,5x20mm</v>
      </c>
      <c r="AW126" s="22">
        <f>VLOOKUP(AU126,CENY!$B$11:$G$1054,3,FALSE)</f>
        <v>200</v>
      </c>
      <c r="AX126" s="22"/>
      <c r="AY126" s="360">
        <v>0</v>
      </c>
      <c r="AZ126" s="326">
        <f>IF(AY126="","",IF($AW$4=1,AY126,0))</f>
        <v>0</v>
      </c>
      <c r="BA126" s="95">
        <f>VLOOKUP(AU126,CENY!$B$11:$M$2025,12,FALSE)</f>
        <v>1.2154199999999999</v>
      </c>
      <c r="BB126" s="95">
        <f>IF(BA126="","",BA126*AY126)</f>
        <v>0</v>
      </c>
      <c r="BC126" s="86" t="s">
        <v>397</v>
      </c>
      <c r="BD126" s="319"/>
      <c r="BE126" s="21"/>
      <c r="BF126" s="22"/>
      <c r="BG126" s="22"/>
      <c r="BH126" s="23"/>
      <c r="BI126" s="326" t="str">
        <f t="shared" si="41"/>
        <v/>
      </c>
      <c r="BJ126" s="95"/>
      <c r="BK126" s="95" t="str">
        <f t="shared" si="42"/>
        <v/>
      </c>
    </row>
    <row r="127" spans="47:63">
      <c r="AU127" s="319">
        <f>OBJ!B363</f>
        <v>9278224</v>
      </c>
      <c r="AV127" s="21" t="str">
        <f>VLOOKUP(AU127,CENY!$B$11:$G$1054,2,FALSE)</f>
        <v>Skrutka s polgul.hlavou 3,5x30mm</v>
      </c>
      <c r="AW127" s="22">
        <f>VLOOKUP(AU127,CENY!$B$11:$G$1054,3,FALSE)</f>
        <v>200</v>
      </c>
      <c r="AX127" s="22"/>
      <c r="AY127" s="360">
        <v>0</v>
      </c>
      <c r="AZ127" s="326">
        <f>IF(AY127="","",IF($AW$4=1,AY127,0))</f>
        <v>0</v>
      </c>
      <c r="BA127" s="95">
        <f>VLOOKUP(AU127,CENY!$B$11:$M$2025,12,FALSE)</f>
        <v>0.89337999999999995</v>
      </c>
      <c r="BB127" s="95">
        <f>IF(BA127="","",BA127*AY127)</f>
        <v>0</v>
      </c>
      <c r="BC127" s="86" t="s">
        <v>398</v>
      </c>
      <c r="BD127" s="319"/>
      <c r="BE127" s="21"/>
      <c r="BF127" s="22"/>
      <c r="BG127" s="22"/>
      <c r="BH127" s="23"/>
      <c r="BI127" s="326" t="str">
        <f t="shared" si="41"/>
        <v/>
      </c>
      <c r="BJ127" s="95"/>
      <c r="BK127" s="95" t="str">
        <f t="shared" si="42"/>
        <v/>
      </c>
    </row>
    <row r="128" spans="47:63">
      <c r="AU128" s="319">
        <f>OBJ!B364</f>
        <v>9279197</v>
      </c>
      <c r="AV128" s="21" t="str">
        <f>VLOOKUP(AU128,CENY!$B$11:$G$1054,2,FALSE)</f>
        <v>Skrutka s polgul.hlavou M3,5x12mm</v>
      </c>
      <c r="AW128" s="22">
        <f>VLOOKUP(AU128,CENY!$B$11:$G$1054,3,FALSE)</f>
        <v>1000</v>
      </c>
      <c r="AX128" s="22"/>
      <c r="AY128" s="68">
        <v>0</v>
      </c>
      <c r="AZ128" s="326">
        <f>IF(AY128="","",IF($AW$4=1,AY128,0))</f>
        <v>0</v>
      </c>
      <c r="BA128" s="95">
        <f>VLOOKUP(AU128,CENY!$B$11:$M$2025,12,FALSE)</f>
        <v>0</v>
      </c>
      <c r="BB128" s="95">
        <f>IF(BA128="","",BA128*AY128)</f>
        <v>0</v>
      </c>
      <c r="BC128" s="86" t="s">
        <v>399</v>
      </c>
      <c r="BD128" s="319">
        <f>OBJ!B195</f>
        <v>9257270</v>
      </c>
      <c r="BE128" s="21" t="str">
        <f>VLOOKUP(BD128,CENY!$B$11:$G$1054,2,FALSE)</f>
        <v>AvanY-čelo vnút.zásuvky /v139/d2000/strieb.</v>
      </c>
      <c r="BF128" s="22">
        <f>VLOOKUP(BD128,CENY!$B$11:$G$1054,3,FALSE)</f>
        <v>1</v>
      </c>
      <c r="BG128" s="22"/>
      <c r="BH128" s="23">
        <f>AY93</f>
        <v>0</v>
      </c>
      <c r="BI128" s="326">
        <f>IF(BH128="","",IF($AW$4=0,BH128,0))</f>
        <v>0</v>
      </c>
      <c r="BJ128" s="95">
        <f>VLOOKUP(BD128,CENY!$B$11:$M$2025,12,FALSE)</f>
        <v>1774.2111399999999</v>
      </c>
      <c r="BK128" s="95">
        <f t="shared" si="42"/>
        <v>0</v>
      </c>
    </row>
    <row r="129" spans="47:63">
      <c r="AU129" s="319">
        <f>OBJ!B365</f>
        <v>9137114</v>
      </c>
      <c r="AV129" s="21" t="str">
        <f>VLOOKUP(AU129,CENY!$B$11:$G$1054,2,FALSE)</f>
        <v>EURO-skrutka  6,0x14mm / niklovaná</v>
      </c>
      <c r="AW129" s="22">
        <f>VLOOKUP(AU129,CENY!$B$11:$G$1054,3,FALSE)</f>
        <v>200</v>
      </c>
      <c r="AX129" s="22"/>
      <c r="AY129" s="23">
        <f>SUMPRODUCT(AX25:AX74,AY25:AY74)</f>
        <v>0</v>
      </c>
      <c r="AZ129" s="326">
        <f>IF(AY129="","",IF($AW$4=1,AY129,0))</f>
        <v>0</v>
      </c>
      <c r="BA129" s="95">
        <f>VLOOKUP(AU129,CENY!$B$11:$M$2025,12,FALSE)</f>
        <v>1.8839300000000001</v>
      </c>
      <c r="BB129" s="95">
        <f>IF(BA129="","",BA129*AY129)</f>
        <v>0</v>
      </c>
      <c r="BC129" s="86" t="s">
        <v>400</v>
      </c>
      <c r="BD129" s="319"/>
      <c r="BE129" s="21"/>
      <c r="BF129" s="22"/>
      <c r="BG129" s="22"/>
      <c r="BH129" s="23"/>
      <c r="BI129" s="326"/>
      <c r="BJ129" s="95"/>
      <c r="BK129" s="95" t="str">
        <f t="shared" si="42"/>
        <v/>
      </c>
    </row>
    <row r="130" spans="47:63">
      <c r="AU130" s="20"/>
      <c r="AV130" s="21"/>
      <c r="AW130" s="22"/>
      <c r="AX130" s="22"/>
      <c r="AY130" s="23"/>
      <c r="AZ130" s="326"/>
      <c r="BA130" s="95"/>
      <c r="BB130" s="95"/>
      <c r="BD130" s="319">
        <f>OBJ!B203</f>
        <v>9257641</v>
      </c>
      <c r="BE130" s="21" t="str">
        <f>VLOOKUP(BD130,CENY!$B$11:$G$1054,2,FALSE)</f>
        <v>AvanY-stabilizátor čela vnút.zásuvky</v>
      </c>
      <c r="BF130" s="22">
        <f>VLOOKUP(BD130,CENY!$B$11:$G$1054,3,FALSE)</f>
        <v>100</v>
      </c>
      <c r="BG130" s="22"/>
      <c r="BH130" s="23">
        <f>AY94</f>
        <v>0</v>
      </c>
      <c r="BI130" s="326">
        <f>IF(BH130="","",IF($AW$4=0,BH130,0))</f>
        <v>0</v>
      </c>
      <c r="BJ130" s="95">
        <f>VLOOKUP(BD130,CENY!$B$11:$M$2025,12,FALSE)</f>
        <v>10.840870000000001</v>
      </c>
      <c r="BK130" s="95">
        <f t="shared" si="42"/>
        <v>0</v>
      </c>
    </row>
    <row r="131" spans="47:63">
      <c r="AU131" s="20"/>
      <c r="AV131" s="21"/>
      <c r="AW131" s="22"/>
      <c r="AX131" s="22"/>
      <c r="AY131" s="23"/>
      <c r="AZ131" s="326"/>
      <c r="BA131" s="95"/>
      <c r="BB131" s="95"/>
      <c r="BD131" s="319">
        <f>OBJ!B205</f>
        <v>9257630</v>
      </c>
      <c r="BE131" s="21" t="str">
        <f>VLOOKUP(BD131,CENY!$B$11:$G$1054,2,FALSE)</f>
        <v>AvanY-krytka čela vnút.zás./v139/strieb.</v>
      </c>
      <c r="BF131" s="22">
        <f>VLOOKUP(BD131,CENY!$B$11:$G$1054,3,FALSE)</f>
        <v>200</v>
      </c>
      <c r="BG131" s="22"/>
      <c r="BH131" s="23">
        <f>2*AY94</f>
        <v>0</v>
      </c>
      <c r="BI131" s="326">
        <f>IF(BH131="","",IF($AW$4=0,BH131,0))</f>
        <v>0</v>
      </c>
      <c r="BJ131" s="95">
        <f>VLOOKUP(BD131,CENY!$B$11:$M$2025,12,FALSE)</f>
        <v>6.09389</v>
      </c>
      <c r="BK131" s="95">
        <f t="shared" si="42"/>
        <v>0</v>
      </c>
    </row>
    <row r="132" spans="47:63">
      <c r="AU132" s="20"/>
      <c r="AV132" s="21"/>
      <c r="AW132" s="22"/>
      <c r="AX132" s="22"/>
      <c r="AY132" s="23"/>
      <c r="AZ132" s="326" t="str">
        <f>IF(AY132="","",IF($AW$4=1,AY132,0))</f>
        <v/>
      </c>
      <c r="BA132" s="95"/>
      <c r="BB132" s="95" t="str">
        <f>IF(BA132="","",BA132*AY132)</f>
        <v/>
      </c>
      <c r="BD132" s="319"/>
      <c r="BE132" s="21"/>
      <c r="BF132" s="22"/>
      <c r="BG132" s="22"/>
      <c r="BH132" s="23"/>
      <c r="BI132" s="326" t="str">
        <f t="shared" si="41"/>
        <v/>
      </c>
      <c r="BJ132" s="95"/>
      <c r="BK132" s="95" t="str">
        <f t="shared" si="42"/>
        <v/>
      </c>
    </row>
    <row r="133" spans="47:63">
      <c r="BD133" s="319">
        <f>OBJ!B361</f>
        <v>45167</v>
      </c>
      <c r="BE133" s="21" t="str">
        <f>VLOOKUP(BD133,CENY!$B$11:$G$1054,2,FALSE)</f>
        <v>Skrutka s polgul.hlavou 3,5x12mm</v>
      </c>
      <c r="BF133" s="22">
        <f>VLOOKUP(BD133,CENY!$B$11:$G$1054,3,FALSE)</f>
        <v>200</v>
      </c>
      <c r="BG133" s="22"/>
      <c r="BH133" s="23">
        <f>AY125+BH25*2+BH130</f>
        <v>0</v>
      </c>
      <c r="BI133" s="326">
        <f>IF(BH133="","",IF($AW$4=0,BH133,0))</f>
        <v>0</v>
      </c>
      <c r="BJ133" s="95">
        <f>VLOOKUP(BD133,CENY!$B$11:$M$2025,12,FALSE)</f>
        <v>0.84719999999999995</v>
      </c>
      <c r="BK133" s="95">
        <f>IF(BJ133="","",BJ133*BH133)</f>
        <v>0</v>
      </c>
    </row>
    <row r="134" spans="47:63">
      <c r="BD134" s="319">
        <f>OBJ!B362</f>
        <v>45168</v>
      </c>
      <c r="BE134" s="21" t="str">
        <f>VLOOKUP(BD134,CENY!$B$11:$G$1054,2,FALSE)</f>
        <v>Skrutka s polgul.hlavou 3,5x20mm</v>
      </c>
      <c r="BF134" s="22">
        <f>VLOOKUP(BD134,CENY!$B$11:$G$1054,3,FALSE)</f>
        <v>200</v>
      </c>
      <c r="BG134" s="22"/>
      <c r="BH134" s="360">
        <v>0</v>
      </c>
      <c r="BI134" s="326">
        <f>IF(BH134="","",IF($AW$4=0,BH134,0))</f>
        <v>0</v>
      </c>
      <c r="BJ134" s="95">
        <f>VLOOKUP(BD134,CENY!$B$11:$M$2025,12,FALSE)</f>
        <v>1.2154199999999999</v>
      </c>
      <c r="BK134" s="95">
        <f>IF(BJ134="","",BJ134*BH134)</f>
        <v>0</v>
      </c>
    </row>
    <row r="135" spans="47:63">
      <c r="BD135" s="319">
        <f>OBJ!B363</f>
        <v>9278224</v>
      </c>
      <c r="BE135" s="21" t="str">
        <f>VLOOKUP(BD135,CENY!$B$11:$G$1054,2,FALSE)</f>
        <v>Skrutka s polgul.hlavou 3,5x30mm</v>
      </c>
      <c r="BF135" s="22">
        <f>VLOOKUP(BD135,CENY!$B$11:$G$1054,3,FALSE)</f>
        <v>200</v>
      </c>
      <c r="BG135" s="22"/>
      <c r="BH135" s="360">
        <f>2*SUM(BH5:BH22)</f>
        <v>0</v>
      </c>
      <c r="BI135" s="326">
        <f>IF(BH135="","",IF($AW$4=0,BH135,0))</f>
        <v>0</v>
      </c>
      <c r="BJ135" s="95">
        <f>VLOOKUP(BD135,CENY!$B$11:$M$2025,12,FALSE)</f>
        <v>0.89337999999999995</v>
      </c>
      <c r="BK135" s="95">
        <f>IF(BJ135="","",BJ135*BH135)</f>
        <v>0</v>
      </c>
    </row>
    <row r="136" spans="47:63">
      <c r="BD136" s="319">
        <f>OBJ!B364</f>
        <v>9279197</v>
      </c>
      <c r="BE136" s="21" t="str">
        <f>VLOOKUP(BD136,CENY!$B$11:$G$1054,2,FALSE)</f>
        <v>Skrutka s polgul.hlavou M3,5x12mm</v>
      </c>
      <c r="BF136" s="22">
        <f>VLOOKUP(BD136,CENY!$B$11:$G$1054,3,FALSE)</f>
        <v>1000</v>
      </c>
      <c r="BG136" s="22"/>
      <c r="BH136" s="68">
        <f>3*BH24</f>
        <v>0</v>
      </c>
      <c r="BI136" s="326">
        <f>IF(BH136="","",IF($AW$4=0,BH136,0))</f>
        <v>0</v>
      </c>
      <c r="BJ136" s="95">
        <f>VLOOKUP(BD136,CENY!$B$11:$M$2025,12,FALSE)</f>
        <v>0</v>
      </c>
      <c r="BK136" s="95">
        <f>IF(BJ136="","",BJ136*BH136)</f>
        <v>0</v>
      </c>
    </row>
    <row r="137" spans="47:63">
      <c r="BD137" s="319">
        <f>OBJ!B365</f>
        <v>9137114</v>
      </c>
      <c r="BE137" s="21" t="str">
        <f>VLOOKUP(BD137,CENY!$B$11:$G$1054,2,FALSE)</f>
        <v>EURO-skrutka  6,0x14mm / niklovaná</v>
      </c>
      <c r="BF137" s="22">
        <f>VLOOKUP(BD137,CENY!$B$11:$G$1054,3,FALSE)</f>
        <v>200</v>
      </c>
      <c r="BG137" s="22"/>
      <c r="BH137" s="23">
        <f>AY129</f>
        <v>0</v>
      </c>
      <c r="BI137" s="326">
        <f>IF(BH137="","",IF($AW$4=0,BH137,0))</f>
        <v>0</v>
      </c>
      <c r="BJ137" s="95">
        <f>VLOOKUP(BD137,CENY!$B$11:$M$2025,12,FALSE)</f>
        <v>1.8839300000000001</v>
      </c>
      <c r="BK137" s="95">
        <f>IF(BJ137="","",BJ137*BH137)</f>
        <v>0</v>
      </c>
    </row>
    <row r="138" spans="47:63">
      <c r="BD138" s="319"/>
      <c r="BE138" s="21"/>
      <c r="BF138" s="22"/>
      <c r="BG138" s="22"/>
      <c r="BH138" s="23"/>
      <c r="BI138" s="326"/>
      <c r="BJ138" s="95"/>
      <c r="BK138" s="95"/>
    </row>
    <row r="139" spans="47:63">
      <c r="BD139" s="319"/>
      <c r="BE139" s="21"/>
      <c r="BF139" s="22"/>
      <c r="BG139" s="22"/>
      <c r="BH139" s="23"/>
      <c r="BI139" s="326" t="str">
        <f>IF(BH139="","",IF($AW$4=0,BH139,0))</f>
        <v/>
      </c>
      <c r="BJ139" s="95"/>
      <c r="BK139" s="95" t="str">
        <f>IF(BJ139="","",BJ139*BH139)</f>
        <v/>
      </c>
    </row>
    <row r="140" spans="47:63">
      <c r="BD140" s="319"/>
      <c r="BE140" s="21"/>
      <c r="BF140" s="22"/>
      <c r="BG140" s="22"/>
      <c r="BH140" s="23"/>
      <c r="BI140" s="326" t="str">
        <f>IF(BH140="","",IF($AW$4=0,BH140,0))</f>
        <v/>
      </c>
      <c r="BJ140" s="95"/>
      <c r="BK140" s="95" t="str">
        <f>IF(BJ140="","",BJ140*BH140)</f>
        <v/>
      </c>
    </row>
  </sheetData>
  <sheetProtection algorithmName="SHA-512" hashValue="g05QRRLiGfKLWUBs4RV5a72qS1C/eAG67fGx4OebXuG+CKHu/GIx/mfjDgtC6uC8unMUbvhCxq9CMnegv8pV6w==" saltValue="QocbxCTUAMJkVrPF4DH9zQ==" spinCount="100000" sheet="1" objects="1" scenarios="1"/>
  <mergeCells count="178">
    <mergeCell ref="O19:P19"/>
    <mergeCell ref="O20:P20"/>
    <mergeCell ref="O27:P27"/>
    <mergeCell ref="O28:P28"/>
    <mergeCell ref="O30:P30"/>
    <mergeCell ref="AN29:AO29"/>
    <mergeCell ref="W30:X30"/>
    <mergeCell ref="Y30:Z30"/>
    <mergeCell ref="AA30:AB30"/>
    <mergeCell ref="AC30:AD30"/>
    <mergeCell ref="AN27:AO27"/>
    <mergeCell ref="W28:X28"/>
    <mergeCell ref="Y28:Z28"/>
    <mergeCell ref="AA28:AB28"/>
    <mergeCell ref="AC28:AD28"/>
    <mergeCell ref="AN28:AO28"/>
    <mergeCell ref="AI25:AO25"/>
    <mergeCell ref="O26:P26"/>
    <mergeCell ref="Q26:R26"/>
    <mergeCell ref="S26:T26"/>
    <mergeCell ref="U26:V26"/>
    <mergeCell ref="W26:X26"/>
    <mergeCell ref="Y26:Z26"/>
    <mergeCell ref="AA26:AB26"/>
    <mergeCell ref="B30:G30"/>
    <mergeCell ref="H30:L30"/>
    <mergeCell ref="M30:N30"/>
    <mergeCell ref="Q30:R30"/>
    <mergeCell ref="S30:T30"/>
    <mergeCell ref="U30:V30"/>
    <mergeCell ref="B27:G27"/>
    <mergeCell ref="H27:L27"/>
    <mergeCell ref="M27:N27"/>
    <mergeCell ref="Q27:R27"/>
    <mergeCell ref="S27:T27"/>
    <mergeCell ref="B28:G28"/>
    <mergeCell ref="H28:L28"/>
    <mergeCell ref="M28:N28"/>
    <mergeCell ref="Q28:R28"/>
    <mergeCell ref="S28:T28"/>
    <mergeCell ref="U28:V28"/>
    <mergeCell ref="AC26:AD26"/>
    <mergeCell ref="AI26:AO26"/>
    <mergeCell ref="AN21:AO21"/>
    <mergeCell ref="B22:G22"/>
    <mergeCell ref="H22:L22"/>
    <mergeCell ref="M22:N22"/>
    <mergeCell ref="O22:P22"/>
    <mergeCell ref="Q22:R22"/>
    <mergeCell ref="S22:T22"/>
    <mergeCell ref="U22:V22"/>
    <mergeCell ref="W22:X22"/>
    <mergeCell ref="Y22:Z22"/>
    <mergeCell ref="AA22:AB22"/>
    <mergeCell ref="AC22:AD22"/>
    <mergeCell ref="AE22:AF22"/>
    <mergeCell ref="AN22:AO22"/>
    <mergeCell ref="Q20:R20"/>
    <mergeCell ref="S20:T20"/>
    <mergeCell ref="U20:V20"/>
    <mergeCell ref="W20:X20"/>
    <mergeCell ref="Y20:Z20"/>
    <mergeCell ref="AA20:AB20"/>
    <mergeCell ref="AC20:AD20"/>
    <mergeCell ref="AE20:AF20"/>
    <mergeCell ref="AN20:AO20"/>
    <mergeCell ref="B11:E11"/>
    <mergeCell ref="F11:K11"/>
    <mergeCell ref="B12:E12"/>
    <mergeCell ref="F12:K12"/>
    <mergeCell ref="B13:E13"/>
    <mergeCell ref="F13:I13"/>
    <mergeCell ref="J13:K13"/>
    <mergeCell ref="O17:AF17"/>
    <mergeCell ref="AI18:AO18"/>
    <mergeCell ref="O18:P18"/>
    <mergeCell ref="Q18:R18"/>
    <mergeCell ref="S18:T18"/>
    <mergeCell ref="U18:V18"/>
    <mergeCell ref="W18:X18"/>
    <mergeCell ref="U2:Y2"/>
    <mergeCell ref="AA2:AE2"/>
    <mergeCell ref="AI2:AM2"/>
    <mergeCell ref="AK9:AP10"/>
    <mergeCell ref="A66:A105"/>
    <mergeCell ref="B67:E67"/>
    <mergeCell ref="G67:K67"/>
    <mergeCell ref="O67:S67"/>
    <mergeCell ref="U67:Y67"/>
    <mergeCell ref="AA67:AE67"/>
    <mergeCell ref="AO2:AR2"/>
    <mergeCell ref="B6:E6"/>
    <mergeCell ref="F6:K6"/>
    <mergeCell ref="B7:E7"/>
    <mergeCell ref="F7:K7"/>
    <mergeCell ref="B8:E8"/>
    <mergeCell ref="F8:K8"/>
    <mergeCell ref="B2:E2"/>
    <mergeCell ref="G2:K2"/>
    <mergeCell ref="O2:S2"/>
    <mergeCell ref="B9:E9"/>
    <mergeCell ref="F9:K9"/>
    <mergeCell ref="B10:E10"/>
    <mergeCell ref="Y18:Z18"/>
    <mergeCell ref="F10:K10"/>
    <mergeCell ref="AI67:AM67"/>
    <mergeCell ref="AO67:AR67"/>
    <mergeCell ref="O80:P80"/>
    <mergeCell ref="Q80:R80"/>
    <mergeCell ref="S80:T80"/>
    <mergeCell ref="U80:V80"/>
    <mergeCell ref="W80:X80"/>
    <mergeCell ref="Y80:Z80"/>
    <mergeCell ref="AA80:AB80"/>
    <mergeCell ref="AC80:AD80"/>
    <mergeCell ref="AI17:AO17"/>
    <mergeCell ref="AA18:AB18"/>
    <mergeCell ref="AC18:AD18"/>
    <mergeCell ref="AE18:AF18"/>
    <mergeCell ref="B19:G19"/>
    <mergeCell ref="H19:L19"/>
    <mergeCell ref="M19:N19"/>
    <mergeCell ref="Q19:R19"/>
    <mergeCell ref="S19:T19"/>
    <mergeCell ref="AN19:AO19"/>
    <mergeCell ref="B20:G20"/>
    <mergeCell ref="H20:L20"/>
    <mergeCell ref="M20:N20"/>
    <mergeCell ref="AC81:AD81"/>
    <mergeCell ref="AE81:AF81"/>
    <mergeCell ref="AG81:AH81"/>
    <mergeCell ref="AI81:AJ81"/>
    <mergeCell ref="Y81:Z81"/>
    <mergeCell ref="AA81:AB81"/>
    <mergeCell ref="AK81:AL81"/>
    <mergeCell ref="O82:AJ82"/>
    <mergeCell ref="AE80:AF80"/>
    <mergeCell ref="AG80:AH80"/>
    <mergeCell ref="AI80:AJ80"/>
    <mergeCell ref="O81:P81"/>
    <mergeCell ref="Q81:R81"/>
    <mergeCell ref="S81:T81"/>
    <mergeCell ref="U81:V81"/>
    <mergeCell ref="W81:X81"/>
    <mergeCell ref="AA83:AB83"/>
    <mergeCell ref="AC83:AD83"/>
    <mergeCell ref="AE83:AF83"/>
    <mergeCell ref="AG83:AH83"/>
    <mergeCell ref="AI83:AJ83"/>
    <mergeCell ref="M84:N84"/>
    <mergeCell ref="O84:P84"/>
    <mergeCell ref="Q84:R84"/>
    <mergeCell ref="S84:T84"/>
    <mergeCell ref="U84:V84"/>
    <mergeCell ref="O83:P83"/>
    <mergeCell ref="Q83:R83"/>
    <mergeCell ref="S83:T83"/>
    <mergeCell ref="U83:V83"/>
    <mergeCell ref="W83:X83"/>
    <mergeCell ref="Y83:Z83"/>
    <mergeCell ref="AG85:AH85"/>
    <mergeCell ref="AI85:AJ85"/>
    <mergeCell ref="AI84:AJ84"/>
    <mergeCell ref="O85:P85"/>
    <mergeCell ref="Q85:R85"/>
    <mergeCell ref="S85:T85"/>
    <mergeCell ref="U85:V85"/>
    <mergeCell ref="W85:X85"/>
    <mergeCell ref="Y85:Z85"/>
    <mergeCell ref="AA85:AB85"/>
    <mergeCell ref="AC85:AD85"/>
    <mergeCell ref="AE85:AF85"/>
    <mergeCell ref="W84:X84"/>
    <mergeCell ref="Y84:Z84"/>
    <mergeCell ref="AA84:AB84"/>
    <mergeCell ref="AC84:AD84"/>
    <mergeCell ref="AE84:AF84"/>
    <mergeCell ref="AG84:AH84"/>
  </mergeCells>
  <conditionalFormatting sqref="AY28 AY45:AY49 BH43 BH47:BH52 BH88:BH92 BH94:BH99 AZ104:AZ124 AZ130:AZ132 BH138:BI140 AY5:AY12 AY18:AY22 AZ7:AZ12 AY31:AY41 AY52:AY53 AY66 AY16 AZ16:AZ22 AY13:AZ15 AY23:AZ24 AZ25:AZ41 AY43 AY42:AZ42 AZ43:AZ53 AZ55:AZ66 AY55:AY57 AY54:AZ54 AZ68:AZ92 AY68:AY71 AY67:AZ67 BH5:BH20 BI8:BI20 BH36:BI36 BH54:BH68 BH77 BH101:BH105 BH21:BI26 BI27:BI35 BH45 BI37:BI68 BI71:BI77 BH71 BH69:BI70 BH78:BI84 BH86 BI85:BI105 BI108:BI127 BH108:BH118 BH106:BI107">
    <cfRule type="cellIs" dxfId="683" priority="70" stopIfTrue="1" operator="equal">
      <formula>0</formula>
    </cfRule>
  </conditionalFormatting>
  <conditionalFormatting sqref="AY62:AY65 AY77 AY59 AY79">
    <cfRule type="cellIs" dxfId="682" priority="68" stopIfTrue="1" operator="equal">
      <formula>0</formula>
    </cfRule>
  </conditionalFormatting>
  <conditionalFormatting sqref="O17:AF17 Q19:T19 Q20:AD20 Q27:T27 Q28:AD28 O19:P20 W22:AF22 O27:P28 O30:AD30">
    <cfRule type="expression" dxfId="681" priority="69" stopIfTrue="1">
      <formula>$AW$4=0</formula>
    </cfRule>
  </conditionalFormatting>
  <conditionalFormatting sqref="AY50:AY51">
    <cfRule type="cellIs" dxfId="680" priority="48" stopIfTrue="1" operator="equal">
      <formula>0</formula>
    </cfRule>
  </conditionalFormatting>
  <conditionalFormatting sqref="AY86 AY92">
    <cfRule type="cellIs" dxfId="679" priority="67" stopIfTrue="1" operator="equal">
      <formula>0</formula>
    </cfRule>
  </conditionalFormatting>
  <conditionalFormatting sqref="AY104:AY107">
    <cfRule type="cellIs" dxfId="678" priority="65" stopIfTrue="1" operator="equal">
      <formula>0</formula>
    </cfRule>
  </conditionalFormatting>
  <conditionalFormatting sqref="AY60:AY61">
    <cfRule type="cellIs" dxfId="677" priority="64" stopIfTrue="1" operator="equal">
      <formula>0</formula>
    </cfRule>
  </conditionalFormatting>
  <conditionalFormatting sqref="AY73">
    <cfRule type="cellIs" dxfId="676" priority="63" stopIfTrue="1" operator="equal">
      <formula>0</formula>
    </cfRule>
  </conditionalFormatting>
  <conditionalFormatting sqref="AY81:AY83">
    <cfRule type="cellIs" dxfId="675" priority="62" stopIfTrue="1" operator="equal">
      <formula>0</formula>
    </cfRule>
  </conditionalFormatting>
  <conditionalFormatting sqref="AY84">
    <cfRule type="cellIs" dxfId="674" priority="61" stopIfTrue="1" operator="equal">
      <formula>0</formula>
    </cfRule>
  </conditionalFormatting>
  <conditionalFormatting sqref="AY85">
    <cfRule type="cellIs" dxfId="673" priority="60" stopIfTrue="1" operator="equal">
      <formula>0</formula>
    </cfRule>
  </conditionalFormatting>
  <conditionalFormatting sqref="BH120:BH122 BH124">
    <cfRule type="cellIs" dxfId="672" priority="58" stopIfTrue="1" operator="equal">
      <formula>0</formula>
    </cfRule>
  </conditionalFormatting>
  <conditionalFormatting sqref="AY108:AY124 AY130:AY132">
    <cfRule type="cellIs" dxfId="671" priority="56" stopIfTrue="1" operator="equal">
      <formula>0</formula>
    </cfRule>
  </conditionalFormatting>
  <conditionalFormatting sqref="AY74:AY75">
    <cfRule type="cellIs" dxfId="670" priority="55" stopIfTrue="1" operator="equal">
      <formula>0</formula>
    </cfRule>
  </conditionalFormatting>
  <conditionalFormatting sqref="BH125:BH127 BH132">
    <cfRule type="cellIs" dxfId="669" priority="53" stopIfTrue="1" operator="equal">
      <formula>0</formula>
    </cfRule>
  </conditionalFormatting>
  <conditionalFormatting sqref="BH32">
    <cfRule type="cellIs" dxfId="668" priority="39" stopIfTrue="1" operator="equal">
      <formula>0</formula>
    </cfRule>
  </conditionalFormatting>
  <conditionalFormatting sqref="AY17">
    <cfRule type="cellIs" dxfId="667" priority="52" stopIfTrue="1" operator="equal">
      <formula>0</formula>
    </cfRule>
  </conditionalFormatting>
  <conditionalFormatting sqref="AY25:AY27">
    <cfRule type="cellIs" dxfId="666" priority="51" stopIfTrue="1" operator="equal">
      <formula>0</formula>
    </cfRule>
  </conditionalFormatting>
  <conditionalFormatting sqref="AY29:AY30">
    <cfRule type="cellIs" dxfId="665" priority="50" stopIfTrue="1" operator="equal">
      <formula>0</formula>
    </cfRule>
  </conditionalFormatting>
  <conditionalFormatting sqref="AY44">
    <cfRule type="cellIs" dxfId="664" priority="49" stopIfTrue="1" operator="equal">
      <formula>0</formula>
    </cfRule>
  </conditionalFormatting>
  <conditionalFormatting sqref="AY58">
    <cfRule type="cellIs" dxfId="663" priority="47" stopIfTrue="1" operator="equal">
      <formula>0</formula>
    </cfRule>
  </conditionalFormatting>
  <conditionalFormatting sqref="AY72">
    <cfRule type="cellIs" dxfId="662" priority="46" stopIfTrue="1" operator="equal">
      <formula>0</formula>
    </cfRule>
  </conditionalFormatting>
  <conditionalFormatting sqref="AY76">
    <cfRule type="cellIs" dxfId="661" priority="45" stopIfTrue="1" operator="equal">
      <formula>0</formula>
    </cfRule>
  </conditionalFormatting>
  <conditionalFormatting sqref="AY78">
    <cfRule type="cellIs" dxfId="660" priority="44" stopIfTrue="1" operator="equal">
      <formula>0</formula>
    </cfRule>
  </conditionalFormatting>
  <conditionalFormatting sqref="AY80">
    <cfRule type="cellIs" dxfId="659" priority="43" stopIfTrue="1" operator="equal">
      <formula>0</formula>
    </cfRule>
  </conditionalFormatting>
  <conditionalFormatting sqref="AY87:AY91">
    <cfRule type="cellIs" dxfId="658" priority="42" stopIfTrue="1" operator="equal">
      <formula>0</formula>
    </cfRule>
  </conditionalFormatting>
  <conditionalFormatting sqref="F13:K13">
    <cfRule type="expression" dxfId="657" priority="41" stopIfTrue="1">
      <formula>$AW$4=1</formula>
    </cfRule>
  </conditionalFormatting>
  <conditionalFormatting sqref="BH27:BH31">
    <cfRule type="cellIs" dxfId="656" priority="40" stopIfTrue="1" operator="equal">
      <formula>0</formula>
    </cfRule>
  </conditionalFormatting>
  <conditionalFormatting sqref="BH33">
    <cfRule type="cellIs" dxfId="655" priority="38" stopIfTrue="1" operator="equal">
      <formula>0</formula>
    </cfRule>
  </conditionalFormatting>
  <conditionalFormatting sqref="BH34:BH35">
    <cfRule type="cellIs" dxfId="654" priority="37" stopIfTrue="1" operator="equal">
      <formula>0</formula>
    </cfRule>
  </conditionalFormatting>
  <conditionalFormatting sqref="BH37:BH42">
    <cfRule type="cellIs" dxfId="653" priority="36" stopIfTrue="1" operator="equal">
      <formula>0</formula>
    </cfRule>
  </conditionalFormatting>
  <conditionalFormatting sqref="BH46">
    <cfRule type="cellIs" dxfId="652" priority="35" stopIfTrue="1" operator="equal">
      <formula>0</formula>
    </cfRule>
  </conditionalFormatting>
  <conditionalFormatting sqref="BH53">
    <cfRule type="cellIs" dxfId="651" priority="34" stopIfTrue="1" operator="equal">
      <formula>0</formula>
    </cfRule>
  </conditionalFormatting>
  <conditionalFormatting sqref="BH72">
    <cfRule type="cellIs" dxfId="650" priority="33" stopIfTrue="1" operator="equal">
      <formula>0</formula>
    </cfRule>
  </conditionalFormatting>
  <conditionalFormatting sqref="BH73:BH76">
    <cfRule type="cellIs" dxfId="649" priority="32" stopIfTrue="1" operator="equal">
      <formula>0</formula>
    </cfRule>
  </conditionalFormatting>
  <conditionalFormatting sqref="BH87">
    <cfRule type="cellIs" dxfId="648" priority="31" stopIfTrue="1" operator="equal">
      <formula>0</formula>
    </cfRule>
  </conditionalFormatting>
  <conditionalFormatting sqref="BH93">
    <cfRule type="cellIs" dxfId="647" priority="30" stopIfTrue="1" operator="equal">
      <formula>0</formula>
    </cfRule>
  </conditionalFormatting>
  <conditionalFormatting sqref="BH100">
    <cfRule type="cellIs" dxfId="646" priority="29" stopIfTrue="1" operator="equal">
      <formula>0</formula>
    </cfRule>
  </conditionalFormatting>
  <conditionalFormatting sqref="BH119">
    <cfRule type="cellIs" dxfId="645" priority="28" stopIfTrue="1" operator="equal">
      <formula>0</formula>
    </cfRule>
  </conditionalFormatting>
  <conditionalFormatting sqref="BH123">
    <cfRule type="cellIs" dxfId="644" priority="27" stopIfTrue="1" operator="equal">
      <formula>0</formula>
    </cfRule>
  </conditionalFormatting>
  <conditionalFormatting sqref="AZ5:AZ6">
    <cfRule type="cellIs" dxfId="643" priority="25" stopIfTrue="1" operator="equal">
      <formula>0</formula>
    </cfRule>
  </conditionalFormatting>
  <conditionalFormatting sqref="BI7">
    <cfRule type="cellIs" dxfId="642" priority="24" stopIfTrue="1" operator="equal">
      <formula>0</formula>
    </cfRule>
  </conditionalFormatting>
  <conditionalFormatting sqref="BI132">
    <cfRule type="cellIs" dxfId="641" priority="23" stopIfTrue="1" operator="equal">
      <formula>0</formula>
    </cfRule>
  </conditionalFormatting>
  <conditionalFormatting sqref="AR87">
    <cfRule type="expression" dxfId="640" priority="22" stopIfTrue="1">
      <formula>$AU$97=AU99</formula>
    </cfRule>
  </conditionalFormatting>
  <conditionalFormatting sqref="AZ95:AZ103">
    <cfRule type="cellIs" dxfId="639" priority="21" stopIfTrue="1" operator="equal">
      <formula>0</formula>
    </cfRule>
  </conditionalFormatting>
  <conditionalFormatting sqref="AY98:AY103">
    <cfRule type="cellIs" dxfId="638" priority="20" stopIfTrue="1" operator="equal">
      <formula>0</formula>
    </cfRule>
  </conditionalFormatting>
  <conditionalFormatting sqref="AY95:AY97">
    <cfRule type="cellIs" dxfId="637" priority="19" stopIfTrue="1" operator="equal">
      <formula>0</formula>
    </cfRule>
  </conditionalFormatting>
  <conditionalFormatting sqref="AZ93:AZ94">
    <cfRule type="cellIs" dxfId="636" priority="18" stopIfTrue="1" operator="equal">
      <formula>0</formula>
    </cfRule>
  </conditionalFormatting>
  <conditionalFormatting sqref="AY93:AY94">
    <cfRule type="cellIs" dxfId="635" priority="17" stopIfTrue="1" operator="equal">
      <formula>0</formula>
    </cfRule>
  </conditionalFormatting>
  <conditionalFormatting sqref="BH128:BH129">
    <cfRule type="cellIs" dxfId="634" priority="16" stopIfTrue="1" operator="equal">
      <formula>0</formula>
    </cfRule>
  </conditionalFormatting>
  <conditionalFormatting sqref="BI128:BI129">
    <cfRule type="cellIs" dxfId="633" priority="15" stopIfTrue="1" operator="equal">
      <formula>0</formula>
    </cfRule>
  </conditionalFormatting>
  <conditionalFormatting sqref="BH131">
    <cfRule type="cellIs" dxfId="632" priority="14" stopIfTrue="1" operator="equal">
      <formula>0</formula>
    </cfRule>
  </conditionalFormatting>
  <conditionalFormatting sqref="BI130:BI131">
    <cfRule type="cellIs" dxfId="631" priority="13" stopIfTrue="1" operator="equal">
      <formula>0</formula>
    </cfRule>
  </conditionalFormatting>
  <conditionalFormatting sqref="BH130">
    <cfRule type="cellIs" dxfId="630" priority="12" stopIfTrue="1" operator="equal">
      <formula>0</formula>
    </cfRule>
  </conditionalFormatting>
  <conditionalFormatting sqref="AZ125:AZ129">
    <cfRule type="cellIs" dxfId="629" priority="11" stopIfTrue="1" operator="equal">
      <formula>0</formula>
    </cfRule>
  </conditionalFormatting>
  <conditionalFormatting sqref="AY125:AY129">
    <cfRule type="cellIs" dxfId="628" priority="10" stopIfTrue="1" operator="equal">
      <formula>0</formula>
    </cfRule>
  </conditionalFormatting>
  <conditionalFormatting sqref="BH133 BH136:BH137">
    <cfRule type="cellIs" dxfId="627" priority="9" stopIfTrue="1" operator="equal">
      <formula>0</formula>
    </cfRule>
  </conditionalFormatting>
  <conditionalFormatting sqref="BI133:BI137">
    <cfRule type="cellIs" dxfId="626" priority="8" stopIfTrue="1" operator="equal">
      <formula>0</formula>
    </cfRule>
  </conditionalFormatting>
  <conditionalFormatting sqref="BH134:BH135">
    <cfRule type="cellIs" dxfId="625" priority="7" stopIfTrue="1" operator="equal">
      <formula>0</formula>
    </cfRule>
  </conditionalFormatting>
  <conditionalFormatting sqref="AI17:AO17">
    <cfRule type="expression" dxfId="624" priority="6" stopIfTrue="1">
      <formula>$AW$4=0</formula>
    </cfRule>
  </conditionalFormatting>
  <conditionalFormatting sqref="AI25:AO25">
    <cfRule type="expression" dxfId="623" priority="5" stopIfTrue="1">
      <formula>$AW$4=0</formula>
    </cfRule>
  </conditionalFormatting>
  <conditionalFormatting sqref="BI5">
    <cfRule type="cellIs" dxfId="622" priority="4" stopIfTrue="1" operator="equal">
      <formula>0</formula>
    </cfRule>
  </conditionalFormatting>
  <conditionalFormatting sqref="BI6">
    <cfRule type="cellIs" dxfId="621" priority="3" stopIfTrue="1" operator="equal">
      <formula>0</formula>
    </cfRule>
  </conditionalFormatting>
  <conditionalFormatting sqref="BH44">
    <cfRule type="cellIs" dxfId="620" priority="2" stopIfTrue="1" operator="equal">
      <formula>0</formula>
    </cfRule>
  </conditionalFormatting>
  <conditionalFormatting sqref="BH85">
    <cfRule type="cellIs" dxfId="619" priority="1" stopIfTrue="1" operator="equal">
      <formula>0</formula>
    </cfRule>
  </conditionalFormatting>
  <hyperlinks>
    <hyperlink ref="M4" location="MENU!A1" display="MENU!A1" xr:uid="{00000000-0004-0000-0B00-000000000000}"/>
    <hyperlink ref="M10" location="OBJ!A1" display="OBJ!A1" xr:uid="{00000000-0004-0000-0B00-000001000000}"/>
    <hyperlink ref="M9" location="suhrn!A1" display="suhrn!A1" xr:uid="{00000000-0004-0000-0B00-000002000000}"/>
    <hyperlink ref="O2:S2" location="MENU!A5" display="MENU!A5" xr:uid="{00000000-0004-0000-0B00-000003000000}"/>
    <hyperlink ref="AK9:AO10" location="'IT70(vn100)'!A66" display="'IT70(vn100)'!A66" xr:uid="{00000000-0004-0000-0B00-000004000000}"/>
    <hyperlink ref="AK9:AP10" location="'AVT139(vn-A)'!A66" display="'AVT139(vn-A)'!A66" xr:uid="{00000000-0004-0000-0B00-000005000000}"/>
    <hyperlink ref="M69" location="MENU!A1" display="MENU!A1" xr:uid="{00000000-0004-0000-0B00-000006000000}"/>
    <hyperlink ref="B67:E67" location="'AVT139(vn-A)'!A1" display="'AVT139(vn-A)'!A1" xr:uid="{00000000-0004-0000-0B00-000007000000}"/>
  </hyperlinks>
  <printOptions horizontalCentered="1"/>
  <pageMargins left="0.19685039370078741" right="0.19685039370078741" top="0.19685039370078741" bottom="0.19685039370078741" header="0.31496062992125984" footer="0.31496062992125984"/>
  <pageSetup paperSize="9" orientation="landscape" r:id="rId1"/>
  <headerFooter>
    <oddHeader>&amp;R&amp;"Aptos"&amp;10&amp;K000000 Restricted&amp;1#_x000D_</oddHeader>
  </headerFooter>
  <drawing r:id="rId2"/>
  <legacy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List56">
    <tabColor rgb="FFFF0000"/>
  </sheetPr>
  <dimension ref="A1:BK140"/>
  <sheetViews>
    <sheetView showGridLines="0" showRowColHeaders="0" zoomScale="95" zoomScaleNormal="95" workbookViewId="0"/>
  </sheetViews>
  <sheetFormatPr defaultColWidth="9" defaultRowHeight="13.8"/>
  <cols>
    <col min="1" max="1" width="3.59765625" style="86" customWidth="1"/>
    <col min="2" max="4" width="3.09765625" style="86" customWidth="1"/>
    <col min="5" max="5" width="7.59765625" style="86" customWidth="1"/>
    <col min="6" max="44" width="3.09765625" style="86" customWidth="1"/>
    <col min="45" max="45" width="3.59765625" style="86" customWidth="1"/>
    <col min="46" max="46" width="9" style="86" customWidth="1"/>
    <col min="47" max="47" width="9" style="86" hidden="1" customWidth="1"/>
    <col min="48" max="48" width="32.5" style="86" hidden="1" customWidth="1"/>
    <col min="49" max="49" width="4.3984375" style="86" hidden="1" customWidth="1"/>
    <col min="50" max="50" width="2" style="86" hidden="1" customWidth="1"/>
    <col min="51" max="52" width="4.59765625" style="86" hidden="1" customWidth="1"/>
    <col min="53" max="54" width="9" style="86" hidden="1" customWidth="1"/>
    <col min="55" max="55" width="2.59765625" style="86" hidden="1" customWidth="1"/>
    <col min="56" max="56" width="9" style="86" hidden="1" customWidth="1"/>
    <col min="57" max="57" width="33.8984375" style="86" hidden="1" customWidth="1"/>
    <col min="58" max="58" width="4.3984375" style="86" hidden="1" customWidth="1"/>
    <col min="59" max="59" width="2" style="86" hidden="1" customWidth="1"/>
    <col min="60" max="61" width="4.59765625" style="86" hidden="1" customWidth="1"/>
    <col min="62" max="63" width="9" style="86" hidden="1" customWidth="1"/>
    <col min="64" max="75" width="9" style="86" customWidth="1"/>
    <col min="76" max="16384" width="9" style="86"/>
  </cols>
  <sheetData>
    <row r="1" spans="1:63" ht="12.9" customHeight="1" thickBot="1">
      <c r="AU1" s="140"/>
      <c r="AV1" s="279"/>
      <c r="AW1" s="279"/>
      <c r="AX1" s="140"/>
      <c r="AY1" s="140"/>
      <c r="AZ1" s="140"/>
      <c r="BA1" s="140"/>
      <c r="BB1" s="140"/>
      <c r="BC1" s="140"/>
      <c r="BD1" s="140"/>
      <c r="BE1" s="140"/>
      <c r="BF1" s="140"/>
      <c r="BG1" s="140"/>
      <c r="BH1" s="140"/>
      <c r="BI1" s="140"/>
      <c r="BJ1" s="140"/>
      <c r="BK1" s="140"/>
    </row>
    <row r="2" spans="1:63" ht="23.1" customHeight="1" thickBot="1">
      <c r="B2" s="475" t="str">
        <f>verze!E13</f>
        <v>&lt;&lt;  zpět</v>
      </c>
      <c r="C2" s="476"/>
      <c r="D2" s="476"/>
      <c r="E2" s="477"/>
      <c r="G2" s="513" t="str">
        <f>verze!E6</f>
        <v xml:space="preserve"> Úvod</v>
      </c>
      <c r="H2" s="514"/>
      <c r="I2" s="514"/>
      <c r="J2" s="514"/>
      <c r="K2" s="515"/>
      <c r="O2" s="500" t="str">
        <f>verze!E7</f>
        <v xml:space="preserve"> Výběr zásuvek</v>
      </c>
      <c r="P2" s="501"/>
      <c r="Q2" s="501"/>
      <c r="R2" s="501"/>
      <c r="S2" s="502"/>
      <c r="U2" s="513" t="str">
        <f>verze!E8</f>
        <v xml:space="preserve"> </v>
      </c>
      <c r="V2" s="514"/>
      <c r="W2" s="514"/>
      <c r="X2" s="514"/>
      <c r="Y2" s="515"/>
      <c r="AA2" s="513" t="str">
        <f>verze!E9</f>
        <v xml:space="preserve"> </v>
      </c>
      <c r="AB2" s="514"/>
      <c r="AC2" s="514"/>
      <c r="AD2" s="514"/>
      <c r="AE2" s="515"/>
      <c r="AI2" s="513" t="str">
        <f>verze!E10</f>
        <v xml:space="preserve"> Objednávka</v>
      </c>
      <c r="AJ2" s="514"/>
      <c r="AK2" s="514"/>
      <c r="AL2" s="514"/>
      <c r="AM2" s="515"/>
      <c r="AO2" s="475" t="str">
        <f>verze!E14</f>
        <v>vpřed  &gt;&gt;</v>
      </c>
      <c r="AP2" s="476"/>
      <c r="AQ2" s="476"/>
      <c r="AR2" s="477"/>
      <c r="AV2" s="143"/>
      <c r="AW2" s="143"/>
    </row>
    <row r="3" spans="1:63" ht="12.9" customHeight="1">
      <c r="AV3" s="143"/>
      <c r="AW3" s="143"/>
    </row>
    <row r="4" spans="1:63" ht="23.1" customHeight="1">
      <c r="A4" s="89"/>
      <c r="B4" s="93" t="str">
        <f>verze!E206&amp;" AVANTECH YOU  187"</f>
        <v>Zásuvka AVANTECH YOU  187</v>
      </c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U4" s="94" t="s">
        <v>33</v>
      </c>
      <c r="AW4" s="285">
        <f>IF(FORM!AU13=FORM!U18,1,0)</f>
        <v>1</v>
      </c>
      <c r="BB4" s="322">
        <f>SUM(BB5:BB997)</f>
        <v>0</v>
      </c>
      <c r="BD4" s="94" t="s">
        <v>34</v>
      </c>
      <c r="BK4" s="322">
        <f>SUM(BK5:BK990)</f>
        <v>0</v>
      </c>
    </row>
    <row r="5" spans="1:63" ht="14.4" customHeight="1">
      <c r="AU5" s="319">
        <f>OBJ!B112</f>
        <v>9353353</v>
      </c>
      <c r="AV5" s="21" t="str">
        <f>VLOOKUP(AU5,CENY!$B$11:$G$1054,2,FALSE)</f>
        <v>AvanY-sólo oceľ.boky-NW 187/270mm/strieb.</v>
      </c>
      <c r="AW5" s="22">
        <f>VLOOKUP(AU5,CENY!$B$11:$G$1054,3,FALSE)</f>
        <v>1</v>
      </c>
      <c r="AX5" s="362">
        <v>4</v>
      </c>
      <c r="AY5" s="23">
        <f>O19+O20+O27+O28+O30</f>
        <v>0</v>
      </c>
      <c r="AZ5" s="326">
        <f>IF(AY5="","",IF($AW$4=1,AY5,0))</f>
        <v>0</v>
      </c>
      <c r="BA5" s="95">
        <f>VLOOKUP(AU5,CENY!$B$11:$M$2025,12,FALSE)</f>
        <v>781.77286000000004</v>
      </c>
      <c r="BB5" s="95">
        <f t="shared" ref="BB5:BB68" si="0">IF(BA5="","",BA5*AY5)</f>
        <v>0</v>
      </c>
      <c r="BD5" s="319">
        <f>OBJ!B122</f>
        <v>9255044</v>
      </c>
      <c r="BE5" s="21" t="str">
        <f>VLOOKUP(BD5,CENY!$B$11:$G$1054,2,FALSE)</f>
        <v>AvanY-bok ľavý /v187/h270/ strieborná</v>
      </c>
      <c r="BF5" s="22">
        <f>VLOOKUP(BD5,CENY!$B$11:$G$1054,3,FALSE)</f>
        <v>10</v>
      </c>
      <c r="BG5" s="22"/>
      <c r="BH5" s="23">
        <f>AY5</f>
        <v>0</v>
      </c>
      <c r="BI5" s="326">
        <f>IF(BH5="","",IF($AW$4=0,BH5,0))</f>
        <v>0</v>
      </c>
      <c r="BJ5" s="95">
        <f>VLOOKUP(BD5,CENY!$B$11:$M$2025,12,FALSE)</f>
        <v>343.85318000000001</v>
      </c>
      <c r="BK5" s="95">
        <f>IF(BJ5="","",BJ5*BH5)</f>
        <v>0</v>
      </c>
    </row>
    <row r="6" spans="1:63" ht="14.4" customHeight="1">
      <c r="B6" s="549" t="str">
        <f>" "&amp;verze!E90</f>
        <v xml:space="preserve"> bočnice:</v>
      </c>
      <c r="C6" s="549"/>
      <c r="D6" s="549"/>
      <c r="E6" s="549"/>
      <c r="F6" s="564" t="s">
        <v>328</v>
      </c>
      <c r="G6" s="564"/>
      <c r="H6" s="564"/>
      <c r="I6" s="564"/>
      <c r="J6" s="564"/>
      <c r="K6" s="564"/>
      <c r="AU6" s="319">
        <f>OBJ!B113</f>
        <v>9353354</v>
      </c>
      <c r="AV6" s="21" t="str">
        <f>VLOOKUP(AU6,CENY!$B$11:$G$1054,2,FALSE)</f>
        <v>AvanY-sólo oceľ.boky-NW 187/300mm/strieb.</v>
      </c>
      <c r="AW6" s="22">
        <f>VLOOKUP(AU6,CENY!$B$11:$G$1054,3,FALSE)</f>
        <v>1</v>
      </c>
      <c r="AX6" s="362">
        <v>4</v>
      </c>
      <c r="AY6" s="23">
        <f>Q19+Q20+Q27+Q28+Q30</f>
        <v>0</v>
      </c>
      <c r="AZ6" s="326">
        <f t="shared" ref="AZ6:AZ69" si="1">IF(AY6="","",IF($AW$4=1,AY6,0))</f>
        <v>0</v>
      </c>
      <c r="BA6" s="95">
        <f>VLOOKUP(AU6,CENY!$B$11:$M$2025,12,FALSE)</f>
        <v>788.96299999999997</v>
      </c>
      <c r="BB6" s="95">
        <f t="shared" si="0"/>
        <v>0</v>
      </c>
      <c r="BD6" s="319">
        <f>OBJ!B123</f>
        <v>9255045</v>
      </c>
      <c r="BE6" s="21" t="str">
        <f>VLOOKUP(BD6,CENY!$B$11:$G$1054,2,FALSE)</f>
        <v>AvanY-bok pravý /v187/h270/ strieborná</v>
      </c>
      <c r="BF6" s="22">
        <f>VLOOKUP(BD6,CENY!$B$11:$G$1054,3,FALSE)</f>
        <v>10</v>
      </c>
      <c r="BG6" s="22"/>
      <c r="BH6" s="23">
        <f>AY5</f>
        <v>0</v>
      </c>
      <c r="BI6" s="326">
        <f t="shared" ref="BI6:BI69" si="2">IF(BH6="","",IF($AW$4=0,BH6,0))</f>
        <v>0</v>
      </c>
      <c r="BJ6" s="95">
        <f>VLOOKUP(BD6,CENY!$B$11:$M$2025,12,FALSE)</f>
        <v>343.85318000000001</v>
      </c>
      <c r="BK6" s="95">
        <f t="shared" ref="BK6:BK69" si="3">IF(BJ6="","",BJ6*BH6)</f>
        <v>0</v>
      </c>
    </row>
    <row r="7" spans="1:63" ht="14.4" customHeight="1">
      <c r="B7" s="549" t="str">
        <f>" "&amp;verze!E56</f>
        <v xml:space="preserve"> barva:</v>
      </c>
      <c r="C7" s="549"/>
      <c r="D7" s="549"/>
      <c r="E7" s="549"/>
      <c r="F7" s="564" t="str">
        <f>" "&amp;FORM!U8</f>
        <v xml:space="preserve"> stříbrná</v>
      </c>
      <c r="G7" s="564"/>
      <c r="H7" s="564"/>
      <c r="I7" s="564"/>
      <c r="J7" s="564"/>
      <c r="K7" s="564"/>
      <c r="AU7" s="319">
        <f>OBJ!B114</f>
        <v>9353355</v>
      </c>
      <c r="AV7" s="21" t="str">
        <f>VLOOKUP(AU7,CENY!$B$11:$G$1054,2,FALSE)</f>
        <v>AvanY-sólo oceľ.boky-NW 187/350mm/strieb.</v>
      </c>
      <c r="AW7" s="22">
        <f>VLOOKUP(AU7,CENY!$B$11:$G$1054,3,FALSE)</f>
        <v>1</v>
      </c>
      <c r="AX7" s="362">
        <v>6</v>
      </c>
      <c r="AY7" s="23">
        <f>S19+S20+S27+S28+S30</f>
        <v>0</v>
      </c>
      <c r="AZ7" s="326">
        <f t="shared" si="1"/>
        <v>0</v>
      </c>
      <c r="BA7" s="95">
        <f>VLOOKUP(AU7,CENY!$B$11:$M$2025,12,FALSE)</f>
        <v>800.95977000000005</v>
      </c>
      <c r="BB7" s="95">
        <f t="shared" si="0"/>
        <v>0</v>
      </c>
      <c r="BD7" s="319">
        <f>OBJ!B124</f>
        <v>9255046</v>
      </c>
      <c r="BE7" s="21" t="str">
        <f>VLOOKUP(BD7,CENY!$B$11:$G$1054,2,FALSE)</f>
        <v>AvanY-bok ľavý /v187/h300/ strieborná</v>
      </c>
      <c r="BF7" s="22">
        <f>VLOOKUP(BD7,CENY!$B$11:$G$1054,3,FALSE)</f>
        <v>10</v>
      </c>
      <c r="BG7" s="22"/>
      <c r="BH7" s="23">
        <f>AY6</f>
        <v>0</v>
      </c>
      <c r="BI7" s="326">
        <f t="shared" si="2"/>
        <v>0</v>
      </c>
      <c r="BJ7" s="95">
        <f>VLOOKUP(BD7,CENY!$B$11:$M$2025,12,FALSE)</f>
        <v>347.69150999999999</v>
      </c>
      <c r="BK7" s="95">
        <f t="shared" si="3"/>
        <v>0</v>
      </c>
    </row>
    <row r="8" spans="1:63" ht="14.4" customHeight="1" thickBot="1">
      <c r="B8" s="549" t="str">
        <f>" "&amp;verze!E70</f>
        <v xml:space="preserve"> dekorativní profil:</v>
      </c>
      <c r="C8" s="549"/>
      <c r="D8" s="549"/>
      <c r="E8" s="549"/>
      <c r="F8" s="564" t="str">
        <f>" "&amp;FORM!AM18</f>
        <v xml:space="preserve"> v barvě bočnice</v>
      </c>
      <c r="G8" s="564"/>
      <c r="H8" s="564"/>
      <c r="I8" s="564"/>
      <c r="J8" s="564"/>
      <c r="K8" s="564"/>
      <c r="AU8" s="319">
        <f>OBJ!B115</f>
        <v>9353356</v>
      </c>
      <c r="AV8" s="21" t="str">
        <f>VLOOKUP(AU8,CENY!$B$11:$G$1054,2,FALSE)</f>
        <v>AvanY-sólo oceľ.boky-NW 187/400mm/strieb.</v>
      </c>
      <c r="AW8" s="22">
        <f>VLOOKUP(AU8,CENY!$B$11:$G$1054,3,FALSE)</f>
        <v>1</v>
      </c>
      <c r="AX8" s="362">
        <v>6</v>
      </c>
      <c r="AY8" s="23">
        <f>U20+U28+U30</f>
        <v>0</v>
      </c>
      <c r="AZ8" s="326">
        <f t="shared" si="1"/>
        <v>0</v>
      </c>
      <c r="BA8" s="95">
        <f>VLOOKUP(AU8,CENY!$B$11:$M$2025,12,FALSE)</f>
        <v>812.95644000000004</v>
      </c>
      <c r="BB8" s="95">
        <f t="shared" si="0"/>
        <v>0</v>
      </c>
      <c r="BD8" s="319">
        <f>OBJ!B125</f>
        <v>9255047</v>
      </c>
      <c r="BE8" s="21" t="str">
        <f>VLOOKUP(BD8,CENY!$B$11:$G$1054,2,FALSE)</f>
        <v>AvanY-bok pravý /v187/h300/ strieborná</v>
      </c>
      <c r="BF8" s="22">
        <f>VLOOKUP(BD8,CENY!$B$11:$G$1054,3,FALSE)</f>
        <v>10</v>
      </c>
      <c r="BG8" s="22"/>
      <c r="BH8" s="23">
        <f>AY6</f>
        <v>0</v>
      </c>
      <c r="BI8" s="326">
        <f t="shared" si="2"/>
        <v>0</v>
      </c>
      <c r="BJ8" s="95">
        <f>VLOOKUP(BD8,CENY!$B$11:$M$2025,12,FALSE)</f>
        <v>347.69150999999999</v>
      </c>
      <c r="BK8" s="95">
        <f t="shared" si="3"/>
        <v>0</v>
      </c>
    </row>
    <row r="9" spans="1:63" ht="14.4" customHeight="1" thickTop="1">
      <c r="B9" s="550"/>
      <c r="C9" s="558"/>
      <c r="D9" s="558"/>
      <c r="E9" s="559"/>
      <c r="F9" s="560"/>
      <c r="G9" s="561"/>
      <c r="H9" s="561"/>
      <c r="I9" s="561"/>
      <c r="J9" s="561"/>
      <c r="K9" s="562"/>
      <c r="AK9" s="585" t="str">
        <f>verze!E160</f>
        <v>Je nutné natypovat šířky čel ?</v>
      </c>
      <c r="AL9" s="586"/>
      <c r="AM9" s="586"/>
      <c r="AN9" s="586"/>
      <c r="AO9" s="586"/>
      <c r="AP9" s="587"/>
      <c r="AU9" s="319">
        <f>OBJ!B116</f>
        <v>9353357</v>
      </c>
      <c r="AV9" s="21" t="str">
        <f>VLOOKUP(AU9,CENY!$B$11:$G$1054,2,FALSE)</f>
        <v>AvanY-sólo oceľ.boky-NW 187/450mm/strieb.</v>
      </c>
      <c r="AW9" s="22">
        <f>VLOOKUP(AU9,CENY!$B$11:$G$1054,3,FALSE)</f>
        <v>1</v>
      </c>
      <c r="AX9" s="362">
        <v>6</v>
      </c>
      <c r="AY9" s="23">
        <f>W20+W22+W28+W30</f>
        <v>0</v>
      </c>
      <c r="AZ9" s="326">
        <f t="shared" si="1"/>
        <v>0</v>
      </c>
      <c r="BA9" s="95">
        <f>VLOOKUP(AU9,CENY!$B$11:$M$2025,12,FALSE)</f>
        <v>803.01720999999998</v>
      </c>
      <c r="BB9" s="95">
        <f t="shared" si="0"/>
        <v>0</v>
      </c>
      <c r="BD9" s="319">
        <f>OBJ!B126</f>
        <v>9255048</v>
      </c>
      <c r="BE9" s="21" t="str">
        <f>VLOOKUP(BD9,CENY!$B$11:$G$1054,2,FALSE)</f>
        <v>AvanY-bok ľavý /v187/h350/ strieborná</v>
      </c>
      <c r="BF9" s="22">
        <f>VLOOKUP(BD9,CENY!$B$11:$G$1054,3,FALSE)</f>
        <v>10</v>
      </c>
      <c r="BG9" s="22"/>
      <c r="BH9" s="23">
        <f>AY7</f>
        <v>0</v>
      </c>
      <c r="BI9" s="326">
        <f t="shared" si="2"/>
        <v>0</v>
      </c>
      <c r="BJ9" s="95">
        <f>VLOOKUP(BD9,CENY!$B$11:$M$2025,12,FALSE)</f>
        <v>354.09370999999999</v>
      </c>
      <c r="BK9" s="95">
        <f t="shared" si="3"/>
        <v>0</v>
      </c>
    </row>
    <row r="10" spans="1:63" ht="14.4" customHeight="1">
      <c r="B10" s="549" t="str">
        <f>" "&amp;verze!E57</f>
        <v xml:space="preserve"> čelní kování:</v>
      </c>
      <c r="C10" s="549"/>
      <c r="D10" s="549"/>
      <c r="E10" s="549"/>
      <c r="F10" s="563" t="str">
        <f>" "&amp;FORM!AM8</f>
        <v xml:space="preserve"> na vruty</v>
      </c>
      <c r="G10" s="563"/>
      <c r="H10" s="563"/>
      <c r="I10" s="563"/>
      <c r="J10" s="563"/>
      <c r="K10" s="563"/>
      <c r="AK10" s="588"/>
      <c r="AL10" s="589"/>
      <c r="AM10" s="589"/>
      <c r="AN10" s="589"/>
      <c r="AO10" s="589"/>
      <c r="AP10" s="590"/>
      <c r="AU10" s="319">
        <f>OBJ!B117</f>
        <v>9353358</v>
      </c>
      <c r="AV10" s="21" t="str">
        <f>VLOOKUP(AU10,CENY!$B$11:$G$1054,2,FALSE)</f>
        <v>AvanY-sólo oceľ.boky-NW 187/500mm/strieb.</v>
      </c>
      <c r="AW10" s="22">
        <f>VLOOKUP(AU10,CENY!$B$11:$G$1054,3,FALSE)</f>
        <v>1</v>
      </c>
      <c r="AX10" s="362">
        <v>8</v>
      </c>
      <c r="AY10" s="23">
        <f>Y20+Y22+Y28+Y30</f>
        <v>0</v>
      </c>
      <c r="AZ10" s="326">
        <f t="shared" si="1"/>
        <v>0</v>
      </c>
      <c r="BA10" s="95">
        <f>VLOOKUP(AU10,CENY!$B$11:$M$2025,12,FALSE)</f>
        <v>814.69060000000002</v>
      </c>
      <c r="BB10" s="95">
        <f t="shared" si="0"/>
        <v>0</v>
      </c>
      <c r="BD10" s="319">
        <f>OBJ!B127</f>
        <v>9255049</v>
      </c>
      <c r="BE10" s="21" t="str">
        <f>VLOOKUP(BD10,CENY!$B$11:$G$1054,2,FALSE)</f>
        <v>AvanY-bok pravý /v187/h350/ strieborná</v>
      </c>
      <c r="BF10" s="22">
        <f>VLOOKUP(BD10,CENY!$B$11:$G$1054,3,FALSE)</f>
        <v>10</v>
      </c>
      <c r="BG10" s="22"/>
      <c r="BH10" s="23">
        <f>AY7</f>
        <v>0</v>
      </c>
      <c r="BI10" s="326">
        <f t="shared" si="2"/>
        <v>0</v>
      </c>
      <c r="BJ10" s="95">
        <f>VLOOKUP(BD10,CENY!$B$11:$M$2025,12,FALSE)</f>
        <v>354.09370999999999</v>
      </c>
      <c r="BK10" s="95">
        <f t="shared" si="3"/>
        <v>0</v>
      </c>
    </row>
    <row r="11" spans="1:63" ht="14.4" customHeight="1">
      <c r="B11" s="549" t="str">
        <f>" "&amp;verze!E76</f>
        <v xml:space="preserve"> krytka:</v>
      </c>
      <c r="C11" s="549"/>
      <c r="D11" s="549"/>
      <c r="E11" s="549"/>
      <c r="F11" s="563" t="str">
        <f>" "&amp;FORM!AM21</f>
        <v xml:space="preserve"> žádná</v>
      </c>
      <c r="G11" s="563"/>
      <c r="H11" s="563"/>
      <c r="I11" s="563"/>
      <c r="J11" s="563"/>
      <c r="K11" s="563"/>
      <c r="AU11" s="319">
        <f>OBJ!B118</f>
        <v>9353359</v>
      </c>
      <c r="AV11" s="21" t="str">
        <f>VLOOKUP(AU11,CENY!$B$11:$G$1054,2,FALSE)</f>
        <v>AvanY-sólo oceľ.boky-NW 187/550mm/strieb.</v>
      </c>
      <c r="AW11" s="22">
        <f>VLOOKUP(AU11,CENY!$B$11:$G$1054,3,FALSE)</f>
        <v>1</v>
      </c>
      <c r="AX11" s="362">
        <v>8</v>
      </c>
      <c r="AY11" s="23">
        <f>AA20+AA22+AA28+AA30</f>
        <v>0</v>
      </c>
      <c r="AZ11" s="326">
        <f t="shared" si="1"/>
        <v>0</v>
      </c>
      <c r="BA11" s="95">
        <f>VLOOKUP(AU11,CENY!$B$11:$M$2025,12,FALSE)</f>
        <v>848.94223999999997</v>
      </c>
      <c r="BB11" s="95">
        <f t="shared" si="0"/>
        <v>0</v>
      </c>
      <c r="BD11" s="319">
        <f>OBJ!B128</f>
        <v>9255050</v>
      </c>
      <c r="BE11" s="21" t="str">
        <f>VLOOKUP(BD11,CENY!$B$11:$G$1054,2,FALSE)</f>
        <v>AvanY-bok ľavý /v187/h400/ strieborná</v>
      </c>
      <c r="BF11" s="22">
        <f>VLOOKUP(BD11,CENY!$B$11:$G$1054,3,FALSE)</f>
        <v>10</v>
      </c>
      <c r="BG11" s="22"/>
      <c r="BH11" s="23">
        <f>AY8</f>
        <v>0</v>
      </c>
      <c r="BI11" s="326">
        <f t="shared" si="2"/>
        <v>0</v>
      </c>
      <c r="BJ11" s="95">
        <f>VLOOKUP(BD11,CENY!$B$11:$M$2025,12,FALSE)</f>
        <v>360.48838000000001</v>
      </c>
      <c r="BK11" s="95">
        <f t="shared" si="3"/>
        <v>0</v>
      </c>
    </row>
    <row r="12" spans="1:63" ht="14.4" customHeight="1" thickBot="1">
      <c r="B12" s="549"/>
      <c r="C12" s="549"/>
      <c r="D12" s="549"/>
      <c r="E12" s="550"/>
      <c r="F12" s="551"/>
      <c r="G12" s="552"/>
      <c r="H12" s="552"/>
      <c r="I12" s="552"/>
      <c r="J12" s="553"/>
      <c r="K12" s="554"/>
      <c r="AU12" s="319">
        <f>OBJ!B119</f>
        <v>9353360</v>
      </c>
      <c r="AV12" s="21" t="str">
        <f>VLOOKUP(AU12,CENY!$B$11:$G$1054,2,FALSE)</f>
        <v>AvanY-sólo oceľ.boky-NW 187/600mm/strieb.</v>
      </c>
      <c r="AW12" s="22">
        <f>VLOOKUP(AU12,CENY!$B$11:$G$1054,3,FALSE)</f>
        <v>1</v>
      </c>
      <c r="AX12" s="362">
        <v>8</v>
      </c>
      <c r="AY12" s="23">
        <f>AC20+AC22+AC28+AC30</f>
        <v>0</v>
      </c>
      <c r="AZ12" s="326">
        <f t="shared" si="1"/>
        <v>0</v>
      </c>
      <c r="BA12" s="95">
        <f>VLOOKUP(AU12,CENY!$B$11:$M$2025,12,FALSE)</f>
        <v>867.96834999999999</v>
      </c>
      <c r="BB12" s="95">
        <f t="shared" si="0"/>
        <v>0</v>
      </c>
      <c r="BD12" s="319">
        <f>OBJ!B129</f>
        <v>9255051</v>
      </c>
      <c r="BE12" s="21" t="str">
        <f>VLOOKUP(BD12,CENY!$B$11:$G$1054,2,FALSE)</f>
        <v>AvanY-bok pravý /v187/h400/ strieborná</v>
      </c>
      <c r="BF12" s="22">
        <f>VLOOKUP(BD12,CENY!$B$11:$G$1054,3,FALSE)</f>
        <v>10</v>
      </c>
      <c r="BG12" s="22"/>
      <c r="BH12" s="23">
        <f>AY8</f>
        <v>0</v>
      </c>
      <c r="BI12" s="326">
        <f t="shared" si="2"/>
        <v>0</v>
      </c>
      <c r="BJ12" s="95">
        <f>VLOOKUP(BD12,CENY!$B$11:$M$2025,12,FALSE)</f>
        <v>360.48838000000001</v>
      </c>
      <c r="BK12" s="95">
        <f t="shared" si="3"/>
        <v>0</v>
      </c>
    </row>
    <row r="13" spans="1:63" ht="14.4" customHeight="1">
      <c r="B13" s="549" t="str">
        <f>" "&amp;verze!E92</f>
        <v xml:space="preserve"> cena kování:</v>
      </c>
      <c r="C13" s="549"/>
      <c r="D13" s="549"/>
      <c r="E13" s="550"/>
      <c r="F13" s="555">
        <f>IF(AW4=1,BB4,BK4)</f>
        <v>0</v>
      </c>
      <c r="G13" s="555"/>
      <c r="H13" s="555"/>
      <c r="I13" s="555"/>
      <c r="J13" s="556" t="str">
        <f>IF(verze!E1="CZK","CZK","EUR")</f>
        <v>CZK</v>
      </c>
      <c r="K13" s="557"/>
      <c r="AU13" s="319">
        <f>OBJ!B120</f>
        <v>9353371</v>
      </c>
      <c r="AV13" s="21" t="str">
        <f>VLOOKUP(AU13,CENY!$B$11:$G$1054,2,FALSE)</f>
        <v>AvanY-sólo oceľ.boky-NW 187/650mm/strieb.</v>
      </c>
      <c r="AW13" s="22">
        <f>VLOOKUP(AU13,CENY!$B$11:$G$1054,3,FALSE)</f>
        <v>1</v>
      </c>
      <c r="AX13" s="362">
        <v>10</v>
      </c>
      <c r="AY13" s="23">
        <f>AE22</f>
        <v>0</v>
      </c>
      <c r="AZ13" s="326">
        <f t="shared" si="1"/>
        <v>0</v>
      </c>
      <c r="BA13" s="95">
        <f>VLOOKUP(AU13,CENY!$B$11:$M$2025,12,FALSE)</f>
        <v>895.00838999999996</v>
      </c>
      <c r="BB13" s="95">
        <f t="shared" si="0"/>
        <v>0</v>
      </c>
      <c r="BD13" s="319">
        <f>OBJ!B130</f>
        <v>9255052</v>
      </c>
      <c r="BE13" s="21" t="str">
        <f>VLOOKUP(BD13,CENY!$B$11:$G$1054,2,FALSE)</f>
        <v>AvanY-bok ľavý /v187/h450/ strieborná</v>
      </c>
      <c r="BF13" s="22">
        <f>VLOOKUP(BD13,CENY!$B$11:$G$1054,3,FALSE)</f>
        <v>10</v>
      </c>
      <c r="BG13" s="22"/>
      <c r="BH13" s="23">
        <f>AY9</f>
        <v>0</v>
      </c>
      <c r="BI13" s="326">
        <f t="shared" si="2"/>
        <v>0</v>
      </c>
      <c r="BJ13" s="95">
        <f>VLOOKUP(BD13,CENY!$B$11:$M$2025,12,FALSE)</f>
        <v>357.13297</v>
      </c>
      <c r="BK13" s="95">
        <f t="shared" si="3"/>
        <v>0</v>
      </c>
    </row>
    <row r="14" spans="1:63" ht="14.4" customHeight="1">
      <c r="AU14" s="319"/>
      <c r="AV14" s="21"/>
      <c r="AW14" s="22"/>
      <c r="AX14" s="22"/>
      <c r="AY14" s="23"/>
      <c r="AZ14" s="326" t="str">
        <f t="shared" si="1"/>
        <v/>
      </c>
      <c r="BA14" s="95"/>
      <c r="BB14" s="95" t="str">
        <f t="shared" si="0"/>
        <v/>
      </c>
      <c r="BD14" s="319">
        <f>OBJ!B131</f>
        <v>9255053</v>
      </c>
      <c r="BE14" s="21" t="str">
        <f>VLOOKUP(BD14,CENY!$B$11:$G$1054,2,FALSE)</f>
        <v>AvanY-bok pravý /v187/h450/ strieborná</v>
      </c>
      <c r="BF14" s="22">
        <f>VLOOKUP(BD14,CENY!$B$11:$G$1054,3,FALSE)</f>
        <v>10</v>
      </c>
      <c r="BG14" s="22"/>
      <c r="BH14" s="23">
        <f>AY9</f>
        <v>0</v>
      </c>
      <c r="BI14" s="326">
        <f t="shared" si="2"/>
        <v>0</v>
      </c>
      <c r="BJ14" s="95">
        <f>VLOOKUP(BD14,CENY!$B$11:$M$2025,12,FALSE)</f>
        <v>357.13297</v>
      </c>
      <c r="BK14" s="95">
        <f t="shared" si="3"/>
        <v>0</v>
      </c>
    </row>
    <row r="15" spans="1:63" ht="14.4" customHeight="1">
      <c r="AU15" s="319">
        <f>OBJ!B71</f>
        <v>9347502</v>
      </c>
      <c r="AV15" s="21" t="str">
        <f>VLOOKUP(AU15,CENY!$B$11:$G$1054,2,FALSE)</f>
        <v>AvanY-design ALprofil Hybrid na bok 270/ strieb.</v>
      </c>
      <c r="AW15" s="22">
        <f>VLOOKUP(AU15,CENY!$B$11:$G$1054,3,FALSE)</f>
        <v>200</v>
      </c>
      <c r="AX15" s="22"/>
      <c r="AY15" s="23">
        <f>IF(FORM!AM18=FORM!AU16,0,2*(O19+O20+O27+O28+O30))</f>
        <v>0</v>
      </c>
      <c r="AZ15" s="326">
        <f t="shared" si="1"/>
        <v>0</v>
      </c>
      <c r="BA15" s="95">
        <f>VLOOKUP(AU15,CENY!$B$11:$M$2025,12,FALSE)</f>
        <v>19.78839</v>
      </c>
      <c r="BB15" s="95">
        <f t="shared" si="0"/>
        <v>0</v>
      </c>
      <c r="BD15" s="319">
        <f>OBJ!B132</f>
        <v>9255054</v>
      </c>
      <c r="BE15" s="21" t="str">
        <f>VLOOKUP(BD15,CENY!$B$11:$G$1054,2,FALSE)</f>
        <v>AvanY-bok ľavý /v187/h500/ strieborná</v>
      </c>
      <c r="BF15" s="22">
        <f>VLOOKUP(BD15,CENY!$B$11:$G$1054,3,FALSE)</f>
        <v>10</v>
      </c>
      <c r="BG15" s="22"/>
      <c r="BH15" s="23">
        <f>AY10</f>
        <v>0</v>
      </c>
      <c r="BI15" s="326">
        <f t="shared" si="2"/>
        <v>0</v>
      </c>
      <c r="BJ15" s="95">
        <f>VLOOKUP(BD15,CENY!$B$11:$M$2025,12,FALSE)</f>
        <v>363.36250999999999</v>
      </c>
      <c r="BK15" s="95">
        <f t="shared" si="3"/>
        <v>0</v>
      </c>
    </row>
    <row r="16" spans="1:63" ht="14.4" customHeight="1">
      <c r="AU16" s="319">
        <f>OBJ!B72</f>
        <v>9347503</v>
      </c>
      <c r="AV16" s="21" t="str">
        <f>VLOOKUP(AU16,CENY!$B$11:$G$1054,2,FALSE)</f>
        <v>AvanY-design ALprofil Hybrid na bok 300/ strieb.</v>
      </c>
      <c r="AW16" s="22">
        <f>VLOOKUP(AU16,CENY!$B$11:$G$1054,3,FALSE)</f>
        <v>200</v>
      </c>
      <c r="AX16" s="22"/>
      <c r="AY16" s="23">
        <f>IF(FORM!AM18=FORM!AU16,0,2*(Q19+Q20+Q27+Q28+Q30))</f>
        <v>0</v>
      </c>
      <c r="AZ16" s="326">
        <f t="shared" si="1"/>
        <v>0</v>
      </c>
      <c r="BA16" s="95">
        <f>VLOOKUP(AU16,CENY!$B$11:$M$2025,12,FALSE)</f>
        <v>20.006769999999999</v>
      </c>
      <c r="BB16" s="95">
        <f t="shared" si="0"/>
        <v>0</v>
      </c>
      <c r="BD16" s="319">
        <f>OBJ!B133</f>
        <v>9255055</v>
      </c>
      <c r="BE16" s="21" t="str">
        <f>VLOOKUP(BD16,CENY!$B$11:$G$1054,2,FALSE)</f>
        <v>AvanY-bok pravý /v187/h500/ strieborná</v>
      </c>
      <c r="BF16" s="22">
        <f>VLOOKUP(BD16,CENY!$B$11:$G$1054,3,FALSE)</f>
        <v>10</v>
      </c>
      <c r="BG16" s="22"/>
      <c r="BH16" s="23">
        <f>AY10</f>
        <v>0</v>
      </c>
      <c r="BI16" s="326">
        <f t="shared" si="2"/>
        <v>0</v>
      </c>
      <c r="BJ16" s="95">
        <f>VLOOKUP(BD16,CENY!$B$11:$M$2025,12,FALSE)</f>
        <v>363.36250999999999</v>
      </c>
      <c r="BK16" s="95">
        <f t="shared" si="3"/>
        <v>0</v>
      </c>
    </row>
    <row r="17" spans="2:63" ht="14.4" customHeight="1" thickBot="1">
      <c r="B17" s="1" t="s">
        <v>284</v>
      </c>
      <c r="O17" s="547" t="str">
        <f>FORM!U18</f>
        <v>flexibilní sety</v>
      </c>
      <c r="P17" s="548"/>
      <c r="Q17" s="548"/>
      <c r="R17" s="548"/>
      <c r="S17" s="548"/>
      <c r="T17" s="548"/>
      <c r="U17" s="548"/>
      <c r="V17" s="548"/>
      <c r="W17" s="548"/>
      <c r="X17" s="548"/>
      <c r="Y17" s="548"/>
      <c r="Z17" s="548"/>
      <c r="AA17" s="548"/>
      <c r="AB17" s="548"/>
      <c r="AC17" s="548"/>
      <c r="AD17" s="548"/>
      <c r="AE17" s="548"/>
      <c r="AF17" s="548"/>
      <c r="AI17" s="540" t="str">
        <f>verze!E198</f>
        <v>P2O Silent pro Actro</v>
      </c>
      <c r="AJ17" s="541"/>
      <c r="AK17" s="541"/>
      <c r="AL17" s="541"/>
      <c r="AM17" s="541"/>
      <c r="AN17" s="541"/>
      <c r="AO17" s="541"/>
      <c r="AU17" s="319">
        <f>OBJ!B73</f>
        <v>9347504</v>
      </c>
      <c r="AV17" s="21" t="str">
        <f>VLOOKUP(AU17,CENY!$B$11:$G$1054,2,FALSE)</f>
        <v>AvanY-design ALprofil Hybrid na bok 350/ strieb.</v>
      </c>
      <c r="AW17" s="22">
        <f>VLOOKUP(AU17,CENY!$B$11:$G$1054,3,FALSE)</f>
        <v>200</v>
      </c>
      <c r="AX17" s="22"/>
      <c r="AY17" s="23">
        <f>IF(FORM!AM18=FORM!AU16,0,2*(S19+S20+S27+S28+S30))</f>
        <v>0</v>
      </c>
      <c r="AZ17" s="326">
        <f t="shared" si="1"/>
        <v>0</v>
      </c>
      <c r="BA17" s="95">
        <f>VLOOKUP(AU17,CENY!$B$11:$M$2025,12,FALSE)</f>
        <v>20.37642</v>
      </c>
      <c r="BB17" s="95">
        <f t="shared" si="0"/>
        <v>0</v>
      </c>
      <c r="BD17" s="319">
        <f>OBJ!B134</f>
        <v>9255056</v>
      </c>
      <c r="BE17" s="21" t="str">
        <f>VLOOKUP(BD17,CENY!$B$11:$G$1054,2,FALSE)</f>
        <v>AvanY-bok ľavý /v187/h550/ strieborná</v>
      </c>
      <c r="BF17" s="22">
        <f>VLOOKUP(BD17,CENY!$B$11:$G$1054,3,FALSE)</f>
        <v>10</v>
      </c>
      <c r="BG17" s="22"/>
      <c r="BH17" s="23">
        <f>AY11</f>
        <v>0</v>
      </c>
      <c r="BI17" s="326">
        <f t="shared" si="2"/>
        <v>0</v>
      </c>
      <c r="BJ17" s="95">
        <f>VLOOKUP(BD17,CENY!$B$11:$M$2025,12,FALSE)</f>
        <v>379.68511999999998</v>
      </c>
      <c r="BK17" s="95">
        <f t="shared" si="3"/>
        <v>0</v>
      </c>
    </row>
    <row r="18" spans="2:63" ht="14.4" customHeight="1" thickBot="1">
      <c r="B18" s="96"/>
      <c r="C18" s="96"/>
      <c r="D18" s="96"/>
      <c r="E18" s="96"/>
      <c r="F18" s="96"/>
      <c r="G18" s="96"/>
      <c r="H18" s="72"/>
      <c r="I18" s="72"/>
      <c r="J18" s="72"/>
      <c r="K18" s="72"/>
      <c r="L18" s="72"/>
      <c r="M18" s="72"/>
      <c r="N18" s="72" t="str">
        <f>verze!$E$20&amp;" "</f>
        <v xml:space="preserve">Jmenovitá délka: </v>
      </c>
      <c r="O18" s="535">
        <v>270</v>
      </c>
      <c r="P18" s="536"/>
      <c r="Q18" s="535">
        <v>300</v>
      </c>
      <c r="R18" s="536"/>
      <c r="S18" s="535">
        <v>350</v>
      </c>
      <c r="T18" s="536"/>
      <c r="U18" s="535">
        <v>400</v>
      </c>
      <c r="V18" s="536"/>
      <c r="W18" s="535">
        <v>450</v>
      </c>
      <c r="X18" s="536"/>
      <c r="Y18" s="537">
        <v>500</v>
      </c>
      <c r="Z18" s="538"/>
      <c r="AA18" s="535">
        <v>550</v>
      </c>
      <c r="AB18" s="536"/>
      <c r="AC18" s="535">
        <v>600</v>
      </c>
      <c r="AD18" s="536"/>
      <c r="AE18" s="535">
        <v>650</v>
      </c>
      <c r="AF18" s="536"/>
      <c r="AI18" s="543" t="s">
        <v>299</v>
      </c>
      <c r="AJ18" s="543"/>
      <c r="AK18" s="543"/>
      <c r="AL18" s="543"/>
      <c r="AM18" s="543"/>
      <c r="AN18" s="543"/>
      <c r="AO18" s="543"/>
      <c r="AU18" s="319">
        <f>OBJ!B74</f>
        <v>9347505</v>
      </c>
      <c r="AV18" s="21" t="str">
        <f>VLOOKUP(AU18,CENY!$B$11:$G$1054,2,FALSE)</f>
        <v>AvanY-design ALprofil Hybrid na bok 400/ strieb.</v>
      </c>
      <c r="AW18" s="22">
        <f>VLOOKUP(AU18,CENY!$B$11:$G$1054,3,FALSE)</f>
        <v>200</v>
      </c>
      <c r="AX18" s="22"/>
      <c r="AY18" s="23">
        <f>IF(FORM!AM18=FORM!AU16,0,2*(U20+U28+U30))</f>
        <v>0</v>
      </c>
      <c r="AZ18" s="326">
        <f t="shared" si="1"/>
        <v>0</v>
      </c>
      <c r="BA18" s="95">
        <f>VLOOKUP(AU18,CENY!$B$11:$M$2025,12,FALSE)</f>
        <v>20.742249999999999</v>
      </c>
      <c r="BB18" s="95">
        <f t="shared" si="0"/>
        <v>0</v>
      </c>
      <c r="BD18" s="319">
        <f>OBJ!B135</f>
        <v>9255057</v>
      </c>
      <c r="BE18" s="21" t="str">
        <f>VLOOKUP(BD18,CENY!$B$11:$G$1054,2,FALSE)</f>
        <v>AvanY-bok pravý /v187/h550/ strieborná</v>
      </c>
      <c r="BF18" s="22">
        <f>VLOOKUP(BD18,CENY!$B$11:$G$1054,3,FALSE)</f>
        <v>10</v>
      </c>
      <c r="BG18" s="22"/>
      <c r="BH18" s="23">
        <f>AY11</f>
        <v>0</v>
      </c>
      <c r="BI18" s="326">
        <f t="shared" si="2"/>
        <v>0</v>
      </c>
      <c r="BJ18" s="95">
        <f>VLOOKUP(BD18,CENY!$B$11:$M$2025,12,FALSE)</f>
        <v>379.68511999999998</v>
      </c>
      <c r="BK18" s="95">
        <f t="shared" si="3"/>
        <v>0</v>
      </c>
    </row>
    <row r="19" spans="2:63" ht="14.4" customHeight="1" thickBot="1">
      <c r="B19" s="530" t="s">
        <v>289</v>
      </c>
      <c r="C19" s="530"/>
      <c r="D19" s="530"/>
      <c r="E19" s="530"/>
      <c r="F19" s="530"/>
      <c r="G19" s="530"/>
      <c r="H19" s="531" t="str">
        <f>verze!E18</f>
        <v>plnovýsuv</v>
      </c>
      <c r="I19" s="531"/>
      <c r="J19" s="531"/>
      <c r="K19" s="531"/>
      <c r="L19" s="531"/>
      <c r="M19" s="532" t="s">
        <v>286</v>
      </c>
      <c r="N19" s="533"/>
      <c r="O19" s="567"/>
      <c r="P19" s="568"/>
      <c r="Q19" s="567"/>
      <c r="R19" s="568"/>
      <c r="S19" s="567"/>
      <c r="T19" s="568"/>
      <c r="U19" s="283"/>
      <c r="V19" s="284"/>
      <c r="W19" s="283"/>
      <c r="X19" s="284"/>
      <c r="Y19" s="283"/>
      <c r="Z19" s="284"/>
      <c r="AA19" s="283"/>
      <c r="AB19" s="284"/>
      <c r="AC19" s="283"/>
      <c r="AD19" s="284"/>
      <c r="AE19" s="280"/>
      <c r="AF19" s="281"/>
      <c r="AI19" s="289"/>
      <c r="AJ19" s="290"/>
      <c r="AK19" s="289"/>
      <c r="AL19" s="290"/>
      <c r="AM19" s="291" t="s">
        <v>295</v>
      </c>
      <c r="AN19" s="534"/>
      <c r="AO19" s="534"/>
      <c r="AU19" s="319">
        <f>OBJ!B75</f>
        <v>9347506</v>
      </c>
      <c r="AV19" s="21" t="str">
        <f>VLOOKUP(AU19,CENY!$B$11:$G$1054,2,FALSE)</f>
        <v>AvanY-design ALprofil Hybrid na bok 450/ strieb.</v>
      </c>
      <c r="AW19" s="22">
        <f>VLOOKUP(AU19,CENY!$B$11:$G$1054,3,FALSE)</f>
        <v>200</v>
      </c>
      <c r="AX19" s="22"/>
      <c r="AY19" s="23">
        <f>IF(FORM!AM18=FORM!AU16,0,2*(W20+W22+W28+W30))</f>
        <v>0</v>
      </c>
      <c r="AZ19" s="326">
        <f t="shared" si="1"/>
        <v>0</v>
      </c>
      <c r="BA19" s="95">
        <f>VLOOKUP(AU19,CENY!$B$11:$M$2025,12,FALSE)</f>
        <v>21.111910000000002</v>
      </c>
      <c r="BB19" s="95">
        <f t="shared" si="0"/>
        <v>0</v>
      </c>
      <c r="BD19" s="319">
        <f>OBJ!B136</f>
        <v>9255058</v>
      </c>
      <c r="BE19" s="21" t="str">
        <f>VLOOKUP(BD19,CENY!$B$11:$G$1054,2,FALSE)</f>
        <v>AvanY-bok ľavý /v187/h600/ strieborná</v>
      </c>
      <c r="BF19" s="22">
        <f>VLOOKUP(BD19,CENY!$B$11:$G$1054,3,FALSE)</f>
        <v>10</v>
      </c>
      <c r="BG19" s="22"/>
      <c r="BH19" s="23">
        <f>AY12</f>
        <v>0</v>
      </c>
      <c r="BI19" s="326">
        <f t="shared" si="2"/>
        <v>0</v>
      </c>
      <c r="BJ19" s="95">
        <f>VLOOKUP(BD19,CENY!$B$11:$M$2025,12,FALSE)</f>
        <v>389.34050000000002</v>
      </c>
      <c r="BK19" s="95">
        <f t="shared" si="3"/>
        <v>0</v>
      </c>
    </row>
    <row r="20" spans="2:63" ht="14.4" customHeight="1" thickBot="1">
      <c r="B20" s="521" t="s">
        <v>290</v>
      </c>
      <c r="C20" s="521"/>
      <c r="D20" s="521"/>
      <c r="E20" s="521"/>
      <c r="F20" s="521"/>
      <c r="G20" s="521"/>
      <c r="H20" s="522" t="str">
        <f>verze!E18</f>
        <v>plnovýsuv</v>
      </c>
      <c r="I20" s="522"/>
      <c r="J20" s="522"/>
      <c r="K20" s="522"/>
      <c r="L20" s="522"/>
      <c r="M20" s="523" t="s">
        <v>287</v>
      </c>
      <c r="N20" s="546"/>
      <c r="O20" s="516"/>
      <c r="P20" s="517"/>
      <c r="Q20" s="516"/>
      <c r="R20" s="517"/>
      <c r="S20" s="516"/>
      <c r="T20" s="517"/>
      <c r="U20" s="516"/>
      <c r="V20" s="517"/>
      <c r="W20" s="516"/>
      <c r="X20" s="517"/>
      <c r="Y20" s="516"/>
      <c r="Z20" s="517"/>
      <c r="AA20" s="516"/>
      <c r="AB20" s="517"/>
      <c r="AC20" s="565"/>
      <c r="AD20" s="566"/>
      <c r="AE20" s="518"/>
      <c r="AF20" s="519"/>
      <c r="AI20" s="287"/>
      <c r="AJ20" s="288"/>
      <c r="AK20" s="287"/>
      <c r="AL20" s="288"/>
      <c r="AM20" s="286" t="s">
        <v>294</v>
      </c>
      <c r="AN20" s="520"/>
      <c r="AO20" s="520"/>
      <c r="AU20" s="319">
        <f>OBJ!B76</f>
        <v>9347507</v>
      </c>
      <c r="AV20" s="21" t="str">
        <f>VLOOKUP(AU20,CENY!$B$11:$G$1054,2,FALSE)</f>
        <v>AvanY-design ALprofil Hybrid na bok 500/ strieb.</v>
      </c>
      <c r="AW20" s="22">
        <f>VLOOKUP(AU20,CENY!$B$11:$G$1054,3,FALSE)</f>
        <v>200</v>
      </c>
      <c r="AX20" s="22"/>
      <c r="AY20" s="23">
        <f>IF(FORM!AM18=FORM!AU16,0,2*(Y20+Y22+Y28+Y30))</f>
        <v>0</v>
      </c>
      <c r="AZ20" s="326">
        <f t="shared" si="1"/>
        <v>0</v>
      </c>
      <c r="BA20" s="95">
        <f>VLOOKUP(AU20,CENY!$B$11:$M$2025,12,FALSE)</f>
        <v>21.479700000000001</v>
      </c>
      <c r="BB20" s="95">
        <f t="shared" si="0"/>
        <v>0</v>
      </c>
      <c r="BD20" s="319">
        <f>OBJ!B137</f>
        <v>9255059</v>
      </c>
      <c r="BE20" s="21" t="str">
        <f>VLOOKUP(BD20,CENY!$B$11:$G$1054,2,FALSE)</f>
        <v>AvanY-bok pravý /v187/h600/ strieborná</v>
      </c>
      <c r="BF20" s="22">
        <f>VLOOKUP(BD20,CENY!$B$11:$G$1054,3,FALSE)</f>
        <v>10</v>
      </c>
      <c r="BG20" s="22"/>
      <c r="BH20" s="23">
        <f>AY12</f>
        <v>0</v>
      </c>
      <c r="BI20" s="326">
        <f t="shared" si="2"/>
        <v>0</v>
      </c>
      <c r="BJ20" s="95">
        <f>VLOOKUP(BD20,CENY!$B$11:$M$2025,12,FALSE)</f>
        <v>389.34050000000002</v>
      </c>
      <c r="BK20" s="95">
        <f t="shared" si="3"/>
        <v>0</v>
      </c>
    </row>
    <row r="21" spans="2:63" ht="14.4" customHeight="1" thickBot="1">
      <c r="O21" s="283"/>
      <c r="P21" s="284"/>
      <c r="Q21" s="283"/>
      <c r="R21" s="284"/>
      <c r="S21" s="283"/>
      <c r="T21" s="284"/>
      <c r="U21" s="283"/>
      <c r="V21" s="284"/>
      <c r="W21" s="283"/>
      <c r="X21" s="284"/>
      <c r="Y21" s="283"/>
      <c r="Z21" s="284"/>
      <c r="AA21" s="283"/>
      <c r="AB21" s="284"/>
      <c r="AC21" s="283"/>
      <c r="AD21" s="284"/>
      <c r="AE21" s="283"/>
      <c r="AF21" s="284"/>
      <c r="AI21" s="287"/>
      <c r="AJ21" s="288"/>
      <c r="AK21" s="287"/>
      <c r="AL21" s="288"/>
      <c r="AM21" s="286" t="s">
        <v>296</v>
      </c>
      <c r="AN21" s="542"/>
      <c r="AO21" s="542"/>
      <c r="AU21" s="319">
        <f>OBJ!B77</f>
        <v>9347508</v>
      </c>
      <c r="AV21" s="21" t="str">
        <f>VLOOKUP(AU21,CENY!$B$11:$G$1054,2,FALSE)</f>
        <v>AvanY-design ALprofil Hybrid na bok 550/ strieb.</v>
      </c>
      <c r="AW21" s="22">
        <f>VLOOKUP(AU21,CENY!$B$11:$G$1054,3,FALSE)</f>
        <v>200</v>
      </c>
      <c r="AX21" s="22"/>
      <c r="AY21" s="23">
        <f>IF(FORM!AM18=FORM!AU16,0,2*(AA20+AA22+AA28+AA30))</f>
        <v>0</v>
      </c>
      <c r="AZ21" s="326">
        <f t="shared" si="1"/>
        <v>0</v>
      </c>
      <c r="BA21" s="95">
        <f>VLOOKUP(AU21,CENY!$B$11:$M$2025,12,FALSE)</f>
        <v>21.84564</v>
      </c>
      <c r="BB21" s="95">
        <f t="shared" si="0"/>
        <v>0</v>
      </c>
      <c r="BD21" s="319">
        <f>OBJ!B138</f>
        <v>9255060</v>
      </c>
      <c r="BE21" s="21" t="str">
        <f>VLOOKUP(BD21,CENY!$B$11:$G$1054,2,FALSE)</f>
        <v>AvanY-bok ľavý /v187/h650/ strieborná</v>
      </c>
      <c r="BF21" s="22">
        <f>VLOOKUP(BD21,CENY!$B$11:$G$1054,3,FALSE)</f>
        <v>10</v>
      </c>
      <c r="BG21" s="22"/>
      <c r="BH21" s="23">
        <f>AY13</f>
        <v>0</v>
      </c>
      <c r="BI21" s="326">
        <f t="shared" si="2"/>
        <v>0</v>
      </c>
      <c r="BJ21" s="95">
        <f>VLOOKUP(BD21,CENY!$B$11:$M$2025,12,FALSE)</f>
        <v>402.46422999999999</v>
      </c>
      <c r="BK21" s="95">
        <f t="shared" si="3"/>
        <v>0</v>
      </c>
    </row>
    <row r="22" spans="2:63" ht="14.4" customHeight="1" thickBot="1">
      <c r="B22" s="544" t="s">
        <v>291</v>
      </c>
      <c r="C22" s="544"/>
      <c r="D22" s="544"/>
      <c r="E22" s="544"/>
      <c r="F22" s="544"/>
      <c r="G22" s="544"/>
      <c r="H22" s="545" t="str">
        <f>verze!E18</f>
        <v>plnovýsuv</v>
      </c>
      <c r="I22" s="545"/>
      <c r="J22" s="545"/>
      <c r="K22" s="545"/>
      <c r="L22" s="545"/>
      <c r="M22" s="523" t="s">
        <v>288</v>
      </c>
      <c r="N22" s="524"/>
      <c r="O22" s="518"/>
      <c r="P22" s="519"/>
      <c r="Q22" s="518"/>
      <c r="R22" s="519"/>
      <c r="S22" s="518"/>
      <c r="T22" s="519"/>
      <c r="U22" s="518"/>
      <c r="V22" s="519"/>
      <c r="W22" s="516"/>
      <c r="X22" s="517"/>
      <c r="Y22" s="516"/>
      <c r="Z22" s="517"/>
      <c r="AA22" s="516"/>
      <c r="AB22" s="517"/>
      <c r="AC22" s="516"/>
      <c r="AD22" s="517"/>
      <c r="AE22" s="565"/>
      <c r="AF22" s="566"/>
      <c r="AI22" s="287"/>
      <c r="AJ22" s="288"/>
      <c r="AK22" s="287"/>
      <c r="AL22" s="288"/>
      <c r="AM22" s="286" t="s">
        <v>297</v>
      </c>
      <c r="AN22" s="539"/>
      <c r="AO22" s="539"/>
      <c r="AU22" s="319">
        <f>OBJ!B78</f>
        <v>9347509</v>
      </c>
      <c r="AV22" s="21" t="str">
        <f>VLOOKUP(AU22,CENY!$B$11:$G$1054,2,FALSE)</f>
        <v>AvanY-design ALprofil Hybrid na bok 600/ strieb.</v>
      </c>
      <c r="AW22" s="22">
        <f>VLOOKUP(AU22,CENY!$B$11:$G$1054,3,FALSE)</f>
        <v>200</v>
      </c>
      <c r="AX22" s="22"/>
      <c r="AY22" s="23">
        <f>IF(FORM!AM18=FORM!AU16,0,2*(AC20+AC22+AC28+AC30))</f>
        <v>0</v>
      </c>
      <c r="AZ22" s="326">
        <f t="shared" si="1"/>
        <v>0</v>
      </c>
      <c r="BA22" s="95">
        <f>VLOOKUP(AU22,CENY!$B$11:$M$2025,12,FALSE)</f>
        <v>22.79205</v>
      </c>
      <c r="BB22" s="95">
        <f t="shared" si="0"/>
        <v>0</v>
      </c>
      <c r="BD22" s="319">
        <f>OBJ!B139</f>
        <v>9255061</v>
      </c>
      <c r="BE22" s="21" t="str">
        <f>VLOOKUP(BD22,CENY!$B$11:$G$1054,2,FALSE)</f>
        <v>AvanY-bok pravý /v187/h650/ strieborná</v>
      </c>
      <c r="BF22" s="22">
        <f>VLOOKUP(BD22,CENY!$B$11:$G$1054,3,FALSE)</f>
        <v>10</v>
      </c>
      <c r="BG22" s="22"/>
      <c r="BH22" s="23">
        <f>AY13</f>
        <v>0</v>
      </c>
      <c r="BI22" s="326">
        <f t="shared" si="2"/>
        <v>0</v>
      </c>
      <c r="BJ22" s="95">
        <f>VLOOKUP(BD22,CENY!$B$11:$M$2025,12,FALSE)</f>
        <v>402.46422999999999</v>
      </c>
      <c r="BK22" s="95">
        <f t="shared" si="3"/>
        <v>0</v>
      </c>
    </row>
    <row r="23" spans="2:63" ht="14.4" customHeight="1">
      <c r="O23" s="4"/>
      <c r="P23" s="4"/>
      <c r="AU23" s="319">
        <f>OBJ!B79</f>
        <v>9347510</v>
      </c>
      <c r="AV23" s="21" t="str">
        <f>VLOOKUP(AU23,CENY!$B$11:$G$1054,2,FALSE)</f>
        <v>AvanY-design ALprofil Hybrid na bok 650/ strieb.</v>
      </c>
      <c r="AW23" s="22">
        <f>VLOOKUP(AU23,CENY!$B$11:$G$1054,3,FALSE)</f>
        <v>200</v>
      </c>
      <c r="AX23" s="22"/>
      <c r="AY23" s="23">
        <f>IF(FORM!AM18=FORM!AU16,0,2*AE22)</f>
        <v>0</v>
      </c>
      <c r="AZ23" s="326">
        <f t="shared" si="1"/>
        <v>0</v>
      </c>
      <c r="BA23" s="95">
        <f>VLOOKUP(AU23,CENY!$B$11:$M$2025,12,FALSE)</f>
        <v>24.580449999999999</v>
      </c>
      <c r="BB23" s="95">
        <f t="shared" si="0"/>
        <v>0</v>
      </c>
      <c r="BD23" s="319"/>
      <c r="BE23" s="21"/>
      <c r="BF23" s="22"/>
      <c r="BG23" s="22"/>
      <c r="BH23" s="23"/>
      <c r="BI23" s="326" t="str">
        <f t="shared" si="2"/>
        <v/>
      </c>
      <c r="BJ23" s="95"/>
      <c r="BK23" s="95" t="str">
        <f t="shared" si="3"/>
        <v/>
      </c>
    </row>
    <row r="24" spans="2:63" ht="14.4" customHeight="1">
      <c r="AU24" s="319"/>
      <c r="AV24" s="21"/>
      <c r="AW24" s="22"/>
      <c r="AX24" s="22"/>
      <c r="AY24" s="23"/>
      <c r="AZ24" s="326" t="str">
        <f t="shared" si="1"/>
        <v/>
      </c>
      <c r="BA24" s="95"/>
      <c r="BB24" s="95" t="str">
        <f t="shared" si="0"/>
        <v/>
      </c>
      <c r="BD24" s="320">
        <v>9255838</v>
      </c>
      <c r="BE24" s="321" t="str">
        <f>VLOOKUP(BD24,CENY!$B$11:$G$1054,2,FALSE)</f>
        <v>AvanY-prích.čela k naskrutk./ v187-251</v>
      </c>
      <c r="BF24" s="22">
        <f>VLOOKUP(BD24,CENY!$B$11:$G$1054,3,FALSE)</f>
        <v>200</v>
      </c>
      <c r="BG24" s="22"/>
      <c r="BH24" s="68">
        <f>2*(SUM(O19:T19)+SUM(O20:AD20)+SUM(W22:AF22)+SUM(O27:T27)+SUM(O28:AD28)+SUM(O30:AD30))</f>
        <v>0</v>
      </c>
      <c r="BI24" s="326">
        <f t="shared" si="2"/>
        <v>0</v>
      </c>
      <c r="BJ24" s="95">
        <f>VLOOKUP(BD24,CENY!$B$11:$M$2025,12,FALSE)</f>
        <v>49.383429999999997</v>
      </c>
      <c r="BK24" s="95">
        <f t="shared" si="3"/>
        <v>0</v>
      </c>
    </row>
    <row r="25" spans="2:63" ht="14.4" customHeight="1" thickBot="1">
      <c r="B25" s="2" t="s">
        <v>285</v>
      </c>
      <c r="AI25" s="540" t="str">
        <f>verze!E199</f>
        <v>P2O Silent pro Quadro</v>
      </c>
      <c r="AJ25" s="541"/>
      <c r="AK25" s="541"/>
      <c r="AL25" s="541"/>
      <c r="AM25" s="541"/>
      <c r="AN25" s="541"/>
      <c r="AO25" s="541"/>
      <c r="AU25" s="319">
        <f>OBJ!B233</f>
        <v>9318154</v>
      </c>
      <c r="AV25" s="21" t="str">
        <f>VLOOKUP(AU25,CENY!$B$11:$G$1054,2,FALSE)</f>
        <v>Actro You(S) 270/SiSy 10kg; EB21</v>
      </c>
      <c r="AW25" s="22">
        <f>VLOOKUP(AU25,CENY!$B$11:$G$1054,3,FALSE)</f>
        <v>1</v>
      </c>
      <c r="AX25" s="362">
        <v>4</v>
      </c>
      <c r="AY25" s="23">
        <f>O19</f>
        <v>0</v>
      </c>
      <c r="AZ25" s="326">
        <f t="shared" si="1"/>
        <v>0</v>
      </c>
      <c r="BA25" s="95">
        <f>VLOOKUP(AU25,CENY!$B$11:$M$2025,12,FALSE)</f>
        <v>657.45060999999998</v>
      </c>
      <c r="BB25" s="95">
        <f t="shared" si="0"/>
        <v>0</v>
      </c>
      <c r="BD25" s="319">
        <f>OBJ!B48</f>
        <v>9257702</v>
      </c>
      <c r="BE25" s="21" t="str">
        <f>VLOOKUP(BD25,CENY!$B$11:$G$1054,2,FALSE)</f>
        <v>AvanY-stabilizátor chrbáta</v>
      </c>
      <c r="BF25" s="22">
        <f>VLOOKUP(BD25,CENY!$B$11:$G$1054,3,FALSE)</f>
        <v>200</v>
      </c>
      <c r="BG25" s="22"/>
      <c r="BH25" s="23">
        <f>2*(SUM(O19:T19)+SUM(O20:AD20)+SUM(W22:AF22)+SUM(O27:T27)+SUM(O28:AD28)+SUM(O30:AD30))</f>
        <v>0</v>
      </c>
      <c r="BI25" s="326">
        <f t="shared" si="2"/>
        <v>0</v>
      </c>
      <c r="BJ25" s="95">
        <f>VLOOKUP(BD25,CENY!$B$11:$M$2025,12,FALSE)</f>
        <v>15.54837</v>
      </c>
      <c r="BK25" s="95">
        <f t="shared" si="3"/>
        <v>0</v>
      </c>
    </row>
    <row r="26" spans="2:63" ht="14.4" customHeight="1" thickBot="1">
      <c r="B26" s="96"/>
      <c r="C26" s="96"/>
      <c r="D26" s="96"/>
      <c r="E26" s="96"/>
      <c r="F26" s="96"/>
      <c r="G26" s="96"/>
      <c r="H26" s="72"/>
      <c r="I26" s="72"/>
      <c r="J26" s="72"/>
      <c r="K26" s="72"/>
      <c r="L26" s="72"/>
      <c r="M26" s="72"/>
      <c r="N26" s="72" t="str">
        <f>verze!$E$20&amp;" "</f>
        <v xml:space="preserve">Jmenovitá délka: </v>
      </c>
      <c r="O26" s="535">
        <v>270</v>
      </c>
      <c r="P26" s="536"/>
      <c r="Q26" s="535">
        <v>300</v>
      </c>
      <c r="R26" s="536"/>
      <c r="S26" s="535">
        <v>350</v>
      </c>
      <c r="T26" s="536"/>
      <c r="U26" s="535">
        <v>400</v>
      </c>
      <c r="V26" s="536"/>
      <c r="W26" s="535">
        <v>450</v>
      </c>
      <c r="X26" s="536"/>
      <c r="Y26" s="537">
        <v>500</v>
      </c>
      <c r="Z26" s="538"/>
      <c r="AA26" s="535">
        <v>550</v>
      </c>
      <c r="AB26" s="536"/>
      <c r="AC26" s="535">
        <v>600</v>
      </c>
      <c r="AD26" s="536"/>
      <c r="AI26" s="543" t="s">
        <v>299</v>
      </c>
      <c r="AJ26" s="543"/>
      <c r="AK26" s="543"/>
      <c r="AL26" s="543"/>
      <c r="AM26" s="543"/>
      <c r="AN26" s="543"/>
      <c r="AO26" s="543"/>
      <c r="AU26" s="319">
        <f>OBJ!B234</f>
        <v>9318156</v>
      </c>
      <c r="AV26" s="21" t="str">
        <f>VLOOKUP(AU26,CENY!$B$11:$G$1054,2,FALSE)</f>
        <v>Actro You(S) 300/SiSy 10kg; EB21</v>
      </c>
      <c r="AW26" s="22">
        <f>VLOOKUP(AU26,CENY!$B$11:$G$1054,3,FALSE)</f>
        <v>1</v>
      </c>
      <c r="AX26" s="362">
        <v>4</v>
      </c>
      <c r="AY26" s="23">
        <f>Q19</f>
        <v>0</v>
      </c>
      <c r="AZ26" s="326">
        <f t="shared" si="1"/>
        <v>0</v>
      </c>
      <c r="BA26" s="95">
        <f>VLOOKUP(AU26,CENY!$B$11:$M$2025,12,FALSE)</f>
        <v>657.45060999999998</v>
      </c>
      <c r="BB26" s="95">
        <f t="shared" si="0"/>
        <v>0</v>
      </c>
      <c r="BD26" s="20"/>
      <c r="BE26" s="21"/>
      <c r="BF26" s="22"/>
      <c r="BG26" s="22"/>
      <c r="BH26" s="23"/>
      <c r="BI26" s="326" t="str">
        <f t="shared" si="2"/>
        <v/>
      </c>
      <c r="BJ26" s="95"/>
      <c r="BK26" s="95" t="str">
        <f t="shared" si="3"/>
        <v/>
      </c>
    </row>
    <row r="27" spans="2:63" ht="14.4" customHeight="1" thickBot="1">
      <c r="B27" s="530" t="s">
        <v>292</v>
      </c>
      <c r="C27" s="530"/>
      <c r="D27" s="530"/>
      <c r="E27" s="530"/>
      <c r="F27" s="530"/>
      <c r="G27" s="530"/>
      <c r="H27" s="531" t="str">
        <f>verze!E18</f>
        <v>plnovýsuv</v>
      </c>
      <c r="I27" s="531"/>
      <c r="J27" s="531"/>
      <c r="K27" s="531"/>
      <c r="L27" s="531"/>
      <c r="M27" s="532" t="s">
        <v>286</v>
      </c>
      <c r="N27" s="533"/>
      <c r="O27" s="567"/>
      <c r="P27" s="568"/>
      <c r="Q27" s="567"/>
      <c r="R27" s="568"/>
      <c r="S27" s="567"/>
      <c r="T27" s="568"/>
      <c r="U27" s="283"/>
      <c r="V27" s="284"/>
      <c r="W27" s="283"/>
      <c r="X27" s="284"/>
      <c r="Y27" s="283"/>
      <c r="Z27" s="284"/>
      <c r="AA27" s="283"/>
      <c r="AB27" s="284"/>
      <c r="AC27" s="283"/>
      <c r="AD27" s="284"/>
      <c r="AI27" s="289"/>
      <c r="AJ27" s="290"/>
      <c r="AK27" s="289"/>
      <c r="AL27" s="290"/>
      <c r="AM27" s="291" t="s">
        <v>295</v>
      </c>
      <c r="AN27" s="534"/>
      <c r="AO27" s="534"/>
      <c r="AU27" s="319">
        <f>OBJ!B235</f>
        <v>9318160</v>
      </c>
      <c r="AV27" s="21" t="str">
        <f>VLOOKUP(AU27,CENY!$B$11:$G$1054,2,FALSE)</f>
        <v>Actro You(S) 350/SiSy 10kg; EB21</v>
      </c>
      <c r="AW27" s="22">
        <f>VLOOKUP(AU27,CENY!$B$11:$G$1054,3,FALSE)</f>
        <v>1</v>
      </c>
      <c r="AX27" s="362">
        <v>4</v>
      </c>
      <c r="AY27" s="23">
        <f>S19</f>
        <v>0</v>
      </c>
      <c r="AZ27" s="326">
        <f t="shared" si="1"/>
        <v>0</v>
      </c>
      <c r="BA27" s="95">
        <f>VLOOKUP(AU27,CENY!$B$11:$M$2025,12,FALSE)</f>
        <v>657.45060999999998</v>
      </c>
      <c r="BB27" s="95">
        <f t="shared" si="0"/>
        <v>0</v>
      </c>
      <c r="BD27" s="319">
        <f>OBJ!B71</f>
        <v>9347502</v>
      </c>
      <c r="BE27" s="21" t="str">
        <f>VLOOKUP(BD27,CENY!$B$11:$G$1054,2,FALSE)</f>
        <v>AvanY-design ALprofil Hybrid na bok 270/ strieb.</v>
      </c>
      <c r="BF27" s="22">
        <f>VLOOKUP(BD27,CENY!$B$11:$G$1054,3,FALSE)</f>
        <v>200</v>
      </c>
      <c r="BG27" s="22"/>
      <c r="BH27" s="23">
        <f>2*(O19+O20+O27+O28+O30)</f>
        <v>0</v>
      </c>
      <c r="BI27" s="326">
        <f t="shared" si="2"/>
        <v>0</v>
      </c>
      <c r="BJ27" s="95">
        <f>VLOOKUP(BD27,CENY!$B$11:$M$2025,12,FALSE)</f>
        <v>19.78839</v>
      </c>
      <c r="BK27" s="95">
        <f t="shared" si="3"/>
        <v>0</v>
      </c>
    </row>
    <row r="28" spans="2:63" ht="14.4" customHeight="1" thickBot="1">
      <c r="B28" s="521" t="s">
        <v>372</v>
      </c>
      <c r="C28" s="521"/>
      <c r="D28" s="521"/>
      <c r="E28" s="521"/>
      <c r="F28" s="521"/>
      <c r="G28" s="521"/>
      <c r="H28" s="522" t="str">
        <f>verze!E18</f>
        <v>plnovýsuv</v>
      </c>
      <c r="I28" s="522"/>
      <c r="J28" s="522"/>
      <c r="K28" s="522"/>
      <c r="L28" s="522"/>
      <c r="M28" s="523" t="s">
        <v>1</v>
      </c>
      <c r="N28" s="524"/>
      <c r="O28" s="516"/>
      <c r="P28" s="517"/>
      <c r="Q28" s="516"/>
      <c r="R28" s="517"/>
      <c r="S28" s="516"/>
      <c r="T28" s="517"/>
      <c r="U28" s="516"/>
      <c r="V28" s="517"/>
      <c r="W28" s="516"/>
      <c r="X28" s="517"/>
      <c r="Y28" s="516"/>
      <c r="Z28" s="517"/>
      <c r="AA28" s="516"/>
      <c r="AB28" s="517"/>
      <c r="AC28" s="516"/>
      <c r="AD28" s="517"/>
      <c r="AI28" s="287"/>
      <c r="AJ28" s="288"/>
      <c r="AK28" s="287"/>
      <c r="AL28" s="288"/>
      <c r="AM28" s="286" t="s">
        <v>294</v>
      </c>
      <c r="AN28" s="520"/>
      <c r="AO28" s="520"/>
      <c r="AU28" s="20"/>
      <c r="AV28" s="21"/>
      <c r="AW28" s="22"/>
      <c r="AX28" s="22"/>
      <c r="AY28" s="23"/>
      <c r="AZ28" s="326" t="str">
        <f t="shared" si="1"/>
        <v/>
      </c>
      <c r="BA28" s="95"/>
      <c r="BB28" s="95" t="str">
        <f t="shared" si="0"/>
        <v/>
      </c>
      <c r="BD28" s="319">
        <f>OBJ!B72</f>
        <v>9347503</v>
      </c>
      <c r="BE28" s="21" t="str">
        <f>VLOOKUP(BD28,CENY!$B$11:$G$1054,2,FALSE)</f>
        <v>AvanY-design ALprofil Hybrid na bok 300/ strieb.</v>
      </c>
      <c r="BF28" s="22">
        <f>VLOOKUP(BD28,CENY!$B$11:$G$1054,3,FALSE)</f>
        <v>200</v>
      </c>
      <c r="BG28" s="22"/>
      <c r="BH28" s="23">
        <f>2*(Q19+Q20+Q27+Q28+Q30)</f>
        <v>0</v>
      </c>
      <c r="BI28" s="326">
        <f t="shared" si="2"/>
        <v>0</v>
      </c>
      <c r="BJ28" s="95">
        <f>VLOOKUP(BD28,CENY!$B$11:$M$2025,12,FALSE)</f>
        <v>20.006769999999999</v>
      </c>
      <c r="BK28" s="95">
        <f t="shared" si="3"/>
        <v>0</v>
      </c>
    </row>
    <row r="29" spans="2:63" ht="14.4" customHeight="1" thickBot="1">
      <c r="O29" s="283"/>
      <c r="P29" s="284"/>
      <c r="Q29" s="283"/>
      <c r="R29" s="284"/>
      <c r="S29" s="283"/>
      <c r="T29" s="284"/>
      <c r="U29" s="283"/>
      <c r="V29" s="284"/>
      <c r="W29" s="283"/>
      <c r="X29" s="284"/>
      <c r="Y29" s="283"/>
      <c r="Z29" s="284"/>
      <c r="AA29" s="283"/>
      <c r="AB29" s="284"/>
      <c r="AC29" s="283"/>
      <c r="AD29" s="284"/>
      <c r="AI29" s="287"/>
      <c r="AJ29" s="288"/>
      <c r="AK29" s="287"/>
      <c r="AL29" s="288"/>
      <c r="AM29" s="286" t="s">
        <v>298</v>
      </c>
      <c r="AN29" s="527"/>
      <c r="AO29" s="527"/>
      <c r="AU29" s="319">
        <f>OBJ!B243</f>
        <v>9318186</v>
      </c>
      <c r="AV29" s="21" t="str">
        <f>VLOOKUP(AU29,CENY!$B$11:$G$1054,2,FALSE)</f>
        <v>Actro You(L) 270/SiSy 40kg; EB21</v>
      </c>
      <c r="AW29" s="22">
        <f>VLOOKUP(AU29,CENY!$B$11:$G$1054,3,FALSE)</f>
        <v>1</v>
      </c>
      <c r="AX29" s="362">
        <v>8</v>
      </c>
      <c r="AY29" s="23">
        <f>O20</f>
        <v>0</v>
      </c>
      <c r="AZ29" s="326">
        <f t="shared" si="1"/>
        <v>0</v>
      </c>
      <c r="BA29" s="95">
        <f>VLOOKUP(AU29,CENY!$B$11:$M$2025,12,FALSE)</f>
        <v>657.45060999999998</v>
      </c>
      <c r="BB29" s="95">
        <f t="shared" si="0"/>
        <v>0</v>
      </c>
      <c r="BD29" s="319">
        <f>OBJ!B73</f>
        <v>9347504</v>
      </c>
      <c r="BE29" s="21" t="str">
        <f>VLOOKUP(BD29,CENY!$B$11:$G$1054,2,FALSE)</f>
        <v>AvanY-design ALprofil Hybrid na bok 350/ strieb.</v>
      </c>
      <c r="BF29" s="22">
        <f>VLOOKUP(BD29,CENY!$B$11:$G$1054,3,FALSE)</f>
        <v>200</v>
      </c>
      <c r="BG29" s="22"/>
      <c r="BH29" s="23">
        <f>2*(S19+S20+S27+S28+S30)</f>
        <v>0</v>
      </c>
      <c r="BI29" s="326">
        <f t="shared" si="2"/>
        <v>0</v>
      </c>
      <c r="BJ29" s="95">
        <f>VLOOKUP(BD29,CENY!$B$11:$M$2025,12,FALSE)</f>
        <v>20.37642</v>
      </c>
      <c r="BK29" s="95">
        <f t="shared" si="3"/>
        <v>0</v>
      </c>
    </row>
    <row r="30" spans="2:63" ht="14.4" customHeight="1" thickBot="1">
      <c r="B30" s="528" t="s">
        <v>373</v>
      </c>
      <c r="C30" s="528"/>
      <c r="D30" s="528"/>
      <c r="E30" s="528"/>
      <c r="F30" s="528"/>
      <c r="G30" s="528"/>
      <c r="H30" s="529" t="str">
        <f>verze!E18</f>
        <v>plnovýsuv</v>
      </c>
      <c r="I30" s="529"/>
      <c r="J30" s="529"/>
      <c r="K30" s="529"/>
      <c r="L30" s="529"/>
      <c r="M30" s="523" t="s">
        <v>1</v>
      </c>
      <c r="N30" s="524"/>
      <c r="O30" s="516"/>
      <c r="P30" s="517"/>
      <c r="Q30" s="516"/>
      <c r="R30" s="517"/>
      <c r="S30" s="516"/>
      <c r="T30" s="517"/>
      <c r="U30" s="516"/>
      <c r="V30" s="517"/>
      <c r="W30" s="516"/>
      <c r="X30" s="517"/>
      <c r="Y30" s="516"/>
      <c r="Z30" s="517"/>
      <c r="AA30" s="516"/>
      <c r="AB30" s="517"/>
      <c r="AC30" s="565"/>
      <c r="AD30" s="566"/>
      <c r="AU30" s="319">
        <f>OBJ!B244</f>
        <v>9318187</v>
      </c>
      <c r="AV30" s="21" t="str">
        <f>VLOOKUP(AU30,CENY!$B$11:$G$1054,2,FALSE)</f>
        <v>Actro You(L) 300/SiSy 40kg; EB21</v>
      </c>
      <c r="AW30" s="22">
        <f>VLOOKUP(AU30,CENY!$B$11:$G$1054,3,FALSE)</f>
        <v>1</v>
      </c>
      <c r="AX30" s="362">
        <v>8</v>
      </c>
      <c r="AY30" s="23">
        <f>Q20</f>
        <v>0</v>
      </c>
      <c r="AZ30" s="326">
        <f t="shared" si="1"/>
        <v>0</v>
      </c>
      <c r="BA30" s="95">
        <f>VLOOKUP(AU30,CENY!$B$11:$M$2025,12,FALSE)</f>
        <v>657.45060999999998</v>
      </c>
      <c r="BB30" s="95">
        <f t="shared" si="0"/>
        <v>0</v>
      </c>
      <c r="BD30" s="319">
        <f>OBJ!B74</f>
        <v>9347505</v>
      </c>
      <c r="BE30" s="21" t="str">
        <f>VLOOKUP(BD30,CENY!$B$11:$G$1054,2,FALSE)</f>
        <v>AvanY-design ALprofil Hybrid na bok 400/ strieb.</v>
      </c>
      <c r="BF30" s="22">
        <f>VLOOKUP(BD30,CENY!$B$11:$G$1054,3,FALSE)</f>
        <v>200</v>
      </c>
      <c r="BG30" s="22"/>
      <c r="BH30" s="23">
        <f>2*(U20+U28+U30)</f>
        <v>0</v>
      </c>
      <c r="BI30" s="326">
        <f t="shared" si="2"/>
        <v>0</v>
      </c>
      <c r="BJ30" s="95">
        <f>VLOOKUP(BD30,CENY!$B$11:$M$2025,12,FALSE)</f>
        <v>20.742249999999999</v>
      </c>
      <c r="BK30" s="95">
        <f t="shared" si="3"/>
        <v>0</v>
      </c>
    </row>
    <row r="31" spans="2:63" ht="14.4" customHeight="1">
      <c r="AU31" s="319">
        <f>OBJ!B245</f>
        <v>9318188</v>
      </c>
      <c r="AV31" s="21" t="str">
        <f>VLOOKUP(AU31,CENY!$B$11:$G$1054,2,FALSE)</f>
        <v>Actro You(L) 350/SiSy 40kg; EB21</v>
      </c>
      <c r="AW31" s="22">
        <f>VLOOKUP(AU31,CENY!$B$11:$G$1054,3,FALSE)</f>
        <v>1</v>
      </c>
      <c r="AX31" s="362">
        <v>8</v>
      </c>
      <c r="AY31" s="23">
        <f>S20</f>
        <v>0</v>
      </c>
      <c r="AZ31" s="326">
        <f t="shared" si="1"/>
        <v>0</v>
      </c>
      <c r="BA31" s="95">
        <f>VLOOKUP(AU31,CENY!$B$11:$M$2025,12,FALSE)</f>
        <v>657.45060999999998</v>
      </c>
      <c r="BB31" s="95">
        <f t="shared" si="0"/>
        <v>0</v>
      </c>
      <c r="BD31" s="319">
        <f>OBJ!B75</f>
        <v>9347506</v>
      </c>
      <c r="BE31" s="21" t="str">
        <f>VLOOKUP(BD31,CENY!$B$11:$G$1054,2,FALSE)</f>
        <v>AvanY-design ALprofil Hybrid na bok 450/ strieb.</v>
      </c>
      <c r="BF31" s="22">
        <f>VLOOKUP(BD31,CENY!$B$11:$G$1054,3,FALSE)</f>
        <v>200</v>
      </c>
      <c r="BG31" s="22"/>
      <c r="BH31" s="23">
        <f>2*(W20+W22+W28+W30)</f>
        <v>0</v>
      </c>
      <c r="BI31" s="326">
        <f t="shared" si="2"/>
        <v>0</v>
      </c>
      <c r="BJ31" s="95">
        <f>VLOOKUP(BD31,CENY!$B$11:$M$2025,12,FALSE)</f>
        <v>21.111910000000002</v>
      </c>
      <c r="BK31" s="95">
        <f t="shared" si="3"/>
        <v>0</v>
      </c>
    </row>
    <row r="32" spans="2:63" ht="14.4" customHeight="1">
      <c r="B32" s="366" t="str">
        <f>verze!E201</f>
        <v>SiSy = tlumení Silent System</v>
      </c>
      <c r="AU32" s="319">
        <f>OBJ!B246</f>
        <v>9318190</v>
      </c>
      <c r="AV32" s="21" t="str">
        <f>VLOOKUP(AU32,CENY!$B$11:$G$1054,2,FALSE)</f>
        <v>Actro You(L) 400/SiSy 40kg; EB21</v>
      </c>
      <c r="AW32" s="22">
        <f>VLOOKUP(AU32,CENY!$B$11:$G$1054,3,FALSE)</f>
        <v>1</v>
      </c>
      <c r="AX32" s="362">
        <v>8</v>
      </c>
      <c r="AY32" s="23">
        <f>U20</f>
        <v>0</v>
      </c>
      <c r="AZ32" s="326">
        <f t="shared" si="1"/>
        <v>0</v>
      </c>
      <c r="BA32" s="95">
        <f>VLOOKUP(AU32,CENY!$B$11:$M$2025,12,FALSE)</f>
        <v>664.73978</v>
      </c>
      <c r="BB32" s="95">
        <f t="shared" si="0"/>
        <v>0</v>
      </c>
      <c r="BD32" s="319">
        <f>OBJ!B76</f>
        <v>9347507</v>
      </c>
      <c r="BE32" s="21" t="str">
        <f>VLOOKUP(BD32,CENY!$B$11:$G$1054,2,FALSE)</f>
        <v>AvanY-design ALprofil Hybrid na bok 500/ strieb.</v>
      </c>
      <c r="BF32" s="22">
        <f>VLOOKUP(BD32,CENY!$B$11:$G$1054,3,FALSE)</f>
        <v>200</v>
      </c>
      <c r="BG32" s="22"/>
      <c r="BH32" s="23">
        <f>2*(Y20+Y22+Y28+Y30)</f>
        <v>0</v>
      </c>
      <c r="BI32" s="326">
        <f t="shared" si="2"/>
        <v>0</v>
      </c>
      <c r="BJ32" s="95">
        <f>VLOOKUP(BD32,CENY!$B$11:$M$2025,12,FALSE)</f>
        <v>21.479700000000001</v>
      </c>
      <c r="BK32" s="95">
        <f t="shared" si="3"/>
        <v>0</v>
      </c>
    </row>
    <row r="33" spans="2:63" ht="14.4" customHeight="1">
      <c r="B33" s="366" t="str">
        <f>verze!E204</f>
        <v>P2O = otvírání bez úchytky Push to open</v>
      </c>
      <c r="AU33" s="319">
        <f>OBJ!B247</f>
        <v>9318191</v>
      </c>
      <c r="AV33" s="21" t="str">
        <f>VLOOKUP(AU33,CENY!$B$11:$G$1054,2,FALSE)</f>
        <v>Actro You(L) 450/SiSy 40kg; EB21</v>
      </c>
      <c r="AW33" s="22">
        <f>VLOOKUP(AU33,CENY!$B$11:$G$1054,3,FALSE)</f>
        <v>1</v>
      </c>
      <c r="AX33" s="362">
        <v>10</v>
      </c>
      <c r="AY33" s="23">
        <f>W20</f>
        <v>0</v>
      </c>
      <c r="AZ33" s="326">
        <f t="shared" si="1"/>
        <v>0</v>
      </c>
      <c r="BA33" s="95">
        <f>VLOOKUP(AU33,CENY!$B$11:$M$2025,12,FALSE)</f>
        <v>671.97520999999995</v>
      </c>
      <c r="BB33" s="95">
        <f t="shared" si="0"/>
        <v>0</v>
      </c>
      <c r="BD33" s="319">
        <f>OBJ!B77</f>
        <v>9347508</v>
      </c>
      <c r="BE33" s="21" t="str">
        <f>VLOOKUP(BD33,CENY!$B$11:$G$1054,2,FALSE)</f>
        <v>AvanY-design ALprofil Hybrid na bok 550/ strieb.</v>
      </c>
      <c r="BF33" s="22">
        <f>VLOOKUP(BD33,CENY!$B$11:$G$1054,3,FALSE)</f>
        <v>200</v>
      </c>
      <c r="BG33" s="22"/>
      <c r="BH33" s="23">
        <f>2*(AA20+AA22+AA28+AA30)</f>
        <v>0</v>
      </c>
      <c r="BI33" s="326">
        <f t="shared" si="2"/>
        <v>0</v>
      </c>
      <c r="BJ33" s="95">
        <f>VLOOKUP(BD33,CENY!$B$11:$M$2025,12,FALSE)</f>
        <v>21.84564</v>
      </c>
      <c r="BK33" s="95">
        <f t="shared" si="3"/>
        <v>0</v>
      </c>
    </row>
    <row r="34" spans="2:63" ht="14.4" customHeight="1">
      <c r="B34" s="366" t="str">
        <f>verze!E203</f>
        <v>P2O Silent = tlumení s otvíráním bez úchytky Push to open Silent</v>
      </c>
      <c r="AU34" s="319">
        <f>OBJ!B248</f>
        <v>9318192</v>
      </c>
      <c r="AV34" s="21" t="str">
        <f>VLOOKUP(AU34,CENY!$B$11:$G$1054,2,FALSE)</f>
        <v>Actro You(L) 500/SiSy 40kg; EB21</v>
      </c>
      <c r="AW34" s="22">
        <f>VLOOKUP(AU34,CENY!$B$11:$G$1054,3,FALSE)</f>
        <v>1</v>
      </c>
      <c r="AX34" s="362">
        <v>10</v>
      </c>
      <c r="AY34" s="23">
        <f>Y20</f>
        <v>0</v>
      </c>
      <c r="AZ34" s="326">
        <f t="shared" si="1"/>
        <v>0</v>
      </c>
      <c r="BA34" s="95">
        <f>VLOOKUP(AU34,CENY!$B$11:$M$2025,12,FALSE)</f>
        <v>164.23333</v>
      </c>
      <c r="BB34" s="95">
        <f t="shared" si="0"/>
        <v>0</v>
      </c>
      <c r="BD34" s="319">
        <f>OBJ!B78</f>
        <v>9347509</v>
      </c>
      <c r="BE34" s="21" t="str">
        <f>VLOOKUP(BD34,CENY!$B$11:$G$1054,2,FALSE)</f>
        <v>AvanY-design ALprofil Hybrid na bok 600/ strieb.</v>
      </c>
      <c r="BF34" s="22">
        <f>VLOOKUP(BD34,CENY!$B$11:$G$1054,3,FALSE)</f>
        <v>200</v>
      </c>
      <c r="BG34" s="22"/>
      <c r="BH34" s="23">
        <f>2*(AC20+AC22+AC28+AC30)</f>
        <v>0</v>
      </c>
      <c r="BI34" s="326">
        <f t="shared" si="2"/>
        <v>0</v>
      </c>
      <c r="BJ34" s="95">
        <f>VLOOKUP(BD34,CENY!$B$11:$M$2025,12,FALSE)</f>
        <v>22.79205</v>
      </c>
      <c r="BK34" s="95">
        <f t="shared" si="3"/>
        <v>0</v>
      </c>
    </row>
    <row r="35" spans="2:63" ht="14.4" customHeight="1">
      <c r="AU35" s="319">
        <f>OBJ!B249</f>
        <v>9318194</v>
      </c>
      <c r="AV35" s="21" t="str">
        <f>VLOOKUP(AU35,CENY!$B$11:$G$1054,2,FALSE)</f>
        <v>Actro You(L) 550/SiSy 40kg; EB21</v>
      </c>
      <c r="AW35" s="22">
        <f>VLOOKUP(AU35,CENY!$B$11:$G$1054,3,FALSE)</f>
        <v>1</v>
      </c>
      <c r="AX35" s="362">
        <v>10</v>
      </c>
      <c r="AY35" s="23">
        <f>AA20</f>
        <v>0</v>
      </c>
      <c r="AZ35" s="326">
        <f t="shared" si="1"/>
        <v>0</v>
      </c>
      <c r="BA35" s="95">
        <f>VLOOKUP(AU35,CENY!$B$11:$M$2025,12,FALSE)</f>
        <v>173.62268</v>
      </c>
      <c r="BB35" s="95">
        <f t="shared" si="0"/>
        <v>0</v>
      </c>
      <c r="BD35" s="319">
        <f>OBJ!B79</f>
        <v>9347510</v>
      </c>
      <c r="BE35" s="21" t="str">
        <f>VLOOKUP(BD35,CENY!$B$11:$G$1054,2,FALSE)</f>
        <v>AvanY-design ALprofil Hybrid na bok 650/ strieb.</v>
      </c>
      <c r="BF35" s="22">
        <f>VLOOKUP(BD35,CENY!$B$11:$G$1054,3,FALSE)</f>
        <v>200</v>
      </c>
      <c r="BG35" s="22"/>
      <c r="BH35" s="23">
        <f>2*AE22</f>
        <v>0</v>
      </c>
      <c r="BI35" s="326">
        <f t="shared" si="2"/>
        <v>0</v>
      </c>
      <c r="BJ35" s="95">
        <f>VLOOKUP(BD35,CENY!$B$11:$M$2025,12,FALSE)</f>
        <v>24.580449999999999</v>
      </c>
      <c r="BK35" s="95">
        <f t="shared" si="3"/>
        <v>0</v>
      </c>
    </row>
    <row r="36" spans="2:63" ht="14.4" customHeight="1">
      <c r="AU36" s="319">
        <f>OBJ!B250</f>
        <v>9318196</v>
      </c>
      <c r="AV36" s="21" t="str">
        <f>VLOOKUP(AU36,CENY!$B$11:$G$1054,2,FALSE)</f>
        <v>Actro You(L) 600/SiSy 40kg; EB21</v>
      </c>
      <c r="AW36" s="22">
        <f>VLOOKUP(AU36,CENY!$B$11:$G$1054,3,FALSE)</f>
        <v>1</v>
      </c>
      <c r="AX36" s="362">
        <v>10</v>
      </c>
      <c r="AY36" s="23">
        <f>AC20</f>
        <v>0</v>
      </c>
      <c r="AZ36" s="326">
        <f t="shared" si="1"/>
        <v>0</v>
      </c>
      <c r="BA36" s="95">
        <f>VLOOKUP(AU36,CENY!$B$11:$M$2025,12,FALSE)</f>
        <v>726.70140000000004</v>
      </c>
      <c r="BB36" s="95">
        <f t="shared" si="0"/>
        <v>0</v>
      </c>
      <c r="BD36" s="319"/>
      <c r="BE36" s="21"/>
      <c r="BF36" s="22"/>
      <c r="BG36" s="22"/>
      <c r="BH36" s="23"/>
      <c r="BI36" s="326" t="str">
        <f t="shared" si="2"/>
        <v/>
      </c>
      <c r="BJ36" s="95"/>
      <c r="BK36" s="95" t="str">
        <f t="shared" si="3"/>
        <v/>
      </c>
    </row>
    <row r="37" spans="2:63" ht="14.4" customHeight="1">
      <c r="AU37" s="319"/>
      <c r="AV37" s="21"/>
      <c r="AW37" s="22"/>
      <c r="AX37" s="22"/>
      <c r="AY37" s="23"/>
      <c r="AZ37" s="326" t="str">
        <f t="shared" si="1"/>
        <v/>
      </c>
      <c r="BA37" s="95"/>
      <c r="BB37" s="95" t="str">
        <f t="shared" si="0"/>
        <v/>
      </c>
      <c r="BD37" s="319">
        <f>OBJ!B236</f>
        <v>9318145</v>
      </c>
      <c r="BE37" s="21" t="str">
        <f>VLOOKUP(BD37,CENY!$B$11:$G$1054,2,FALSE)</f>
        <v>Actro You(S) 270/SiSy 10kg; EB21; ľavý</v>
      </c>
      <c r="BF37" s="22">
        <f>VLOOKUP(BD37,CENY!$B$11:$G$1054,3,FALSE)</f>
        <v>10</v>
      </c>
      <c r="BG37" s="22"/>
      <c r="BH37" s="23">
        <f>AY25</f>
        <v>0</v>
      </c>
      <c r="BI37" s="326">
        <f t="shared" si="2"/>
        <v>0</v>
      </c>
      <c r="BJ37" s="95">
        <f>VLOOKUP(BD37,CENY!$B$11:$M$2025,12,FALSE)</f>
        <v>298.88173999999998</v>
      </c>
      <c r="BK37" s="95">
        <f t="shared" si="3"/>
        <v>0</v>
      </c>
    </row>
    <row r="38" spans="2:63" ht="14.4" customHeight="1">
      <c r="AU38" s="319">
        <f>OBJ!B268</f>
        <v>9318215</v>
      </c>
      <c r="AV38" s="21" t="str">
        <f>VLOOKUP(AU38,CENY!$B$11:$G$1054,2,FALSE)</f>
        <v>Actro You(XL) 450/SiSy 70kg; EB21</v>
      </c>
      <c r="AW38" s="22">
        <f>VLOOKUP(AU38,CENY!$B$11:$G$1054,3,FALSE)</f>
        <v>1</v>
      </c>
      <c r="AX38" s="362">
        <v>10</v>
      </c>
      <c r="AY38" s="23">
        <f>W22</f>
        <v>0</v>
      </c>
      <c r="AZ38" s="326">
        <f t="shared" si="1"/>
        <v>0</v>
      </c>
      <c r="BA38" s="95">
        <f>VLOOKUP(AU38,CENY!$B$11:$M$2025,12,FALSE)</f>
        <v>197.37184999999999</v>
      </c>
      <c r="BB38" s="95">
        <f t="shared" si="0"/>
        <v>0</v>
      </c>
      <c r="BD38" s="319">
        <f>OBJ!B237</f>
        <v>9318146</v>
      </c>
      <c r="BE38" s="21" t="str">
        <f>VLOOKUP(BD38,CENY!$B$11:$G$1054,2,FALSE)</f>
        <v>Actro You(S) 270/SiSy 10kg; EB21; pravý</v>
      </c>
      <c r="BF38" s="22">
        <f>VLOOKUP(BD38,CENY!$B$11:$G$1054,3,FALSE)</f>
        <v>10</v>
      </c>
      <c r="BG38" s="22"/>
      <c r="BH38" s="23">
        <f>AY25</f>
        <v>0</v>
      </c>
      <c r="BI38" s="326">
        <f t="shared" si="2"/>
        <v>0</v>
      </c>
      <c r="BJ38" s="95">
        <f>VLOOKUP(BD38,CENY!$B$11:$M$2025,12,FALSE)</f>
        <v>298.88173999999998</v>
      </c>
      <c r="BK38" s="95">
        <f t="shared" si="3"/>
        <v>0</v>
      </c>
    </row>
    <row r="39" spans="2:63" ht="14.4" customHeight="1">
      <c r="AU39" s="319">
        <f>OBJ!B269</f>
        <v>9318216</v>
      </c>
      <c r="AV39" s="21" t="str">
        <f>VLOOKUP(AU39,CENY!$B$11:$G$1054,2,FALSE)</f>
        <v>Actro You(XL) 500/SiSy 70kg; EB21</v>
      </c>
      <c r="AW39" s="22">
        <f>VLOOKUP(AU39,CENY!$B$11:$G$1054,3,FALSE)</f>
        <v>1</v>
      </c>
      <c r="AX39" s="362">
        <v>10</v>
      </c>
      <c r="AY39" s="23">
        <f>Y22</f>
        <v>0</v>
      </c>
      <c r="AZ39" s="326">
        <f t="shared" si="1"/>
        <v>0</v>
      </c>
      <c r="BA39" s="95">
        <f>VLOOKUP(AU39,CENY!$B$11:$M$2025,12,FALSE)</f>
        <v>823.68502000000001</v>
      </c>
      <c r="BB39" s="95">
        <f t="shared" si="0"/>
        <v>0</v>
      </c>
      <c r="BD39" s="319">
        <f>OBJ!B238</f>
        <v>9318147</v>
      </c>
      <c r="BE39" s="21" t="str">
        <f>VLOOKUP(BD39,CENY!$B$11:$G$1054,2,FALSE)</f>
        <v>Actro You(S) 300/SiSy 10kg; EB21; ľavý</v>
      </c>
      <c r="BF39" s="22">
        <f>VLOOKUP(BD39,CENY!$B$11:$G$1054,3,FALSE)</f>
        <v>10</v>
      </c>
      <c r="BG39" s="22"/>
      <c r="BH39" s="23">
        <f>AY26</f>
        <v>0</v>
      </c>
      <c r="BI39" s="326">
        <f t="shared" si="2"/>
        <v>0</v>
      </c>
      <c r="BJ39" s="95">
        <f>VLOOKUP(BD39,CENY!$B$11:$M$2025,12,FALSE)</f>
        <v>298.88173999999998</v>
      </c>
      <c r="BK39" s="95">
        <f t="shared" si="3"/>
        <v>0</v>
      </c>
    </row>
    <row r="40" spans="2:63" ht="14.4" customHeight="1">
      <c r="AU40" s="319">
        <f>OBJ!B270</f>
        <v>9318217</v>
      </c>
      <c r="AV40" s="21" t="str">
        <f>VLOOKUP(AU40,CENY!$B$11:$G$1054,2,FALSE)</f>
        <v>Actro You(XL) 550/SiSy 70kg; EB21</v>
      </c>
      <c r="AW40" s="22">
        <f>VLOOKUP(AU40,CENY!$B$11:$G$1054,3,FALSE)</f>
        <v>1</v>
      </c>
      <c r="AX40" s="362">
        <v>10</v>
      </c>
      <c r="AY40" s="23">
        <f>AA22</f>
        <v>0</v>
      </c>
      <c r="AZ40" s="326">
        <f t="shared" si="1"/>
        <v>0</v>
      </c>
      <c r="BA40" s="95">
        <f>VLOOKUP(AU40,CENY!$B$11:$M$2025,12,FALSE)</f>
        <v>862.82307000000003</v>
      </c>
      <c r="BB40" s="95">
        <f t="shared" si="0"/>
        <v>0</v>
      </c>
      <c r="BD40" s="319">
        <f>OBJ!B239</f>
        <v>9318148</v>
      </c>
      <c r="BE40" s="21" t="str">
        <f>VLOOKUP(BD40,CENY!$B$11:$G$1054,2,FALSE)</f>
        <v>Actro You(S) 300/SiSy 10kg; EB21; pravý</v>
      </c>
      <c r="BF40" s="22">
        <f>VLOOKUP(BD40,CENY!$B$11:$G$1054,3,FALSE)</f>
        <v>10</v>
      </c>
      <c r="BG40" s="22"/>
      <c r="BH40" s="23">
        <f>AY26</f>
        <v>0</v>
      </c>
      <c r="BI40" s="326">
        <f t="shared" si="2"/>
        <v>0</v>
      </c>
      <c r="BJ40" s="95">
        <f>VLOOKUP(BD40,CENY!$B$11:$M$2025,12,FALSE)</f>
        <v>298.88173999999998</v>
      </c>
      <c r="BK40" s="95">
        <f t="shared" si="3"/>
        <v>0</v>
      </c>
    </row>
    <row r="41" spans="2:63" ht="14.4" customHeight="1">
      <c r="AU41" s="319">
        <f>OBJ!B271</f>
        <v>9318218</v>
      </c>
      <c r="AV41" s="21" t="str">
        <f>VLOOKUP(AU41,CENY!$B$11:$G$1054,2,FALSE)</f>
        <v>Actro You(XL) 600/SiSy 70kg; EB21</v>
      </c>
      <c r="AW41" s="22">
        <f>VLOOKUP(AU41,CENY!$B$11:$G$1054,3,FALSE)</f>
        <v>1</v>
      </c>
      <c r="AX41" s="362">
        <v>10</v>
      </c>
      <c r="AY41" s="23">
        <f>AC22</f>
        <v>0</v>
      </c>
      <c r="AZ41" s="326">
        <f t="shared" si="1"/>
        <v>0</v>
      </c>
      <c r="BA41" s="95">
        <f>VLOOKUP(AU41,CENY!$B$11:$M$2025,12,FALSE)</f>
        <v>941.88580999999999</v>
      </c>
      <c r="BB41" s="95">
        <f t="shared" si="0"/>
        <v>0</v>
      </c>
      <c r="BD41" s="319">
        <f>OBJ!B240</f>
        <v>9318149</v>
      </c>
      <c r="BE41" s="21" t="str">
        <f>VLOOKUP(BD41,CENY!$B$11:$G$1054,2,FALSE)</f>
        <v>Actro You(S) 350/SiSy 10kg; EB21; ľavý</v>
      </c>
      <c r="BF41" s="22">
        <f>VLOOKUP(BD41,CENY!$B$11:$G$1054,3,FALSE)</f>
        <v>10</v>
      </c>
      <c r="BG41" s="22"/>
      <c r="BH41" s="23">
        <f>AY27</f>
        <v>0</v>
      </c>
      <c r="BI41" s="326">
        <f t="shared" si="2"/>
        <v>0</v>
      </c>
      <c r="BJ41" s="95">
        <f>VLOOKUP(BD41,CENY!$B$11:$M$2025,12,FALSE)</f>
        <v>298.88173999999998</v>
      </c>
      <c r="BK41" s="95">
        <f t="shared" si="3"/>
        <v>0</v>
      </c>
    </row>
    <row r="42" spans="2:63" ht="14.4" customHeight="1">
      <c r="AU42" s="319">
        <f>OBJ!B272</f>
        <v>9318219</v>
      </c>
      <c r="AV42" s="21" t="str">
        <f>VLOOKUP(AU42,CENY!$B$11:$G$1054,2,FALSE)</f>
        <v>Actro You(XL) 650/SiSy 70kg; EB21</v>
      </c>
      <c r="AW42" s="22">
        <f>VLOOKUP(AU42,CENY!$B$11:$G$1054,3,FALSE)</f>
        <v>1</v>
      </c>
      <c r="AX42" s="362">
        <v>10</v>
      </c>
      <c r="AY42" s="23">
        <f>AE22</f>
        <v>0</v>
      </c>
      <c r="AZ42" s="326">
        <f t="shared" si="1"/>
        <v>0</v>
      </c>
      <c r="BA42" s="95">
        <f>VLOOKUP(AU42,CENY!$B$11:$M$2025,12,FALSE)</f>
        <v>977.56314999999995</v>
      </c>
      <c r="BB42" s="95">
        <f t="shared" si="0"/>
        <v>0</v>
      </c>
      <c r="BD42" s="319">
        <f>OBJ!B241</f>
        <v>9318150</v>
      </c>
      <c r="BE42" s="21" t="str">
        <f>VLOOKUP(BD42,CENY!$B$11:$G$1054,2,FALSE)</f>
        <v>Actro You(S) 350/SiSy 10kg; EB21; pravý</v>
      </c>
      <c r="BF42" s="22">
        <f>VLOOKUP(BD42,CENY!$B$11:$G$1054,3,FALSE)</f>
        <v>10</v>
      </c>
      <c r="BG42" s="22"/>
      <c r="BH42" s="23">
        <f>AY27</f>
        <v>0</v>
      </c>
      <c r="BI42" s="326">
        <f t="shared" si="2"/>
        <v>0</v>
      </c>
      <c r="BJ42" s="95">
        <f>VLOOKUP(BD42,CENY!$B$11:$M$2025,12,FALSE)</f>
        <v>298.88173999999998</v>
      </c>
      <c r="BK42" s="95">
        <f t="shared" si="3"/>
        <v>0</v>
      </c>
    </row>
    <row r="43" spans="2:63" ht="14.4" customHeight="1">
      <c r="AU43" s="319"/>
      <c r="AV43" s="21"/>
      <c r="AW43" s="22"/>
      <c r="AX43" s="22"/>
      <c r="AY43" s="23"/>
      <c r="AZ43" s="326" t="str">
        <f t="shared" si="1"/>
        <v/>
      </c>
      <c r="BA43" s="95"/>
      <c r="BB43" s="95" t="str">
        <f t="shared" si="0"/>
        <v/>
      </c>
      <c r="BD43" s="319"/>
      <c r="BE43" s="21"/>
      <c r="BF43" s="22"/>
      <c r="BG43" s="22"/>
      <c r="BH43" s="23"/>
      <c r="BI43" s="326" t="str">
        <f t="shared" si="2"/>
        <v/>
      </c>
      <c r="BJ43" s="95"/>
      <c r="BK43" s="95" t="str">
        <f t="shared" si="3"/>
        <v/>
      </c>
    </row>
    <row r="44" spans="2:63" ht="14.4" customHeight="1">
      <c r="AU44" s="319">
        <f>OBJ!B284</f>
        <v>9257890</v>
      </c>
      <c r="AV44" s="21" t="str">
        <f>VLOOKUP(AU44,CENY!$B$11:$G$1054,2,FALSE)</f>
        <v>Actro You - Push to open Silent; &lt;10kg</v>
      </c>
      <c r="AW44" s="22">
        <f>VLOOKUP(AU44,CENY!$B$11:$G$1054,3,FALSE)</f>
        <v>1</v>
      </c>
      <c r="AX44" s="22"/>
      <c r="AY44" s="23">
        <f>AN19</f>
        <v>0</v>
      </c>
      <c r="AZ44" s="326">
        <f t="shared" si="1"/>
        <v>0</v>
      </c>
      <c r="BA44" s="95">
        <f>VLOOKUP(AU44,CENY!$B$11:$M$2025,12,FALSE)</f>
        <v>481.81412999999998</v>
      </c>
      <c r="BB44" s="95">
        <f t="shared" si="0"/>
        <v>0</v>
      </c>
      <c r="BD44" s="319">
        <f>OBJ!B251</f>
        <v>9318167</v>
      </c>
      <c r="BE44" s="21" t="str">
        <f>VLOOKUP(BD44,CENY!$B$11:$G$1054,2,FALSE)</f>
        <v>Actro You(L) 270/SiSy 40kg; EB21; ľavý</v>
      </c>
      <c r="BF44" s="22">
        <f>VLOOKUP(BD44,CENY!$B$11:$G$1054,3,FALSE)</f>
        <v>10</v>
      </c>
      <c r="BG44" s="22"/>
      <c r="BH44" s="23">
        <f>AY29</f>
        <v>0</v>
      </c>
      <c r="BI44" s="326">
        <f t="shared" si="2"/>
        <v>0</v>
      </c>
      <c r="BJ44" s="95">
        <f>VLOOKUP(BD44,CENY!$B$11:$M$2025,12,FALSE)</f>
        <v>298.88173999999998</v>
      </c>
      <c r="BK44" s="95">
        <f t="shared" si="3"/>
        <v>0</v>
      </c>
    </row>
    <row r="45" spans="2:63" ht="14.4" customHeight="1">
      <c r="AU45" s="319">
        <f>OBJ!B285</f>
        <v>9257891</v>
      </c>
      <c r="AV45" s="21" t="str">
        <f>VLOOKUP(AU45,CENY!$B$11:$G$1054,2,FALSE)</f>
        <v>Actro You - Push to open Silent; 8-20kg</v>
      </c>
      <c r="AW45" s="22">
        <f>VLOOKUP(AU45,CENY!$B$11:$G$1054,3,FALSE)</f>
        <v>1</v>
      </c>
      <c r="AX45" s="22"/>
      <c r="AY45" s="23">
        <f>AN20</f>
        <v>0</v>
      </c>
      <c r="AZ45" s="326">
        <f t="shared" si="1"/>
        <v>0</v>
      </c>
      <c r="BA45" s="95">
        <f>VLOOKUP(AU45,CENY!$B$11:$M$2025,12,FALSE)</f>
        <v>481.81412999999998</v>
      </c>
      <c r="BB45" s="95">
        <f t="shared" si="0"/>
        <v>0</v>
      </c>
      <c r="BD45" s="319">
        <f>OBJ!B252</f>
        <v>9318170</v>
      </c>
      <c r="BE45" s="21" t="str">
        <f>VLOOKUP(BD45,CENY!$B$11:$G$1054,2,FALSE)</f>
        <v>Actro You(L) 270/SiSy 40kg; EB21; pravý</v>
      </c>
      <c r="BF45" s="22">
        <f>VLOOKUP(BD45,CENY!$B$11:$G$1054,3,FALSE)</f>
        <v>10</v>
      </c>
      <c r="BG45" s="22"/>
      <c r="BH45" s="23">
        <f>AY29</f>
        <v>0</v>
      </c>
      <c r="BI45" s="326">
        <f t="shared" si="2"/>
        <v>0</v>
      </c>
      <c r="BJ45" s="95">
        <f>VLOOKUP(BD45,CENY!$B$11:$M$2025,12,FALSE)</f>
        <v>298.88173999999998</v>
      </c>
      <c r="BK45" s="95">
        <f t="shared" si="3"/>
        <v>0</v>
      </c>
    </row>
    <row r="46" spans="2:63" ht="14.4" customHeight="1">
      <c r="AU46" s="319">
        <f>OBJ!B286</f>
        <v>9257892</v>
      </c>
      <c r="AV46" s="21" t="str">
        <f>VLOOKUP(AU46,CENY!$B$11:$G$1054,2,FALSE)</f>
        <v>Actro You - Push to open Silent; 10-40kg</v>
      </c>
      <c r="AW46" s="22">
        <f>VLOOKUP(AU46,CENY!$B$11:$G$1054,3,FALSE)</f>
        <v>1</v>
      </c>
      <c r="AX46" s="22"/>
      <c r="AY46" s="23">
        <f>AN21</f>
        <v>0</v>
      </c>
      <c r="AZ46" s="326">
        <f t="shared" si="1"/>
        <v>0</v>
      </c>
      <c r="BA46" s="95">
        <f>VLOOKUP(AU46,CENY!$B$11:$M$2025,12,FALSE)</f>
        <v>481.81412999999998</v>
      </c>
      <c r="BB46" s="95">
        <f t="shared" si="0"/>
        <v>0</v>
      </c>
      <c r="BD46" s="319">
        <f>OBJ!B253</f>
        <v>9318171</v>
      </c>
      <c r="BE46" s="21" t="str">
        <f>VLOOKUP(BD46,CENY!$B$11:$G$1054,2,FALSE)</f>
        <v>Actro You(L) 300/SiSy 40kg; EB21; ľavý</v>
      </c>
      <c r="BF46" s="22">
        <f>VLOOKUP(BD46,CENY!$B$11:$G$1054,3,FALSE)</f>
        <v>10</v>
      </c>
      <c r="BG46" s="22"/>
      <c r="BH46" s="23">
        <f>AY30</f>
        <v>0</v>
      </c>
      <c r="BI46" s="326">
        <f t="shared" si="2"/>
        <v>0</v>
      </c>
      <c r="BJ46" s="95">
        <f>VLOOKUP(BD46,CENY!$B$11:$M$2025,12,FALSE)</f>
        <v>298.88173999999998</v>
      </c>
      <c r="BK46" s="95">
        <f t="shared" si="3"/>
        <v>0</v>
      </c>
    </row>
    <row r="47" spans="2:63" ht="14.4" customHeight="1">
      <c r="AU47" s="319">
        <f>OBJ!B287</f>
        <v>9257893</v>
      </c>
      <c r="AV47" s="21" t="str">
        <f>VLOOKUP(AU47,CENY!$B$11:$G$1054,2,FALSE)</f>
        <v>Actro You - Push to open Silent; 20-70kg</v>
      </c>
      <c r="AW47" s="22">
        <f>VLOOKUP(AU47,CENY!$B$11:$G$1054,3,FALSE)</f>
        <v>1</v>
      </c>
      <c r="AX47" s="22"/>
      <c r="AY47" s="23">
        <f>AN22</f>
        <v>0</v>
      </c>
      <c r="AZ47" s="326">
        <f t="shared" si="1"/>
        <v>0</v>
      </c>
      <c r="BA47" s="95">
        <f>VLOOKUP(AU47,CENY!$B$11:$M$2025,12,FALSE)</f>
        <v>481.81412999999998</v>
      </c>
      <c r="BB47" s="95">
        <f t="shared" si="0"/>
        <v>0</v>
      </c>
      <c r="BD47" s="319">
        <f>OBJ!B254</f>
        <v>9318172</v>
      </c>
      <c r="BE47" s="21" t="str">
        <f>VLOOKUP(BD47,CENY!$B$11:$G$1054,2,FALSE)</f>
        <v>Actro You(L) 300/SiSy 40kg; EB21; pravý</v>
      </c>
      <c r="BF47" s="22">
        <f>VLOOKUP(BD47,CENY!$B$11:$G$1054,3,FALSE)</f>
        <v>10</v>
      </c>
      <c r="BG47" s="22"/>
      <c r="BH47" s="23">
        <f>AY30</f>
        <v>0</v>
      </c>
      <c r="BI47" s="326">
        <f t="shared" si="2"/>
        <v>0</v>
      </c>
      <c r="BJ47" s="95">
        <f>VLOOKUP(BD47,CENY!$B$11:$M$2025,12,FALSE)</f>
        <v>298.88173999999998</v>
      </c>
      <c r="BK47" s="95">
        <f t="shared" si="3"/>
        <v>0</v>
      </c>
    </row>
    <row r="48" spans="2:63" ht="14.4" customHeight="1">
      <c r="AU48" s="319">
        <f>OBJ!B288</f>
        <v>9236718</v>
      </c>
      <c r="AV48" s="21" t="str">
        <f>VLOOKUP(AU48,CENY!$B$11:$G$1054,2,FALSE)</f>
        <v>Push to open Synchro / tyč 2.000 mm</v>
      </c>
      <c r="AW48" s="22">
        <f>VLOOKUP(AU48,CENY!$B$11:$G$1054,3,FALSE)</f>
        <v>100</v>
      </c>
      <c r="AX48" s="22"/>
      <c r="AY48" s="23">
        <f>IF(SUM(AN19:AO22)+SUM(AN27:AO29)+SUM(O30:AD30)=0,0,AY83)</f>
        <v>0</v>
      </c>
      <c r="AZ48" s="326">
        <f t="shared" si="1"/>
        <v>0</v>
      </c>
      <c r="BA48" s="95">
        <f>VLOOKUP(AU48,CENY!$B$11:$M$2025,12,FALSE)</f>
        <v>182.03933000000001</v>
      </c>
      <c r="BB48" s="95">
        <f t="shared" si="0"/>
        <v>0</v>
      </c>
      <c r="BD48" s="319">
        <f>OBJ!B255</f>
        <v>9318173</v>
      </c>
      <c r="BE48" s="21" t="str">
        <f>VLOOKUP(BD48,CENY!$B$11:$G$1054,2,FALSE)</f>
        <v>Actro You(L) 350/SiSy 40kg; EB21; ľavý</v>
      </c>
      <c r="BF48" s="22">
        <f>VLOOKUP(BD48,CENY!$B$11:$G$1054,3,FALSE)</f>
        <v>10</v>
      </c>
      <c r="BG48" s="22"/>
      <c r="BH48" s="23">
        <f>AY31</f>
        <v>0</v>
      </c>
      <c r="BI48" s="326">
        <f t="shared" si="2"/>
        <v>0</v>
      </c>
      <c r="BJ48" s="95">
        <f>VLOOKUP(BD48,CENY!$B$11:$M$2025,12,FALSE)</f>
        <v>298.88173999999998</v>
      </c>
      <c r="BK48" s="95">
        <f t="shared" si="3"/>
        <v>0</v>
      </c>
    </row>
    <row r="49" spans="47:63" ht="14.4" customHeight="1">
      <c r="AU49" s="319"/>
      <c r="AV49" s="21"/>
      <c r="AW49" s="22"/>
      <c r="AX49" s="22"/>
      <c r="AY49" s="23"/>
      <c r="AZ49" s="326" t="str">
        <f t="shared" si="1"/>
        <v/>
      </c>
      <c r="BA49" s="95"/>
      <c r="BB49" s="95" t="str">
        <f t="shared" si="0"/>
        <v/>
      </c>
      <c r="BD49" s="319">
        <f>OBJ!B256</f>
        <v>9318174</v>
      </c>
      <c r="BE49" s="21" t="str">
        <f>VLOOKUP(BD49,CENY!$B$11:$G$1054,2,FALSE)</f>
        <v>Actro You(L) 350/SiSy 40kg; EB21; pravý</v>
      </c>
      <c r="BF49" s="22">
        <f>VLOOKUP(BD49,CENY!$B$11:$G$1054,3,FALSE)</f>
        <v>10</v>
      </c>
      <c r="BG49" s="22"/>
      <c r="BH49" s="23">
        <f>AY31</f>
        <v>0</v>
      </c>
      <c r="BI49" s="326">
        <f t="shared" si="2"/>
        <v>0</v>
      </c>
      <c r="BJ49" s="95">
        <f>VLOOKUP(BD49,CENY!$B$11:$M$2025,12,FALSE)</f>
        <v>298.88173999999998</v>
      </c>
      <c r="BK49" s="95">
        <f t="shared" si="3"/>
        <v>0</v>
      </c>
    </row>
    <row r="50" spans="47:63" ht="14.4" customHeight="1">
      <c r="AU50" s="319">
        <f>OBJ!B294</f>
        <v>9256953</v>
      </c>
      <c r="AV50" s="21" t="str">
        <f>VLOOKUP(AU50,CENY!$B$11:$G$1054,2,FALSE)</f>
        <v>Quadro You(S) 270/SiSy 10kg; EB21</v>
      </c>
      <c r="AW50" s="22">
        <f>VLOOKUP(AU50,CENY!$B$11:$G$1054,3,FALSE)</f>
        <v>1</v>
      </c>
      <c r="AX50" s="362">
        <v>4</v>
      </c>
      <c r="AY50" s="23">
        <f>O27</f>
        <v>0</v>
      </c>
      <c r="AZ50" s="326">
        <f t="shared" si="1"/>
        <v>0</v>
      </c>
      <c r="BA50" s="95">
        <f>VLOOKUP(AU50,CENY!$B$11:$M$2025,12,FALSE)</f>
        <v>478.60127999999997</v>
      </c>
      <c r="BB50" s="95">
        <f t="shared" si="0"/>
        <v>0</v>
      </c>
      <c r="BD50" s="319">
        <f>OBJ!B257</f>
        <v>9318175</v>
      </c>
      <c r="BE50" s="21" t="str">
        <f>VLOOKUP(BD50,CENY!$B$11:$G$1054,2,FALSE)</f>
        <v>Actro You(L) 400/SiSy 40kg; EB21; ľavý</v>
      </c>
      <c r="BF50" s="22">
        <f>VLOOKUP(BD50,CENY!$B$11:$G$1054,3,FALSE)</f>
        <v>10</v>
      </c>
      <c r="BG50" s="22"/>
      <c r="BH50" s="23">
        <f>AY32</f>
        <v>0</v>
      </c>
      <c r="BI50" s="326">
        <f t="shared" si="2"/>
        <v>0</v>
      </c>
      <c r="BJ50" s="95">
        <f>VLOOKUP(BD50,CENY!$B$11:$M$2025,12,FALSE)</f>
        <v>302.69770999999997</v>
      </c>
      <c r="BK50" s="95">
        <f t="shared" si="3"/>
        <v>0</v>
      </c>
    </row>
    <row r="51" spans="47:63" ht="14.4" customHeight="1">
      <c r="AU51" s="319">
        <f>OBJ!B295</f>
        <v>9256954</v>
      </c>
      <c r="AV51" s="21" t="str">
        <f>VLOOKUP(AU51,CENY!$B$11:$G$1054,2,FALSE)</f>
        <v>Quadro You(S) 300/SiSy 10kg; EB21</v>
      </c>
      <c r="AW51" s="22">
        <f>VLOOKUP(AU51,CENY!$B$11:$G$1054,3,FALSE)</f>
        <v>1</v>
      </c>
      <c r="AX51" s="362">
        <v>4</v>
      </c>
      <c r="AY51" s="23">
        <f>Q27</f>
        <v>0</v>
      </c>
      <c r="AZ51" s="326">
        <f t="shared" si="1"/>
        <v>0</v>
      </c>
      <c r="BA51" s="95">
        <f>VLOOKUP(AU51,CENY!$B$11:$M$2025,12,FALSE)</f>
        <v>479.57344999999998</v>
      </c>
      <c r="BB51" s="95">
        <f t="shared" si="0"/>
        <v>0</v>
      </c>
      <c r="BD51" s="319">
        <f>OBJ!B258</f>
        <v>9318176</v>
      </c>
      <c r="BE51" s="21" t="str">
        <f>VLOOKUP(BD51,CENY!$B$11:$G$1054,2,FALSE)</f>
        <v>Actro You(L) 400/SiSy 40kg; EB21; pravý</v>
      </c>
      <c r="BF51" s="22">
        <f>VLOOKUP(BD51,CENY!$B$11:$G$1054,3,FALSE)</f>
        <v>10</v>
      </c>
      <c r="BG51" s="22"/>
      <c r="BH51" s="23">
        <f>AY32</f>
        <v>0</v>
      </c>
      <c r="BI51" s="326">
        <f t="shared" si="2"/>
        <v>0</v>
      </c>
      <c r="BJ51" s="95">
        <f>VLOOKUP(BD51,CENY!$B$11:$M$2025,12,FALSE)</f>
        <v>302.69770999999997</v>
      </c>
      <c r="BK51" s="95">
        <f t="shared" si="3"/>
        <v>0</v>
      </c>
    </row>
    <row r="52" spans="47:63" ht="14.4" customHeight="1">
      <c r="AU52" s="319">
        <f>OBJ!B296</f>
        <v>9256956</v>
      </c>
      <c r="AV52" s="21" t="str">
        <f>VLOOKUP(AU52,CENY!$B$11:$G$1054,2,FALSE)</f>
        <v>Quadro You(S) 350/SiSy 10kg; EB21</v>
      </c>
      <c r="AW52" s="22">
        <f>VLOOKUP(AU52,CENY!$B$11:$G$1054,3,FALSE)</f>
        <v>1</v>
      </c>
      <c r="AX52" s="362">
        <v>4</v>
      </c>
      <c r="AY52" s="23">
        <f>S27</f>
        <v>0</v>
      </c>
      <c r="AZ52" s="326">
        <f t="shared" si="1"/>
        <v>0</v>
      </c>
      <c r="BA52" s="95">
        <f>VLOOKUP(AU52,CENY!$B$11:$M$2025,12,FALSE)</f>
        <v>489.27857</v>
      </c>
      <c r="BB52" s="95">
        <f t="shared" si="0"/>
        <v>0</v>
      </c>
      <c r="BD52" s="319">
        <f>OBJ!B259</f>
        <v>9318177</v>
      </c>
      <c r="BE52" s="21" t="str">
        <f>VLOOKUP(BD52,CENY!$B$11:$G$1054,2,FALSE)</f>
        <v>Actro You(L) 450/SiSy 40kg; EB21; ľavý</v>
      </c>
      <c r="BF52" s="22">
        <f>VLOOKUP(BD52,CENY!$B$11:$G$1054,3,FALSE)</f>
        <v>10</v>
      </c>
      <c r="BG52" s="22"/>
      <c r="BH52" s="23">
        <f>AY33</f>
        <v>0</v>
      </c>
      <c r="BI52" s="326">
        <f t="shared" si="2"/>
        <v>0</v>
      </c>
      <c r="BJ52" s="95">
        <f>VLOOKUP(BD52,CENY!$B$11:$M$2025,12,FALSE)</f>
        <v>298.33073999999999</v>
      </c>
      <c r="BK52" s="95">
        <f t="shared" si="3"/>
        <v>0</v>
      </c>
    </row>
    <row r="53" spans="47:63" ht="14.4" customHeight="1">
      <c r="AU53" s="319"/>
      <c r="AV53" s="21"/>
      <c r="AW53" s="22"/>
      <c r="AX53" s="22"/>
      <c r="AY53" s="23"/>
      <c r="AZ53" s="326" t="str">
        <f t="shared" si="1"/>
        <v/>
      </c>
      <c r="BA53" s="95"/>
      <c r="BB53" s="95" t="str">
        <f t="shared" si="0"/>
        <v/>
      </c>
      <c r="BD53" s="319">
        <f>OBJ!B260</f>
        <v>9318178</v>
      </c>
      <c r="BE53" s="21" t="str">
        <f>VLOOKUP(BD53,CENY!$B$11:$G$1054,2,FALSE)</f>
        <v>Actro You(L) 450/SiSy 40kg; EB21; pravý</v>
      </c>
      <c r="BF53" s="22">
        <f>VLOOKUP(BD53,CENY!$B$11:$G$1054,3,FALSE)</f>
        <v>10</v>
      </c>
      <c r="BG53" s="22"/>
      <c r="BH53" s="23">
        <f>AY33</f>
        <v>0</v>
      </c>
      <c r="BI53" s="326">
        <f t="shared" si="2"/>
        <v>0</v>
      </c>
      <c r="BJ53" s="95">
        <f>VLOOKUP(BD53,CENY!$B$11:$M$2025,12,FALSE)</f>
        <v>298.33073999999999</v>
      </c>
      <c r="BK53" s="95">
        <f t="shared" si="3"/>
        <v>0</v>
      </c>
    </row>
    <row r="54" spans="47:63" ht="14.4" customHeight="1">
      <c r="AU54" s="319">
        <f>OBJ!B304</f>
        <v>9256883</v>
      </c>
      <c r="AV54" s="21" t="str">
        <f>VLOOKUP(AU54,CENY!$B$11:$G$1054,2,FALSE)</f>
        <v>Quadro You(M) 270/SiSy 20kg; EB21</v>
      </c>
      <c r="AW54" s="22">
        <f>VLOOKUP(AU54,CENY!$B$11:$G$1054,3,FALSE)</f>
        <v>1</v>
      </c>
      <c r="AX54" s="362">
        <v>8</v>
      </c>
      <c r="AY54" s="23">
        <f>O28</f>
        <v>0</v>
      </c>
      <c r="AZ54" s="326">
        <f t="shared" si="1"/>
        <v>0</v>
      </c>
      <c r="BA54" s="95">
        <f>VLOOKUP(AU54,CENY!$B$11:$M$2025,12,FALSE)</f>
        <v>478.60127999999997</v>
      </c>
      <c r="BB54" s="95">
        <f t="shared" si="0"/>
        <v>0</v>
      </c>
      <c r="BD54" s="319">
        <f>OBJ!B261</f>
        <v>9318179</v>
      </c>
      <c r="BE54" s="21" t="str">
        <f>VLOOKUP(BD54,CENY!$B$11:$G$1054,2,FALSE)</f>
        <v>Actro You(L) 500/SiSy 40kg; EB21; ľavý</v>
      </c>
      <c r="BF54" s="22">
        <f>VLOOKUP(BD54,CENY!$B$11:$G$1054,3,FALSE)</f>
        <v>10</v>
      </c>
      <c r="BG54" s="22"/>
      <c r="BH54" s="23">
        <f>AY34</f>
        <v>0</v>
      </c>
      <c r="BI54" s="326">
        <f t="shared" si="2"/>
        <v>0</v>
      </c>
      <c r="BJ54" s="95">
        <f>VLOOKUP(BD54,CENY!$B$11:$M$2025,12,FALSE)</f>
        <v>296.00905</v>
      </c>
      <c r="BK54" s="95">
        <f t="shared" si="3"/>
        <v>0</v>
      </c>
    </row>
    <row r="55" spans="47:63" ht="14.4" customHeight="1">
      <c r="AU55" s="319">
        <f>OBJ!B305</f>
        <v>9256884</v>
      </c>
      <c r="AV55" s="21" t="str">
        <f>VLOOKUP(AU55,CENY!$B$11:$G$1054,2,FALSE)</f>
        <v>Quadro You(M) 300/SiSy 20kg; EB21</v>
      </c>
      <c r="AW55" s="22">
        <f>VLOOKUP(AU55,CENY!$B$11:$G$1054,3,FALSE)</f>
        <v>1</v>
      </c>
      <c r="AX55" s="362">
        <v>8</v>
      </c>
      <c r="AY55" s="23">
        <f>Q28</f>
        <v>0</v>
      </c>
      <c r="AZ55" s="326">
        <f t="shared" si="1"/>
        <v>0</v>
      </c>
      <c r="BA55" s="95">
        <f>VLOOKUP(AU55,CENY!$B$11:$M$2025,12,FALSE)</f>
        <v>479.57344999999998</v>
      </c>
      <c r="BB55" s="95">
        <f t="shared" si="0"/>
        <v>0</v>
      </c>
      <c r="BD55" s="319">
        <f>OBJ!B262</f>
        <v>9318180</v>
      </c>
      <c r="BE55" s="21" t="str">
        <f>VLOOKUP(BD55,CENY!$B$11:$G$1054,2,FALSE)</f>
        <v>Actro You(L) 500/SiSy 40kg; EB21; pravý</v>
      </c>
      <c r="BF55" s="22">
        <f>VLOOKUP(BD55,CENY!$B$11:$G$1054,3,FALSE)</f>
        <v>10</v>
      </c>
      <c r="BG55" s="22"/>
      <c r="BH55" s="23">
        <f>AY34</f>
        <v>0</v>
      </c>
      <c r="BI55" s="326">
        <f t="shared" si="2"/>
        <v>0</v>
      </c>
      <c r="BJ55" s="95">
        <f>VLOOKUP(BD55,CENY!$B$11:$M$2025,12,FALSE)</f>
        <v>296.00905</v>
      </c>
      <c r="BK55" s="95">
        <f t="shared" si="3"/>
        <v>0</v>
      </c>
    </row>
    <row r="56" spans="47:63" ht="14.4" customHeight="1">
      <c r="AU56" s="319">
        <f>OBJ!B306</f>
        <v>9256886</v>
      </c>
      <c r="AV56" s="21" t="str">
        <f>VLOOKUP(AU56,CENY!$B$11:$G$1054,2,FALSE)</f>
        <v>Quadro You(M) 350/SiSy 25kg; EB21</v>
      </c>
      <c r="AW56" s="22">
        <f>VLOOKUP(AU56,CENY!$B$11:$G$1054,3,FALSE)</f>
        <v>1</v>
      </c>
      <c r="AX56" s="362">
        <v>8</v>
      </c>
      <c r="AY56" s="23">
        <f>S28</f>
        <v>0</v>
      </c>
      <c r="AZ56" s="326">
        <f t="shared" si="1"/>
        <v>0</v>
      </c>
      <c r="BA56" s="95">
        <f>VLOOKUP(AU56,CENY!$B$11:$M$2025,12,FALSE)</f>
        <v>489.27857</v>
      </c>
      <c r="BB56" s="95">
        <f t="shared" si="0"/>
        <v>0</v>
      </c>
      <c r="BD56" s="319">
        <f>OBJ!B263</f>
        <v>9318181</v>
      </c>
      <c r="BE56" s="21" t="str">
        <f>VLOOKUP(BD56,CENY!$B$11:$G$1054,2,FALSE)</f>
        <v>Actro You(L) 550/SiSy 40kg; EB21; ľavý</v>
      </c>
      <c r="BF56" s="22">
        <f>VLOOKUP(BD56,CENY!$B$11:$G$1054,3,FALSE)</f>
        <v>10</v>
      </c>
      <c r="BG56" s="22"/>
      <c r="BH56" s="23">
        <f>AY35</f>
        <v>0</v>
      </c>
      <c r="BI56" s="326">
        <f t="shared" si="2"/>
        <v>0</v>
      </c>
      <c r="BJ56" s="95">
        <f>VLOOKUP(BD56,CENY!$B$11:$M$2025,12,FALSE)</f>
        <v>321.83461999999997</v>
      </c>
      <c r="BK56" s="95">
        <f t="shared" si="3"/>
        <v>0</v>
      </c>
    </row>
    <row r="57" spans="47:63" ht="14.4" customHeight="1">
      <c r="AU57" s="319">
        <f>OBJ!B307</f>
        <v>9256888</v>
      </c>
      <c r="AV57" s="21" t="str">
        <f>VLOOKUP(AU57,CENY!$B$11:$G$1054,2,FALSE)</f>
        <v>Quadro You(M) 400/SiSy 30kg; EB21</v>
      </c>
      <c r="AW57" s="22">
        <f>VLOOKUP(AU57,CENY!$B$11:$G$1054,3,FALSE)</f>
        <v>1</v>
      </c>
      <c r="AX57" s="362">
        <v>8</v>
      </c>
      <c r="AY57" s="23">
        <f>U28</f>
        <v>0</v>
      </c>
      <c r="AZ57" s="326">
        <f t="shared" si="1"/>
        <v>0</v>
      </c>
      <c r="BA57" s="95">
        <f>VLOOKUP(AU57,CENY!$B$11:$M$2025,12,FALSE)</f>
        <v>498.97861999999998</v>
      </c>
      <c r="BB57" s="95">
        <f t="shared" si="0"/>
        <v>0</v>
      </c>
      <c r="BD57" s="319">
        <f>OBJ!B264</f>
        <v>9318182</v>
      </c>
      <c r="BE57" s="21" t="str">
        <f>VLOOKUP(BD57,CENY!$B$11:$G$1054,2,FALSE)</f>
        <v>Actro You(L) 550/SiSy 40kg; EB21; pravý</v>
      </c>
      <c r="BF57" s="22">
        <f>VLOOKUP(BD57,CENY!$B$11:$G$1054,3,FALSE)</f>
        <v>10</v>
      </c>
      <c r="BG57" s="22"/>
      <c r="BH57" s="23">
        <f>AY35</f>
        <v>0</v>
      </c>
      <c r="BI57" s="326">
        <f t="shared" si="2"/>
        <v>0</v>
      </c>
      <c r="BJ57" s="95">
        <f>VLOOKUP(BD57,CENY!$B$11:$M$2025,12,FALSE)</f>
        <v>321.83461999999997</v>
      </c>
      <c r="BK57" s="95">
        <f t="shared" si="3"/>
        <v>0</v>
      </c>
    </row>
    <row r="58" spans="47:63" ht="14.4" customHeight="1">
      <c r="AU58" s="319">
        <f>OBJ!B308</f>
        <v>9256890</v>
      </c>
      <c r="AV58" s="21" t="str">
        <f>VLOOKUP(AU58,CENY!$B$11:$G$1054,2,FALSE)</f>
        <v>Quadro You(M) 450/SiSy 30kg; EB21</v>
      </c>
      <c r="AW58" s="22">
        <f>VLOOKUP(AU58,CENY!$B$11:$G$1054,3,FALSE)</f>
        <v>1</v>
      </c>
      <c r="AX58" s="362">
        <v>8</v>
      </c>
      <c r="AY58" s="23">
        <f>W28</f>
        <v>0</v>
      </c>
      <c r="AZ58" s="326">
        <f t="shared" si="1"/>
        <v>0</v>
      </c>
      <c r="BA58" s="95">
        <f>VLOOKUP(AU58,CENY!$B$11:$M$2025,12,FALSE)</f>
        <v>122.98869999999999</v>
      </c>
      <c r="BB58" s="95">
        <f t="shared" si="0"/>
        <v>0</v>
      </c>
      <c r="BD58" s="319">
        <f>OBJ!B265</f>
        <v>9318183</v>
      </c>
      <c r="BE58" s="21" t="str">
        <f>VLOOKUP(BD58,CENY!$B$11:$G$1054,2,FALSE)</f>
        <v>Actro You(L) 600/SiSy 40kg; EB21; ľavý</v>
      </c>
      <c r="BF58" s="22">
        <f>VLOOKUP(BD58,CENY!$B$11:$G$1054,3,FALSE)</f>
        <v>10</v>
      </c>
      <c r="BG58" s="22"/>
      <c r="BH58" s="23">
        <f>AY36</f>
        <v>0</v>
      </c>
      <c r="BI58" s="326">
        <f t="shared" si="2"/>
        <v>0</v>
      </c>
      <c r="BJ58" s="95">
        <f>VLOOKUP(BD58,CENY!$B$11:$M$2025,12,FALSE)</f>
        <v>326.21229</v>
      </c>
      <c r="BK58" s="95">
        <f t="shared" si="3"/>
        <v>0</v>
      </c>
    </row>
    <row r="59" spans="47:63" ht="14.4" customHeight="1">
      <c r="AU59" s="319">
        <f>OBJ!B309</f>
        <v>9256892</v>
      </c>
      <c r="AV59" s="21" t="str">
        <f>VLOOKUP(AU59,CENY!$B$11:$G$1054,2,FALSE)</f>
        <v>Quadro You(M) 500/SiSy 30kg; EB21</v>
      </c>
      <c r="AW59" s="22">
        <f>VLOOKUP(AU59,CENY!$B$11:$G$1054,3,FALSE)</f>
        <v>1</v>
      </c>
      <c r="AX59" s="362">
        <v>8</v>
      </c>
      <c r="AY59" s="23">
        <f>Y28</f>
        <v>0</v>
      </c>
      <c r="AZ59" s="326">
        <f t="shared" si="1"/>
        <v>0</v>
      </c>
      <c r="BA59" s="95">
        <f>VLOOKUP(AU59,CENY!$B$11:$M$2025,12,FALSE)</f>
        <v>504.59701000000001</v>
      </c>
      <c r="BB59" s="95">
        <f t="shared" si="0"/>
        <v>0</v>
      </c>
      <c r="BD59" s="319">
        <f>OBJ!B266</f>
        <v>9318184</v>
      </c>
      <c r="BE59" s="21" t="str">
        <f>VLOOKUP(BD59,CENY!$B$11:$G$1054,2,FALSE)</f>
        <v>Actro You(L) 600/SiSy 40kg; EB21; pravý</v>
      </c>
      <c r="BF59" s="22">
        <f>VLOOKUP(BD59,CENY!$B$11:$G$1054,3,FALSE)</f>
        <v>10</v>
      </c>
      <c r="BG59" s="22"/>
      <c r="BH59" s="23">
        <f>AY36</f>
        <v>0</v>
      </c>
      <c r="BI59" s="326">
        <f t="shared" si="2"/>
        <v>0</v>
      </c>
      <c r="BJ59" s="95">
        <f>VLOOKUP(BD59,CENY!$B$11:$M$2025,12,FALSE)</f>
        <v>326.21229</v>
      </c>
      <c r="BK59" s="95">
        <f t="shared" si="3"/>
        <v>0</v>
      </c>
    </row>
    <row r="60" spans="47:63" ht="14.4" customHeight="1">
      <c r="AU60" s="319">
        <f>OBJ!B310</f>
        <v>9256894</v>
      </c>
      <c r="AV60" s="21" t="str">
        <f>VLOOKUP(AU60,CENY!$B$11:$G$1054,2,FALSE)</f>
        <v>Quadro You(M) 550/SiSy 30kg; EB21</v>
      </c>
      <c r="AW60" s="22">
        <f>VLOOKUP(AU60,CENY!$B$11:$G$1054,3,FALSE)</f>
        <v>1</v>
      </c>
      <c r="AX60" s="362">
        <v>8</v>
      </c>
      <c r="AY60" s="23">
        <f>AA28</f>
        <v>0</v>
      </c>
      <c r="AZ60" s="326">
        <f t="shared" si="1"/>
        <v>0</v>
      </c>
      <c r="BA60" s="95">
        <f>VLOOKUP(AU60,CENY!$B$11:$M$2025,12,FALSE)</f>
        <v>127.68105</v>
      </c>
      <c r="BB60" s="95">
        <f t="shared" si="0"/>
        <v>0</v>
      </c>
      <c r="BD60" s="319"/>
      <c r="BE60" s="21"/>
      <c r="BF60" s="22"/>
      <c r="BG60" s="22"/>
      <c r="BH60" s="23"/>
      <c r="BI60" s="326" t="str">
        <f t="shared" si="2"/>
        <v/>
      </c>
      <c r="BJ60" s="95"/>
      <c r="BK60" s="95" t="str">
        <f t="shared" si="3"/>
        <v/>
      </c>
    </row>
    <row r="61" spans="47:63" ht="14.4" customHeight="1">
      <c r="AU61" s="319">
        <f>OBJ!B311</f>
        <v>9256896</v>
      </c>
      <c r="AV61" s="21" t="str">
        <f>VLOOKUP(AU61,CENY!$B$11:$G$1054,2,FALSE)</f>
        <v>Quadro You(M) 600/SiSy 25kg; EB21</v>
      </c>
      <c r="AW61" s="22">
        <f>VLOOKUP(AU61,CENY!$B$11:$G$1054,3,FALSE)</f>
        <v>1</v>
      </c>
      <c r="AX61" s="362">
        <v>8</v>
      </c>
      <c r="AY61" s="23">
        <f>AC28</f>
        <v>0</v>
      </c>
      <c r="AZ61" s="326">
        <f t="shared" si="1"/>
        <v>0</v>
      </c>
      <c r="BA61" s="95">
        <f>VLOOKUP(AU61,CENY!$B$11:$M$2025,12,FALSE)</f>
        <v>537.79395</v>
      </c>
      <c r="BB61" s="95">
        <f t="shared" si="0"/>
        <v>0</v>
      </c>
      <c r="BD61" s="319">
        <f>OBJ!B273</f>
        <v>9318198</v>
      </c>
      <c r="BE61" s="21" t="str">
        <f>VLOOKUP(BD61,CENY!$B$11:$G$1054,2,FALSE)</f>
        <v>Actro You(XL) 450/SiSy 70kg; EB21; ľavý</v>
      </c>
      <c r="BF61" s="22">
        <f>VLOOKUP(BD61,CENY!$B$11:$G$1054,3,FALSE)</f>
        <v>10</v>
      </c>
      <c r="BG61" s="22"/>
      <c r="BH61" s="23">
        <f>AY38</f>
        <v>0</v>
      </c>
      <c r="BI61" s="326">
        <f t="shared" si="2"/>
        <v>0</v>
      </c>
      <c r="BJ61" s="95">
        <f>VLOOKUP(BD61,CENY!$B$11:$M$2025,12,FALSE)</f>
        <v>368.62277</v>
      </c>
      <c r="BK61" s="95">
        <f t="shared" si="3"/>
        <v>0</v>
      </c>
    </row>
    <row r="62" spans="47:63" ht="14.4" customHeight="1">
      <c r="AU62" s="319"/>
      <c r="AV62" s="21"/>
      <c r="AW62" s="22"/>
      <c r="AX62" s="22"/>
      <c r="AY62" s="23"/>
      <c r="AZ62" s="326" t="str">
        <f t="shared" si="1"/>
        <v/>
      </c>
      <c r="BA62" s="95"/>
      <c r="BB62" s="95" t="str">
        <f t="shared" si="0"/>
        <v/>
      </c>
      <c r="BD62" s="319">
        <f>OBJ!B274</f>
        <v>9318199</v>
      </c>
      <c r="BE62" s="21" t="str">
        <f>VLOOKUP(BD62,CENY!$B$11:$G$1054,2,FALSE)</f>
        <v>Actro You(XL) 450/SiSy 70kg; EB21; pravý</v>
      </c>
      <c r="BF62" s="22">
        <f>VLOOKUP(BD62,CENY!$B$11:$G$1054,3,FALSE)</f>
        <v>10</v>
      </c>
      <c r="BG62" s="22"/>
      <c r="BH62" s="23">
        <f>AY38</f>
        <v>0</v>
      </c>
      <c r="BI62" s="326">
        <f t="shared" si="2"/>
        <v>0</v>
      </c>
      <c r="BJ62" s="95">
        <f>VLOOKUP(BD62,CENY!$B$11:$M$2025,12,FALSE)</f>
        <v>368.62277</v>
      </c>
      <c r="BK62" s="95">
        <f t="shared" si="3"/>
        <v>0</v>
      </c>
    </row>
    <row r="63" spans="47:63" ht="14.4" customHeight="1">
      <c r="AU63" s="319">
        <f>OBJ!B329</f>
        <v>9257894</v>
      </c>
      <c r="AV63" s="21" t="str">
        <f>VLOOKUP(AU63,CENY!$B$11:$G$1054,2,FALSE)</f>
        <v>Quadro You - Push to open Silent; &lt;10kg</v>
      </c>
      <c r="AW63" s="22">
        <f>VLOOKUP(AU63,CENY!$B$11:$G$1054,3,FALSE)</f>
        <v>1</v>
      </c>
      <c r="AX63" s="22"/>
      <c r="AY63" s="23">
        <f>AN27</f>
        <v>0</v>
      </c>
      <c r="AZ63" s="326">
        <f t="shared" si="1"/>
        <v>0</v>
      </c>
      <c r="BA63" s="95">
        <f>VLOOKUP(AU63,CENY!$B$11:$M$2025,12,FALSE)</f>
        <v>480.50922000000003</v>
      </c>
      <c r="BB63" s="95">
        <f t="shared" si="0"/>
        <v>0</v>
      </c>
      <c r="BD63" s="319">
        <f>OBJ!B275</f>
        <v>9318201</v>
      </c>
      <c r="BE63" s="21" t="str">
        <f>VLOOKUP(BD63,CENY!$B$11:$G$1054,2,FALSE)</f>
        <v>Actro You(XL) 500/SiSy 70kg; EB21; ľavý</v>
      </c>
      <c r="BF63" s="22">
        <f>VLOOKUP(BD63,CENY!$B$11:$G$1054,3,FALSE)</f>
        <v>10</v>
      </c>
      <c r="BG63" s="22"/>
      <c r="BH63" s="23">
        <f>AY39</f>
        <v>0</v>
      </c>
      <c r="BI63" s="326">
        <f t="shared" si="2"/>
        <v>0</v>
      </c>
      <c r="BJ63" s="95">
        <f>VLOOKUP(BD63,CENY!$B$11:$M$2025,12,FALSE)</f>
        <v>372.33726999999999</v>
      </c>
      <c r="BK63" s="95">
        <f t="shared" si="3"/>
        <v>0</v>
      </c>
    </row>
    <row r="64" spans="47:63" ht="14.4" customHeight="1">
      <c r="AU64" s="319">
        <f>OBJ!B330</f>
        <v>9257895</v>
      </c>
      <c r="AV64" s="21" t="str">
        <f>VLOOKUP(AU64,CENY!$B$11:$G$1054,2,FALSE)</f>
        <v>Quadro You - Push to open Silent; 8-20kg</v>
      </c>
      <c r="AW64" s="22">
        <f>VLOOKUP(AU64,CENY!$B$11:$G$1054,3,FALSE)</f>
        <v>1</v>
      </c>
      <c r="AX64" s="22"/>
      <c r="AY64" s="23">
        <f>AN28</f>
        <v>0</v>
      </c>
      <c r="AZ64" s="326">
        <f t="shared" si="1"/>
        <v>0</v>
      </c>
      <c r="BA64" s="95">
        <f>VLOOKUP(AU64,CENY!$B$11:$M$2025,12,FALSE)</f>
        <v>480.50922000000003</v>
      </c>
      <c r="BB64" s="95">
        <f t="shared" si="0"/>
        <v>0</v>
      </c>
      <c r="BD64" s="319">
        <f>OBJ!B276</f>
        <v>9318203</v>
      </c>
      <c r="BE64" s="21" t="str">
        <f>VLOOKUP(BD64,CENY!$B$11:$G$1054,2,FALSE)</f>
        <v>Actro You(XL) 500/SiSy 70kg; EB21; pravý</v>
      </c>
      <c r="BF64" s="22">
        <f>VLOOKUP(BD64,CENY!$B$11:$G$1054,3,FALSE)</f>
        <v>10</v>
      </c>
      <c r="BG64" s="22"/>
      <c r="BH64" s="23">
        <f>AY39</f>
        <v>0</v>
      </c>
      <c r="BI64" s="326">
        <f t="shared" si="2"/>
        <v>0</v>
      </c>
      <c r="BJ64" s="95">
        <f>VLOOKUP(BD64,CENY!$B$11:$M$2025,12,FALSE)</f>
        <v>372.33726999999999</v>
      </c>
      <c r="BK64" s="95">
        <f t="shared" si="3"/>
        <v>0</v>
      </c>
    </row>
    <row r="65" spans="1:63" ht="14.4" customHeight="1">
      <c r="AU65" s="319">
        <f>OBJ!B331</f>
        <v>9257896</v>
      </c>
      <c r="AV65" s="21" t="str">
        <f>VLOOKUP(AU65,CENY!$B$11:$G$1054,2,FALSE)</f>
        <v>Quadro You - Push to open Silent; 10-30kg</v>
      </c>
      <c r="AW65" s="22">
        <f>VLOOKUP(AU65,CENY!$B$11:$G$1054,3,FALSE)</f>
        <v>1</v>
      </c>
      <c r="AX65" s="22"/>
      <c r="AY65" s="23">
        <f>AN29</f>
        <v>0</v>
      </c>
      <c r="AZ65" s="326">
        <f t="shared" si="1"/>
        <v>0</v>
      </c>
      <c r="BA65" s="95">
        <f>VLOOKUP(AU65,CENY!$B$11:$M$2025,12,FALSE)</f>
        <v>480.50922000000003</v>
      </c>
      <c r="BB65" s="95">
        <f t="shared" si="0"/>
        <v>0</v>
      </c>
      <c r="BD65" s="319">
        <f>OBJ!B277</f>
        <v>9318208</v>
      </c>
      <c r="BE65" s="21" t="str">
        <f>VLOOKUP(BD65,CENY!$B$11:$G$1054,2,FALSE)</f>
        <v>Actro You(XL) 550/SiSy 70kg; EB21; ľavý</v>
      </c>
      <c r="BF65" s="22">
        <f>VLOOKUP(BD65,CENY!$B$11:$G$1054,3,FALSE)</f>
        <v>10</v>
      </c>
      <c r="BG65" s="22"/>
      <c r="BH65" s="23">
        <f>AY40</f>
        <v>0</v>
      </c>
      <c r="BI65" s="326">
        <f t="shared" si="2"/>
        <v>0</v>
      </c>
      <c r="BJ65" s="95">
        <f>VLOOKUP(BD65,CENY!$B$11:$M$2025,12,FALSE)</f>
        <v>392.11943000000002</v>
      </c>
      <c r="BK65" s="95">
        <f t="shared" si="3"/>
        <v>0</v>
      </c>
    </row>
    <row r="66" spans="1:63" ht="12.9" customHeight="1" thickBot="1">
      <c r="A66" s="577"/>
      <c r="AU66" s="319"/>
      <c r="AV66" s="21"/>
      <c r="AW66" s="22"/>
      <c r="AX66" s="22"/>
      <c r="AY66" s="23"/>
      <c r="AZ66" s="326" t="str">
        <f t="shared" si="1"/>
        <v/>
      </c>
      <c r="BA66" s="95"/>
      <c r="BB66" s="95" t="str">
        <f t="shared" si="0"/>
        <v/>
      </c>
      <c r="BD66" s="319">
        <f>OBJ!B278</f>
        <v>9318209</v>
      </c>
      <c r="BE66" s="21" t="str">
        <f>VLOOKUP(BD66,CENY!$B$11:$G$1054,2,FALSE)</f>
        <v>Actro You(XL) 550/SiSy 70kg; EB21; pravý</v>
      </c>
      <c r="BF66" s="22">
        <f>VLOOKUP(BD66,CENY!$B$11:$G$1054,3,FALSE)</f>
        <v>10</v>
      </c>
      <c r="BG66" s="22"/>
      <c r="BH66" s="23">
        <f>AY40</f>
        <v>0</v>
      </c>
      <c r="BI66" s="326">
        <f t="shared" si="2"/>
        <v>0</v>
      </c>
      <c r="BJ66" s="95">
        <f>VLOOKUP(BD66,CENY!$B$11:$M$2025,12,FALSE)</f>
        <v>392.11943000000002</v>
      </c>
      <c r="BK66" s="95">
        <f t="shared" si="3"/>
        <v>0</v>
      </c>
    </row>
    <row r="67" spans="1:63" ht="23.1" customHeight="1" thickBot="1">
      <c r="A67" s="577"/>
      <c r="B67" s="484" t="str">
        <f>verze!E13</f>
        <v>&lt;&lt;  zpět</v>
      </c>
      <c r="C67" s="485"/>
      <c r="D67" s="485"/>
      <c r="E67" s="486"/>
      <c r="G67" s="513" t="str">
        <f>verze!E6</f>
        <v xml:space="preserve"> Úvod</v>
      </c>
      <c r="H67" s="514"/>
      <c r="I67" s="514"/>
      <c r="J67" s="514"/>
      <c r="K67" s="515"/>
      <c r="O67" s="513" t="str">
        <f>verze!E7</f>
        <v xml:space="preserve"> Výběr zásuvek</v>
      </c>
      <c r="P67" s="514"/>
      <c r="Q67" s="514"/>
      <c r="R67" s="514"/>
      <c r="S67" s="515"/>
      <c r="U67" s="513" t="str">
        <f>verze!E8</f>
        <v xml:space="preserve"> </v>
      </c>
      <c r="V67" s="514"/>
      <c r="W67" s="514"/>
      <c r="X67" s="514"/>
      <c r="Y67" s="515"/>
      <c r="AA67" s="513" t="str">
        <f>verze!E9</f>
        <v xml:space="preserve"> </v>
      </c>
      <c r="AB67" s="514"/>
      <c r="AC67" s="514"/>
      <c r="AD67" s="514"/>
      <c r="AE67" s="515"/>
      <c r="AI67" s="513" t="str">
        <f>verze!E10</f>
        <v xml:space="preserve"> Objednávka</v>
      </c>
      <c r="AJ67" s="514"/>
      <c r="AK67" s="514"/>
      <c r="AL67" s="514"/>
      <c r="AM67" s="515"/>
      <c r="AO67" s="475" t="str">
        <f>verze!E14</f>
        <v>vpřed  &gt;&gt;</v>
      </c>
      <c r="AP67" s="476"/>
      <c r="AQ67" s="476"/>
      <c r="AR67" s="477"/>
      <c r="AU67" s="319">
        <f>OBJ!B333</f>
        <v>9256928</v>
      </c>
      <c r="AV67" s="21" t="str">
        <f>VLOOKUP(AU67,CENY!$B$11:$G$1054,2,FALSE)</f>
        <v>Quadro You(M) 270/P2O 20kg; EB21</v>
      </c>
      <c r="AW67" s="22">
        <f>VLOOKUP(AU67,CENY!$B$11:$G$1054,3,FALSE)</f>
        <v>1</v>
      </c>
      <c r="AX67" s="362">
        <v>8</v>
      </c>
      <c r="AY67" s="23">
        <f>O30</f>
        <v>0</v>
      </c>
      <c r="AZ67" s="326">
        <f t="shared" si="1"/>
        <v>0</v>
      </c>
      <c r="BA67" s="95">
        <f>VLOOKUP(AU67,CENY!$B$11:$M$2025,12,FALSE)</f>
        <v>536.84897999999998</v>
      </c>
      <c r="BB67" s="95">
        <f t="shared" si="0"/>
        <v>0</v>
      </c>
      <c r="BD67" s="319">
        <f>OBJ!B279</f>
        <v>9318211</v>
      </c>
      <c r="BE67" s="21" t="str">
        <f>VLOOKUP(BD67,CENY!$B$11:$G$1054,2,FALSE)</f>
        <v>Actro You(XL) 600/SiSy 70kg; EB21; ľavý</v>
      </c>
      <c r="BF67" s="22">
        <f>VLOOKUP(BD67,CENY!$B$11:$G$1054,3,FALSE)</f>
        <v>10</v>
      </c>
      <c r="BG67" s="22"/>
      <c r="BH67" s="23">
        <f>AY41</f>
        <v>0</v>
      </c>
      <c r="BI67" s="326">
        <f t="shared" si="2"/>
        <v>0</v>
      </c>
      <c r="BJ67" s="95">
        <f>VLOOKUP(BD67,CENY!$B$11:$M$2025,12,FALSE)</f>
        <v>443.89010999999999</v>
      </c>
      <c r="BK67" s="95">
        <f t="shared" si="3"/>
        <v>0</v>
      </c>
    </row>
    <row r="68" spans="1:63" ht="12.9" customHeight="1">
      <c r="A68" s="577"/>
      <c r="AU68" s="319">
        <f>OBJ!B334</f>
        <v>9256929</v>
      </c>
      <c r="AV68" s="21" t="str">
        <f>VLOOKUP(AU68,CENY!$B$11:$G$1054,2,FALSE)</f>
        <v>Quadro You(M) 300/P2O 20kg; EB21</v>
      </c>
      <c r="AW68" s="22">
        <f>VLOOKUP(AU68,CENY!$B$11:$G$1054,3,FALSE)</f>
        <v>1</v>
      </c>
      <c r="AX68" s="362">
        <v>8</v>
      </c>
      <c r="AY68" s="23">
        <f>Q30</f>
        <v>0</v>
      </c>
      <c r="AZ68" s="326">
        <f t="shared" si="1"/>
        <v>0</v>
      </c>
      <c r="BA68" s="95">
        <f>VLOOKUP(AU68,CENY!$B$11:$M$2025,12,FALSE)</f>
        <v>537.79395</v>
      </c>
      <c r="BB68" s="95">
        <f t="shared" si="0"/>
        <v>0</v>
      </c>
      <c r="BD68" s="319">
        <f>OBJ!B280</f>
        <v>9318212</v>
      </c>
      <c r="BE68" s="21" t="str">
        <f>VLOOKUP(BD68,CENY!$B$11:$G$1054,2,FALSE)</f>
        <v>Actro You(XL) 600/SiSy 70kg; EB21; pravý</v>
      </c>
      <c r="BF68" s="22">
        <f>VLOOKUP(BD68,CENY!$B$11:$G$1054,3,FALSE)</f>
        <v>10</v>
      </c>
      <c r="BG68" s="22"/>
      <c r="BH68" s="23">
        <f>AY41</f>
        <v>0</v>
      </c>
      <c r="BI68" s="326">
        <f t="shared" si="2"/>
        <v>0</v>
      </c>
      <c r="BJ68" s="95">
        <f>VLOOKUP(BD68,CENY!$B$11:$M$2025,12,FALSE)</f>
        <v>443.89010999999999</v>
      </c>
      <c r="BK68" s="95">
        <f t="shared" si="3"/>
        <v>0</v>
      </c>
    </row>
    <row r="69" spans="1:63" ht="23.1" customHeight="1">
      <c r="A69" s="577"/>
      <c r="B69" s="93" t="str">
        <f>B4</f>
        <v>Zásuvka AVANTECH YOU  187</v>
      </c>
      <c r="C69" s="89"/>
      <c r="D69" s="89"/>
      <c r="E69" s="89"/>
      <c r="F69" s="89"/>
      <c r="G69" s="89"/>
      <c r="H69" s="89"/>
      <c r="I69" s="89"/>
      <c r="J69" s="89"/>
      <c r="K69" s="89"/>
      <c r="L69" s="89"/>
      <c r="M69" s="89"/>
      <c r="N69" s="89"/>
      <c r="O69" s="89"/>
      <c r="P69" s="89"/>
      <c r="Q69" s="89"/>
      <c r="R69" s="89"/>
      <c r="S69" s="89"/>
      <c r="T69" s="89"/>
      <c r="U69" s="89"/>
      <c r="V69" s="89"/>
      <c r="W69" s="89"/>
      <c r="X69" s="89"/>
      <c r="Y69" s="89"/>
      <c r="Z69" s="89"/>
      <c r="AA69" s="89"/>
      <c r="AB69" s="89"/>
      <c r="AC69" s="89"/>
      <c r="AD69" s="89"/>
      <c r="AE69" s="89"/>
      <c r="AF69" s="89"/>
      <c r="AG69" s="89"/>
      <c r="AH69" s="89"/>
      <c r="AI69" s="89"/>
      <c r="AJ69" s="89"/>
      <c r="AK69" s="89"/>
      <c r="AL69" s="89"/>
      <c r="AM69" s="89"/>
      <c r="AN69" s="89"/>
      <c r="AO69" s="89"/>
      <c r="AP69" s="89"/>
      <c r="AQ69" s="89"/>
      <c r="AR69" s="89"/>
      <c r="AU69" s="319">
        <f>OBJ!B335</f>
        <v>9256931</v>
      </c>
      <c r="AV69" s="21" t="str">
        <f>VLOOKUP(AU69,CENY!$B$11:$G$1054,2,FALSE)</f>
        <v>Quadro You(M) 350/P2O 25kg; EB21</v>
      </c>
      <c r="AW69" s="22">
        <f>VLOOKUP(AU69,CENY!$B$11:$G$1054,3,FALSE)</f>
        <v>1</v>
      </c>
      <c r="AX69" s="362">
        <v>8</v>
      </c>
      <c r="AY69" s="23">
        <f>S30</f>
        <v>0</v>
      </c>
      <c r="AZ69" s="326">
        <f t="shared" si="1"/>
        <v>0</v>
      </c>
      <c r="BA69" s="95">
        <f>VLOOKUP(AU69,CENY!$B$11:$M$2025,12,FALSE)</f>
        <v>547.49897999999996</v>
      </c>
      <c r="BB69" s="95">
        <f t="shared" ref="BB69:BB130" si="4">IF(BA69="","",BA69*AY69)</f>
        <v>0</v>
      </c>
      <c r="BD69" s="319">
        <f>OBJ!B281</f>
        <v>9318213</v>
      </c>
      <c r="BE69" s="21" t="str">
        <f>VLOOKUP(BD69,CENY!$B$11:$G$1054,2,FALSE)</f>
        <v>Actro You(XL) 650/SiSy 70kg; EB21; ľavý</v>
      </c>
      <c r="BF69" s="22">
        <f>VLOOKUP(BD69,CENY!$B$11:$G$1054,3,FALSE)</f>
        <v>5</v>
      </c>
      <c r="BG69" s="22"/>
      <c r="BH69" s="23">
        <f>AY42</f>
        <v>0</v>
      </c>
      <c r="BI69" s="326">
        <f t="shared" si="2"/>
        <v>0</v>
      </c>
      <c r="BJ69" s="95">
        <f>VLOOKUP(BD69,CENY!$B$11:$M$2025,12,FALSE)</f>
        <v>462.41142000000002</v>
      </c>
      <c r="BK69" s="95">
        <f t="shared" si="3"/>
        <v>0</v>
      </c>
    </row>
    <row r="70" spans="1:63" ht="14.4" customHeight="1">
      <c r="A70" s="577"/>
      <c r="AU70" s="319">
        <f>OBJ!B336</f>
        <v>9256933</v>
      </c>
      <c r="AV70" s="21" t="str">
        <f>VLOOKUP(AU70,CENY!$B$11:$G$1054,2,FALSE)</f>
        <v>Quadro You(M) 400/P2O 30kg; EB21</v>
      </c>
      <c r="AW70" s="22">
        <f>VLOOKUP(AU70,CENY!$B$11:$G$1054,3,FALSE)</f>
        <v>1</v>
      </c>
      <c r="AX70" s="362">
        <v>8</v>
      </c>
      <c r="AY70" s="23">
        <f>U30</f>
        <v>0</v>
      </c>
      <c r="AZ70" s="326">
        <f t="shared" ref="AZ70:AZ131" si="5">IF(AY70="","",IF($AW$4=1,AY70,0))</f>
        <v>0</v>
      </c>
      <c r="BA70" s="95">
        <f>VLOOKUP(AU70,CENY!$B$11:$M$2025,12,FALSE)</f>
        <v>557.20162000000005</v>
      </c>
      <c r="BB70" s="95">
        <f t="shared" si="4"/>
        <v>0</v>
      </c>
      <c r="BD70" s="319">
        <f>OBJ!B282</f>
        <v>9318214</v>
      </c>
      <c r="BE70" s="21" t="str">
        <f>VLOOKUP(BD70,CENY!$B$11:$G$1054,2,FALSE)</f>
        <v>Actro You(XL) 650/SiSy 70kg; EB21; pravý</v>
      </c>
      <c r="BF70" s="22">
        <f>VLOOKUP(BD70,CENY!$B$11:$G$1054,3,FALSE)</f>
        <v>5</v>
      </c>
      <c r="BG70" s="22"/>
      <c r="BH70" s="23">
        <f>AY42</f>
        <v>0</v>
      </c>
      <c r="BI70" s="326">
        <f t="shared" ref="BI70:BI132" si="6">IF(BH70="","",IF($AW$4=0,BH70,0))</f>
        <v>0</v>
      </c>
      <c r="BJ70" s="95">
        <f>VLOOKUP(BD70,CENY!$B$11:$M$2025,12,FALSE)</f>
        <v>462.41142000000002</v>
      </c>
      <c r="BK70" s="95">
        <f t="shared" ref="BK70:BK132" si="7">IF(BJ70="","",BJ70*BH70)</f>
        <v>0</v>
      </c>
    </row>
    <row r="71" spans="1:63" ht="14.4" customHeight="1">
      <c r="A71" s="577"/>
      <c r="AU71" s="319">
        <f>OBJ!B337</f>
        <v>9256935</v>
      </c>
      <c r="AV71" s="21" t="str">
        <f>VLOOKUP(AU71,CENY!$B$11:$G$1054,2,FALSE)</f>
        <v>Quadro You(M) 450/P2O 30kg; EB21</v>
      </c>
      <c r="AW71" s="22">
        <f>VLOOKUP(AU71,CENY!$B$11:$G$1054,3,FALSE)</f>
        <v>1</v>
      </c>
      <c r="AX71" s="362">
        <v>8</v>
      </c>
      <c r="AY71" s="23">
        <f>W30</f>
        <v>0</v>
      </c>
      <c r="AZ71" s="326">
        <f t="shared" si="5"/>
        <v>0</v>
      </c>
      <c r="BA71" s="95">
        <f>VLOOKUP(AU71,CENY!$B$11:$M$2025,12,FALSE)</f>
        <v>566.90911000000006</v>
      </c>
      <c r="BB71" s="95">
        <f t="shared" si="4"/>
        <v>0</v>
      </c>
      <c r="BD71" s="319"/>
      <c r="BE71" s="21"/>
      <c r="BF71" s="22"/>
      <c r="BG71" s="22"/>
      <c r="BH71" s="23"/>
      <c r="BI71" s="326" t="str">
        <f t="shared" si="6"/>
        <v/>
      </c>
      <c r="BJ71" s="95"/>
      <c r="BK71" s="95" t="str">
        <f t="shared" si="7"/>
        <v/>
      </c>
    </row>
    <row r="72" spans="1:63" ht="14.4" customHeight="1">
      <c r="A72" s="577"/>
      <c r="AU72" s="319">
        <f>OBJ!B338</f>
        <v>9256937</v>
      </c>
      <c r="AV72" s="21" t="str">
        <f>VLOOKUP(AU72,CENY!$B$11:$G$1054,2,FALSE)</f>
        <v>Quadro You(M) 500/P2O 30kg; EB21</v>
      </c>
      <c r="AW72" s="22">
        <f>VLOOKUP(AU72,CENY!$B$11:$G$1054,3,FALSE)</f>
        <v>1</v>
      </c>
      <c r="AX72" s="362">
        <v>8</v>
      </c>
      <c r="AY72" s="23">
        <f>Y30</f>
        <v>0</v>
      </c>
      <c r="AZ72" s="326">
        <f t="shared" si="5"/>
        <v>0</v>
      </c>
      <c r="BA72" s="95">
        <f>VLOOKUP(AU72,CENY!$B$11:$M$2025,12,FALSE)</f>
        <v>139.41228000000001</v>
      </c>
      <c r="BB72" s="95">
        <f t="shared" si="4"/>
        <v>0</v>
      </c>
      <c r="BD72" s="319">
        <f>OBJ!B284</f>
        <v>9257890</v>
      </c>
      <c r="BE72" s="21" t="str">
        <f>VLOOKUP(BD72,CENY!$B$11:$G$1054,2,FALSE)</f>
        <v>Actro You - Push to open Silent; &lt;10kg</v>
      </c>
      <c r="BF72" s="22">
        <f>VLOOKUP(BD72,CENY!$B$11:$G$1054,3,FALSE)</f>
        <v>1</v>
      </c>
      <c r="BG72" s="22"/>
      <c r="BH72" s="23">
        <f>AY44</f>
        <v>0</v>
      </c>
      <c r="BI72" s="326">
        <f t="shared" si="6"/>
        <v>0</v>
      </c>
      <c r="BJ72" s="95">
        <f>VLOOKUP(BD72,CENY!$B$11:$M$2025,12,FALSE)</f>
        <v>481.81412999999998</v>
      </c>
      <c r="BK72" s="95">
        <f t="shared" si="7"/>
        <v>0</v>
      </c>
    </row>
    <row r="73" spans="1:63" ht="14.4" customHeight="1">
      <c r="A73" s="577"/>
      <c r="AU73" s="319">
        <f>OBJ!B339</f>
        <v>9256939</v>
      </c>
      <c r="AV73" s="21" t="str">
        <f>VLOOKUP(AU73,CENY!$B$11:$G$1054,2,FALSE)</f>
        <v>Quadro You(M) 550/P2O 30kg; EB21</v>
      </c>
      <c r="AW73" s="22">
        <f>VLOOKUP(AU73,CENY!$B$11:$G$1054,3,FALSE)</f>
        <v>1</v>
      </c>
      <c r="AX73" s="362">
        <v>8</v>
      </c>
      <c r="AY73" s="23">
        <f>AA30</f>
        <v>0</v>
      </c>
      <c r="AZ73" s="326">
        <f t="shared" si="5"/>
        <v>0</v>
      </c>
      <c r="BA73" s="95">
        <f>VLOOKUP(AU73,CENY!$B$11:$M$2025,12,FALSE)</f>
        <v>586.3143</v>
      </c>
      <c r="BB73" s="95">
        <f t="shared" si="4"/>
        <v>0</v>
      </c>
      <c r="BD73" s="319">
        <f>OBJ!B285</f>
        <v>9257891</v>
      </c>
      <c r="BE73" s="21" t="str">
        <f>VLOOKUP(BD73,CENY!$B$11:$G$1054,2,FALSE)</f>
        <v>Actro You - Push to open Silent; 8-20kg</v>
      </c>
      <c r="BF73" s="22">
        <f>VLOOKUP(BD73,CENY!$B$11:$G$1054,3,FALSE)</f>
        <v>1</v>
      </c>
      <c r="BG73" s="22"/>
      <c r="BH73" s="23">
        <f>AY45</f>
        <v>0</v>
      </c>
      <c r="BI73" s="326">
        <f t="shared" si="6"/>
        <v>0</v>
      </c>
      <c r="BJ73" s="95">
        <f>VLOOKUP(BD73,CENY!$B$11:$M$2025,12,FALSE)</f>
        <v>481.81412999999998</v>
      </c>
      <c r="BK73" s="95">
        <f t="shared" si="7"/>
        <v>0</v>
      </c>
    </row>
    <row r="74" spans="1:63" ht="14.4" customHeight="1">
      <c r="A74" s="577"/>
      <c r="AU74" s="319">
        <f>OBJ!B340</f>
        <v>9256941</v>
      </c>
      <c r="AV74" s="21" t="str">
        <f>VLOOKUP(AU74,CENY!$B$11:$G$1054,2,FALSE)</f>
        <v>Quadro You(M) 600/P2O 25kg; EB21</v>
      </c>
      <c r="AW74" s="22">
        <f>VLOOKUP(AU74,CENY!$B$11:$G$1054,3,FALSE)</f>
        <v>1</v>
      </c>
      <c r="AX74" s="362">
        <v>8</v>
      </c>
      <c r="AY74" s="23">
        <f>AC30</f>
        <v>0</v>
      </c>
      <c r="AZ74" s="326">
        <f t="shared" si="5"/>
        <v>0</v>
      </c>
      <c r="BA74" s="95">
        <f>VLOOKUP(AU74,CENY!$B$11:$M$2025,12,FALSE)</f>
        <v>596.01683000000003</v>
      </c>
      <c r="BB74" s="95">
        <f t="shared" si="4"/>
        <v>0</v>
      </c>
      <c r="BD74" s="319">
        <f>OBJ!B286</f>
        <v>9257892</v>
      </c>
      <c r="BE74" s="21" t="str">
        <f>VLOOKUP(BD74,CENY!$B$11:$G$1054,2,FALSE)</f>
        <v>Actro You - Push to open Silent; 10-40kg</v>
      </c>
      <c r="BF74" s="22">
        <f>VLOOKUP(BD74,CENY!$B$11:$G$1054,3,FALSE)</f>
        <v>1</v>
      </c>
      <c r="BG74" s="22"/>
      <c r="BH74" s="23">
        <f>AY46</f>
        <v>0</v>
      </c>
      <c r="BI74" s="326">
        <f t="shared" si="6"/>
        <v>0</v>
      </c>
      <c r="BJ74" s="95">
        <f>VLOOKUP(BD74,CENY!$B$11:$M$2025,12,FALSE)</f>
        <v>481.81412999999998</v>
      </c>
      <c r="BK74" s="95">
        <f t="shared" si="7"/>
        <v>0</v>
      </c>
    </row>
    <row r="75" spans="1:63" ht="14.4" customHeight="1">
      <c r="A75" s="577"/>
      <c r="AU75" s="319"/>
      <c r="AV75" s="21"/>
      <c r="AW75" s="22"/>
      <c r="AX75" s="22"/>
      <c r="AY75" s="23"/>
      <c r="AZ75" s="326" t="str">
        <f t="shared" si="5"/>
        <v/>
      </c>
      <c r="BA75" s="95"/>
      <c r="BB75" s="95" t="str">
        <f t="shared" si="4"/>
        <v/>
      </c>
      <c r="BD75" s="319">
        <f>OBJ!B287</f>
        <v>9257893</v>
      </c>
      <c r="BE75" s="21" t="str">
        <f>VLOOKUP(BD75,CENY!$B$11:$G$1054,2,FALSE)</f>
        <v>Actro You - Push to open Silent; 20-70kg</v>
      </c>
      <c r="BF75" s="22">
        <f>VLOOKUP(BD75,CENY!$B$11:$G$1054,3,FALSE)</f>
        <v>1</v>
      </c>
      <c r="BG75" s="22"/>
      <c r="BH75" s="23">
        <f>AY47</f>
        <v>0</v>
      </c>
      <c r="BI75" s="326">
        <f t="shared" si="6"/>
        <v>0</v>
      </c>
      <c r="BJ75" s="95">
        <f>VLOOKUP(BD75,CENY!$B$11:$M$2025,12,FALSE)</f>
        <v>481.81412999999998</v>
      </c>
      <c r="BK75" s="95">
        <f t="shared" si="7"/>
        <v>0</v>
      </c>
    </row>
    <row r="76" spans="1:63" ht="14.4" customHeight="1">
      <c r="A76" s="577"/>
      <c r="AU76" s="319">
        <f>OBJ!B358</f>
        <v>9219966</v>
      </c>
      <c r="AV76" s="21" t="str">
        <f>VLOOKUP(AU76,CENY!$B$11:$G$1054,2,FALSE)</f>
        <v>Push to open Synchro / adaptér typ A</v>
      </c>
      <c r="AW76" s="22">
        <f>VLOOKUP(AU76,CENY!$B$11:$G$1054,3,FALSE)</f>
        <v>200</v>
      </c>
      <c r="AX76" s="22"/>
      <c r="AY76" s="23">
        <f>2*SUM(O30:AD30)</f>
        <v>0</v>
      </c>
      <c r="AZ76" s="326">
        <f t="shared" si="5"/>
        <v>0</v>
      </c>
      <c r="BA76" s="95">
        <f>VLOOKUP(AU76,CENY!$B$11:$M$2025,12,FALSE)</f>
        <v>16.488900000000001</v>
      </c>
      <c r="BB76" s="95">
        <f t="shared" si="4"/>
        <v>0</v>
      </c>
      <c r="BD76" s="319">
        <f>OBJ!B288</f>
        <v>9236718</v>
      </c>
      <c r="BE76" s="21" t="str">
        <f>VLOOKUP(BD76,CENY!$B$11:$G$1054,2,FALSE)</f>
        <v>Push to open Synchro / tyč 2.000 mm</v>
      </c>
      <c r="BF76" s="22">
        <f>VLOOKUP(BD76,CENY!$B$11:$G$1054,3,FALSE)</f>
        <v>100</v>
      </c>
      <c r="BG76" s="22"/>
      <c r="BH76" s="23">
        <f>AY48</f>
        <v>0</v>
      </c>
      <c r="BI76" s="326">
        <f t="shared" si="6"/>
        <v>0</v>
      </c>
      <c r="BJ76" s="95">
        <f>VLOOKUP(BD76,CENY!$B$11:$M$2025,12,FALSE)</f>
        <v>182.03933000000001</v>
      </c>
      <c r="BK76" s="95">
        <f t="shared" si="7"/>
        <v>0</v>
      </c>
    </row>
    <row r="77" spans="1:63" ht="14.4" customHeight="1">
      <c r="A77" s="577"/>
      <c r="AU77" s="319"/>
      <c r="AV77" s="21"/>
      <c r="AW77" s="22"/>
      <c r="AX77" s="22"/>
      <c r="AY77" s="23"/>
      <c r="AZ77" s="326" t="str">
        <f t="shared" si="5"/>
        <v/>
      </c>
      <c r="BA77" s="95"/>
      <c r="BB77" s="95" t="str">
        <f t="shared" si="4"/>
        <v/>
      </c>
      <c r="BD77" s="319"/>
      <c r="BE77" s="21"/>
      <c r="BF77" s="22"/>
      <c r="BG77" s="22"/>
      <c r="BH77" s="23"/>
      <c r="BI77" s="326" t="str">
        <f t="shared" si="6"/>
        <v/>
      </c>
      <c r="BJ77" s="95"/>
      <c r="BK77" s="95" t="str">
        <f t="shared" si="7"/>
        <v/>
      </c>
    </row>
    <row r="78" spans="1:63" ht="14.4" customHeight="1">
      <c r="A78" s="577"/>
      <c r="AU78" s="320">
        <v>9255839</v>
      </c>
      <c r="AV78" s="321" t="str">
        <f>VLOOKUP(AU78,CENY!$B$11:$G$1054,2,FALSE)</f>
        <v>AvanY-prích.čela s rozp.púzdrom/ v187-251</v>
      </c>
      <c r="AW78" s="22">
        <f>VLOOKUP(AU78,CENY!$B$11:$G$1054,3,FALSE)</f>
        <v>200</v>
      </c>
      <c r="AX78" s="22"/>
      <c r="AY78" s="68">
        <v>0</v>
      </c>
      <c r="AZ78" s="326">
        <f t="shared" si="5"/>
        <v>0</v>
      </c>
      <c r="BA78" s="95">
        <f>VLOOKUP(AU78,CENY!$B$11:$M$2025,12,FALSE)</f>
        <v>49.991039999999998</v>
      </c>
      <c r="BB78" s="95">
        <f t="shared" si="4"/>
        <v>0</v>
      </c>
      <c r="BD78" s="319">
        <f>OBJ!B297</f>
        <v>9256944</v>
      </c>
      <c r="BE78" s="21" t="str">
        <f>VLOOKUP(BD78,CENY!$B$11:$G$1054,2,FALSE)</f>
        <v>Quadro You(S) 270/SiSy 10kg; EB21; ľavý</v>
      </c>
      <c r="BF78" s="22">
        <f>VLOOKUP(BD78,CENY!$B$11:$G$1054,3,FALSE)</f>
        <v>20</v>
      </c>
      <c r="BG78" s="22"/>
      <c r="BH78" s="23">
        <f>AY50</f>
        <v>0</v>
      </c>
      <c r="BI78" s="326">
        <f t="shared" si="6"/>
        <v>0</v>
      </c>
      <c r="BJ78" s="95">
        <f>VLOOKUP(BD78,CENY!$B$11:$M$2025,12,FALSE)</f>
        <v>223.77942999999999</v>
      </c>
      <c r="BK78" s="95">
        <f t="shared" si="7"/>
        <v>0</v>
      </c>
    </row>
    <row r="79" spans="1:63" ht="14.4" customHeight="1">
      <c r="A79" s="577"/>
      <c r="AU79" s="319"/>
      <c r="AV79" s="21"/>
      <c r="AW79" s="22"/>
      <c r="AX79" s="22"/>
      <c r="AY79" s="23"/>
      <c r="AZ79" s="326" t="str">
        <f t="shared" si="5"/>
        <v/>
      </c>
      <c r="BA79" s="95"/>
      <c r="BB79" s="95" t="str">
        <f t="shared" si="4"/>
        <v/>
      </c>
      <c r="BD79" s="319">
        <f>OBJ!B298</f>
        <v>9256945</v>
      </c>
      <c r="BE79" s="21" t="str">
        <f>VLOOKUP(BD79,CENY!$B$11:$G$1054,2,FALSE)</f>
        <v>Quadro You(S) 270/SiSy 10kg; EB21; pravý</v>
      </c>
      <c r="BF79" s="22">
        <f>VLOOKUP(BD79,CENY!$B$11:$G$1054,3,FALSE)</f>
        <v>20</v>
      </c>
      <c r="BG79" s="22"/>
      <c r="BH79" s="23">
        <f>AY50</f>
        <v>0</v>
      </c>
      <c r="BI79" s="326">
        <f t="shared" si="6"/>
        <v>0</v>
      </c>
      <c r="BJ79" s="95">
        <f>VLOOKUP(BD79,CENY!$B$11:$M$2025,12,FALSE)</f>
        <v>223.77942999999999</v>
      </c>
      <c r="BK79" s="95">
        <f t="shared" si="7"/>
        <v>0</v>
      </c>
    </row>
    <row r="80" spans="1:63" ht="14.4" customHeight="1">
      <c r="A80" s="577"/>
      <c r="O80" s="576">
        <f t="shared" ref="O80:AI80" si="8">CEILING(O84/FLOOR(2000/O85,1),1)</f>
        <v>0</v>
      </c>
      <c r="P80" s="576"/>
      <c r="Q80" s="576">
        <f t="shared" si="8"/>
        <v>0</v>
      </c>
      <c r="R80" s="576"/>
      <c r="S80" s="576">
        <f t="shared" si="8"/>
        <v>0</v>
      </c>
      <c r="T80" s="576"/>
      <c r="U80" s="576">
        <f t="shared" si="8"/>
        <v>0</v>
      </c>
      <c r="V80" s="576"/>
      <c r="W80" s="576">
        <f t="shared" si="8"/>
        <v>0</v>
      </c>
      <c r="X80" s="576"/>
      <c r="Y80" s="576">
        <f t="shared" si="8"/>
        <v>0</v>
      </c>
      <c r="Z80" s="576"/>
      <c r="AA80" s="576">
        <f t="shared" si="8"/>
        <v>0</v>
      </c>
      <c r="AB80" s="576"/>
      <c r="AC80" s="576">
        <f t="shared" si="8"/>
        <v>0</v>
      </c>
      <c r="AD80" s="576"/>
      <c r="AE80" s="576">
        <f t="shared" si="8"/>
        <v>0</v>
      </c>
      <c r="AF80" s="576"/>
      <c r="AG80" s="576">
        <f t="shared" si="8"/>
        <v>0</v>
      </c>
      <c r="AH80" s="576"/>
      <c r="AI80" s="576">
        <f t="shared" si="8"/>
        <v>0</v>
      </c>
      <c r="AJ80" s="576"/>
      <c r="AU80" s="319">
        <f>OBJ!B214</f>
        <v>0</v>
      </c>
      <c r="AV80" s="21" t="e">
        <f>VLOOKUP(AU80,CENY!$B$11:$G$1054,2,FALSE)</f>
        <v>#N/A</v>
      </c>
      <c r="AW80" s="22" t="e">
        <f>VLOOKUP(AU80,CENY!$B$11:$G$1054,3,FALSE)</f>
        <v>#N/A</v>
      </c>
      <c r="AX80" s="22"/>
      <c r="AY80" s="68">
        <f>IF(FORM!AM21&lt;&gt;FORM!AW16,(2*(+SUM(O19:T19)+SUM(O20:AD20)+SUM(W22:AF22)+SUM(O27:T27)+SUM(O28:AD28)+SUM(O30:AD30))),0)</f>
        <v>0</v>
      </c>
      <c r="AZ80" s="326">
        <f t="shared" si="5"/>
        <v>0</v>
      </c>
      <c r="BA80" s="324" t="str">
        <f>IF(AU80=0,"",VLOOKUP(AU80,CENY!$B$11:$M$2025,12,FALSE))</f>
        <v/>
      </c>
      <c r="BB80" s="95" t="str">
        <f t="shared" si="4"/>
        <v/>
      </c>
      <c r="BD80" s="319">
        <f>OBJ!B299</f>
        <v>9256946</v>
      </c>
      <c r="BE80" s="21" t="str">
        <f>VLOOKUP(BD80,CENY!$B$11:$G$1054,2,FALSE)</f>
        <v>Quadro You(S) 300/SiSy 10kg; EB21; ľavý</v>
      </c>
      <c r="BF80" s="22">
        <f>VLOOKUP(BD80,CENY!$B$11:$G$1054,3,FALSE)</f>
        <v>20</v>
      </c>
      <c r="BG80" s="22"/>
      <c r="BH80" s="23">
        <f>AY51</f>
        <v>0</v>
      </c>
      <c r="BI80" s="326">
        <f t="shared" si="6"/>
        <v>0</v>
      </c>
      <c r="BJ80" s="95">
        <f>VLOOKUP(BD80,CENY!$B$11:$M$2025,12,FALSE)</f>
        <v>224.26065</v>
      </c>
      <c r="BK80" s="95">
        <f t="shared" si="7"/>
        <v>0</v>
      </c>
    </row>
    <row r="81" spans="1:63" ht="14.4" customHeight="1">
      <c r="A81" s="577"/>
      <c r="O81" s="575">
        <f>O85*O84</f>
        <v>0</v>
      </c>
      <c r="P81" s="575"/>
      <c r="Q81" s="575">
        <f>Q85*Q84</f>
        <v>0</v>
      </c>
      <c r="R81" s="575"/>
      <c r="S81" s="575">
        <f>S85*S84</f>
        <v>0</v>
      </c>
      <c r="T81" s="575"/>
      <c r="U81" s="575">
        <f>U85*U84</f>
        <v>0</v>
      </c>
      <c r="V81" s="575"/>
      <c r="W81" s="575">
        <f>W85*W84</f>
        <v>0</v>
      </c>
      <c r="X81" s="575"/>
      <c r="Y81" s="575">
        <f>Y85*Y84</f>
        <v>0</v>
      </c>
      <c r="Z81" s="575"/>
      <c r="AA81" s="575">
        <f>AA85*AA84</f>
        <v>0</v>
      </c>
      <c r="AB81" s="575"/>
      <c r="AC81" s="575">
        <f>AC85*AC84</f>
        <v>0</v>
      </c>
      <c r="AD81" s="575"/>
      <c r="AE81" s="575">
        <f>AE85*AE84</f>
        <v>0</v>
      </c>
      <c r="AF81" s="575"/>
      <c r="AG81" s="575">
        <f>AG85*AG84</f>
        <v>0</v>
      </c>
      <c r="AH81" s="575"/>
      <c r="AI81" s="575">
        <f>AI85*AI84</f>
        <v>0</v>
      </c>
      <c r="AJ81" s="575"/>
      <c r="AK81" s="577"/>
      <c r="AL81" s="577"/>
      <c r="AU81" s="319"/>
      <c r="AV81" s="21"/>
      <c r="AW81" s="22"/>
      <c r="AX81" s="22"/>
      <c r="AY81" s="23"/>
      <c r="AZ81" s="326" t="str">
        <f t="shared" si="5"/>
        <v/>
      </c>
      <c r="BA81" s="95"/>
      <c r="BB81" s="95" t="str">
        <f t="shared" si="4"/>
        <v/>
      </c>
      <c r="BD81" s="319">
        <f>OBJ!B300</f>
        <v>9256947</v>
      </c>
      <c r="BE81" s="21" t="str">
        <f>VLOOKUP(BD81,CENY!$B$11:$G$1054,2,FALSE)</f>
        <v>Quadro You(S) 300/SiSy 10kg; EB21; pravý</v>
      </c>
      <c r="BF81" s="22">
        <f>VLOOKUP(BD81,CENY!$B$11:$G$1054,3,FALSE)</f>
        <v>20</v>
      </c>
      <c r="BG81" s="22"/>
      <c r="BH81" s="23">
        <f>AY51</f>
        <v>0</v>
      </c>
      <c r="BI81" s="326">
        <f t="shared" si="6"/>
        <v>0</v>
      </c>
      <c r="BJ81" s="95">
        <f>VLOOKUP(BD81,CENY!$B$11:$M$2025,12,FALSE)</f>
        <v>224.26065</v>
      </c>
      <c r="BK81" s="95">
        <f t="shared" si="7"/>
        <v>0</v>
      </c>
    </row>
    <row r="82" spans="1:63" ht="14.4" customHeight="1" thickBot="1">
      <c r="A82" s="577"/>
      <c r="B82" s="1" t="str">
        <f>verze!E162</f>
        <v>Čelo na vnitřní zásuvku</v>
      </c>
      <c r="O82" s="581" t="str">
        <f>verze!E163</f>
        <v>vnější rozměry zásuvkové skřínky [mm]</v>
      </c>
      <c r="P82" s="582"/>
      <c r="Q82" s="582"/>
      <c r="R82" s="582"/>
      <c r="S82" s="582"/>
      <c r="T82" s="582"/>
      <c r="U82" s="582"/>
      <c r="V82" s="582"/>
      <c r="W82" s="582"/>
      <c r="X82" s="582"/>
      <c r="Y82" s="582"/>
      <c r="Z82" s="582"/>
      <c r="AA82" s="582"/>
      <c r="AB82" s="582"/>
      <c r="AC82" s="582"/>
      <c r="AD82" s="582"/>
      <c r="AE82" s="582"/>
      <c r="AF82" s="582"/>
      <c r="AG82" s="582"/>
      <c r="AH82" s="582"/>
      <c r="AI82" s="582"/>
      <c r="AJ82" s="582"/>
      <c r="AU82" s="319"/>
      <c r="AV82" s="21"/>
      <c r="AW82" s="22"/>
      <c r="AX82" s="22"/>
      <c r="AY82" s="23"/>
      <c r="AZ82" s="326" t="str">
        <f t="shared" si="5"/>
        <v/>
      </c>
      <c r="BA82" s="95"/>
      <c r="BB82" s="95" t="str">
        <f t="shared" si="4"/>
        <v/>
      </c>
      <c r="BD82" s="319">
        <f>OBJ!B301</f>
        <v>9256950</v>
      </c>
      <c r="BE82" s="21" t="str">
        <f>VLOOKUP(BD82,CENY!$B$11:$G$1054,2,FALSE)</f>
        <v>Quadro You(S) 350/SiSy 10kg; EB21; ľavý</v>
      </c>
      <c r="BF82" s="22">
        <f>VLOOKUP(BD82,CENY!$B$11:$G$1054,3,FALSE)</f>
        <v>20</v>
      </c>
      <c r="BG82" s="22"/>
      <c r="BH82" s="23">
        <f>AY52</f>
        <v>0</v>
      </c>
      <c r="BI82" s="326">
        <f t="shared" si="6"/>
        <v>0</v>
      </c>
      <c r="BJ82" s="95">
        <f>VLOOKUP(BD82,CENY!$B$11:$M$2025,12,FALSE)</f>
        <v>229.11434</v>
      </c>
      <c r="BK82" s="95">
        <f t="shared" si="7"/>
        <v>0</v>
      </c>
    </row>
    <row r="83" spans="1:63" ht="14.4" customHeight="1" thickBot="1">
      <c r="A83" s="577"/>
      <c r="B83" s="96"/>
      <c r="C83" s="96"/>
      <c r="D83" s="96"/>
      <c r="E83" s="96"/>
      <c r="F83" s="96"/>
      <c r="G83" s="96"/>
      <c r="H83" s="72"/>
      <c r="I83" s="72"/>
      <c r="J83" s="72"/>
      <c r="K83" s="72"/>
      <c r="L83" s="72"/>
      <c r="M83" s="72"/>
      <c r="N83" s="72" t="str">
        <f>verze!E166&amp;" "</f>
        <v xml:space="preserve">Šířka korpusu: </v>
      </c>
      <c r="O83" s="535">
        <v>300</v>
      </c>
      <c r="P83" s="536"/>
      <c r="Q83" s="535">
        <v>400</v>
      </c>
      <c r="R83" s="536"/>
      <c r="S83" s="535">
        <v>450</v>
      </c>
      <c r="T83" s="536"/>
      <c r="U83" s="535">
        <v>500</v>
      </c>
      <c r="V83" s="536"/>
      <c r="W83" s="535">
        <v>550</v>
      </c>
      <c r="X83" s="536"/>
      <c r="Y83" s="535">
        <v>600</v>
      </c>
      <c r="Z83" s="536"/>
      <c r="AA83" s="535">
        <v>700</v>
      </c>
      <c r="AB83" s="536"/>
      <c r="AC83" s="535">
        <v>800</v>
      </c>
      <c r="AD83" s="536"/>
      <c r="AE83" s="535">
        <v>900</v>
      </c>
      <c r="AF83" s="584"/>
      <c r="AG83" s="535">
        <v>1000</v>
      </c>
      <c r="AH83" s="584"/>
      <c r="AI83" s="535">
        <v>1200</v>
      </c>
      <c r="AJ83" s="536"/>
      <c r="AU83" s="319">
        <f>OBJ!B196</f>
        <v>9257271</v>
      </c>
      <c r="AV83" s="21" t="str">
        <f>VLOOKUP(AU83,CENY!$B$11:$G$1054,2,FALSE)</f>
        <v>AvanY-čelo vnút.zásuvky /v187/d2000/strieb.</v>
      </c>
      <c r="AW83" s="22">
        <f>VLOOKUP(AU83,CENY!$B$11:$G$1054,3,FALSE)</f>
        <v>1</v>
      </c>
      <c r="AX83" s="22"/>
      <c r="AY83" s="23">
        <f>IF(AU87=0,0,IF(AU93&lt;2000,1,SUM(O80:AJ80)))</f>
        <v>0</v>
      </c>
      <c r="AZ83" s="326">
        <f>IF(AY83="","",IF($AW$4=1,AY83,0))</f>
        <v>0</v>
      </c>
      <c r="BA83" s="95">
        <f>VLOOKUP(AU83,CENY!$B$11:$M$2025,12,FALSE)</f>
        <v>2217.7650899999999</v>
      </c>
      <c r="BB83" s="95">
        <f t="shared" si="4"/>
        <v>0</v>
      </c>
      <c r="BD83" s="319">
        <f>OBJ!B302</f>
        <v>9256951</v>
      </c>
      <c r="BE83" s="21" t="str">
        <f>VLOOKUP(BD83,CENY!$B$11:$G$1054,2,FALSE)</f>
        <v>Quadro You(S) 350/SiSy 10kg; EB21; pravý</v>
      </c>
      <c r="BF83" s="22">
        <f>VLOOKUP(BD83,CENY!$B$11:$G$1054,3,FALSE)</f>
        <v>20</v>
      </c>
      <c r="BG83" s="22"/>
      <c r="BH83" s="23">
        <f>AY52</f>
        <v>0</v>
      </c>
      <c r="BI83" s="326">
        <f t="shared" si="6"/>
        <v>0</v>
      </c>
      <c r="BJ83" s="95">
        <f>VLOOKUP(BD83,CENY!$B$11:$M$2025,12,FALSE)</f>
        <v>229.11434</v>
      </c>
      <c r="BK83" s="95">
        <f t="shared" si="7"/>
        <v>0</v>
      </c>
    </row>
    <row r="84" spans="1:63" ht="14.4" customHeight="1" thickBot="1">
      <c r="A84" s="577"/>
      <c r="B84" s="158" t="str">
        <f>" "&amp;verze!E167</f>
        <v xml:space="preserve"> ALU čelo</v>
      </c>
      <c r="C84" s="158"/>
      <c r="D84" s="158"/>
      <c r="E84" s="158"/>
      <c r="F84" s="158"/>
      <c r="G84" s="158"/>
      <c r="H84" s="158"/>
      <c r="I84" s="158"/>
      <c r="J84" s="158"/>
      <c r="K84" s="158"/>
      <c r="L84" s="158"/>
      <c r="M84" s="523"/>
      <c r="N84" s="546"/>
      <c r="O84" s="578"/>
      <c r="P84" s="579"/>
      <c r="Q84" s="578"/>
      <c r="R84" s="579"/>
      <c r="S84" s="578"/>
      <c r="T84" s="579"/>
      <c r="U84" s="578"/>
      <c r="V84" s="579"/>
      <c r="W84" s="578"/>
      <c r="X84" s="579"/>
      <c r="Y84" s="578"/>
      <c r="Z84" s="579"/>
      <c r="AA84" s="578"/>
      <c r="AB84" s="579"/>
      <c r="AC84" s="578"/>
      <c r="AD84" s="579"/>
      <c r="AE84" s="578"/>
      <c r="AF84" s="579"/>
      <c r="AG84" s="578"/>
      <c r="AH84" s="579"/>
      <c r="AI84" s="578"/>
      <c r="AJ84" s="583"/>
      <c r="AU84" s="319">
        <f>OBJ!B200</f>
        <v>9257613</v>
      </c>
      <c r="AV84" s="21" t="str">
        <f>VLOOKUP(AU84,CENY!$B$11:$G$1054,2,FALSE)</f>
        <v>AvanY-spojky čela vnút.zás./v187/strieb.</v>
      </c>
      <c r="AW84" s="22">
        <f>VLOOKUP(AU84,CENY!$B$11:$G$1054,3,FALSE)</f>
        <v>1</v>
      </c>
      <c r="AX84" s="22"/>
      <c r="AY84" s="23">
        <f>1*(+SUM(O19:T19)+SUM(O20:AD20)+SUM(W22:AF22)+SUM(O27:T27)+SUM(O28:AD28)+SUM(O30:AD30))</f>
        <v>0</v>
      </c>
      <c r="AZ84" s="326">
        <f>IF(AY84="","",IF($AW$4=1,AY84,0))</f>
        <v>0</v>
      </c>
      <c r="BA84" s="95">
        <f>VLOOKUP(AU84,CENY!$B$11:$M$2025,12,FALSE)</f>
        <v>169.30695</v>
      </c>
      <c r="BB84" s="95">
        <f t="shared" si="4"/>
        <v>0</v>
      </c>
      <c r="BD84" s="319"/>
      <c r="BE84" s="21"/>
      <c r="BF84" s="22"/>
      <c r="BG84" s="22"/>
      <c r="BH84" s="23"/>
      <c r="BI84" s="326" t="str">
        <f t="shared" si="6"/>
        <v/>
      </c>
      <c r="BJ84" s="95"/>
      <c r="BK84" s="95" t="str">
        <f t="shared" si="7"/>
        <v/>
      </c>
    </row>
    <row r="85" spans="1:63" ht="14.4" customHeight="1">
      <c r="A85" s="577"/>
      <c r="O85" s="580">
        <f>O83-2*FORM!$AM$24-12</f>
        <v>252</v>
      </c>
      <c r="P85" s="580"/>
      <c r="Q85" s="580">
        <f>Q83-2*FORM!$AM$24-12</f>
        <v>352</v>
      </c>
      <c r="R85" s="580"/>
      <c r="S85" s="580">
        <f>S83-2*FORM!$AM$24-12</f>
        <v>402</v>
      </c>
      <c r="T85" s="580"/>
      <c r="U85" s="580">
        <f>U83-2*FORM!$AM$24-12</f>
        <v>452</v>
      </c>
      <c r="V85" s="580"/>
      <c r="W85" s="580">
        <f>W83-2*FORM!$AM$24-12</f>
        <v>502</v>
      </c>
      <c r="X85" s="580"/>
      <c r="Y85" s="580">
        <f>Y83-2*FORM!$AM$24-12</f>
        <v>552</v>
      </c>
      <c r="Z85" s="580"/>
      <c r="AA85" s="580">
        <f>AA83-2*FORM!$AM$24-12</f>
        <v>652</v>
      </c>
      <c r="AB85" s="580"/>
      <c r="AC85" s="580">
        <f>AC83-2*FORM!$AM$24-12</f>
        <v>752</v>
      </c>
      <c r="AD85" s="580"/>
      <c r="AE85" s="580">
        <f>AE83-2*FORM!$AM$24-12</f>
        <v>852</v>
      </c>
      <c r="AF85" s="580"/>
      <c r="AG85" s="580">
        <f>AG83-2*FORM!$AM$24-12</f>
        <v>952</v>
      </c>
      <c r="AH85" s="580"/>
      <c r="AI85" s="580">
        <f>AI83-2*FORM!$AM$24-12</f>
        <v>1152</v>
      </c>
      <c r="AJ85" s="580"/>
      <c r="AU85" s="319"/>
      <c r="AV85" s="21"/>
      <c r="AW85" s="22"/>
      <c r="AX85" s="22"/>
      <c r="AY85" s="23"/>
      <c r="AZ85" s="326" t="str">
        <f t="shared" ref="AZ85:AZ94" si="9">IF(AY85="","",IF($AW$4=1,AY85,0))</f>
        <v/>
      </c>
      <c r="BA85" s="95"/>
      <c r="BB85" s="95" t="str">
        <f t="shared" si="4"/>
        <v/>
      </c>
      <c r="BD85" s="319">
        <f>OBJ!B312</f>
        <v>9256854</v>
      </c>
      <c r="BE85" s="21" t="str">
        <f>VLOOKUP(BD85,CENY!$B$11:$G$1054,2,FALSE)</f>
        <v>Quadro You(M) 270/SiSy 20kg; EB21; ľavý</v>
      </c>
      <c r="BF85" s="22">
        <f>VLOOKUP(BD85,CENY!$B$11:$G$1054,3,FALSE)</f>
        <v>20</v>
      </c>
      <c r="BG85" s="22"/>
      <c r="BH85" s="23">
        <f>AY54</f>
        <v>0</v>
      </c>
      <c r="BI85" s="326">
        <f t="shared" si="6"/>
        <v>0</v>
      </c>
      <c r="BJ85" s="95">
        <f>VLOOKUP(BD85,CENY!$B$11:$M$2025,12,FALSE)</f>
        <v>223.77942999999999</v>
      </c>
      <c r="BK85" s="95">
        <f t="shared" si="7"/>
        <v>0</v>
      </c>
    </row>
    <row r="86" spans="1:63" ht="14.4" customHeight="1">
      <c r="A86" s="577"/>
      <c r="AR86" s="157" t="str">
        <f>IF(AU89=0,verze!E169&amp;" "&amp;AU87&amp;" "&amp;verze!E170,"")</f>
        <v>Je potřebné vybrat 0 ks vnitřních čel.</v>
      </c>
      <c r="AU86" s="319"/>
      <c r="AV86" s="21"/>
      <c r="AW86" s="22"/>
      <c r="AX86" s="22"/>
      <c r="AY86" s="23"/>
      <c r="AZ86" s="326" t="str">
        <f t="shared" si="9"/>
        <v/>
      </c>
      <c r="BA86" s="95"/>
      <c r="BB86" s="95" t="str">
        <f t="shared" si="4"/>
        <v/>
      </c>
      <c r="BD86" s="319">
        <f>OBJ!B313</f>
        <v>9256855</v>
      </c>
      <c r="BE86" s="21" t="str">
        <f>VLOOKUP(BD86,CENY!$B$11:$G$1054,2,FALSE)</f>
        <v>Quadro You(M) 270/SiSy 20kg; EB21; pravý</v>
      </c>
      <c r="BF86" s="22">
        <f>VLOOKUP(BD86,CENY!$B$11:$G$1054,3,FALSE)</f>
        <v>20</v>
      </c>
      <c r="BG86" s="22"/>
      <c r="BH86" s="23">
        <f>AY54</f>
        <v>0</v>
      </c>
      <c r="BI86" s="326">
        <f t="shared" si="6"/>
        <v>0</v>
      </c>
      <c r="BJ86" s="95">
        <f>VLOOKUP(BD86,CENY!$B$11:$M$2025,12,FALSE)</f>
        <v>223.77942999999999</v>
      </c>
      <c r="BK86" s="95">
        <f t="shared" si="7"/>
        <v>0</v>
      </c>
    </row>
    <row r="87" spans="1:63" ht="14.4" customHeight="1">
      <c r="A87" s="577"/>
      <c r="AR87" s="332" t="str">
        <f>IF(AU89=0,"",IF(AU87=AU89,verze!E174,IF(AU90&gt;0,verze!E171&amp;" "&amp;AU90&amp;" "&amp;verze!E170,verze!E172&amp;" "&amp;AU91&amp;" "&amp;verze!E173)))</f>
        <v/>
      </c>
      <c r="AU87" s="330">
        <f>1*(+SUM(O19:T19)+SUM(O20:AD20)+SUM(W22:AF22)+SUM(O27:T27)+SUM(O28:AD28)+SUM(O30:AD30))</f>
        <v>0</v>
      </c>
      <c r="AV87" s="329" t="s">
        <v>356</v>
      </c>
      <c r="AW87" s="22"/>
      <c r="AX87" s="22"/>
      <c r="AY87" s="23"/>
      <c r="AZ87" s="326" t="str">
        <f t="shared" si="9"/>
        <v/>
      </c>
      <c r="BA87" s="95"/>
      <c r="BB87" s="95" t="str">
        <f t="shared" si="4"/>
        <v/>
      </c>
      <c r="BD87" s="319">
        <f>OBJ!B314</f>
        <v>9256856</v>
      </c>
      <c r="BE87" s="21" t="str">
        <f>VLOOKUP(BD87,CENY!$B$11:$G$1054,2,FALSE)</f>
        <v>Quadro You(M) 300/SiSy 20kg; EB21; ľavý</v>
      </c>
      <c r="BF87" s="22">
        <f>VLOOKUP(BD87,CENY!$B$11:$G$1054,3,FALSE)</f>
        <v>20</v>
      </c>
      <c r="BG87" s="22"/>
      <c r="BH87" s="23">
        <f>AY55</f>
        <v>0</v>
      </c>
      <c r="BI87" s="326">
        <f t="shared" si="6"/>
        <v>0</v>
      </c>
      <c r="BJ87" s="95">
        <f>VLOOKUP(BD87,CENY!$B$11:$M$2025,12,FALSE)</f>
        <v>224.26065</v>
      </c>
      <c r="BK87" s="95">
        <f t="shared" si="7"/>
        <v>0</v>
      </c>
    </row>
    <row r="88" spans="1:63" ht="14.4" customHeight="1">
      <c r="A88" s="577"/>
      <c r="AU88" s="20"/>
      <c r="AV88" s="21"/>
      <c r="AW88" s="22"/>
      <c r="AX88" s="22"/>
      <c r="AY88" s="23"/>
      <c r="AZ88" s="326" t="str">
        <f t="shared" si="9"/>
        <v/>
      </c>
      <c r="BA88" s="95"/>
      <c r="BB88" s="95" t="str">
        <f t="shared" si="4"/>
        <v/>
      </c>
      <c r="BD88" s="319">
        <f>OBJ!B315</f>
        <v>9256857</v>
      </c>
      <c r="BE88" s="21" t="str">
        <f>VLOOKUP(BD88,CENY!$B$11:$G$1054,2,FALSE)</f>
        <v>Quadro You(M) 300/SiSy 20kg; EB21; pravý</v>
      </c>
      <c r="BF88" s="22">
        <f>VLOOKUP(BD88,CENY!$B$11:$G$1054,3,FALSE)</f>
        <v>20</v>
      </c>
      <c r="BG88" s="22"/>
      <c r="BH88" s="23">
        <f>AY55</f>
        <v>0</v>
      </c>
      <c r="BI88" s="326">
        <f t="shared" si="6"/>
        <v>0</v>
      </c>
      <c r="BJ88" s="95">
        <f>VLOOKUP(BD88,CENY!$B$11:$M$2025,12,FALSE)</f>
        <v>224.26065</v>
      </c>
      <c r="BK88" s="95">
        <f t="shared" si="7"/>
        <v>0</v>
      </c>
    </row>
    <row r="89" spans="1:63" ht="14.4" customHeight="1">
      <c r="A89" s="577"/>
      <c r="AU89" s="331">
        <f>SUM(O84:AJ84)</f>
        <v>0</v>
      </c>
      <c r="AV89" s="21" t="s">
        <v>357</v>
      </c>
      <c r="AW89" s="22"/>
      <c r="AX89" s="22"/>
      <c r="AY89" s="23"/>
      <c r="AZ89" s="326" t="str">
        <f t="shared" si="9"/>
        <v/>
      </c>
      <c r="BA89" s="95"/>
      <c r="BB89" s="95" t="str">
        <f t="shared" si="4"/>
        <v/>
      </c>
      <c r="BD89" s="319">
        <f>OBJ!B316</f>
        <v>9256860</v>
      </c>
      <c r="BE89" s="21" t="str">
        <f>VLOOKUP(BD89,CENY!$B$11:$G$1054,2,FALSE)</f>
        <v>Quadro You(M) 350/SiSy 25kg; EB21; ľavý</v>
      </c>
      <c r="BF89" s="22">
        <f>VLOOKUP(BD89,CENY!$B$11:$G$1054,3,FALSE)</f>
        <v>20</v>
      </c>
      <c r="BG89" s="22"/>
      <c r="BH89" s="23">
        <f>AY56</f>
        <v>0</v>
      </c>
      <c r="BI89" s="326">
        <f t="shared" si="6"/>
        <v>0</v>
      </c>
      <c r="BJ89" s="95">
        <f>VLOOKUP(BD89,CENY!$B$11:$M$2025,12,FALSE)</f>
        <v>229.11434</v>
      </c>
      <c r="BK89" s="95">
        <f t="shared" si="7"/>
        <v>0</v>
      </c>
    </row>
    <row r="90" spans="1:63" ht="14.4" customHeight="1">
      <c r="A90" s="577"/>
      <c r="AU90" s="22">
        <f>AU87-AU89</f>
        <v>0</v>
      </c>
      <c r="AV90" s="21"/>
      <c r="AW90" s="22"/>
      <c r="AX90" s="22"/>
      <c r="AY90" s="23"/>
      <c r="AZ90" s="326" t="str">
        <f t="shared" si="9"/>
        <v/>
      </c>
      <c r="BA90" s="95"/>
      <c r="BB90" s="95" t="str">
        <f t="shared" si="4"/>
        <v/>
      </c>
      <c r="BD90" s="319">
        <f>OBJ!B317</f>
        <v>9256861</v>
      </c>
      <c r="BE90" s="21" t="str">
        <f>VLOOKUP(BD90,CENY!$B$11:$G$1054,2,FALSE)</f>
        <v>Quadro You(M) 350/SiSy 25kg; EB21; pravý</v>
      </c>
      <c r="BF90" s="22">
        <f>VLOOKUP(BD90,CENY!$B$11:$G$1054,3,FALSE)</f>
        <v>20</v>
      </c>
      <c r="BG90" s="22"/>
      <c r="BH90" s="23">
        <f>AY56</f>
        <v>0</v>
      </c>
      <c r="BI90" s="326">
        <f t="shared" si="6"/>
        <v>0</v>
      </c>
      <c r="BJ90" s="95">
        <f>VLOOKUP(BD90,CENY!$B$11:$M$2025,12,FALSE)</f>
        <v>229.11434</v>
      </c>
      <c r="BK90" s="95">
        <f t="shared" si="7"/>
        <v>0</v>
      </c>
    </row>
    <row r="91" spans="1:63" ht="14.4" customHeight="1">
      <c r="A91" s="577"/>
      <c r="AU91" s="22">
        <f>ABS(AU90)</f>
        <v>0</v>
      </c>
      <c r="AV91" s="21"/>
      <c r="AW91" s="22"/>
      <c r="AX91" s="22"/>
      <c r="AY91" s="23"/>
      <c r="AZ91" s="326" t="str">
        <f t="shared" si="9"/>
        <v/>
      </c>
      <c r="BA91" s="95"/>
      <c r="BB91" s="95" t="str">
        <f t="shared" si="4"/>
        <v/>
      </c>
      <c r="BD91" s="319">
        <f>OBJ!B318</f>
        <v>9256864</v>
      </c>
      <c r="BE91" s="21" t="str">
        <f>VLOOKUP(BD91,CENY!$B$11:$G$1054,2,FALSE)</f>
        <v>Quadro You(M) 400/SiSy 30kg; EB21; ľavý</v>
      </c>
      <c r="BF91" s="22">
        <f>VLOOKUP(BD91,CENY!$B$11:$G$1054,3,FALSE)</f>
        <v>20</v>
      </c>
      <c r="BG91" s="22"/>
      <c r="BH91" s="23">
        <f>AY57</f>
        <v>0</v>
      </c>
      <c r="BI91" s="326">
        <f t="shared" si="6"/>
        <v>0</v>
      </c>
      <c r="BJ91" s="95">
        <f>VLOOKUP(BD91,CENY!$B$11:$M$2025,12,FALSE)</f>
        <v>233.96566000000001</v>
      </c>
      <c r="BK91" s="95">
        <f t="shared" si="7"/>
        <v>0</v>
      </c>
    </row>
    <row r="92" spans="1:63" ht="14.4" customHeight="1">
      <c r="A92" s="577"/>
      <c r="AU92" s="20"/>
      <c r="AV92" s="21"/>
      <c r="AW92" s="22"/>
      <c r="AX92" s="22"/>
      <c r="AY92" s="23"/>
      <c r="AZ92" s="326" t="str">
        <f t="shared" si="9"/>
        <v/>
      </c>
      <c r="BA92" s="95"/>
      <c r="BB92" s="95" t="str">
        <f t="shared" si="4"/>
        <v/>
      </c>
      <c r="BD92" s="319">
        <f>OBJ!B319</f>
        <v>9256865</v>
      </c>
      <c r="BE92" s="21" t="str">
        <f>VLOOKUP(BD92,CENY!$B$11:$G$1054,2,FALSE)</f>
        <v>Quadro You(M) 400/SiSy 30kg; EB21; pravý</v>
      </c>
      <c r="BF92" s="22">
        <f>VLOOKUP(BD92,CENY!$B$11:$G$1054,3,FALSE)</f>
        <v>20</v>
      </c>
      <c r="BG92" s="22"/>
      <c r="BH92" s="23">
        <f>AY57</f>
        <v>0</v>
      </c>
      <c r="BI92" s="326">
        <f t="shared" si="6"/>
        <v>0</v>
      </c>
      <c r="BJ92" s="95">
        <f>VLOOKUP(BD92,CENY!$B$11:$M$2025,12,FALSE)</f>
        <v>233.96566000000001</v>
      </c>
      <c r="BK92" s="95">
        <f t="shared" si="7"/>
        <v>0</v>
      </c>
    </row>
    <row r="93" spans="1:63" ht="14.4" customHeight="1">
      <c r="A93" s="577"/>
      <c r="AU93" s="22">
        <f>(AU89-1)*4+SUM(O81:AJ81)</f>
        <v>-4</v>
      </c>
      <c r="AV93" s="21" t="s">
        <v>358</v>
      </c>
      <c r="AW93" s="22"/>
      <c r="AX93" s="22"/>
      <c r="AY93" s="23"/>
      <c r="AZ93" s="326" t="str">
        <f t="shared" si="9"/>
        <v/>
      </c>
      <c r="BA93" s="95"/>
      <c r="BB93" s="95" t="str">
        <f t="shared" si="4"/>
        <v/>
      </c>
      <c r="BD93" s="319">
        <f>OBJ!B320</f>
        <v>9256868</v>
      </c>
      <c r="BE93" s="21" t="str">
        <f>VLOOKUP(BD93,CENY!$B$11:$G$1054,2,FALSE)</f>
        <v>Quadro You(M) 450/SiSy 30kg; EB21; ľavý</v>
      </c>
      <c r="BF93" s="22">
        <f>VLOOKUP(BD93,CENY!$B$11:$G$1054,3,FALSE)</f>
        <v>20</v>
      </c>
      <c r="BG93" s="22"/>
      <c r="BH93" s="23">
        <f>AY58</f>
        <v>0</v>
      </c>
      <c r="BI93" s="326">
        <f t="shared" si="6"/>
        <v>0</v>
      </c>
      <c r="BJ93" s="95">
        <f>VLOOKUP(BD93,CENY!$B$11:$M$2025,12,FALSE)</f>
        <v>238.81201999999999</v>
      </c>
      <c r="BK93" s="95">
        <f t="shared" si="7"/>
        <v>0</v>
      </c>
    </row>
    <row r="94" spans="1:63" ht="14.4" customHeight="1">
      <c r="A94" s="577"/>
      <c r="AU94" s="20"/>
      <c r="AV94" s="21"/>
      <c r="AW94" s="22"/>
      <c r="AX94" s="22"/>
      <c r="AY94" s="23"/>
      <c r="AZ94" s="326" t="str">
        <f t="shared" si="9"/>
        <v/>
      </c>
      <c r="BA94" s="95"/>
      <c r="BB94" s="95" t="str">
        <f t="shared" si="4"/>
        <v/>
      </c>
      <c r="BD94" s="319">
        <f>OBJ!B321</f>
        <v>9256869</v>
      </c>
      <c r="BE94" s="21" t="str">
        <f>VLOOKUP(BD94,CENY!$B$11:$G$1054,2,FALSE)</f>
        <v>Quadro You(M) 450/SiSy 30kg; EB21; pravý</v>
      </c>
      <c r="BF94" s="22">
        <f>VLOOKUP(BD94,CENY!$B$11:$G$1054,3,FALSE)</f>
        <v>20</v>
      </c>
      <c r="BG94" s="22"/>
      <c r="BH94" s="23">
        <f>AY58</f>
        <v>0</v>
      </c>
      <c r="BI94" s="326">
        <f t="shared" si="6"/>
        <v>0</v>
      </c>
      <c r="BJ94" s="95">
        <f>VLOOKUP(BD94,CENY!$B$11:$M$2025,12,FALSE)</f>
        <v>238.81201999999999</v>
      </c>
      <c r="BK94" s="95">
        <f t="shared" si="7"/>
        <v>0</v>
      </c>
    </row>
    <row r="95" spans="1:63" ht="14.4" customHeight="1">
      <c r="A95" s="577"/>
      <c r="AU95" s="20"/>
      <c r="AV95" s="21"/>
      <c r="AW95" s="22"/>
      <c r="AX95" s="22"/>
      <c r="AY95" s="23"/>
      <c r="AZ95" s="326" t="str">
        <f t="shared" si="5"/>
        <v/>
      </c>
      <c r="BA95" s="95"/>
      <c r="BB95" s="95" t="str">
        <f t="shared" si="4"/>
        <v/>
      </c>
      <c r="BD95" s="319">
        <f>OBJ!B322</f>
        <v>9256872</v>
      </c>
      <c r="BE95" s="21" t="str">
        <f>VLOOKUP(BD95,CENY!$B$11:$G$1054,2,FALSE)</f>
        <v>Quadro You(M) 500/SiSy 30kg; EB21; ľavý</v>
      </c>
      <c r="BF95" s="22">
        <f>VLOOKUP(BD95,CENY!$B$11:$G$1054,3,FALSE)</f>
        <v>20</v>
      </c>
      <c r="BG95" s="22"/>
      <c r="BH95" s="23">
        <f>AY59</f>
        <v>0</v>
      </c>
      <c r="BI95" s="326">
        <f t="shared" si="6"/>
        <v>0</v>
      </c>
      <c r="BJ95" s="95">
        <f>VLOOKUP(BD95,CENY!$B$11:$M$2025,12,FALSE)</f>
        <v>237.18776</v>
      </c>
      <c r="BK95" s="95">
        <f t="shared" si="7"/>
        <v>0</v>
      </c>
    </row>
    <row r="96" spans="1:63" ht="14.4" customHeight="1">
      <c r="A96" s="577"/>
      <c r="AU96" s="20"/>
      <c r="AV96" s="21"/>
      <c r="AW96" s="22"/>
      <c r="AX96" s="22"/>
      <c r="AY96" s="23"/>
      <c r="AZ96" s="326" t="str">
        <f t="shared" si="5"/>
        <v/>
      </c>
      <c r="BA96" s="95"/>
      <c r="BB96" s="95" t="str">
        <f t="shared" si="4"/>
        <v/>
      </c>
      <c r="BD96" s="319">
        <f>OBJ!B323</f>
        <v>9256873</v>
      </c>
      <c r="BE96" s="21" t="str">
        <f>VLOOKUP(BD96,CENY!$B$11:$G$1054,2,FALSE)</f>
        <v>Quadro You(M) 500/SiSy 30kg; EB21; pravý</v>
      </c>
      <c r="BF96" s="22">
        <f>VLOOKUP(BD96,CENY!$B$11:$G$1054,3,FALSE)</f>
        <v>20</v>
      </c>
      <c r="BG96" s="22"/>
      <c r="BH96" s="23">
        <f>AY59</f>
        <v>0</v>
      </c>
      <c r="BI96" s="326">
        <f t="shared" si="6"/>
        <v>0</v>
      </c>
      <c r="BJ96" s="95">
        <f>VLOOKUP(BD96,CENY!$B$11:$M$2025,12,FALSE)</f>
        <v>237.18776</v>
      </c>
      <c r="BK96" s="95">
        <f t="shared" si="7"/>
        <v>0</v>
      </c>
    </row>
    <row r="97" spans="1:63" ht="14.4" customHeight="1">
      <c r="A97" s="577"/>
      <c r="AU97" s="20"/>
      <c r="AV97" s="21"/>
      <c r="AW97" s="22"/>
      <c r="AX97" s="22"/>
      <c r="AY97" s="23"/>
      <c r="AZ97" s="326" t="str">
        <f t="shared" si="5"/>
        <v/>
      </c>
      <c r="BA97" s="95"/>
      <c r="BB97" s="95" t="str">
        <f t="shared" si="4"/>
        <v/>
      </c>
      <c r="BD97" s="319">
        <f>OBJ!B324</f>
        <v>9256876</v>
      </c>
      <c r="BE97" s="21" t="str">
        <f>VLOOKUP(BD97,CENY!$B$11:$G$1054,2,FALSE)</f>
        <v>Quadro You(M) 550/SiSy 30kg; EB21; ľavý</v>
      </c>
      <c r="BF97" s="22">
        <f>VLOOKUP(BD97,CENY!$B$11:$G$1054,3,FALSE)</f>
        <v>20</v>
      </c>
      <c r="BG97" s="22"/>
      <c r="BH97" s="23">
        <f>AY60</f>
        <v>0</v>
      </c>
      <c r="BI97" s="326">
        <f t="shared" si="6"/>
        <v>0</v>
      </c>
      <c r="BJ97" s="95">
        <f>VLOOKUP(BD97,CENY!$B$11:$M$2025,12,FALSE)</f>
        <v>241.90996999999999</v>
      </c>
      <c r="BK97" s="95">
        <f t="shared" si="7"/>
        <v>0</v>
      </c>
    </row>
    <row r="98" spans="1:63" ht="14.4" customHeight="1">
      <c r="A98" s="577"/>
      <c r="AU98" s="20"/>
      <c r="AV98" s="21"/>
      <c r="AW98" s="22"/>
      <c r="AX98" s="22"/>
      <c r="AY98" s="23"/>
      <c r="AZ98" s="326" t="str">
        <f t="shared" si="5"/>
        <v/>
      </c>
      <c r="BA98" s="95"/>
      <c r="BB98" s="95" t="str">
        <f t="shared" si="4"/>
        <v/>
      </c>
      <c r="BD98" s="319">
        <f>OBJ!B325</f>
        <v>9256877</v>
      </c>
      <c r="BE98" s="21" t="str">
        <f>VLOOKUP(BD98,CENY!$B$11:$G$1054,2,FALSE)</f>
        <v>Quadro You(M) 550/SiSy 30kg; EB21; pravý</v>
      </c>
      <c r="BF98" s="22">
        <f>VLOOKUP(BD98,CENY!$B$11:$G$1054,3,FALSE)</f>
        <v>20</v>
      </c>
      <c r="BG98" s="22"/>
      <c r="BH98" s="23">
        <f>AY60</f>
        <v>0</v>
      </c>
      <c r="BI98" s="326">
        <f t="shared" si="6"/>
        <v>0</v>
      </c>
      <c r="BJ98" s="95">
        <f>VLOOKUP(BD98,CENY!$B$11:$M$2025,12,FALSE)</f>
        <v>248.51953</v>
      </c>
      <c r="BK98" s="95">
        <f t="shared" si="7"/>
        <v>0</v>
      </c>
    </row>
    <row r="99" spans="1:63" ht="14.4" customHeight="1">
      <c r="A99" s="577"/>
      <c r="AU99" s="20"/>
      <c r="AV99" s="21"/>
      <c r="AW99" s="22"/>
      <c r="AX99" s="22"/>
      <c r="AY99" s="23"/>
      <c r="AZ99" s="326" t="str">
        <f t="shared" si="5"/>
        <v/>
      </c>
      <c r="BA99" s="95"/>
      <c r="BB99" s="95" t="str">
        <f t="shared" si="4"/>
        <v/>
      </c>
      <c r="BD99" s="319">
        <f>OBJ!B326</f>
        <v>9256880</v>
      </c>
      <c r="BE99" s="21" t="str">
        <f>VLOOKUP(BD99,CENY!$B$11:$G$1054,2,FALSE)</f>
        <v>Quadro You(M) 600/SiSy 25kg; EB21; ľavý</v>
      </c>
      <c r="BF99" s="22">
        <f>VLOOKUP(BD99,CENY!$B$11:$G$1054,3,FALSE)</f>
        <v>20</v>
      </c>
      <c r="BG99" s="22"/>
      <c r="BH99" s="23">
        <f>AY61</f>
        <v>0</v>
      </c>
      <c r="BI99" s="326">
        <f t="shared" si="6"/>
        <v>0</v>
      </c>
      <c r="BJ99" s="95">
        <f>VLOOKUP(BD99,CENY!$B$11:$M$2025,12,FALSE)</f>
        <v>253.36837</v>
      </c>
      <c r="BK99" s="95">
        <f t="shared" si="7"/>
        <v>0</v>
      </c>
    </row>
    <row r="100" spans="1:63" ht="14.4" customHeight="1">
      <c r="A100" s="577"/>
      <c r="AU100" s="20"/>
      <c r="AV100" s="21"/>
      <c r="AW100" s="22"/>
      <c r="AX100" s="22"/>
      <c r="AY100" s="23"/>
      <c r="AZ100" s="326" t="str">
        <f t="shared" si="5"/>
        <v/>
      </c>
      <c r="BA100" s="95"/>
      <c r="BB100" s="95" t="str">
        <f t="shared" si="4"/>
        <v/>
      </c>
      <c r="BD100" s="319">
        <f>OBJ!B327</f>
        <v>9256881</v>
      </c>
      <c r="BE100" s="21" t="str">
        <f>VLOOKUP(BD100,CENY!$B$11:$G$1054,2,FALSE)</f>
        <v>Quadro You(M) 600/SiSy 25kg; EB21; pravý</v>
      </c>
      <c r="BF100" s="22">
        <f>VLOOKUP(BD100,CENY!$B$11:$G$1054,3,FALSE)</f>
        <v>20</v>
      </c>
      <c r="BG100" s="22"/>
      <c r="BH100" s="23">
        <f>AY61</f>
        <v>0</v>
      </c>
      <c r="BI100" s="326">
        <f t="shared" si="6"/>
        <v>0</v>
      </c>
      <c r="BJ100" s="95">
        <f>VLOOKUP(BD100,CENY!$B$11:$M$2025,12,FALSE)</f>
        <v>253.36837</v>
      </c>
      <c r="BK100" s="95">
        <f t="shared" si="7"/>
        <v>0</v>
      </c>
    </row>
    <row r="101" spans="1:63">
      <c r="A101" s="577"/>
      <c r="AU101" s="20"/>
      <c r="AV101" s="21"/>
      <c r="AW101" s="22"/>
      <c r="AX101" s="22"/>
      <c r="AY101" s="23"/>
      <c r="AZ101" s="326" t="str">
        <f t="shared" si="5"/>
        <v/>
      </c>
      <c r="BA101" s="95"/>
      <c r="BB101" s="95" t="str">
        <f t="shared" si="4"/>
        <v/>
      </c>
      <c r="BD101" s="319"/>
      <c r="BE101" s="21"/>
      <c r="BF101" s="22"/>
      <c r="BG101" s="22"/>
      <c r="BH101" s="23"/>
      <c r="BI101" s="326" t="str">
        <f t="shared" si="6"/>
        <v/>
      </c>
      <c r="BJ101" s="95"/>
      <c r="BK101" s="95" t="str">
        <f t="shared" si="7"/>
        <v/>
      </c>
    </row>
    <row r="102" spans="1:63">
      <c r="A102" s="577"/>
      <c r="AU102" s="20"/>
      <c r="AV102" s="21"/>
      <c r="AW102" s="22"/>
      <c r="AX102" s="22"/>
      <c r="AY102" s="23"/>
      <c r="AZ102" s="326" t="str">
        <f t="shared" si="5"/>
        <v/>
      </c>
      <c r="BA102" s="95"/>
      <c r="BB102" s="95" t="str">
        <f t="shared" si="4"/>
        <v/>
      </c>
      <c r="BD102" s="319">
        <f>OBJ!B329</f>
        <v>9257894</v>
      </c>
      <c r="BE102" s="21" t="str">
        <f>VLOOKUP(BD102,CENY!$B$11:$G$1054,2,FALSE)</f>
        <v>Quadro You - Push to open Silent; &lt;10kg</v>
      </c>
      <c r="BF102" s="22">
        <f>VLOOKUP(BD102,CENY!$B$11:$G$1054,3,FALSE)</f>
        <v>1</v>
      </c>
      <c r="BG102" s="22"/>
      <c r="BH102" s="23">
        <f>AY63</f>
        <v>0</v>
      </c>
      <c r="BI102" s="326">
        <f t="shared" si="6"/>
        <v>0</v>
      </c>
      <c r="BJ102" s="95">
        <f>VLOOKUP(BD102,CENY!$B$11:$M$2025,12,FALSE)</f>
        <v>480.50922000000003</v>
      </c>
      <c r="BK102" s="95">
        <f t="shared" si="7"/>
        <v>0</v>
      </c>
    </row>
    <row r="103" spans="1:63">
      <c r="A103" s="577"/>
      <c r="AU103" s="20"/>
      <c r="AV103" s="21"/>
      <c r="AW103" s="22"/>
      <c r="AX103" s="22"/>
      <c r="AY103" s="23"/>
      <c r="AZ103" s="326" t="str">
        <f t="shared" si="5"/>
        <v/>
      </c>
      <c r="BA103" s="95"/>
      <c r="BB103" s="95" t="str">
        <f t="shared" si="4"/>
        <v/>
      </c>
      <c r="BD103" s="319">
        <f>OBJ!B330</f>
        <v>9257895</v>
      </c>
      <c r="BE103" s="21" t="str">
        <f>VLOOKUP(BD103,CENY!$B$11:$G$1054,2,FALSE)</f>
        <v>Quadro You - Push to open Silent; 8-20kg</v>
      </c>
      <c r="BF103" s="22">
        <f>VLOOKUP(BD103,CENY!$B$11:$G$1054,3,FALSE)</f>
        <v>1</v>
      </c>
      <c r="BG103" s="22"/>
      <c r="BH103" s="23">
        <f>AY64</f>
        <v>0</v>
      </c>
      <c r="BI103" s="326">
        <f t="shared" si="6"/>
        <v>0</v>
      </c>
      <c r="BJ103" s="95">
        <f>VLOOKUP(BD103,CENY!$B$11:$M$2025,12,FALSE)</f>
        <v>480.50922000000003</v>
      </c>
      <c r="BK103" s="95">
        <f t="shared" si="7"/>
        <v>0</v>
      </c>
    </row>
    <row r="104" spans="1:63">
      <c r="A104" s="577"/>
      <c r="AU104" s="20"/>
      <c r="AV104" s="21"/>
      <c r="AW104" s="22"/>
      <c r="AX104" s="22"/>
      <c r="AY104" s="23"/>
      <c r="AZ104" s="326" t="str">
        <f t="shared" si="5"/>
        <v/>
      </c>
      <c r="BA104" s="95"/>
      <c r="BB104" s="95" t="str">
        <f t="shared" si="4"/>
        <v/>
      </c>
      <c r="BD104" s="319">
        <f>OBJ!B331</f>
        <v>9257896</v>
      </c>
      <c r="BE104" s="21" t="str">
        <f>VLOOKUP(BD104,CENY!$B$11:$G$1054,2,FALSE)</f>
        <v>Quadro You - Push to open Silent; 10-30kg</v>
      </c>
      <c r="BF104" s="22">
        <f>VLOOKUP(BD104,CENY!$B$11:$G$1054,3,FALSE)</f>
        <v>1</v>
      </c>
      <c r="BG104" s="22"/>
      <c r="BH104" s="23">
        <f>AY65</f>
        <v>0</v>
      </c>
      <c r="BI104" s="326">
        <f t="shared" si="6"/>
        <v>0</v>
      </c>
      <c r="BJ104" s="95">
        <f>VLOOKUP(BD104,CENY!$B$11:$M$2025,12,FALSE)</f>
        <v>480.50922000000003</v>
      </c>
      <c r="BK104" s="95">
        <f t="shared" si="7"/>
        <v>0</v>
      </c>
    </row>
    <row r="105" spans="1:63">
      <c r="A105" s="577"/>
      <c r="AU105" s="20"/>
      <c r="AV105" s="21"/>
      <c r="AW105" s="22"/>
      <c r="AX105" s="22"/>
      <c r="AY105" s="23"/>
      <c r="AZ105" s="326" t="str">
        <f t="shared" si="5"/>
        <v/>
      </c>
      <c r="BA105" s="95"/>
      <c r="BB105" s="95" t="str">
        <f t="shared" si="4"/>
        <v/>
      </c>
      <c r="BD105" s="319"/>
      <c r="BE105" s="21"/>
      <c r="BF105" s="22"/>
      <c r="BG105" s="22"/>
      <c r="BH105" s="23"/>
      <c r="BI105" s="326" t="str">
        <f t="shared" si="6"/>
        <v/>
      </c>
      <c r="BJ105" s="95"/>
      <c r="BK105" s="95" t="str">
        <f t="shared" si="7"/>
        <v/>
      </c>
    </row>
    <row r="106" spans="1:63">
      <c r="AU106" s="20"/>
      <c r="AV106" s="21"/>
      <c r="AW106" s="22"/>
      <c r="AX106" s="22"/>
      <c r="AY106" s="23"/>
      <c r="AZ106" s="326" t="str">
        <f t="shared" si="5"/>
        <v/>
      </c>
      <c r="BA106" s="95"/>
      <c r="BB106" s="95" t="str">
        <f t="shared" si="4"/>
        <v/>
      </c>
      <c r="BD106" s="319">
        <f>OBJ!B341</f>
        <v>9256899</v>
      </c>
      <c r="BE106" s="21" t="str">
        <f>VLOOKUP(BD106,CENY!$B$11:$G$1054,2,FALSE)</f>
        <v>Quadro You(M) 270/P2O 20kg; EB21; ľavý</v>
      </c>
      <c r="BF106" s="22">
        <f>VLOOKUP(BD106,CENY!$B$11:$G$1054,3,FALSE)</f>
        <v>20</v>
      </c>
      <c r="BG106" s="22"/>
      <c r="BH106" s="23">
        <f>AY67</f>
        <v>0</v>
      </c>
      <c r="BI106" s="326">
        <f t="shared" si="6"/>
        <v>0</v>
      </c>
      <c r="BJ106" s="95">
        <f>VLOOKUP(BD106,CENY!$B$11:$M$2025,12,FALSE)</f>
        <v>252.8922</v>
      </c>
      <c r="BK106" s="95">
        <f t="shared" si="7"/>
        <v>0</v>
      </c>
    </row>
    <row r="107" spans="1:63">
      <c r="AU107" s="20"/>
      <c r="AV107" s="21"/>
      <c r="AW107" s="22"/>
      <c r="AX107" s="22"/>
      <c r="AY107" s="23"/>
      <c r="AZ107" s="326" t="str">
        <f t="shared" si="5"/>
        <v/>
      </c>
      <c r="BA107" s="95"/>
      <c r="BB107" s="95" t="str">
        <f t="shared" si="4"/>
        <v/>
      </c>
      <c r="BD107" s="319">
        <f>OBJ!B342</f>
        <v>9256900</v>
      </c>
      <c r="BE107" s="21" t="str">
        <f>VLOOKUP(BD107,CENY!$B$11:$G$1054,2,FALSE)</f>
        <v>Quadro You(M) 270/P2O 20kg; EB21; pravý</v>
      </c>
      <c r="BF107" s="22">
        <f>VLOOKUP(BD107,CENY!$B$11:$G$1054,3,FALSE)</f>
        <v>20</v>
      </c>
      <c r="BG107" s="22"/>
      <c r="BH107" s="23">
        <f>AY67</f>
        <v>0</v>
      </c>
      <c r="BI107" s="326">
        <f t="shared" si="6"/>
        <v>0</v>
      </c>
      <c r="BJ107" s="95">
        <f>VLOOKUP(BD107,CENY!$B$11:$M$2025,12,FALSE)</f>
        <v>252.8922</v>
      </c>
      <c r="BK107" s="95">
        <f t="shared" si="7"/>
        <v>0</v>
      </c>
    </row>
    <row r="108" spans="1:63">
      <c r="AU108" s="20"/>
      <c r="AV108" s="21"/>
      <c r="AW108" s="22"/>
      <c r="AX108" s="22"/>
      <c r="AY108" s="23"/>
      <c r="AZ108" s="326" t="str">
        <f t="shared" si="5"/>
        <v/>
      </c>
      <c r="BA108" s="95"/>
      <c r="BB108" s="95" t="str">
        <f t="shared" si="4"/>
        <v/>
      </c>
      <c r="BD108" s="319">
        <f>OBJ!B343</f>
        <v>9256901</v>
      </c>
      <c r="BE108" s="21" t="str">
        <f>VLOOKUP(BD108,CENY!$B$11:$G$1054,2,FALSE)</f>
        <v>Quadro You(M) 300/P2O 20kg; EB21; ľavý</v>
      </c>
      <c r="BF108" s="22">
        <f>VLOOKUP(BD108,CENY!$B$11:$G$1054,3,FALSE)</f>
        <v>20</v>
      </c>
      <c r="BG108" s="22"/>
      <c r="BH108" s="23">
        <f>AY68</f>
        <v>0</v>
      </c>
      <c r="BI108" s="326">
        <f t="shared" si="6"/>
        <v>0</v>
      </c>
      <c r="BJ108" s="95">
        <f>VLOOKUP(BD108,CENY!$B$11:$M$2025,12,FALSE)</f>
        <v>253.36837</v>
      </c>
      <c r="BK108" s="95">
        <f t="shared" si="7"/>
        <v>0</v>
      </c>
    </row>
    <row r="109" spans="1:63">
      <c r="AU109" s="20"/>
      <c r="AV109" s="21"/>
      <c r="AW109" s="22"/>
      <c r="AX109" s="22"/>
      <c r="AY109" s="23"/>
      <c r="AZ109" s="326" t="str">
        <f t="shared" si="5"/>
        <v/>
      </c>
      <c r="BA109" s="95"/>
      <c r="BB109" s="95" t="str">
        <f t="shared" si="4"/>
        <v/>
      </c>
      <c r="BD109" s="319">
        <f>OBJ!B344</f>
        <v>9256902</v>
      </c>
      <c r="BE109" s="21" t="str">
        <f>VLOOKUP(BD109,CENY!$B$11:$G$1054,2,FALSE)</f>
        <v>Quadro You(M) 300/P2O 20kg; EB21; pravý</v>
      </c>
      <c r="BF109" s="22">
        <f>VLOOKUP(BD109,CENY!$B$11:$G$1054,3,FALSE)</f>
        <v>20</v>
      </c>
      <c r="BG109" s="22"/>
      <c r="BH109" s="23">
        <f>AY68</f>
        <v>0</v>
      </c>
      <c r="BI109" s="326">
        <f t="shared" si="6"/>
        <v>0</v>
      </c>
      <c r="BJ109" s="95">
        <f>VLOOKUP(BD109,CENY!$B$11:$M$2025,12,FALSE)</f>
        <v>253.36837</v>
      </c>
      <c r="BK109" s="95">
        <f t="shared" si="7"/>
        <v>0</v>
      </c>
    </row>
    <row r="110" spans="1:63">
      <c r="AU110" s="20"/>
      <c r="AV110" s="21"/>
      <c r="AW110" s="22"/>
      <c r="AX110" s="22"/>
      <c r="AY110" s="23"/>
      <c r="AZ110" s="326" t="str">
        <f t="shared" si="5"/>
        <v/>
      </c>
      <c r="BA110" s="95"/>
      <c r="BB110" s="95" t="str">
        <f t="shared" si="4"/>
        <v/>
      </c>
      <c r="BD110" s="319">
        <f>OBJ!B345</f>
        <v>9256905</v>
      </c>
      <c r="BE110" s="21" t="str">
        <f>VLOOKUP(BD110,CENY!$B$11:$G$1054,2,FALSE)</f>
        <v>Quadro You(M) 350/P2O 25kg; EB21; ľavý</v>
      </c>
      <c r="BF110" s="22">
        <f>VLOOKUP(BD110,CENY!$B$11:$G$1054,3,FALSE)</f>
        <v>20</v>
      </c>
      <c r="BG110" s="22"/>
      <c r="BH110" s="23">
        <f>AY69</f>
        <v>0</v>
      </c>
      <c r="BI110" s="326">
        <f t="shared" si="6"/>
        <v>0</v>
      </c>
      <c r="BJ110" s="95">
        <f>VLOOKUP(BD110,CENY!$B$11:$M$2025,12,FALSE)</f>
        <v>258.22465999999997</v>
      </c>
      <c r="BK110" s="95">
        <f t="shared" si="7"/>
        <v>0</v>
      </c>
    </row>
    <row r="111" spans="1:63">
      <c r="AU111" s="20"/>
      <c r="AV111" s="21"/>
      <c r="AW111" s="22"/>
      <c r="AX111" s="22"/>
      <c r="AY111" s="23"/>
      <c r="AZ111" s="326" t="str">
        <f t="shared" si="5"/>
        <v/>
      </c>
      <c r="BA111" s="95"/>
      <c r="BB111" s="95" t="str">
        <f t="shared" si="4"/>
        <v/>
      </c>
      <c r="BD111" s="319">
        <f>OBJ!B346</f>
        <v>9256906</v>
      </c>
      <c r="BE111" s="21" t="str">
        <f>VLOOKUP(BD111,CENY!$B$11:$G$1054,2,FALSE)</f>
        <v>Quadro You(M) 350/P2O 25kg; EB21; pravý</v>
      </c>
      <c r="BF111" s="22">
        <f>VLOOKUP(BD111,CENY!$B$11:$G$1054,3,FALSE)</f>
        <v>20</v>
      </c>
      <c r="BG111" s="22"/>
      <c r="BH111" s="23">
        <f>AY69</f>
        <v>0</v>
      </c>
      <c r="BI111" s="326">
        <f t="shared" si="6"/>
        <v>0</v>
      </c>
      <c r="BJ111" s="95">
        <f>VLOOKUP(BD111,CENY!$B$11:$M$2025,12,FALSE)</f>
        <v>258.22465999999997</v>
      </c>
      <c r="BK111" s="95">
        <f t="shared" si="7"/>
        <v>0</v>
      </c>
    </row>
    <row r="112" spans="1:63">
      <c r="AU112" s="20"/>
      <c r="AV112" s="21"/>
      <c r="AW112" s="22"/>
      <c r="AX112" s="22"/>
      <c r="AY112" s="23"/>
      <c r="AZ112" s="326" t="str">
        <f t="shared" si="5"/>
        <v/>
      </c>
      <c r="BA112" s="95"/>
      <c r="BB112" s="95" t="str">
        <f t="shared" si="4"/>
        <v/>
      </c>
      <c r="BD112" s="319">
        <f>OBJ!B347</f>
        <v>9256909</v>
      </c>
      <c r="BE112" s="21" t="str">
        <f>VLOOKUP(BD112,CENY!$B$11:$G$1054,2,FALSE)</f>
        <v>Quadro You(M) 400/P2O 30kg; EB21; ľavý</v>
      </c>
      <c r="BF112" s="22">
        <f>VLOOKUP(BD112,CENY!$B$11:$G$1054,3,FALSE)</f>
        <v>20</v>
      </c>
      <c r="BG112" s="22"/>
      <c r="BH112" s="23">
        <f>AY70</f>
        <v>0</v>
      </c>
      <c r="BI112" s="326">
        <f t="shared" si="6"/>
        <v>0</v>
      </c>
      <c r="BJ112" s="95">
        <f>VLOOKUP(BD112,CENY!$B$11:$M$2025,12,FALSE)</f>
        <v>263.07337999999999</v>
      </c>
      <c r="BK112" s="95">
        <f t="shared" si="7"/>
        <v>0</v>
      </c>
    </row>
    <row r="113" spans="47:63">
      <c r="AU113" s="20"/>
      <c r="AV113" s="21"/>
      <c r="AW113" s="22"/>
      <c r="AX113" s="22"/>
      <c r="AY113" s="23"/>
      <c r="AZ113" s="326" t="str">
        <f t="shared" si="5"/>
        <v/>
      </c>
      <c r="BA113" s="95"/>
      <c r="BB113" s="95" t="str">
        <f t="shared" si="4"/>
        <v/>
      </c>
      <c r="BD113" s="319">
        <f>OBJ!B348</f>
        <v>9256910</v>
      </c>
      <c r="BE113" s="21" t="str">
        <f>VLOOKUP(BD113,CENY!$B$11:$G$1054,2,FALSE)</f>
        <v>Quadro You(M) 400/P2O 30kg; EB21; pravý</v>
      </c>
      <c r="BF113" s="22">
        <f>VLOOKUP(BD113,CENY!$B$11:$G$1054,3,FALSE)</f>
        <v>20</v>
      </c>
      <c r="BG113" s="22"/>
      <c r="BH113" s="23">
        <f>AY70</f>
        <v>0</v>
      </c>
      <c r="BI113" s="326">
        <f t="shared" si="6"/>
        <v>0</v>
      </c>
      <c r="BJ113" s="95">
        <f>VLOOKUP(BD113,CENY!$B$11:$M$2025,12,FALSE)</f>
        <v>263.07337999999999</v>
      </c>
      <c r="BK113" s="95">
        <f t="shared" si="7"/>
        <v>0</v>
      </c>
    </row>
    <row r="114" spans="47:63">
      <c r="AU114" s="20"/>
      <c r="AV114" s="21"/>
      <c r="AW114" s="22"/>
      <c r="AX114" s="22"/>
      <c r="AY114" s="23"/>
      <c r="AZ114" s="326" t="str">
        <f t="shared" si="5"/>
        <v/>
      </c>
      <c r="BA114" s="95"/>
      <c r="BB114" s="95" t="str">
        <f t="shared" si="4"/>
        <v/>
      </c>
      <c r="BD114" s="319">
        <f>OBJ!B349</f>
        <v>9256913</v>
      </c>
      <c r="BE114" s="21" t="str">
        <f>VLOOKUP(BD114,CENY!$B$11:$G$1054,2,FALSE)</f>
        <v>Quadro You(M) 450/P2O 30kg; EB21; ľavý</v>
      </c>
      <c r="BF114" s="22">
        <f>VLOOKUP(BD114,CENY!$B$11:$G$1054,3,FALSE)</f>
        <v>20</v>
      </c>
      <c r="BG114" s="22"/>
      <c r="BH114" s="23">
        <f>AY71</f>
        <v>0</v>
      </c>
      <c r="BI114" s="326">
        <f t="shared" si="6"/>
        <v>0</v>
      </c>
      <c r="BJ114" s="95">
        <f>VLOOKUP(BD114,CENY!$B$11:$M$2025,12,FALSE)</f>
        <v>267.92221999999998</v>
      </c>
      <c r="BK114" s="95">
        <f t="shared" si="7"/>
        <v>0</v>
      </c>
    </row>
    <row r="115" spans="47:63">
      <c r="AU115" s="20"/>
      <c r="AV115" s="21"/>
      <c r="AW115" s="22"/>
      <c r="AX115" s="22"/>
      <c r="AY115" s="23"/>
      <c r="AZ115" s="326" t="str">
        <f t="shared" si="5"/>
        <v/>
      </c>
      <c r="BA115" s="95"/>
      <c r="BB115" s="95" t="str">
        <f t="shared" si="4"/>
        <v/>
      </c>
      <c r="BD115" s="319">
        <f>OBJ!B350</f>
        <v>9256914</v>
      </c>
      <c r="BE115" s="21" t="str">
        <f>VLOOKUP(BD115,CENY!$B$11:$G$1054,2,FALSE)</f>
        <v>Quadro You(M) 450/P2O 30kg; EB21; pravý</v>
      </c>
      <c r="BF115" s="22">
        <f>VLOOKUP(BD115,CENY!$B$11:$G$1054,3,FALSE)</f>
        <v>20</v>
      </c>
      <c r="BG115" s="22"/>
      <c r="BH115" s="23">
        <f>AY71</f>
        <v>0</v>
      </c>
      <c r="BI115" s="326">
        <f t="shared" si="6"/>
        <v>0</v>
      </c>
      <c r="BJ115" s="95">
        <f>VLOOKUP(BD115,CENY!$B$11:$M$2025,12,FALSE)</f>
        <v>267.92221999999998</v>
      </c>
      <c r="BK115" s="95">
        <f t="shared" si="7"/>
        <v>0</v>
      </c>
    </row>
    <row r="116" spans="47:63">
      <c r="AU116" s="20"/>
      <c r="AV116" s="21"/>
      <c r="AW116" s="22"/>
      <c r="AX116" s="22"/>
      <c r="AY116" s="23"/>
      <c r="AZ116" s="326" t="str">
        <f t="shared" si="5"/>
        <v/>
      </c>
      <c r="BA116" s="95"/>
      <c r="BB116" s="95" t="str">
        <f t="shared" si="4"/>
        <v/>
      </c>
      <c r="BD116" s="319">
        <f>OBJ!B351</f>
        <v>9256917</v>
      </c>
      <c r="BE116" s="21" t="str">
        <f>VLOOKUP(BD116,CENY!$B$11:$G$1054,2,FALSE)</f>
        <v>Quadro You(M) 500/P2O 30kg; EB21; ľavý</v>
      </c>
      <c r="BF116" s="22">
        <f>VLOOKUP(BD116,CENY!$B$11:$G$1054,3,FALSE)</f>
        <v>20</v>
      </c>
      <c r="BG116" s="22"/>
      <c r="BH116" s="23">
        <f>AY72</f>
        <v>0</v>
      </c>
      <c r="BI116" s="326">
        <f t="shared" si="6"/>
        <v>0</v>
      </c>
      <c r="BJ116" s="95">
        <f>VLOOKUP(BD116,CENY!$B$11:$M$2025,12,FALSE)</f>
        <v>265.52375999999998</v>
      </c>
      <c r="BK116" s="95">
        <f t="shared" si="7"/>
        <v>0</v>
      </c>
    </row>
    <row r="117" spans="47:63">
      <c r="AU117" s="20"/>
      <c r="AV117" s="21"/>
      <c r="AW117" s="22"/>
      <c r="AX117" s="22"/>
      <c r="AY117" s="23"/>
      <c r="AZ117" s="326" t="str">
        <f t="shared" si="5"/>
        <v/>
      </c>
      <c r="BA117" s="95"/>
      <c r="BB117" s="95" t="str">
        <f t="shared" si="4"/>
        <v/>
      </c>
      <c r="BD117" s="319">
        <f>OBJ!B352</f>
        <v>9256918</v>
      </c>
      <c r="BE117" s="21" t="str">
        <f>VLOOKUP(BD117,CENY!$B$11:$G$1054,2,FALSE)</f>
        <v>Quadro You(M) 500/P2O 30kg; EB21; pravý</v>
      </c>
      <c r="BF117" s="22">
        <f>VLOOKUP(BD117,CENY!$B$11:$G$1054,3,FALSE)</f>
        <v>20</v>
      </c>
      <c r="BG117" s="22"/>
      <c r="BH117" s="23">
        <f>AY72</f>
        <v>0</v>
      </c>
      <c r="BI117" s="326">
        <f t="shared" si="6"/>
        <v>0</v>
      </c>
      <c r="BJ117" s="95">
        <f>VLOOKUP(BD117,CENY!$B$11:$M$2025,12,FALSE)</f>
        <v>265.52375999999998</v>
      </c>
      <c r="BK117" s="95">
        <f t="shared" si="7"/>
        <v>0</v>
      </c>
    </row>
    <row r="118" spans="47:63">
      <c r="AU118" s="20"/>
      <c r="AV118" s="21"/>
      <c r="AW118" s="22"/>
      <c r="AX118" s="22"/>
      <c r="AY118" s="23"/>
      <c r="AZ118" s="326" t="str">
        <f t="shared" si="5"/>
        <v/>
      </c>
      <c r="BA118" s="95"/>
      <c r="BB118" s="95" t="str">
        <f t="shared" si="4"/>
        <v/>
      </c>
      <c r="BD118" s="319">
        <f>OBJ!B353</f>
        <v>9256921</v>
      </c>
      <c r="BE118" s="21" t="str">
        <f>VLOOKUP(BD118,CENY!$B$11:$G$1054,2,FALSE)</f>
        <v>Quadro You(M) 550/P2O 30kg; EB21; ľavý</v>
      </c>
      <c r="BF118" s="22">
        <f>VLOOKUP(BD118,CENY!$B$11:$G$1054,3,FALSE)</f>
        <v>20</v>
      </c>
      <c r="BG118" s="22"/>
      <c r="BH118" s="23">
        <f>AY73</f>
        <v>0</v>
      </c>
      <c r="BI118" s="326">
        <f t="shared" si="6"/>
        <v>0</v>
      </c>
      <c r="BJ118" s="95">
        <f>VLOOKUP(BD118,CENY!$B$11:$M$2025,12,FALSE)</f>
        <v>270.22431</v>
      </c>
      <c r="BK118" s="95">
        <f t="shared" si="7"/>
        <v>0</v>
      </c>
    </row>
    <row r="119" spans="47:63">
      <c r="AU119" s="20"/>
      <c r="AV119" s="21"/>
      <c r="AW119" s="22"/>
      <c r="AX119" s="22"/>
      <c r="AY119" s="23"/>
      <c r="AZ119" s="326" t="str">
        <f t="shared" si="5"/>
        <v/>
      </c>
      <c r="BA119" s="95"/>
      <c r="BB119" s="95" t="str">
        <f t="shared" si="4"/>
        <v/>
      </c>
      <c r="BD119" s="319">
        <f>OBJ!B354</f>
        <v>9256922</v>
      </c>
      <c r="BE119" s="21" t="str">
        <f>VLOOKUP(BD119,CENY!$B$11:$G$1054,2,FALSE)</f>
        <v>Quadro You(M) 550/P2O 30kg; EB21; pravý</v>
      </c>
      <c r="BF119" s="22">
        <f>VLOOKUP(BD119,CENY!$B$11:$G$1054,3,FALSE)</f>
        <v>20</v>
      </c>
      <c r="BG119" s="22"/>
      <c r="BH119" s="23">
        <f>AY73</f>
        <v>0</v>
      </c>
      <c r="BI119" s="326">
        <f t="shared" si="6"/>
        <v>0</v>
      </c>
      <c r="BJ119" s="95">
        <f>VLOOKUP(BD119,CENY!$B$11:$M$2025,12,FALSE)</f>
        <v>277.60748999999998</v>
      </c>
      <c r="BK119" s="95">
        <f t="shared" si="7"/>
        <v>0</v>
      </c>
    </row>
    <row r="120" spans="47:63">
      <c r="AU120" s="20"/>
      <c r="AV120" s="21"/>
      <c r="AW120" s="22"/>
      <c r="AX120" s="22"/>
      <c r="AY120" s="23"/>
      <c r="AZ120" s="326" t="str">
        <f t="shared" si="5"/>
        <v/>
      </c>
      <c r="BA120" s="95"/>
      <c r="BB120" s="95" t="str">
        <f t="shared" si="4"/>
        <v/>
      </c>
      <c r="BD120" s="319">
        <f>OBJ!B355</f>
        <v>9256925</v>
      </c>
      <c r="BE120" s="21" t="str">
        <f>VLOOKUP(BD120,CENY!$B$11:$G$1054,2,FALSE)</f>
        <v>Quadro You(M) 600/P2O 25kg; EB21; ľavý</v>
      </c>
      <c r="BF120" s="22">
        <f>VLOOKUP(BD120,CENY!$B$11:$G$1054,3,FALSE)</f>
        <v>20</v>
      </c>
      <c r="BG120" s="22"/>
      <c r="BH120" s="23">
        <f>AY74</f>
        <v>0</v>
      </c>
      <c r="BI120" s="326">
        <f t="shared" si="6"/>
        <v>0</v>
      </c>
      <c r="BJ120" s="95">
        <f>VLOOKUP(BD120,CENY!$B$11:$M$2025,12,FALSE)</f>
        <v>282.45375999999999</v>
      </c>
      <c r="BK120" s="95">
        <f t="shared" si="7"/>
        <v>0</v>
      </c>
    </row>
    <row r="121" spans="47:63">
      <c r="AU121" s="20"/>
      <c r="AV121" s="21"/>
      <c r="AW121" s="22"/>
      <c r="AX121" s="22"/>
      <c r="AY121" s="23"/>
      <c r="AZ121" s="326" t="str">
        <f t="shared" si="5"/>
        <v/>
      </c>
      <c r="BA121" s="95"/>
      <c r="BB121" s="95" t="str">
        <f t="shared" si="4"/>
        <v/>
      </c>
      <c r="BD121" s="319">
        <f>OBJ!B356</f>
        <v>9256926</v>
      </c>
      <c r="BE121" s="21" t="str">
        <f>VLOOKUP(BD121,CENY!$B$11:$G$1054,2,FALSE)</f>
        <v>Quadro You(M) 600/P2O 25kg; EB21; pravý</v>
      </c>
      <c r="BF121" s="22">
        <f>VLOOKUP(BD121,CENY!$B$11:$G$1054,3,FALSE)</f>
        <v>20</v>
      </c>
      <c r="BG121" s="22"/>
      <c r="BH121" s="23">
        <f>AY74</f>
        <v>0</v>
      </c>
      <c r="BI121" s="326">
        <f t="shared" si="6"/>
        <v>0</v>
      </c>
      <c r="BJ121" s="95">
        <f>VLOOKUP(BD121,CENY!$B$11:$M$2025,12,FALSE)</f>
        <v>282.45375999999999</v>
      </c>
      <c r="BK121" s="95">
        <f t="shared" si="7"/>
        <v>0</v>
      </c>
    </row>
    <row r="122" spans="47:63">
      <c r="AU122" s="20"/>
      <c r="AV122" s="21"/>
      <c r="AW122" s="22"/>
      <c r="AX122" s="22"/>
      <c r="AY122" s="23"/>
      <c r="AZ122" s="326" t="str">
        <f t="shared" si="5"/>
        <v/>
      </c>
      <c r="BA122" s="95"/>
      <c r="BB122" s="95" t="str">
        <f t="shared" si="4"/>
        <v/>
      </c>
      <c r="BD122" s="319"/>
      <c r="BE122" s="21"/>
      <c r="BF122" s="22"/>
      <c r="BG122" s="22"/>
      <c r="BH122" s="23"/>
      <c r="BI122" s="326" t="str">
        <f t="shared" si="6"/>
        <v/>
      </c>
      <c r="BJ122" s="95"/>
      <c r="BK122" s="95" t="str">
        <f t="shared" si="7"/>
        <v/>
      </c>
    </row>
    <row r="123" spans="47:63">
      <c r="AU123" s="20"/>
      <c r="AV123" s="21"/>
      <c r="AW123" s="22"/>
      <c r="AX123" s="22"/>
      <c r="AY123" s="23"/>
      <c r="AZ123" s="326" t="str">
        <f t="shared" si="5"/>
        <v/>
      </c>
      <c r="BA123" s="95"/>
      <c r="BB123" s="95" t="str">
        <f t="shared" si="4"/>
        <v/>
      </c>
      <c r="BD123" s="319">
        <f>OBJ!B358</f>
        <v>9219966</v>
      </c>
      <c r="BE123" s="21" t="str">
        <f>VLOOKUP(BD123,CENY!$B$11:$G$1054,2,FALSE)</f>
        <v>Push to open Synchro / adaptér typ A</v>
      </c>
      <c r="BF123" s="22">
        <f>VLOOKUP(BD123,CENY!$B$11:$G$1054,3,FALSE)</f>
        <v>200</v>
      </c>
      <c r="BG123" s="22"/>
      <c r="BH123" s="23">
        <f>AY76</f>
        <v>0</v>
      </c>
      <c r="BI123" s="326">
        <f t="shared" si="6"/>
        <v>0</v>
      </c>
      <c r="BJ123" s="95">
        <f>VLOOKUP(BD123,CENY!$B$11:$M$2025,12,FALSE)</f>
        <v>16.488900000000001</v>
      </c>
      <c r="BK123" s="95">
        <f t="shared" si="7"/>
        <v>0</v>
      </c>
    </row>
    <row r="124" spans="47:63">
      <c r="AU124" s="20"/>
      <c r="AV124" s="21"/>
      <c r="AW124" s="22"/>
      <c r="AX124" s="22"/>
      <c r="AY124" s="23"/>
      <c r="AZ124" s="326" t="str">
        <f t="shared" si="5"/>
        <v/>
      </c>
      <c r="BA124" s="95"/>
      <c r="BB124" s="95" t="str">
        <f t="shared" si="4"/>
        <v/>
      </c>
      <c r="BD124" s="319"/>
      <c r="BE124" s="21"/>
      <c r="BF124" s="22"/>
      <c r="BG124" s="22"/>
      <c r="BH124" s="23"/>
      <c r="BI124" s="326" t="str">
        <f t="shared" si="6"/>
        <v/>
      </c>
      <c r="BJ124" s="95"/>
      <c r="BK124" s="95" t="str">
        <f t="shared" si="7"/>
        <v/>
      </c>
    </row>
    <row r="125" spans="47:63">
      <c r="AU125" s="20"/>
      <c r="AV125" s="21"/>
      <c r="AW125" s="22"/>
      <c r="AX125" s="22"/>
      <c r="AY125" s="23"/>
      <c r="AZ125" s="326" t="str">
        <f t="shared" si="5"/>
        <v/>
      </c>
      <c r="BA125" s="95"/>
      <c r="BB125" s="95" t="str">
        <f t="shared" si="4"/>
        <v/>
      </c>
      <c r="BD125" s="319">
        <f>OBJ!B214</f>
        <v>0</v>
      </c>
      <c r="BE125" s="21" t="e">
        <f>VLOOKUP(BD125,CENY!$B$11:$G$1054,2,FALSE)</f>
        <v>#N/A</v>
      </c>
      <c r="BF125" s="22" t="e">
        <f>VLOOKUP(BD125,CENY!$B$11:$G$1054,3,FALSE)</f>
        <v>#N/A</v>
      </c>
      <c r="BG125" s="22"/>
      <c r="BH125" s="23">
        <f>AY80</f>
        <v>0</v>
      </c>
      <c r="BI125" s="326">
        <f t="shared" si="6"/>
        <v>0</v>
      </c>
      <c r="BJ125" s="324" t="str">
        <f>IF(BD125=0,"",VLOOKUP(BD125,CENY!$B$11:$M$2025,12,FALSE))</f>
        <v/>
      </c>
      <c r="BK125" s="95" t="str">
        <f t="shared" si="7"/>
        <v/>
      </c>
    </row>
    <row r="126" spans="47:63">
      <c r="AU126" s="20"/>
      <c r="AV126" s="21"/>
      <c r="AW126" s="22"/>
      <c r="AX126" s="22"/>
      <c r="AY126" s="23"/>
      <c r="AZ126" s="326" t="str">
        <f t="shared" si="5"/>
        <v/>
      </c>
      <c r="BA126" s="95"/>
      <c r="BB126" s="95" t="str">
        <f t="shared" si="4"/>
        <v/>
      </c>
      <c r="BD126" s="319"/>
      <c r="BE126" s="21"/>
      <c r="BF126" s="22"/>
      <c r="BG126" s="22"/>
      <c r="BH126" s="23"/>
      <c r="BI126" s="326" t="str">
        <f t="shared" si="6"/>
        <v/>
      </c>
      <c r="BJ126" s="95"/>
      <c r="BK126" s="95" t="str">
        <f t="shared" si="7"/>
        <v/>
      </c>
    </row>
    <row r="127" spans="47:63">
      <c r="AU127" s="20"/>
      <c r="AV127" s="21"/>
      <c r="AW127" s="22"/>
      <c r="AX127" s="22"/>
      <c r="AY127" s="23"/>
      <c r="AZ127" s="326" t="str">
        <f t="shared" si="5"/>
        <v/>
      </c>
      <c r="BA127" s="95"/>
      <c r="BB127" s="95" t="str">
        <f t="shared" si="4"/>
        <v/>
      </c>
      <c r="BD127" s="319"/>
      <c r="BE127" s="21"/>
      <c r="BF127" s="22"/>
      <c r="BG127" s="22"/>
      <c r="BH127" s="23"/>
      <c r="BI127" s="326" t="str">
        <f t="shared" si="6"/>
        <v/>
      </c>
      <c r="BJ127" s="95"/>
      <c r="BK127" s="95" t="str">
        <f t="shared" si="7"/>
        <v/>
      </c>
    </row>
    <row r="128" spans="47:63">
      <c r="AU128" s="20"/>
      <c r="AV128" s="21"/>
      <c r="AW128" s="22"/>
      <c r="AX128" s="22"/>
      <c r="AY128" s="23"/>
      <c r="AZ128" s="326" t="str">
        <f t="shared" si="5"/>
        <v/>
      </c>
      <c r="BA128" s="95"/>
      <c r="BB128" s="95" t="str">
        <f t="shared" si="4"/>
        <v/>
      </c>
      <c r="BD128" s="319">
        <f>OBJ!B196</f>
        <v>9257271</v>
      </c>
      <c r="BE128" s="21" t="str">
        <f>VLOOKUP(BD128,CENY!$B$11:$G$1054,2,FALSE)</f>
        <v>AvanY-čelo vnút.zásuvky /v187/d2000/strieb.</v>
      </c>
      <c r="BF128" s="22">
        <f>VLOOKUP(BD128,CENY!$B$11:$G$1054,3,FALSE)</f>
        <v>1</v>
      </c>
      <c r="BG128" s="22"/>
      <c r="BH128" s="23">
        <f>AY83</f>
        <v>0</v>
      </c>
      <c r="BI128" s="326">
        <f>IF(BH128="","",IF($AW$4=0,BH128,0))</f>
        <v>0</v>
      </c>
      <c r="BJ128" s="95">
        <f>VLOOKUP(BD128,CENY!$B$11:$M$2025,12,FALSE)</f>
        <v>2217.7650899999999</v>
      </c>
      <c r="BK128" s="95">
        <f t="shared" si="7"/>
        <v>0</v>
      </c>
    </row>
    <row r="129" spans="47:63">
      <c r="AU129" s="20"/>
      <c r="AV129" s="21"/>
      <c r="AW129" s="22"/>
      <c r="AX129" s="22"/>
      <c r="AY129" s="23"/>
      <c r="AZ129" s="326" t="str">
        <f t="shared" si="5"/>
        <v/>
      </c>
      <c r="BA129" s="95"/>
      <c r="BB129" s="95" t="str">
        <f t="shared" si="4"/>
        <v/>
      </c>
      <c r="BD129" s="319"/>
      <c r="BE129" s="21"/>
      <c r="BF129" s="22"/>
      <c r="BG129" s="22"/>
      <c r="BH129" s="23"/>
      <c r="BI129" s="326" t="str">
        <f>IF(BH129="","",IF($AW$4=0,BH129,0))</f>
        <v/>
      </c>
      <c r="BJ129" s="95"/>
      <c r="BK129" s="95" t="str">
        <f t="shared" si="7"/>
        <v/>
      </c>
    </row>
    <row r="130" spans="47:63">
      <c r="AU130" s="20"/>
      <c r="AV130" s="21"/>
      <c r="AW130" s="22"/>
      <c r="AX130" s="22"/>
      <c r="AY130" s="23"/>
      <c r="AZ130" s="326" t="str">
        <f t="shared" si="5"/>
        <v/>
      </c>
      <c r="BA130" s="95"/>
      <c r="BB130" s="95" t="str">
        <f t="shared" si="4"/>
        <v/>
      </c>
      <c r="BD130" s="319">
        <f>OBJ!B203</f>
        <v>9257641</v>
      </c>
      <c r="BE130" s="21" t="str">
        <f>VLOOKUP(BD130,CENY!$B$11:$G$1054,2,FALSE)</f>
        <v>AvanY-stabilizátor čela vnút.zásuvky</v>
      </c>
      <c r="BF130" s="22">
        <f>VLOOKUP(BD130,CENY!$B$11:$G$1054,3,FALSE)</f>
        <v>100</v>
      </c>
      <c r="BG130" s="22"/>
      <c r="BH130" s="23">
        <f>AY84</f>
        <v>0</v>
      </c>
      <c r="BI130" s="326">
        <f>IF(BH130="","",IF($AW$4=0,BH130,0))</f>
        <v>0</v>
      </c>
      <c r="BJ130" s="95">
        <f>VLOOKUP(BD130,CENY!$B$11:$M$2025,12,FALSE)</f>
        <v>10.840870000000001</v>
      </c>
      <c r="BK130" s="95">
        <f t="shared" si="7"/>
        <v>0</v>
      </c>
    </row>
    <row r="131" spans="47:63">
      <c r="AU131" s="20"/>
      <c r="AV131" s="21"/>
      <c r="AW131" s="22"/>
      <c r="AX131" s="22"/>
      <c r="AY131" s="23"/>
      <c r="AZ131" s="326" t="str">
        <f t="shared" si="5"/>
        <v/>
      </c>
      <c r="BA131" s="95"/>
      <c r="BB131" s="95" t="str">
        <f t="shared" ref="BB131:BB137" si="10">IF(BA131="","",BA131*AY131)</f>
        <v/>
      </c>
      <c r="BD131" s="319">
        <f>OBJ!B206</f>
        <v>9257631</v>
      </c>
      <c r="BE131" s="21" t="str">
        <f>VLOOKUP(BD131,CENY!$B$11:$G$1054,2,FALSE)</f>
        <v>AvanY-krytka čela vnút.zás./v187/strieb.</v>
      </c>
      <c r="BF131" s="22">
        <f>VLOOKUP(BD131,CENY!$B$11:$G$1054,3,FALSE)</f>
        <v>200</v>
      </c>
      <c r="BG131" s="22"/>
      <c r="BH131" s="23">
        <f>2*AY84</f>
        <v>0</v>
      </c>
      <c r="BI131" s="326">
        <f>IF(BH131="","",IF($AW$4=0,BH131,0))</f>
        <v>0</v>
      </c>
      <c r="BJ131" s="95">
        <f>VLOOKUP(BD131,CENY!$B$11:$M$2025,12,FALSE)</f>
        <v>7.9287099999999997</v>
      </c>
      <c r="BK131" s="95">
        <f t="shared" si="7"/>
        <v>0</v>
      </c>
    </row>
    <row r="132" spans="47:63">
      <c r="AU132" s="20"/>
      <c r="AV132" s="21"/>
      <c r="AW132" s="22"/>
      <c r="AX132" s="22"/>
      <c r="AY132" s="23"/>
      <c r="AZ132" s="326" t="str">
        <f t="shared" ref="AZ132:AZ137" si="11">IF(AY132="","",IF($AW$4=1,AY132,0))</f>
        <v/>
      </c>
      <c r="BA132" s="95"/>
      <c r="BB132" s="95" t="str">
        <f t="shared" si="10"/>
        <v/>
      </c>
      <c r="BD132" s="319"/>
      <c r="BE132" s="21"/>
      <c r="BF132" s="22"/>
      <c r="BG132" s="22"/>
      <c r="BH132" s="23"/>
      <c r="BI132" s="326" t="str">
        <f t="shared" si="6"/>
        <v/>
      </c>
      <c r="BJ132" s="95"/>
      <c r="BK132" s="95" t="str">
        <f t="shared" si="7"/>
        <v/>
      </c>
    </row>
    <row r="133" spans="47:63">
      <c r="AU133" s="319">
        <f>OBJ!B361</f>
        <v>45167</v>
      </c>
      <c r="AV133" s="21" t="str">
        <f>VLOOKUP(AU133,CENY!$B$11:$G$1054,2,FALSE)</f>
        <v>Skrutka s polgul.hlavou 3,5x12mm</v>
      </c>
      <c r="AW133" s="22">
        <f>VLOOKUP(AU133,CENY!$B$11:$G$1054,3,FALSE)</f>
        <v>200</v>
      </c>
      <c r="AX133" s="22"/>
      <c r="AY133" s="23">
        <f>SUMPRODUCT(AX5:AX13,AY5:AY13)</f>
        <v>0</v>
      </c>
      <c r="AZ133" s="326">
        <f t="shared" si="11"/>
        <v>0</v>
      </c>
      <c r="BA133" s="95">
        <f>VLOOKUP(AU133,CENY!$B$11:$M$2025,12,FALSE)</f>
        <v>0.84719999999999995</v>
      </c>
      <c r="BB133" s="95">
        <f t="shared" si="10"/>
        <v>0</v>
      </c>
      <c r="BC133" s="86" t="s">
        <v>396</v>
      </c>
      <c r="BD133" s="319">
        <f>OBJ!B361</f>
        <v>45167</v>
      </c>
      <c r="BE133" s="21" t="str">
        <f>VLOOKUP(BD133,CENY!$B$11:$G$1054,2,FALSE)</f>
        <v>Skrutka s polgul.hlavou 3,5x12mm</v>
      </c>
      <c r="BF133" s="22">
        <f>VLOOKUP(BD133,CENY!$B$11:$G$1054,3,FALSE)</f>
        <v>200</v>
      </c>
      <c r="BG133" s="22"/>
      <c r="BH133" s="23">
        <f>AY133+BH25*2+BH130</f>
        <v>0</v>
      </c>
      <c r="BI133" s="326">
        <f>IF(BH133="","",IF($AW$4=0,BH133,0))</f>
        <v>0</v>
      </c>
      <c r="BJ133" s="95">
        <f>VLOOKUP(BD133,CENY!$B$11:$M$2025,12,FALSE)</f>
        <v>0.84719999999999995</v>
      </c>
      <c r="BK133" s="95">
        <f>IF(BJ133="","",BJ133*BH133)</f>
        <v>0</v>
      </c>
    </row>
    <row r="134" spans="47:63">
      <c r="AU134" s="319">
        <f>OBJ!B362</f>
        <v>45168</v>
      </c>
      <c r="AV134" s="21" t="str">
        <f>VLOOKUP(AU134,CENY!$B$11:$G$1054,2,FALSE)</f>
        <v>Skrutka s polgul.hlavou 3,5x20mm</v>
      </c>
      <c r="AW134" s="22">
        <f>VLOOKUP(AU134,CENY!$B$11:$G$1054,3,FALSE)</f>
        <v>200</v>
      </c>
      <c r="AX134" s="22"/>
      <c r="AY134" s="360">
        <v>0</v>
      </c>
      <c r="AZ134" s="326">
        <f t="shared" si="11"/>
        <v>0</v>
      </c>
      <c r="BA134" s="95">
        <f>VLOOKUP(AU134,CENY!$B$11:$M$2025,12,FALSE)</f>
        <v>1.2154199999999999</v>
      </c>
      <c r="BB134" s="95">
        <f t="shared" si="10"/>
        <v>0</v>
      </c>
      <c r="BC134" s="86" t="s">
        <v>397</v>
      </c>
      <c r="BD134" s="319">
        <f>OBJ!B362</f>
        <v>45168</v>
      </c>
      <c r="BE134" s="21" t="str">
        <f>VLOOKUP(BD134,CENY!$B$11:$G$1054,2,FALSE)</f>
        <v>Skrutka s polgul.hlavou 3,5x20mm</v>
      </c>
      <c r="BF134" s="22">
        <f>VLOOKUP(BD134,CENY!$B$11:$G$1054,3,FALSE)</f>
        <v>200</v>
      </c>
      <c r="BG134" s="22"/>
      <c r="BH134" s="360">
        <v>0</v>
      </c>
      <c r="BI134" s="326">
        <f>IF(BH134="","",IF($AW$4=0,BH134,0))</f>
        <v>0</v>
      </c>
      <c r="BJ134" s="95">
        <f>VLOOKUP(BD134,CENY!$B$11:$M$2025,12,FALSE)</f>
        <v>1.2154199999999999</v>
      </c>
      <c r="BK134" s="95">
        <f>IF(BJ134="","",BJ134*BH134)</f>
        <v>0</v>
      </c>
    </row>
    <row r="135" spans="47:63">
      <c r="AU135" s="319">
        <f>OBJ!B363</f>
        <v>9278224</v>
      </c>
      <c r="AV135" s="21" t="str">
        <f>VLOOKUP(AU135,CENY!$B$11:$G$1054,2,FALSE)</f>
        <v>Skrutka s polgul.hlavou 3,5x30mm</v>
      </c>
      <c r="AW135" s="22">
        <f>VLOOKUP(AU135,CENY!$B$11:$G$1054,3,FALSE)</f>
        <v>200</v>
      </c>
      <c r="AX135" s="22"/>
      <c r="AY135" s="360">
        <v>0</v>
      </c>
      <c r="AZ135" s="326">
        <f t="shared" si="11"/>
        <v>0</v>
      </c>
      <c r="BA135" s="95">
        <f>VLOOKUP(AU135,CENY!$B$11:$M$2025,12,FALSE)</f>
        <v>0.89337999999999995</v>
      </c>
      <c r="BB135" s="95">
        <f t="shared" si="10"/>
        <v>0</v>
      </c>
      <c r="BC135" s="86" t="s">
        <v>398</v>
      </c>
      <c r="BD135" s="319">
        <f>OBJ!B363</f>
        <v>9278224</v>
      </c>
      <c r="BE135" s="21" t="str">
        <f>VLOOKUP(BD135,CENY!$B$11:$G$1054,2,FALSE)</f>
        <v>Skrutka s polgul.hlavou 3,5x30mm</v>
      </c>
      <c r="BF135" s="22">
        <f>VLOOKUP(BD135,CENY!$B$11:$G$1054,3,FALSE)</f>
        <v>200</v>
      </c>
      <c r="BG135" s="22"/>
      <c r="BH135" s="360">
        <f>2*SUM(BH5:BH22)</f>
        <v>0</v>
      </c>
      <c r="BI135" s="326">
        <f>IF(BH135="","",IF($AW$4=0,BH135,0))</f>
        <v>0</v>
      </c>
      <c r="BJ135" s="95">
        <f>VLOOKUP(BD135,CENY!$B$11:$M$2025,12,FALSE)</f>
        <v>0.89337999999999995</v>
      </c>
      <c r="BK135" s="95">
        <f>IF(BJ135="","",BJ135*BH135)</f>
        <v>0</v>
      </c>
    </row>
    <row r="136" spans="47:63">
      <c r="AU136" s="319">
        <f>OBJ!B364</f>
        <v>9279197</v>
      </c>
      <c r="AV136" s="21" t="str">
        <f>VLOOKUP(AU136,CENY!$B$11:$G$1054,2,FALSE)</f>
        <v>Skrutka s polgul.hlavou M3,5x12mm</v>
      </c>
      <c r="AW136" s="22">
        <f>VLOOKUP(AU136,CENY!$B$11:$G$1054,3,FALSE)</f>
        <v>1000</v>
      </c>
      <c r="AX136" s="22"/>
      <c r="AY136" s="68">
        <v>0</v>
      </c>
      <c r="AZ136" s="326">
        <f t="shared" si="11"/>
        <v>0</v>
      </c>
      <c r="BA136" s="95">
        <f>VLOOKUP(AU136,CENY!$B$11:$M$2025,12,FALSE)</f>
        <v>0</v>
      </c>
      <c r="BB136" s="95">
        <f t="shared" si="10"/>
        <v>0</v>
      </c>
      <c r="BC136" s="86" t="s">
        <v>399</v>
      </c>
      <c r="BD136" s="319">
        <f>OBJ!B364</f>
        <v>9279197</v>
      </c>
      <c r="BE136" s="21" t="str">
        <f>VLOOKUP(BD136,CENY!$B$11:$G$1054,2,FALSE)</f>
        <v>Skrutka s polgul.hlavou M3,5x12mm</v>
      </c>
      <c r="BF136" s="22">
        <f>VLOOKUP(BD136,CENY!$B$11:$G$1054,3,FALSE)</f>
        <v>1000</v>
      </c>
      <c r="BG136" s="22"/>
      <c r="BH136" s="68">
        <f>4*BH24</f>
        <v>0</v>
      </c>
      <c r="BI136" s="326">
        <f>IF(BH136="","",IF($AW$4=0,BH136,0))</f>
        <v>0</v>
      </c>
      <c r="BJ136" s="95">
        <f>VLOOKUP(BD136,CENY!$B$11:$M$2025,12,FALSE)</f>
        <v>0</v>
      </c>
      <c r="BK136" s="95">
        <f>IF(BJ136="","",BJ136*BH136)</f>
        <v>0</v>
      </c>
    </row>
    <row r="137" spans="47:63">
      <c r="AU137" s="319">
        <f>OBJ!B365</f>
        <v>9137114</v>
      </c>
      <c r="AV137" s="21" t="str">
        <f>VLOOKUP(AU137,CENY!$B$11:$G$1054,2,FALSE)</f>
        <v>EURO-skrutka  6,0x14mm / niklovaná</v>
      </c>
      <c r="AW137" s="22">
        <f>VLOOKUP(AU137,CENY!$B$11:$G$1054,3,FALSE)</f>
        <v>200</v>
      </c>
      <c r="AX137" s="22"/>
      <c r="AY137" s="23">
        <f>SUMPRODUCT(AX25:AX74,AY25:AY74)</f>
        <v>0</v>
      </c>
      <c r="AZ137" s="326">
        <f t="shared" si="11"/>
        <v>0</v>
      </c>
      <c r="BA137" s="95">
        <f>VLOOKUP(AU137,CENY!$B$11:$M$2025,12,FALSE)</f>
        <v>1.8839300000000001</v>
      </c>
      <c r="BB137" s="95">
        <f t="shared" si="10"/>
        <v>0</v>
      </c>
      <c r="BC137" s="86" t="s">
        <v>400</v>
      </c>
      <c r="BD137" s="319">
        <f>OBJ!B365</f>
        <v>9137114</v>
      </c>
      <c r="BE137" s="21" t="str">
        <f>VLOOKUP(BD137,CENY!$B$11:$G$1054,2,FALSE)</f>
        <v>EURO-skrutka  6,0x14mm / niklovaná</v>
      </c>
      <c r="BF137" s="22">
        <f>VLOOKUP(BD137,CENY!$B$11:$G$1054,3,FALSE)</f>
        <v>200</v>
      </c>
      <c r="BG137" s="22"/>
      <c r="BH137" s="23">
        <f>AY137</f>
        <v>0</v>
      </c>
      <c r="BI137" s="326">
        <f>IF(BH137="","",IF($AW$4=0,BH137,0))</f>
        <v>0</v>
      </c>
      <c r="BJ137" s="95">
        <f>VLOOKUP(BD137,CENY!$B$11:$M$2025,12,FALSE)</f>
        <v>1.8839300000000001</v>
      </c>
      <c r="BK137" s="95">
        <f>IF(BJ137="","",BJ137*BH137)</f>
        <v>0</v>
      </c>
    </row>
    <row r="138" spans="47:63">
      <c r="AU138" s="20"/>
      <c r="AV138" s="21"/>
      <c r="AW138" s="22"/>
      <c r="AX138" s="22"/>
      <c r="AY138" s="23"/>
      <c r="AZ138" s="326"/>
      <c r="BA138" s="95"/>
      <c r="BB138" s="95"/>
      <c r="BD138" s="319"/>
      <c r="BE138" s="21"/>
      <c r="BF138" s="22"/>
      <c r="BG138" s="22"/>
      <c r="BH138" s="23"/>
      <c r="BI138" s="326"/>
      <c r="BJ138" s="95"/>
      <c r="BK138" s="95"/>
    </row>
    <row r="139" spans="47:63">
      <c r="AU139" s="20"/>
      <c r="AV139" s="21"/>
      <c r="AW139" s="22"/>
      <c r="AX139" s="22"/>
      <c r="AY139" s="23"/>
      <c r="AZ139" s="326"/>
      <c r="BA139" s="95"/>
      <c r="BB139" s="95"/>
      <c r="BD139" s="319"/>
      <c r="BE139" s="21"/>
      <c r="BF139" s="22"/>
      <c r="BG139" s="22"/>
      <c r="BH139" s="23"/>
      <c r="BI139" s="326" t="str">
        <f>IF(BH139="","",IF($AW$4=0,BH139,0))</f>
        <v/>
      </c>
      <c r="BJ139" s="95"/>
      <c r="BK139" s="95" t="str">
        <f>IF(BJ139="","",BJ139*BH139)</f>
        <v/>
      </c>
    </row>
    <row r="140" spans="47:63">
      <c r="AU140" s="20"/>
      <c r="AV140" s="21"/>
      <c r="AW140" s="22"/>
      <c r="AX140" s="22"/>
      <c r="AY140" s="23"/>
      <c r="AZ140" s="326" t="str">
        <f>IF(AY140="","",IF($AW$4=1,AY140,0))</f>
        <v/>
      </c>
      <c r="BA140" s="95"/>
      <c r="BB140" s="95" t="str">
        <f>IF(BA140="","",BA140*AY140)</f>
        <v/>
      </c>
      <c r="BD140" s="319"/>
      <c r="BE140" s="21"/>
      <c r="BF140" s="22"/>
      <c r="BG140" s="22"/>
      <c r="BH140" s="23"/>
      <c r="BI140" s="326" t="str">
        <f>IF(BH140="","",IF($AW$4=0,BH140,0))</f>
        <v/>
      </c>
      <c r="BJ140" s="95"/>
      <c r="BK140" s="95" t="str">
        <f>IF(BJ140="","",BJ140*BH140)</f>
        <v/>
      </c>
    </row>
  </sheetData>
  <sheetProtection algorithmName="SHA-512" hashValue="+uY8eLm2FroIiU66w4Y3gUnBM3Jbn2Y7Gg/cavosFAQACbpv4neVUJmykAir/XlI28zvP6yKAYLuO4RSykQoeg==" saltValue="9n3CKf60Q9p6kRhn0Sve5g==" spinCount="100000" sheet="1" objects="1" scenarios="1"/>
  <mergeCells count="179">
    <mergeCell ref="AK9:AP10"/>
    <mergeCell ref="AI84:AJ84"/>
    <mergeCell ref="O85:P85"/>
    <mergeCell ref="Q85:R85"/>
    <mergeCell ref="S85:T85"/>
    <mergeCell ref="U85:V85"/>
    <mergeCell ref="W85:X85"/>
    <mergeCell ref="Y85:Z85"/>
    <mergeCell ref="AI83:AJ83"/>
    <mergeCell ref="Y83:Z83"/>
    <mergeCell ref="AG83:AH83"/>
    <mergeCell ref="AG81:AH81"/>
    <mergeCell ref="AG84:AH84"/>
    <mergeCell ref="AA83:AB83"/>
    <mergeCell ref="AC83:AD83"/>
    <mergeCell ref="AE83:AF83"/>
    <mergeCell ref="AI81:AJ81"/>
    <mergeCell ref="AG85:AH85"/>
    <mergeCell ref="AC85:AD85"/>
    <mergeCell ref="AE85:AF85"/>
    <mergeCell ref="AC84:AD84"/>
    <mergeCell ref="AE84:AF84"/>
    <mergeCell ref="AI85:AJ85"/>
    <mergeCell ref="AO67:AR67"/>
    <mergeCell ref="M84:N84"/>
    <mergeCell ref="O84:P84"/>
    <mergeCell ref="Q84:R84"/>
    <mergeCell ref="S84:T84"/>
    <mergeCell ref="U84:V84"/>
    <mergeCell ref="AA85:AB85"/>
    <mergeCell ref="W84:X84"/>
    <mergeCell ref="Y84:Z84"/>
    <mergeCell ref="AA84:AB84"/>
    <mergeCell ref="A66:A105"/>
    <mergeCell ref="B67:E67"/>
    <mergeCell ref="G67:K67"/>
    <mergeCell ref="O67:S67"/>
    <mergeCell ref="U67:Y67"/>
    <mergeCell ref="AA67:AE67"/>
    <mergeCell ref="AE80:AF80"/>
    <mergeCell ref="AE81:AF81"/>
    <mergeCell ref="AI67:AM67"/>
    <mergeCell ref="O81:P81"/>
    <mergeCell ref="Q81:R81"/>
    <mergeCell ref="S81:T81"/>
    <mergeCell ref="U81:V81"/>
    <mergeCell ref="W81:X81"/>
    <mergeCell ref="Y81:Z81"/>
    <mergeCell ref="AA81:AB81"/>
    <mergeCell ref="AC81:AD81"/>
    <mergeCell ref="AK81:AL81"/>
    <mergeCell ref="O82:AJ82"/>
    <mergeCell ref="O83:P83"/>
    <mergeCell ref="Q83:R83"/>
    <mergeCell ref="S83:T83"/>
    <mergeCell ref="U83:V83"/>
    <mergeCell ref="O80:P80"/>
    <mergeCell ref="W83:X83"/>
    <mergeCell ref="AN29:AO29"/>
    <mergeCell ref="B30:G30"/>
    <mergeCell ref="H30:L30"/>
    <mergeCell ref="M30:N30"/>
    <mergeCell ref="O30:P30"/>
    <mergeCell ref="Q30:R30"/>
    <mergeCell ref="S30:T30"/>
    <mergeCell ref="U30:V30"/>
    <mergeCell ref="W30:X30"/>
    <mergeCell ref="Y30:Z30"/>
    <mergeCell ref="AA30:AB30"/>
    <mergeCell ref="AC30:AD30"/>
    <mergeCell ref="AI80:AJ80"/>
    <mergeCell ref="Q80:R80"/>
    <mergeCell ref="S80:T80"/>
    <mergeCell ref="U80:V80"/>
    <mergeCell ref="W80:X80"/>
    <mergeCell ref="Y80:Z80"/>
    <mergeCell ref="AA80:AB80"/>
    <mergeCell ref="AC80:AD80"/>
    <mergeCell ref="AG80:AH80"/>
    <mergeCell ref="B27:G27"/>
    <mergeCell ref="H27:L27"/>
    <mergeCell ref="M27:N27"/>
    <mergeCell ref="O27:P27"/>
    <mergeCell ref="Q27:R27"/>
    <mergeCell ref="S27:T27"/>
    <mergeCell ref="AN27:AO27"/>
    <mergeCell ref="B28:G28"/>
    <mergeCell ref="H28:L28"/>
    <mergeCell ref="M28:N28"/>
    <mergeCell ref="O28:P28"/>
    <mergeCell ref="Q28:R28"/>
    <mergeCell ref="S28:T28"/>
    <mergeCell ref="U28:V28"/>
    <mergeCell ref="W28:X28"/>
    <mergeCell ref="Y28:Z28"/>
    <mergeCell ref="AA28:AB28"/>
    <mergeCell ref="AC28:AD28"/>
    <mergeCell ref="AN28:AO28"/>
    <mergeCell ref="AI25:AO25"/>
    <mergeCell ref="O26:P26"/>
    <mergeCell ref="Q26:R26"/>
    <mergeCell ref="S26:T26"/>
    <mergeCell ref="U26:V26"/>
    <mergeCell ref="W26:X26"/>
    <mergeCell ref="Y26:Z26"/>
    <mergeCell ref="AA26:AB26"/>
    <mergeCell ref="AC26:AD26"/>
    <mergeCell ref="AI26:AO26"/>
    <mergeCell ref="AN21:AO21"/>
    <mergeCell ref="B22:G22"/>
    <mergeCell ref="H22:L22"/>
    <mergeCell ref="M22:N22"/>
    <mergeCell ref="O22:P22"/>
    <mergeCell ref="Q22:R22"/>
    <mergeCell ref="S22:T22"/>
    <mergeCell ref="U22:V22"/>
    <mergeCell ref="W22:X22"/>
    <mergeCell ref="Y22:Z22"/>
    <mergeCell ref="AA22:AB22"/>
    <mergeCell ref="AC22:AD22"/>
    <mergeCell ref="AE22:AF22"/>
    <mergeCell ref="AN22:AO22"/>
    <mergeCell ref="B19:G19"/>
    <mergeCell ref="H19:L19"/>
    <mergeCell ref="M19:N19"/>
    <mergeCell ref="O19:P19"/>
    <mergeCell ref="Q19:R19"/>
    <mergeCell ref="S19:T19"/>
    <mergeCell ref="AN19:AO19"/>
    <mergeCell ref="B20:G20"/>
    <mergeCell ref="H20:L20"/>
    <mergeCell ref="M20:N20"/>
    <mergeCell ref="O20:P20"/>
    <mergeCell ref="Q20:R20"/>
    <mergeCell ref="S20:T20"/>
    <mergeCell ref="U20:V20"/>
    <mergeCell ref="W20:X20"/>
    <mergeCell ref="Y20:Z20"/>
    <mergeCell ref="AA20:AB20"/>
    <mergeCell ref="AC20:AD20"/>
    <mergeCell ref="AE20:AF20"/>
    <mergeCell ref="AN20:AO20"/>
    <mergeCell ref="B12:E12"/>
    <mergeCell ref="F12:I12"/>
    <mergeCell ref="J12:K12"/>
    <mergeCell ref="B13:E13"/>
    <mergeCell ref="F13:I13"/>
    <mergeCell ref="J13:K13"/>
    <mergeCell ref="O17:AF17"/>
    <mergeCell ref="AI17:AO17"/>
    <mergeCell ref="O18:P18"/>
    <mergeCell ref="Q18:R18"/>
    <mergeCell ref="S18:T18"/>
    <mergeCell ref="U18:V18"/>
    <mergeCell ref="W18:X18"/>
    <mergeCell ref="Y18:Z18"/>
    <mergeCell ref="AA18:AB18"/>
    <mergeCell ref="AC18:AD18"/>
    <mergeCell ref="AE18:AF18"/>
    <mergeCell ref="AI18:AO18"/>
    <mergeCell ref="B8:E8"/>
    <mergeCell ref="F8:K8"/>
    <mergeCell ref="B2:E2"/>
    <mergeCell ref="G2:K2"/>
    <mergeCell ref="B9:E9"/>
    <mergeCell ref="F9:K9"/>
    <mergeCell ref="B10:E10"/>
    <mergeCell ref="F10:K10"/>
    <mergeCell ref="B11:E11"/>
    <mergeCell ref="F11:K11"/>
    <mergeCell ref="U2:Y2"/>
    <mergeCell ref="AA2:AE2"/>
    <mergeCell ref="AI2:AM2"/>
    <mergeCell ref="AO2:AR2"/>
    <mergeCell ref="B6:E6"/>
    <mergeCell ref="F6:K6"/>
    <mergeCell ref="O2:S2"/>
    <mergeCell ref="B7:E7"/>
    <mergeCell ref="F7:K7"/>
  </mergeCells>
  <conditionalFormatting sqref="BH26:BH85 AY5:AY42 BH5:BH24 AZ6:AZ82 AZ95:AZ132 BH132:BI132 BH138:BI140 AZ138:AZ140">
    <cfRule type="cellIs" dxfId="618" priority="46" stopIfTrue="1" operator="equal">
      <formula>0</formula>
    </cfRule>
  </conditionalFormatting>
  <conditionalFormatting sqref="AY53:AY56 AY66:AY69 AY43:AY50">
    <cfRule type="cellIs" dxfId="617" priority="44" stopIfTrue="1" operator="equal">
      <formula>0</formula>
    </cfRule>
  </conditionalFormatting>
  <conditionalFormatting sqref="O17:AF17 O19:T19 O20:AD20 W22:AF22 O27:T27 O28:AD28 O30:AD30">
    <cfRule type="expression" dxfId="616" priority="45" stopIfTrue="1">
      <formula>$AW$4=0</formula>
    </cfRule>
  </conditionalFormatting>
  <conditionalFormatting sqref="AY76:AY77 AY79 AY81:AY82">
    <cfRule type="cellIs" dxfId="615" priority="43" stopIfTrue="1" operator="equal">
      <formula>0</formula>
    </cfRule>
  </conditionalFormatting>
  <conditionalFormatting sqref="AY95:AY97">
    <cfRule type="cellIs" dxfId="614" priority="41" stopIfTrue="1" operator="equal">
      <formula>0</formula>
    </cfRule>
  </conditionalFormatting>
  <conditionalFormatting sqref="BH25">
    <cfRule type="cellIs" dxfId="613" priority="40" stopIfTrue="1" operator="equal">
      <formula>0</formula>
    </cfRule>
  </conditionalFormatting>
  <conditionalFormatting sqref="AY51:AY52">
    <cfRule type="cellIs" dxfId="612" priority="39" stopIfTrue="1" operator="equal">
      <formula>0</formula>
    </cfRule>
  </conditionalFormatting>
  <conditionalFormatting sqref="AY57:AY63">
    <cfRule type="cellIs" dxfId="611" priority="38" stopIfTrue="1" operator="equal">
      <formula>0</formula>
    </cfRule>
  </conditionalFormatting>
  <conditionalFormatting sqref="AY70:AY73">
    <cfRule type="cellIs" dxfId="610" priority="37" stopIfTrue="1" operator="equal">
      <formula>0</formula>
    </cfRule>
  </conditionalFormatting>
  <conditionalFormatting sqref="AY74">
    <cfRule type="cellIs" dxfId="609" priority="36" stopIfTrue="1" operator="equal">
      <formula>0</formula>
    </cfRule>
  </conditionalFormatting>
  <conditionalFormatting sqref="AY75">
    <cfRule type="cellIs" dxfId="608" priority="35" stopIfTrue="1" operator="equal">
      <formula>0</formula>
    </cfRule>
  </conditionalFormatting>
  <conditionalFormatting sqref="AY78">
    <cfRule type="cellIs" dxfId="607" priority="34" stopIfTrue="1" operator="equal">
      <formula>0</formula>
    </cfRule>
  </conditionalFormatting>
  <conditionalFormatting sqref="BH101:BH106">
    <cfRule type="cellIs" dxfId="606" priority="32" stopIfTrue="1" operator="equal">
      <formula>0</formula>
    </cfRule>
  </conditionalFormatting>
  <conditionalFormatting sqref="BH122:BH124 BH126:BH127">
    <cfRule type="cellIs" dxfId="605" priority="31" stopIfTrue="1" operator="equal">
      <formula>0</formula>
    </cfRule>
  </conditionalFormatting>
  <conditionalFormatting sqref="AY98:AY132 AY138:AY140">
    <cfRule type="cellIs" dxfId="604" priority="30" stopIfTrue="1" operator="equal">
      <formula>0</formula>
    </cfRule>
  </conditionalFormatting>
  <conditionalFormatting sqref="AY64:AY65">
    <cfRule type="cellIs" dxfId="603" priority="29" stopIfTrue="1" operator="equal">
      <formula>0</formula>
    </cfRule>
  </conditionalFormatting>
  <conditionalFormatting sqref="BH86:BH100">
    <cfRule type="cellIs" dxfId="602" priority="28" stopIfTrue="1" operator="equal">
      <formula>0</formula>
    </cfRule>
  </conditionalFormatting>
  <conditionalFormatting sqref="BH107:BH121">
    <cfRule type="cellIs" dxfId="601" priority="27" stopIfTrue="1" operator="equal">
      <formula>0</formula>
    </cfRule>
  </conditionalFormatting>
  <conditionalFormatting sqref="AY80">
    <cfRule type="cellIs" dxfId="600" priority="26" stopIfTrue="1" operator="equal">
      <formula>0</formula>
    </cfRule>
  </conditionalFormatting>
  <conditionalFormatting sqref="BH125">
    <cfRule type="cellIs" dxfId="599" priority="25" stopIfTrue="1" operator="equal">
      <formula>0</formula>
    </cfRule>
  </conditionalFormatting>
  <conditionalFormatting sqref="F13:K13">
    <cfRule type="expression" dxfId="598" priority="24" stopIfTrue="1">
      <formula>$AW$4=1</formula>
    </cfRule>
  </conditionalFormatting>
  <conditionalFormatting sqref="AZ5">
    <cfRule type="cellIs" dxfId="597" priority="23" stopIfTrue="1" operator="equal">
      <formula>0</formula>
    </cfRule>
  </conditionalFormatting>
  <conditionalFormatting sqref="BI5">
    <cfRule type="cellIs" dxfId="596" priority="22" stopIfTrue="1" operator="equal">
      <formula>0</formula>
    </cfRule>
  </conditionalFormatting>
  <conditionalFormatting sqref="BI6:BI127">
    <cfRule type="cellIs" dxfId="595" priority="21" stopIfTrue="1" operator="equal">
      <formula>0</formula>
    </cfRule>
  </conditionalFormatting>
  <conditionalFormatting sqref="AR87">
    <cfRule type="expression" dxfId="594" priority="20" stopIfTrue="1">
      <formula>$AU$87=AU89</formula>
    </cfRule>
  </conditionalFormatting>
  <conditionalFormatting sqref="AZ94">
    <cfRule type="cellIs" dxfId="593" priority="19" stopIfTrue="1" operator="equal">
      <formula>0</formula>
    </cfRule>
  </conditionalFormatting>
  <conditionalFormatting sqref="AY94">
    <cfRule type="cellIs" dxfId="592" priority="18" stopIfTrue="1" operator="equal">
      <formula>0</formula>
    </cfRule>
  </conditionalFormatting>
  <conditionalFormatting sqref="AZ85:AZ93">
    <cfRule type="cellIs" dxfId="591" priority="17" stopIfTrue="1" operator="equal">
      <formula>0</formula>
    </cfRule>
  </conditionalFormatting>
  <conditionalFormatting sqref="AY88:AY93">
    <cfRule type="cellIs" dxfId="590" priority="16" stopIfTrue="1" operator="equal">
      <formula>0</formula>
    </cfRule>
  </conditionalFormatting>
  <conditionalFormatting sqref="AY85:AY87">
    <cfRule type="cellIs" dxfId="589" priority="15" stopIfTrue="1" operator="equal">
      <formula>0</formula>
    </cfRule>
  </conditionalFormatting>
  <conditionalFormatting sqref="AZ83:AZ84">
    <cfRule type="cellIs" dxfId="588" priority="14" stopIfTrue="1" operator="equal">
      <formula>0</formula>
    </cfRule>
  </conditionalFormatting>
  <conditionalFormatting sqref="AY83:AY84">
    <cfRule type="cellIs" dxfId="587" priority="13" stopIfTrue="1" operator="equal">
      <formula>0</formula>
    </cfRule>
  </conditionalFormatting>
  <conditionalFormatting sqref="BH128:BH129">
    <cfRule type="cellIs" dxfId="586" priority="12" stopIfTrue="1" operator="equal">
      <formula>0</formula>
    </cfRule>
  </conditionalFormatting>
  <conditionalFormatting sqref="BI128">
    <cfRule type="cellIs" dxfId="585" priority="11" stopIfTrue="1" operator="equal">
      <formula>0</formula>
    </cfRule>
  </conditionalFormatting>
  <conditionalFormatting sqref="BH130:BH131">
    <cfRule type="cellIs" dxfId="584" priority="10" stopIfTrue="1" operator="equal">
      <formula>0</formula>
    </cfRule>
  </conditionalFormatting>
  <conditionalFormatting sqref="BI130:BI131">
    <cfRule type="cellIs" dxfId="583" priority="9" stopIfTrue="1" operator="equal">
      <formula>0</formula>
    </cfRule>
  </conditionalFormatting>
  <conditionalFormatting sqref="BI129">
    <cfRule type="cellIs" dxfId="582" priority="8" stopIfTrue="1" operator="equal">
      <formula>0</formula>
    </cfRule>
  </conditionalFormatting>
  <conditionalFormatting sqref="AZ133:AZ137">
    <cfRule type="cellIs" dxfId="581" priority="7" stopIfTrue="1" operator="equal">
      <formula>0</formula>
    </cfRule>
  </conditionalFormatting>
  <conditionalFormatting sqref="AY133:AY137">
    <cfRule type="cellIs" dxfId="580" priority="6" stopIfTrue="1" operator="equal">
      <formula>0</formula>
    </cfRule>
  </conditionalFormatting>
  <conditionalFormatting sqref="BH133 BH136:BH137">
    <cfRule type="cellIs" dxfId="579" priority="5" stopIfTrue="1" operator="equal">
      <formula>0</formula>
    </cfRule>
  </conditionalFormatting>
  <conditionalFormatting sqref="BI133:BI137">
    <cfRule type="cellIs" dxfId="578" priority="4" stopIfTrue="1" operator="equal">
      <formula>0</formula>
    </cfRule>
  </conditionalFormatting>
  <conditionalFormatting sqref="BH134:BH135">
    <cfRule type="cellIs" dxfId="577" priority="3" stopIfTrue="1" operator="equal">
      <formula>0</formula>
    </cfRule>
  </conditionalFormatting>
  <conditionalFormatting sqref="AI17:AO17">
    <cfRule type="expression" dxfId="576" priority="2" stopIfTrue="1">
      <formula>$AW$4=0</formula>
    </cfRule>
  </conditionalFormatting>
  <conditionalFormatting sqref="AI25:AO25">
    <cfRule type="expression" dxfId="575" priority="1" stopIfTrue="1">
      <formula>$AW$4=0</formula>
    </cfRule>
  </conditionalFormatting>
  <hyperlinks>
    <hyperlink ref="M4" location="MENU!A1" display="MENU!A1" xr:uid="{00000000-0004-0000-0C00-000000000000}"/>
    <hyperlink ref="M10" location="OBJ!A1" display="OBJ!A1" xr:uid="{00000000-0004-0000-0C00-000001000000}"/>
    <hyperlink ref="M9" location="suhrn!A1" display="suhrn!A1" xr:uid="{00000000-0004-0000-0C00-000002000000}"/>
    <hyperlink ref="O2:S2" location="MENU!A5" display="MENU!A5" xr:uid="{00000000-0004-0000-0C00-000003000000}"/>
    <hyperlink ref="M69" location="MENU!A1" display="MENU!A1" xr:uid="{00000000-0004-0000-0C00-000004000000}"/>
    <hyperlink ref="B67:E67" location="'AVT187(vn-A)'!A1" display="'AVT187(vn-A)'!A1" xr:uid="{00000000-0004-0000-0C00-000005000000}"/>
    <hyperlink ref="AK9:AO10" location="'IT70(vn100)'!A66" display="'IT70(vn100)'!A66" xr:uid="{00000000-0004-0000-0C00-000006000000}"/>
    <hyperlink ref="AK9:AP10" location="'AVT187(vn-A)'!A66" display="'AVT187(vn-A)'!A66" xr:uid="{00000000-0004-0000-0C00-000007000000}"/>
  </hyperlinks>
  <printOptions horizontalCentered="1"/>
  <pageMargins left="0.19685039370078741" right="0.19685039370078741" top="0.19685039370078741" bottom="0.19685039370078741" header="0.31496062992125984" footer="0.31496062992125984"/>
  <pageSetup paperSize="9" orientation="landscape" r:id="rId1"/>
  <headerFooter>
    <oddHeader>&amp;R&amp;"Aptos"&amp;10&amp;K000000 Restricted&amp;1#_x000D_</oddHeader>
  </headerFooter>
  <drawing r:id="rId2"/>
  <legacyDrawing r:id="rId3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List58">
    <tabColor rgb="FFFF0000"/>
  </sheetPr>
  <dimension ref="A1:BK115"/>
  <sheetViews>
    <sheetView showGridLines="0" showRowColHeaders="0" zoomScale="95" zoomScaleNormal="95" workbookViewId="0"/>
  </sheetViews>
  <sheetFormatPr defaultColWidth="9" defaultRowHeight="13.8"/>
  <cols>
    <col min="1" max="1" width="3.59765625" style="86" customWidth="1"/>
    <col min="2" max="4" width="3.09765625" style="86" customWidth="1"/>
    <col min="5" max="5" width="7.59765625" style="86" customWidth="1"/>
    <col min="6" max="44" width="3.09765625" style="86" customWidth="1"/>
    <col min="45" max="45" width="3.59765625" style="86" customWidth="1"/>
    <col min="46" max="46" width="9" style="86" customWidth="1"/>
    <col min="47" max="47" width="9" style="86" hidden="1" customWidth="1"/>
    <col min="48" max="48" width="32.5" style="86" hidden="1" customWidth="1"/>
    <col min="49" max="49" width="4.3984375" style="86" hidden="1" customWidth="1"/>
    <col min="50" max="50" width="2" style="86" hidden="1" customWidth="1"/>
    <col min="51" max="52" width="4.59765625" style="86" hidden="1" customWidth="1"/>
    <col min="53" max="54" width="9" style="86" hidden="1" customWidth="1"/>
    <col min="55" max="55" width="2.59765625" style="86" hidden="1" customWidth="1"/>
    <col min="56" max="56" width="9" style="86" hidden="1" customWidth="1"/>
    <col min="57" max="57" width="33.8984375" style="86" hidden="1" customWidth="1"/>
    <col min="58" max="58" width="4.3984375" style="86" hidden="1" customWidth="1"/>
    <col min="59" max="59" width="2" style="86" hidden="1" customWidth="1"/>
    <col min="60" max="61" width="4.59765625" style="86" hidden="1" customWidth="1"/>
    <col min="62" max="63" width="9" style="86" hidden="1" customWidth="1"/>
    <col min="64" max="75" width="9" style="86" customWidth="1"/>
    <col min="76" max="16384" width="9" style="86"/>
  </cols>
  <sheetData>
    <row r="1" spans="1:63" ht="12.9" customHeight="1" thickBot="1">
      <c r="AU1" s="140"/>
      <c r="AV1" s="279"/>
      <c r="AW1" s="279"/>
      <c r="AX1" s="140"/>
      <c r="AY1" s="140"/>
      <c r="AZ1" s="140"/>
      <c r="BA1" s="140"/>
      <c r="BB1" s="140"/>
      <c r="BC1" s="140"/>
      <c r="BD1" s="140"/>
      <c r="BE1" s="140"/>
      <c r="BF1" s="140"/>
      <c r="BG1" s="140"/>
      <c r="BH1" s="140"/>
      <c r="BI1" s="140"/>
      <c r="BJ1" s="140"/>
      <c r="BK1" s="140"/>
    </row>
    <row r="2" spans="1:63" ht="23.1" customHeight="1" thickBot="1">
      <c r="B2" s="475" t="str">
        <f>verze!E13</f>
        <v>&lt;&lt;  zpět</v>
      </c>
      <c r="C2" s="476"/>
      <c r="D2" s="476"/>
      <c r="E2" s="477"/>
      <c r="G2" s="513" t="str">
        <f>verze!E6</f>
        <v xml:space="preserve"> Úvod</v>
      </c>
      <c r="H2" s="514"/>
      <c r="I2" s="514"/>
      <c r="J2" s="514"/>
      <c r="K2" s="515"/>
      <c r="O2" s="500" t="str">
        <f>verze!E7</f>
        <v xml:space="preserve"> Výběr zásuvek</v>
      </c>
      <c r="P2" s="501"/>
      <c r="Q2" s="501"/>
      <c r="R2" s="501"/>
      <c r="S2" s="502"/>
      <c r="U2" s="513" t="str">
        <f>verze!E8</f>
        <v xml:space="preserve"> </v>
      </c>
      <c r="V2" s="514"/>
      <c r="W2" s="514"/>
      <c r="X2" s="514"/>
      <c r="Y2" s="515"/>
      <c r="AA2" s="513" t="str">
        <f>verze!E9</f>
        <v xml:space="preserve"> </v>
      </c>
      <c r="AB2" s="514"/>
      <c r="AC2" s="514"/>
      <c r="AD2" s="514"/>
      <c r="AE2" s="515"/>
      <c r="AI2" s="513" t="str">
        <f>verze!E10</f>
        <v xml:space="preserve"> Objednávka</v>
      </c>
      <c r="AJ2" s="514"/>
      <c r="AK2" s="514"/>
      <c r="AL2" s="514"/>
      <c r="AM2" s="515"/>
      <c r="AO2" s="475" t="str">
        <f>verze!E14</f>
        <v>vpřed  &gt;&gt;</v>
      </c>
      <c r="AP2" s="476"/>
      <c r="AQ2" s="476"/>
      <c r="AR2" s="477"/>
      <c r="AV2" s="143"/>
      <c r="AW2" s="143"/>
    </row>
    <row r="3" spans="1:63" ht="12.9" customHeight="1">
      <c r="AV3" s="143"/>
      <c r="AW3" s="143"/>
    </row>
    <row r="4" spans="1:63" ht="23.1" customHeight="1">
      <c r="A4" s="89"/>
      <c r="B4" s="93" t="str">
        <f>verze!E206&amp;" AVANTECH YOU  187 Inlay"</f>
        <v>Zásuvka AVANTECH YOU  187 Inlay</v>
      </c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U4" s="94" t="s">
        <v>33</v>
      </c>
      <c r="AW4" s="285">
        <f>IF(FORM!AU13=FORM!U18,1,0)</f>
        <v>1</v>
      </c>
      <c r="BB4" s="322">
        <f>SUM(BB5:BB972)</f>
        <v>0</v>
      </c>
      <c r="BD4" s="94" t="s">
        <v>34</v>
      </c>
      <c r="BK4" s="322">
        <f>SUM(BK5:BK961)</f>
        <v>0</v>
      </c>
    </row>
    <row r="5" spans="1:63" ht="14.4" customHeight="1">
      <c r="AU5" s="319">
        <f>OBJ!B168</f>
        <v>9353283</v>
      </c>
      <c r="AV5" s="21" t="str">
        <f>VLOOKUP(AU5,CENY!$B$11:$G$1054,2,FALSE)</f>
        <v>AvanY-sólo boky Inlay-NW 187/350mm/strieb.</v>
      </c>
      <c r="AW5" s="22">
        <f>VLOOKUP(AU5,CENY!$B$11:$G$1054,3,FALSE)</f>
        <v>1</v>
      </c>
      <c r="AX5" s="362">
        <v>6</v>
      </c>
      <c r="AY5" s="23">
        <f>S19+S20+S27+S28+S30</f>
        <v>0</v>
      </c>
      <c r="AZ5" s="326">
        <f>IF(AY5="","",IF($AW$4=1,AY5,0))</f>
        <v>0</v>
      </c>
      <c r="BA5" s="95">
        <f>VLOOKUP(AU5,CENY!$B$11:$M$2025,12,FALSE)</f>
        <v>840.18591000000004</v>
      </c>
      <c r="BB5" s="95">
        <f t="shared" ref="BB5:BB68" si="0">IF(BA5="","",BA5*AY5)</f>
        <v>0</v>
      </c>
      <c r="BD5" s="319">
        <f>OBJ!B176</f>
        <v>9257131</v>
      </c>
      <c r="BE5" s="21" t="str">
        <f>VLOOKUP(BD5,CENY!$B$11:$G$1054,2,FALSE)</f>
        <v>AvanY-bok Inlay ľavý /v187/h350/ strieb.</v>
      </c>
      <c r="BF5" s="22">
        <f>VLOOKUP(BD5,CENY!$B$11:$G$1054,3,FALSE)</f>
        <v>10</v>
      </c>
      <c r="BG5" s="22"/>
      <c r="BH5" s="23">
        <f>AY5</f>
        <v>0</v>
      </c>
      <c r="BI5" s="326">
        <f>IF(BH5="","",IF($AW$4=0,BH5,0))</f>
        <v>0</v>
      </c>
      <c r="BJ5" s="95">
        <f>VLOOKUP(BD5,CENY!$B$11:$M$2025,12,FALSE)</f>
        <v>380.11588</v>
      </c>
      <c r="BK5" s="95">
        <f>IF(BJ5="","",BJ5*BH5)</f>
        <v>0</v>
      </c>
    </row>
    <row r="6" spans="1:63" ht="14.4" customHeight="1">
      <c r="B6" s="549" t="str">
        <f>" "&amp;verze!E90</f>
        <v xml:space="preserve"> bočnice:</v>
      </c>
      <c r="C6" s="549"/>
      <c r="D6" s="549"/>
      <c r="E6" s="549"/>
      <c r="F6" s="564" t="s">
        <v>343</v>
      </c>
      <c r="G6" s="564"/>
      <c r="H6" s="564"/>
      <c r="I6" s="564"/>
      <c r="J6" s="564"/>
      <c r="K6" s="564"/>
      <c r="AU6" s="319">
        <f>OBJ!B169</f>
        <v>9353284</v>
      </c>
      <c r="AV6" s="21" t="str">
        <f>VLOOKUP(AU6,CENY!$B$11:$G$1054,2,FALSE)</f>
        <v>AvanY-sólo boky Inlay-NW 187/400mm/strieb.</v>
      </c>
      <c r="AW6" s="22">
        <f>VLOOKUP(AU6,CENY!$B$11:$G$1054,3,FALSE)</f>
        <v>1</v>
      </c>
      <c r="AX6" s="362">
        <v>6</v>
      </c>
      <c r="AY6" s="23">
        <f>U20+U28+U30</f>
        <v>0</v>
      </c>
      <c r="AZ6" s="326">
        <f t="shared" ref="AZ6:AZ69" si="1">IF(AY6="","",IF($AW$4=1,AY6,0))</f>
        <v>0</v>
      </c>
      <c r="BA6" s="95">
        <f>VLOOKUP(AU6,CENY!$B$11:$M$2025,12,FALSE)</f>
        <v>852.13201000000004</v>
      </c>
      <c r="BB6" s="95">
        <f t="shared" si="0"/>
        <v>0</v>
      </c>
      <c r="BD6" s="319">
        <f>OBJ!B177</f>
        <v>9257132</v>
      </c>
      <c r="BE6" s="21" t="str">
        <f>VLOOKUP(BD6,CENY!$B$11:$G$1054,2,FALSE)</f>
        <v>AvanY-bok Inlay pravý /v187/h350/ strieb.</v>
      </c>
      <c r="BF6" s="22">
        <f>VLOOKUP(BD6,CENY!$B$11:$G$1054,3,FALSE)</f>
        <v>10</v>
      </c>
      <c r="BG6" s="22"/>
      <c r="BH6" s="23">
        <f>AY5</f>
        <v>0</v>
      </c>
      <c r="BI6" s="326">
        <f t="shared" ref="BI6:BI69" si="2">IF(BH6="","",IF($AW$4=0,BH6,0))</f>
        <v>0</v>
      </c>
      <c r="BJ6" s="95">
        <f>VLOOKUP(BD6,CENY!$B$11:$M$2025,12,FALSE)</f>
        <v>380.11588</v>
      </c>
      <c r="BK6" s="95">
        <f t="shared" ref="BK6:BK69" si="3">IF(BJ6="","",BJ6*BH6)</f>
        <v>0</v>
      </c>
    </row>
    <row r="7" spans="1:63" ht="14.4" customHeight="1">
      <c r="B7" s="549" t="str">
        <f>" "&amp;verze!E56</f>
        <v xml:space="preserve"> barva:</v>
      </c>
      <c r="C7" s="549"/>
      <c r="D7" s="549"/>
      <c r="E7" s="549"/>
      <c r="F7" s="564" t="str">
        <f>" "&amp;FORM!U8</f>
        <v xml:space="preserve"> stříbrná</v>
      </c>
      <c r="G7" s="564"/>
      <c r="H7" s="564"/>
      <c r="I7" s="564"/>
      <c r="J7" s="564"/>
      <c r="K7" s="564"/>
      <c r="AU7" s="319">
        <f>OBJ!B170</f>
        <v>9353285</v>
      </c>
      <c r="AV7" s="21" t="str">
        <f>VLOOKUP(AU7,CENY!$B$11:$G$1054,2,FALSE)</f>
        <v>AvanY-sólo boky Inlay-NW 187/450mm/strieb.</v>
      </c>
      <c r="AW7" s="22">
        <f>VLOOKUP(AU7,CENY!$B$11:$G$1054,3,FALSE)</f>
        <v>1</v>
      </c>
      <c r="AX7" s="362">
        <v>6</v>
      </c>
      <c r="AY7" s="23">
        <f>W20+W22+W28+W30</f>
        <v>0</v>
      </c>
      <c r="AZ7" s="326">
        <f t="shared" si="1"/>
        <v>0</v>
      </c>
      <c r="BA7" s="95">
        <f>VLOOKUP(AU7,CENY!$B$11:$M$2025,12,FALSE)</f>
        <v>841.09733000000006</v>
      </c>
      <c r="BB7" s="95">
        <f t="shared" si="0"/>
        <v>0</v>
      </c>
      <c r="BD7" s="319">
        <f>OBJ!B178</f>
        <v>9257133</v>
      </c>
      <c r="BE7" s="21" t="str">
        <f>VLOOKUP(BD7,CENY!$B$11:$G$1054,2,FALSE)</f>
        <v>AvanY-bok Inlay ľavý /v187/h400/ strieb.</v>
      </c>
      <c r="BF7" s="22">
        <f>VLOOKUP(BD7,CENY!$B$11:$G$1054,3,FALSE)</f>
        <v>10</v>
      </c>
      <c r="BG7" s="22"/>
      <c r="BH7" s="23">
        <f>AY6</f>
        <v>0</v>
      </c>
      <c r="BI7" s="326">
        <f t="shared" si="2"/>
        <v>0</v>
      </c>
      <c r="BJ7" s="95">
        <f>VLOOKUP(BD7,CENY!$B$11:$M$2025,12,FALSE)</f>
        <v>386.98174</v>
      </c>
      <c r="BK7" s="95">
        <f t="shared" si="3"/>
        <v>0</v>
      </c>
    </row>
    <row r="8" spans="1:63" ht="14.4" customHeight="1" thickBot="1">
      <c r="B8" s="549" t="str">
        <f>" "&amp;verze!E70</f>
        <v xml:space="preserve"> dekorativní profil:</v>
      </c>
      <c r="C8" s="549"/>
      <c r="D8" s="549"/>
      <c r="E8" s="549"/>
      <c r="F8" s="564" t="str">
        <f>" "&amp;FORM!AM18</f>
        <v xml:space="preserve"> v barvě bočnice</v>
      </c>
      <c r="G8" s="564"/>
      <c r="H8" s="564"/>
      <c r="I8" s="564"/>
      <c r="J8" s="564"/>
      <c r="K8" s="564"/>
      <c r="AU8" s="319">
        <f>OBJ!B171</f>
        <v>9353286</v>
      </c>
      <c r="AV8" s="21" t="str">
        <f>VLOOKUP(AU8,CENY!$B$11:$G$1054,2,FALSE)</f>
        <v>AvanY-sólo boky Inlay-NW 187/500mm/strieb.</v>
      </c>
      <c r="AW8" s="22">
        <f>VLOOKUP(AU8,CENY!$B$11:$G$1054,3,FALSE)</f>
        <v>1</v>
      </c>
      <c r="AX8" s="362">
        <v>8</v>
      </c>
      <c r="AY8" s="23">
        <f>Y20+Y22+Y28+Y30</f>
        <v>0</v>
      </c>
      <c r="AZ8" s="326">
        <f t="shared" si="1"/>
        <v>0</v>
      </c>
      <c r="BA8" s="95">
        <f>VLOOKUP(AU8,CENY!$B$11:$M$2025,12,FALSE)</f>
        <v>852.72563000000002</v>
      </c>
      <c r="BB8" s="95">
        <f t="shared" si="0"/>
        <v>0</v>
      </c>
      <c r="BD8" s="319">
        <f>OBJ!B179</f>
        <v>9257134</v>
      </c>
      <c r="BE8" s="21" t="str">
        <f>VLOOKUP(BD8,CENY!$B$11:$G$1054,2,FALSE)</f>
        <v>AvanY-bok Inlay pravý /v187/h400/ strieb.</v>
      </c>
      <c r="BF8" s="22">
        <f>VLOOKUP(BD8,CENY!$B$11:$G$1054,3,FALSE)</f>
        <v>10</v>
      </c>
      <c r="BG8" s="22"/>
      <c r="BH8" s="23">
        <f>AY6</f>
        <v>0</v>
      </c>
      <c r="BI8" s="326">
        <f t="shared" si="2"/>
        <v>0</v>
      </c>
      <c r="BJ8" s="95">
        <f>VLOOKUP(BD8,CENY!$B$11:$M$2025,12,FALSE)</f>
        <v>386.98174</v>
      </c>
      <c r="BK8" s="95">
        <f t="shared" si="3"/>
        <v>0</v>
      </c>
    </row>
    <row r="9" spans="1:63" ht="14.4" customHeight="1" thickTop="1">
      <c r="B9" s="549"/>
      <c r="C9" s="549"/>
      <c r="D9" s="549"/>
      <c r="E9" s="549"/>
      <c r="F9" s="564"/>
      <c r="G9" s="564"/>
      <c r="H9" s="564"/>
      <c r="I9" s="564"/>
      <c r="J9" s="564"/>
      <c r="K9" s="564"/>
      <c r="AK9" s="585" t="str">
        <f>verze!E160</f>
        <v>Je nutné natypovat šířky čel ?</v>
      </c>
      <c r="AL9" s="586"/>
      <c r="AM9" s="586"/>
      <c r="AN9" s="586"/>
      <c r="AO9" s="586"/>
      <c r="AP9" s="587"/>
      <c r="AU9" s="319">
        <f>OBJ!B172</f>
        <v>9353287</v>
      </c>
      <c r="AV9" s="21" t="str">
        <f>VLOOKUP(AU9,CENY!$B$11:$G$1054,2,FALSE)</f>
        <v>AvanY-sólo boky Inlay-NW 187/550mm/strieb.</v>
      </c>
      <c r="AW9" s="22">
        <f>VLOOKUP(AU9,CENY!$B$11:$G$1054,3,FALSE)</f>
        <v>1</v>
      </c>
      <c r="AX9" s="362">
        <v>8</v>
      </c>
      <c r="AY9" s="23">
        <f>AA20+AA22+AA28+AA30</f>
        <v>0</v>
      </c>
      <c r="AZ9" s="326">
        <f t="shared" si="1"/>
        <v>0</v>
      </c>
      <c r="BA9" s="95">
        <f>VLOOKUP(AU9,CENY!$B$11:$M$2025,12,FALSE)</f>
        <v>887.97243000000003</v>
      </c>
      <c r="BB9" s="95">
        <f t="shared" si="0"/>
        <v>0</v>
      </c>
      <c r="BD9" s="319">
        <f>OBJ!B180</f>
        <v>9257135</v>
      </c>
      <c r="BE9" s="21" t="str">
        <f>VLOOKUP(BD9,CENY!$B$11:$G$1054,2,FALSE)</f>
        <v>AvanY-bok Inlay ľavý /v187/h450/ strieb.</v>
      </c>
      <c r="BF9" s="22">
        <f>VLOOKUP(BD9,CENY!$B$11:$G$1054,3,FALSE)</f>
        <v>10</v>
      </c>
      <c r="BG9" s="22"/>
      <c r="BH9" s="23">
        <f>AY7</f>
        <v>0</v>
      </c>
      <c r="BI9" s="326">
        <f t="shared" si="2"/>
        <v>0</v>
      </c>
      <c r="BJ9" s="95">
        <f>VLOOKUP(BD9,CENY!$B$11:$M$2025,12,FALSE)</f>
        <v>393.85784000000001</v>
      </c>
      <c r="BK9" s="95">
        <f t="shared" si="3"/>
        <v>0</v>
      </c>
    </row>
    <row r="10" spans="1:63" ht="14.4" customHeight="1">
      <c r="B10" s="549" t="str">
        <f>" "&amp;verze!E57</f>
        <v xml:space="preserve"> čelní kování:</v>
      </c>
      <c r="C10" s="549"/>
      <c r="D10" s="549"/>
      <c r="E10" s="549"/>
      <c r="F10" s="563" t="str">
        <f>" "&amp;FORM!AM8</f>
        <v xml:space="preserve"> na vruty</v>
      </c>
      <c r="G10" s="563"/>
      <c r="H10" s="563"/>
      <c r="I10" s="563"/>
      <c r="J10" s="563"/>
      <c r="K10" s="563"/>
      <c r="AK10" s="588"/>
      <c r="AL10" s="589"/>
      <c r="AM10" s="589"/>
      <c r="AN10" s="589"/>
      <c r="AO10" s="589"/>
      <c r="AP10" s="590"/>
      <c r="AU10" s="319">
        <f>OBJ!B173</f>
        <v>9353288</v>
      </c>
      <c r="AV10" s="21" t="str">
        <f>VLOOKUP(AU10,CENY!$B$11:$G$1054,2,FALSE)</f>
        <v>AvanY-sólo boky Inlay-NW 187/600mm/strieb.</v>
      </c>
      <c r="AW10" s="22">
        <f>VLOOKUP(AU10,CENY!$B$11:$G$1054,3,FALSE)</f>
        <v>1</v>
      </c>
      <c r="AX10" s="362">
        <v>8</v>
      </c>
      <c r="AY10" s="23">
        <f>AC20+AC22+AC28+AC30</f>
        <v>0</v>
      </c>
      <c r="AZ10" s="326">
        <f t="shared" si="1"/>
        <v>0</v>
      </c>
      <c r="BA10" s="95">
        <f>VLOOKUP(AU10,CENY!$B$11:$M$2025,12,FALSE)</f>
        <v>905.98955999999998</v>
      </c>
      <c r="BB10" s="95">
        <f t="shared" si="0"/>
        <v>0</v>
      </c>
      <c r="BD10" s="319">
        <f>OBJ!B181</f>
        <v>9257136</v>
      </c>
      <c r="BE10" s="21" t="str">
        <f>VLOOKUP(BD10,CENY!$B$11:$G$1054,2,FALSE)</f>
        <v>AvanY-bok Inlay pravý /v187/h450/ strieb.</v>
      </c>
      <c r="BF10" s="22">
        <f>VLOOKUP(BD10,CENY!$B$11:$G$1054,3,FALSE)</f>
        <v>10</v>
      </c>
      <c r="BG10" s="22"/>
      <c r="BH10" s="23">
        <f>AY7</f>
        <v>0</v>
      </c>
      <c r="BI10" s="326">
        <f t="shared" si="2"/>
        <v>0</v>
      </c>
      <c r="BJ10" s="95">
        <f>VLOOKUP(BD10,CENY!$B$11:$M$2025,12,FALSE)</f>
        <v>393.85784000000001</v>
      </c>
      <c r="BK10" s="95">
        <f t="shared" si="3"/>
        <v>0</v>
      </c>
    </row>
    <row r="11" spans="1:63" ht="14.4" customHeight="1">
      <c r="B11" s="549" t="str">
        <f>" "&amp;verze!E76</f>
        <v xml:space="preserve"> krytka:</v>
      </c>
      <c r="C11" s="549"/>
      <c r="D11" s="549"/>
      <c r="E11" s="549"/>
      <c r="F11" s="563" t="str">
        <f>" "&amp;FORM!AM21</f>
        <v xml:space="preserve"> žádná</v>
      </c>
      <c r="G11" s="563"/>
      <c r="H11" s="563"/>
      <c r="I11" s="563"/>
      <c r="J11" s="563"/>
      <c r="K11" s="563"/>
      <c r="AU11" s="319">
        <f>OBJ!B174</f>
        <v>9353289</v>
      </c>
      <c r="AV11" s="21" t="str">
        <f>VLOOKUP(AU11,CENY!$B$11:$G$1054,2,FALSE)</f>
        <v>AvanY-sólo boky Inlay-NW 187/650mm/strieb.</v>
      </c>
      <c r="AW11" s="22">
        <f>VLOOKUP(AU11,CENY!$B$11:$G$1054,3,FALSE)</f>
        <v>1</v>
      </c>
      <c r="AX11" s="362">
        <v>10</v>
      </c>
      <c r="AY11" s="23">
        <f>AE22</f>
        <v>0</v>
      </c>
      <c r="AZ11" s="326">
        <f t="shared" si="1"/>
        <v>0</v>
      </c>
      <c r="BA11" s="95">
        <f>VLOOKUP(AU11,CENY!$B$11:$M$2025,12,FALSE)</f>
        <v>930.49195999999995</v>
      </c>
      <c r="BB11" s="95">
        <f t="shared" si="0"/>
        <v>0</v>
      </c>
      <c r="BD11" s="319">
        <f>OBJ!B182</f>
        <v>9257137</v>
      </c>
      <c r="BE11" s="21" t="str">
        <f>VLOOKUP(BD11,CENY!$B$11:$G$1054,2,FALSE)</f>
        <v>AvanY-bok Inlay ľavý /v187/h500/ strieb.</v>
      </c>
      <c r="BF11" s="22">
        <f>VLOOKUP(BD11,CENY!$B$11:$G$1054,3,FALSE)</f>
        <v>10</v>
      </c>
      <c r="BG11" s="22"/>
      <c r="BH11" s="23">
        <f>AY8</f>
        <v>0</v>
      </c>
      <c r="BI11" s="326">
        <f t="shared" si="2"/>
        <v>0</v>
      </c>
      <c r="BJ11" s="95">
        <f>VLOOKUP(BD11,CENY!$B$11:$M$2025,12,FALSE)</f>
        <v>390.06617</v>
      </c>
      <c r="BK11" s="95">
        <f t="shared" si="3"/>
        <v>0</v>
      </c>
    </row>
    <row r="12" spans="1:63" ht="14.4" customHeight="1" thickBot="1">
      <c r="B12" s="549"/>
      <c r="C12" s="549"/>
      <c r="D12" s="549"/>
      <c r="E12" s="550"/>
      <c r="F12" s="564"/>
      <c r="G12" s="564"/>
      <c r="H12" s="564"/>
      <c r="I12" s="564"/>
      <c r="J12" s="564"/>
      <c r="K12" s="564"/>
      <c r="AU12" s="319"/>
      <c r="AV12" s="21"/>
      <c r="AW12" s="22"/>
      <c r="AX12" s="22"/>
      <c r="AY12" s="23"/>
      <c r="AZ12" s="326" t="str">
        <f t="shared" si="1"/>
        <v/>
      </c>
      <c r="BA12" s="95"/>
      <c r="BB12" s="95" t="str">
        <f t="shared" si="0"/>
        <v/>
      </c>
      <c r="BD12" s="319">
        <f>OBJ!B183</f>
        <v>9257138</v>
      </c>
      <c r="BE12" s="21" t="str">
        <f>VLOOKUP(BD12,CENY!$B$11:$G$1054,2,FALSE)</f>
        <v>AvanY-bok Inlay pravý /v187/h500/ strieb.</v>
      </c>
      <c r="BF12" s="22">
        <f>VLOOKUP(BD12,CENY!$B$11:$G$1054,3,FALSE)</f>
        <v>10</v>
      </c>
      <c r="BG12" s="22"/>
      <c r="BH12" s="23">
        <f>AY8</f>
        <v>0</v>
      </c>
      <c r="BI12" s="326">
        <f t="shared" si="2"/>
        <v>0</v>
      </c>
      <c r="BJ12" s="95">
        <f>VLOOKUP(BD12,CENY!$B$11:$M$2025,12,FALSE)</f>
        <v>390.06617</v>
      </c>
      <c r="BK12" s="95">
        <f t="shared" si="3"/>
        <v>0</v>
      </c>
    </row>
    <row r="13" spans="1:63" ht="14.4" customHeight="1">
      <c r="B13" s="549" t="str">
        <f>" "&amp;verze!E92</f>
        <v xml:space="preserve"> cena kování:</v>
      </c>
      <c r="C13" s="549"/>
      <c r="D13" s="549"/>
      <c r="E13" s="550"/>
      <c r="F13" s="555">
        <f>IF(AW4=1,BB4,BK4)</f>
        <v>0</v>
      </c>
      <c r="G13" s="555"/>
      <c r="H13" s="555"/>
      <c r="I13" s="555"/>
      <c r="J13" s="556" t="str">
        <f>IF(verze!E1="CZK","CZK","EUR")</f>
        <v>CZK</v>
      </c>
      <c r="K13" s="557"/>
      <c r="AU13" s="319">
        <f>OBJ!B216</f>
        <v>9283178</v>
      </c>
      <c r="AV13" s="21" t="str">
        <f>VLOOKUP(AU13,CENY!$B$11:$G$1054,2,FALSE)</f>
        <v>AvanY-Inlay sklenené boky 350mm; 2 x sklo</v>
      </c>
      <c r="AW13" s="22">
        <f>VLOOKUP(AU13,CENY!$B$11:$G$1054,3,FALSE)</f>
        <v>1</v>
      </c>
      <c r="AX13" s="22"/>
      <c r="AY13" s="23">
        <f>1*(S19+S20+S27+S28+S30)</f>
        <v>0</v>
      </c>
      <c r="AZ13" s="326">
        <f t="shared" si="1"/>
        <v>0</v>
      </c>
      <c r="BA13" s="95">
        <f>VLOOKUP(AU13,CENY!$B$11:$M$2025,12,FALSE)</f>
        <v>825.32597999999996</v>
      </c>
      <c r="BB13" s="95">
        <f t="shared" si="0"/>
        <v>0</v>
      </c>
      <c r="BD13" s="319">
        <f>OBJ!B184</f>
        <v>9257139</v>
      </c>
      <c r="BE13" s="21" t="str">
        <f>VLOOKUP(BD13,CENY!$B$11:$G$1054,2,FALSE)</f>
        <v>AvanY-bok Inlay ľavý /v187/h550/ strieb.</v>
      </c>
      <c r="BF13" s="22">
        <f>VLOOKUP(BD13,CENY!$B$11:$G$1054,3,FALSE)</f>
        <v>10</v>
      </c>
      <c r="BG13" s="22"/>
      <c r="BH13" s="23">
        <f>AY9</f>
        <v>0</v>
      </c>
      <c r="BI13" s="326">
        <f t="shared" si="2"/>
        <v>0</v>
      </c>
      <c r="BJ13" s="95">
        <f>VLOOKUP(BD13,CENY!$B$11:$M$2025,12,FALSE)</f>
        <v>407.58967999999999</v>
      </c>
      <c r="BK13" s="95">
        <f t="shared" si="3"/>
        <v>0</v>
      </c>
    </row>
    <row r="14" spans="1:63" ht="14.4" customHeight="1">
      <c r="AU14" s="319">
        <f>OBJ!B217</f>
        <v>9283179</v>
      </c>
      <c r="AV14" s="21" t="str">
        <f>VLOOKUP(AU14,CENY!$B$11:$G$1054,2,FALSE)</f>
        <v>AvanY-Inlay sklenené boky 400mm; 2 x sklo</v>
      </c>
      <c r="AW14" s="22">
        <f>VLOOKUP(AU14,CENY!$B$11:$G$1054,3,FALSE)</f>
        <v>1</v>
      </c>
      <c r="AX14" s="22"/>
      <c r="AY14" s="23">
        <f>1*(U20+U28+U30)</f>
        <v>0</v>
      </c>
      <c r="AZ14" s="326">
        <f t="shared" si="1"/>
        <v>0</v>
      </c>
      <c r="BA14" s="95">
        <f>VLOOKUP(AU14,CENY!$B$11:$M$2025,12,FALSE)</f>
        <v>872.05524000000003</v>
      </c>
      <c r="BB14" s="95">
        <f t="shared" si="0"/>
        <v>0</v>
      </c>
      <c r="BD14" s="319">
        <f>OBJ!B185</f>
        <v>9257140</v>
      </c>
      <c r="BE14" s="21" t="str">
        <f>VLOOKUP(BD14,CENY!$B$11:$G$1054,2,FALSE)</f>
        <v>AvanY-bok Inlay pravý /v187/h550/ strieb.</v>
      </c>
      <c r="BF14" s="22">
        <f>VLOOKUP(BD14,CENY!$B$11:$G$1054,3,FALSE)</f>
        <v>10</v>
      </c>
      <c r="BG14" s="22"/>
      <c r="BH14" s="23">
        <f>AY9</f>
        <v>0</v>
      </c>
      <c r="BI14" s="326">
        <f t="shared" si="2"/>
        <v>0</v>
      </c>
      <c r="BJ14" s="95">
        <f>VLOOKUP(BD14,CENY!$B$11:$M$2025,12,FALSE)</f>
        <v>407.58967999999999</v>
      </c>
      <c r="BK14" s="95">
        <f t="shared" si="3"/>
        <v>0</v>
      </c>
    </row>
    <row r="15" spans="1:63" ht="14.4" customHeight="1">
      <c r="AU15" s="319">
        <f>OBJ!B218</f>
        <v>9283180</v>
      </c>
      <c r="AV15" s="21" t="str">
        <f>VLOOKUP(AU15,CENY!$B$11:$G$1054,2,FALSE)</f>
        <v>AvanY-Inlay sklenené boky 450mm; 2 x sklo</v>
      </c>
      <c r="AW15" s="22">
        <f>VLOOKUP(AU15,CENY!$B$11:$G$1054,3,FALSE)</f>
        <v>1</v>
      </c>
      <c r="AX15" s="22"/>
      <c r="AY15" s="23">
        <f>1*(W20+W22+W28+W30)</f>
        <v>0</v>
      </c>
      <c r="AZ15" s="326">
        <f t="shared" si="1"/>
        <v>0</v>
      </c>
      <c r="BA15" s="95">
        <f>VLOOKUP(AU15,CENY!$B$11:$M$2025,12,FALSE)</f>
        <v>918.78985999999998</v>
      </c>
      <c r="BB15" s="95">
        <f t="shared" si="0"/>
        <v>0</v>
      </c>
      <c r="BD15" s="319">
        <f>OBJ!B186</f>
        <v>9257141</v>
      </c>
      <c r="BE15" s="21" t="str">
        <f>VLOOKUP(BD15,CENY!$B$11:$G$1054,2,FALSE)</f>
        <v>AvanY-bok Inlay ľavý /v187/h600/ strieb.</v>
      </c>
      <c r="BF15" s="22">
        <f>VLOOKUP(BD15,CENY!$B$11:$G$1054,3,FALSE)</f>
        <v>10</v>
      </c>
      <c r="BG15" s="22"/>
      <c r="BH15" s="23">
        <f>AY10</f>
        <v>0</v>
      </c>
      <c r="BI15" s="326">
        <f t="shared" si="2"/>
        <v>0</v>
      </c>
      <c r="BJ15" s="95">
        <f>VLOOKUP(BD15,CENY!$B$11:$M$2025,12,FALSE)</f>
        <v>417.95686000000001</v>
      </c>
      <c r="BK15" s="95">
        <f t="shared" si="3"/>
        <v>0</v>
      </c>
    </row>
    <row r="16" spans="1:63" ht="14.4" customHeight="1">
      <c r="AU16" s="319">
        <f>OBJ!B219</f>
        <v>9283181</v>
      </c>
      <c r="AV16" s="21" t="str">
        <f>VLOOKUP(AU16,CENY!$B$11:$G$1054,2,FALSE)</f>
        <v>AvanY-Inlay sklenené boky 500mm; 2 x sklo</v>
      </c>
      <c r="AW16" s="22">
        <f>VLOOKUP(AU16,CENY!$B$11:$G$1054,3,FALSE)</f>
        <v>1</v>
      </c>
      <c r="AX16" s="22"/>
      <c r="AY16" s="23">
        <f>1*(Y20+Y22+Y28+Y30)</f>
        <v>0</v>
      </c>
      <c r="AZ16" s="326">
        <f t="shared" si="1"/>
        <v>0</v>
      </c>
      <c r="BA16" s="95">
        <f>VLOOKUP(AU16,CENY!$B$11:$M$2025,12,FALSE)</f>
        <v>965.52719000000002</v>
      </c>
      <c r="BB16" s="95">
        <f t="shared" si="0"/>
        <v>0</v>
      </c>
      <c r="BD16" s="319">
        <f>OBJ!B187</f>
        <v>9257142</v>
      </c>
      <c r="BE16" s="21" t="str">
        <f>VLOOKUP(BD16,CENY!$B$11:$G$1054,2,FALSE)</f>
        <v>AvanY-bok Inlay pravý /v187/h600/ strieb.</v>
      </c>
      <c r="BF16" s="22">
        <f>VLOOKUP(BD16,CENY!$B$11:$G$1054,3,FALSE)</f>
        <v>10</v>
      </c>
      <c r="BG16" s="22"/>
      <c r="BH16" s="23">
        <f>AY10</f>
        <v>0</v>
      </c>
      <c r="BI16" s="326">
        <f t="shared" si="2"/>
        <v>0</v>
      </c>
      <c r="BJ16" s="95">
        <f>VLOOKUP(BD16,CENY!$B$11:$M$2025,12,FALSE)</f>
        <v>417.95686000000001</v>
      </c>
      <c r="BK16" s="95">
        <f t="shared" si="3"/>
        <v>0</v>
      </c>
    </row>
    <row r="17" spans="2:63" ht="14.4" customHeight="1" thickBot="1">
      <c r="B17" s="1" t="s">
        <v>284</v>
      </c>
      <c r="O17" s="547" t="str">
        <f>FORM!U18</f>
        <v>flexibilní sety</v>
      </c>
      <c r="P17" s="548"/>
      <c r="Q17" s="548"/>
      <c r="R17" s="548"/>
      <c r="S17" s="548"/>
      <c r="T17" s="548"/>
      <c r="U17" s="548"/>
      <c r="V17" s="548"/>
      <c r="W17" s="548"/>
      <c r="X17" s="548"/>
      <c r="Y17" s="548"/>
      <c r="Z17" s="548"/>
      <c r="AA17" s="548"/>
      <c r="AB17" s="548"/>
      <c r="AC17" s="548"/>
      <c r="AD17" s="548"/>
      <c r="AE17" s="548"/>
      <c r="AF17" s="548"/>
      <c r="AI17" s="540" t="str">
        <f>verze!E198</f>
        <v>P2O Silent pro Actro</v>
      </c>
      <c r="AJ17" s="541"/>
      <c r="AK17" s="541"/>
      <c r="AL17" s="541"/>
      <c r="AM17" s="541"/>
      <c r="AN17" s="541"/>
      <c r="AO17" s="541"/>
      <c r="AU17" s="319">
        <f>OBJ!B220</f>
        <v>9283182</v>
      </c>
      <c r="AV17" s="21" t="str">
        <f>VLOOKUP(AU17,CENY!$B$11:$G$1054,2,FALSE)</f>
        <v>AvanY-Inlay sklenené boky 550mm; 2 x sklo</v>
      </c>
      <c r="AW17" s="22">
        <f>VLOOKUP(AU17,CENY!$B$11:$G$1054,3,FALSE)</f>
        <v>1</v>
      </c>
      <c r="AX17" s="22"/>
      <c r="AY17" s="23">
        <f>1*(AA20+AA22+AA28+AA30)</f>
        <v>0</v>
      </c>
      <c r="AZ17" s="326">
        <f t="shared" si="1"/>
        <v>0</v>
      </c>
      <c r="BA17" s="95">
        <f>VLOOKUP(AU17,CENY!$B$11:$M$2025,12,FALSE)</f>
        <v>1058.9617900000001</v>
      </c>
      <c r="BB17" s="95">
        <f t="shared" si="0"/>
        <v>0</v>
      </c>
      <c r="BD17" s="319">
        <f>OBJ!B188</f>
        <v>9257143</v>
      </c>
      <c r="BE17" s="21" t="str">
        <f>VLOOKUP(BD17,CENY!$B$11:$G$1054,2,FALSE)</f>
        <v>AvanY-bok Inlay ľavý /v187/h650/ strieb.</v>
      </c>
      <c r="BF17" s="22">
        <f>VLOOKUP(BD17,CENY!$B$11:$G$1054,3,FALSE)</f>
        <v>10</v>
      </c>
      <c r="BG17" s="22"/>
      <c r="BH17" s="23">
        <f>AY11</f>
        <v>0</v>
      </c>
      <c r="BI17" s="326">
        <f t="shared" si="2"/>
        <v>0</v>
      </c>
      <c r="BJ17" s="95">
        <f>VLOOKUP(BD17,CENY!$B$11:$M$2025,12,FALSE)</f>
        <v>432.04088000000002</v>
      </c>
      <c r="BK17" s="95">
        <f t="shared" si="3"/>
        <v>0</v>
      </c>
    </row>
    <row r="18" spans="2:63" ht="14.4" customHeight="1" thickBot="1">
      <c r="B18" s="96"/>
      <c r="C18" s="96"/>
      <c r="D18" s="96"/>
      <c r="E18" s="96"/>
      <c r="F18" s="96"/>
      <c r="G18" s="96"/>
      <c r="H18" s="72"/>
      <c r="I18" s="72"/>
      <c r="J18" s="72"/>
      <c r="K18" s="72"/>
      <c r="L18" s="72"/>
      <c r="M18" s="72"/>
      <c r="N18" s="72" t="str">
        <f>verze!$E$20&amp;" "</f>
        <v xml:space="preserve">Jmenovitá délka: </v>
      </c>
      <c r="O18" s="535">
        <v>270</v>
      </c>
      <c r="P18" s="536"/>
      <c r="Q18" s="535">
        <v>300</v>
      </c>
      <c r="R18" s="536"/>
      <c r="S18" s="535">
        <v>350</v>
      </c>
      <c r="T18" s="536"/>
      <c r="U18" s="535">
        <v>400</v>
      </c>
      <c r="V18" s="536"/>
      <c r="W18" s="535">
        <v>450</v>
      </c>
      <c r="X18" s="536"/>
      <c r="Y18" s="537">
        <v>500</v>
      </c>
      <c r="Z18" s="538"/>
      <c r="AA18" s="535">
        <v>550</v>
      </c>
      <c r="AB18" s="536"/>
      <c r="AC18" s="535">
        <v>600</v>
      </c>
      <c r="AD18" s="536"/>
      <c r="AE18" s="535">
        <v>650</v>
      </c>
      <c r="AF18" s="536"/>
      <c r="AI18" s="543" t="s">
        <v>299</v>
      </c>
      <c r="AJ18" s="543"/>
      <c r="AK18" s="543"/>
      <c r="AL18" s="543"/>
      <c r="AM18" s="543"/>
      <c r="AN18" s="543"/>
      <c r="AO18" s="543"/>
      <c r="AU18" s="319">
        <f>OBJ!B221</f>
        <v>9283183</v>
      </c>
      <c r="AV18" s="21" t="str">
        <f>VLOOKUP(AU18,CENY!$B$11:$G$1054,2,FALSE)</f>
        <v>AvanY-Inlay sklenené boky 600mm; 2 x sklo</v>
      </c>
      <c r="AW18" s="22">
        <f>VLOOKUP(AU18,CENY!$B$11:$G$1054,3,FALSE)</f>
        <v>1</v>
      </c>
      <c r="AX18" s="22"/>
      <c r="AY18" s="23">
        <f>1*(AC20+AC22+AC28+AC30)</f>
        <v>0</v>
      </c>
      <c r="AZ18" s="326">
        <f t="shared" si="1"/>
        <v>0</v>
      </c>
      <c r="BA18" s="95">
        <f>VLOOKUP(AU18,CENY!$B$11:$M$2025,12,FALSE)</f>
        <v>1152.39642</v>
      </c>
      <c r="BB18" s="95">
        <f t="shared" si="0"/>
        <v>0</v>
      </c>
      <c r="BD18" s="319">
        <f>OBJ!B189</f>
        <v>9257144</v>
      </c>
      <c r="BE18" s="21" t="str">
        <f>VLOOKUP(BD18,CENY!$B$11:$G$1054,2,FALSE)</f>
        <v>AvanY-bok Inlay pravý /v187/h650/ strieb.</v>
      </c>
      <c r="BF18" s="22">
        <f>VLOOKUP(BD18,CENY!$B$11:$G$1054,3,FALSE)</f>
        <v>10</v>
      </c>
      <c r="BG18" s="22"/>
      <c r="BH18" s="23">
        <f>AY11</f>
        <v>0</v>
      </c>
      <c r="BI18" s="326">
        <f t="shared" si="2"/>
        <v>0</v>
      </c>
      <c r="BJ18" s="95">
        <f>VLOOKUP(BD18,CENY!$B$11:$M$2025,12,FALSE)</f>
        <v>432.04088000000002</v>
      </c>
      <c r="BK18" s="95">
        <f t="shared" si="3"/>
        <v>0</v>
      </c>
    </row>
    <row r="19" spans="2:63" ht="14.4" customHeight="1" thickBot="1">
      <c r="B19" s="530" t="s">
        <v>289</v>
      </c>
      <c r="C19" s="530"/>
      <c r="D19" s="530"/>
      <c r="E19" s="530"/>
      <c r="F19" s="530"/>
      <c r="G19" s="530"/>
      <c r="H19" s="531" t="str">
        <f>verze!E18</f>
        <v>plnovýsuv</v>
      </c>
      <c r="I19" s="531"/>
      <c r="J19" s="531"/>
      <c r="K19" s="531"/>
      <c r="L19" s="531"/>
      <c r="M19" s="532" t="s">
        <v>286</v>
      </c>
      <c r="N19" s="533"/>
      <c r="O19" s="569"/>
      <c r="P19" s="570"/>
      <c r="Q19" s="569"/>
      <c r="R19" s="570"/>
      <c r="S19" s="567"/>
      <c r="T19" s="568"/>
      <c r="U19" s="283"/>
      <c r="V19" s="284"/>
      <c r="W19" s="283"/>
      <c r="X19" s="284"/>
      <c r="Y19" s="283"/>
      <c r="Z19" s="284"/>
      <c r="AA19" s="283"/>
      <c r="AB19" s="284"/>
      <c r="AC19" s="283"/>
      <c r="AD19" s="284"/>
      <c r="AE19" s="280"/>
      <c r="AF19" s="281"/>
      <c r="AI19" s="289"/>
      <c r="AJ19" s="290"/>
      <c r="AK19" s="289"/>
      <c r="AL19" s="290"/>
      <c r="AM19" s="291" t="s">
        <v>295</v>
      </c>
      <c r="AN19" s="534"/>
      <c r="AO19" s="534"/>
      <c r="AU19" s="319">
        <f>OBJ!B222</f>
        <v>9283184</v>
      </c>
      <c r="AV19" s="21" t="str">
        <f>VLOOKUP(AU19,CENY!$B$11:$G$1054,2,FALSE)</f>
        <v>AvanY-Inlay sklenené boky 650mm; 2 x sklo</v>
      </c>
      <c r="AW19" s="22">
        <f>VLOOKUP(AU19,CENY!$B$11:$G$1054,3,FALSE)</f>
        <v>1</v>
      </c>
      <c r="AX19" s="22"/>
      <c r="AY19" s="23">
        <f>1*(AE22)</f>
        <v>0</v>
      </c>
      <c r="AZ19" s="326">
        <f t="shared" si="1"/>
        <v>0</v>
      </c>
      <c r="BA19" s="95">
        <f>VLOOKUP(AU19,CENY!$B$11:$M$2025,12,FALSE)</f>
        <v>1245.8336200000001</v>
      </c>
      <c r="BB19" s="95">
        <f t="shared" si="0"/>
        <v>0</v>
      </c>
      <c r="BD19" s="319"/>
      <c r="BE19" s="21"/>
      <c r="BF19" s="22"/>
      <c r="BG19" s="22"/>
      <c r="BH19" s="23"/>
      <c r="BI19" s="326" t="str">
        <f t="shared" si="2"/>
        <v/>
      </c>
      <c r="BJ19" s="95"/>
      <c r="BK19" s="95" t="str">
        <f t="shared" si="3"/>
        <v/>
      </c>
    </row>
    <row r="20" spans="2:63" ht="14.4" customHeight="1" thickBot="1">
      <c r="B20" s="521" t="s">
        <v>290</v>
      </c>
      <c r="C20" s="521"/>
      <c r="D20" s="521"/>
      <c r="E20" s="521"/>
      <c r="F20" s="521"/>
      <c r="G20" s="521"/>
      <c r="H20" s="522" t="str">
        <f>verze!E18</f>
        <v>plnovýsuv</v>
      </c>
      <c r="I20" s="522"/>
      <c r="J20" s="522"/>
      <c r="K20" s="522"/>
      <c r="L20" s="522"/>
      <c r="M20" s="523" t="s">
        <v>287</v>
      </c>
      <c r="N20" s="546"/>
      <c r="O20" s="518"/>
      <c r="P20" s="519"/>
      <c r="Q20" s="518"/>
      <c r="R20" s="519"/>
      <c r="S20" s="516"/>
      <c r="T20" s="517"/>
      <c r="U20" s="516"/>
      <c r="V20" s="517"/>
      <c r="W20" s="516"/>
      <c r="X20" s="517"/>
      <c r="Y20" s="516"/>
      <c r="Z20" s="517"/>
      <c r="AA20" s="516"/>
      <c r="AB20" s="517"/>
      <c r="AC20" s="565"/>
      <c r="AD20" s="566"/>
      <c r="AE20" s="518"/>
      <c r="AF20" s="519"/>
      <c r="AI20" s="287"/>
      <c r="AJ20" s="288"/>
      <c r="AK20" s="287"/>
      <c r="AL20" s="288"/>
      <c r="AM20" s="286" t="s">
        <v>294</v>
      </c>
      <c r="AN20" s="520"/>
      <c r="AO20" s="520"/>
      <c r="AU20" s="319"/>
      <c r="AV20" s="21"/>
      <c r="AW20" s="22"/>
      <c r="AX20" s="22"/>
      <c r="AY20" s="23"/>
      <c r="AZ20" s="326" t="str">
        <f t="shared" si="1"/>
        <v/>
      </c>
      <c r="BA20" s="95"/>
      <c r="BB20" s="95" t="str">
        <f t="shared" si="0"/>
        <v/>
      </c>
      <c r="BD20" s="320">
        <v>9257257</v>
      </c>
      <c r="BE20" s="321" t="str">
        <f>VLOOKUP(BD20,CENY!$B$11:$G$1054,2,FALSE)</f>
        <v>AvanY-prích.čela Inlay k naskrutk./ v187</v>
      </c>
      <c r="BF20" s="22">
        <f>VLOOKUP(BD20,CENY!$B$11:$G$1054,3,FALSE)</f>
        <v>100</v>
      </c>
      <c r="BG20" s="22"/>
      <c r="BH20" s="68">
        <f>2*(SUM(S19)+SUM(S20:AD20)+SUM(W22:AF22)+SUM(S27)+SUM(S28:AD28)+SUM(S30:AD30))</f>
        <v>0</v>
      </c>
      <c r="BI20" s="326">
        <f t="shared" si="2"/>
        <v>0</v>
      </c>
      <c r="BJ20" s="95">
        <f>VLOOKUP(BD20,CENY!$B$11:$M$2025,12,FALSE)</f>
        <v>50.732700000000001</v>
      </c>
      <c r="BK20" s="95">
        <f t="shared" si="3"/>
        <v>0</v>
      </c>
    </row>
    <row r="21" spans="2:63" ht="14.4" customHeight="1" thickBot="1">
      <c r="O21" s="283"/>
      <c r="P21" s="284"/>
      <c r="Q21" s="283"/>
      <c r="R21" s="284"/>
      <c r="S21" s="283"/>
      <c r="T21" s="284"/>
      <c r="U21" s="283"/>
      <c r="V21" s="284"/>
      <c r="W21" s="283"/>
      <c r="X21" s="284"/>
      <c r="Y21" s="283"/>
      <c r="Z21" s="284"/>
      <c r="AA21" s="283"/>
      <c r="AB21" s="284"/>
      <c r="AC21" s="283"/>
      <c r="AD21" s="284"/>
      <c r="AE21" s="283"/>
      <c r="AF21" s="284"/>
      <c r="AI21" s="287"/>
      <c r="AJ21" s="288"/>
      <c r="AK21" s="287"/>
      <c r="AL21" s="288"/>
      <c r="AM21" s="286" t="s">
        <v>296</v>
      </c>
      <c r="AN21" s="542"/>
      <c r="AO21" s="542"/>
      <c r="AU21" s="319">
        <f>OBJ!B235</f>
        <v>9318160</v>
      </c>
      <c r="AV21" s="21" t="str">
        <f>VLOOKUP(AU21,CENY!$B$11:$G$1054,2,FALSE)</f>
        <v>Actro You(S) 350/SiSy 10kg; EB21</v>
      </c>
      <c r="AW21" s="22">
        <f>VLOOKUP(AU21,CENY!$B$11:$G$1054,3,FALSE)</f>
        <v>1</v>
      </c>
      <c r="AX21" s="362">
        <v>4</v>
      </c>
      <c r="AY21" s="23">
        <f>S19</f>
        <v>0</v>
      </c>
      <c r="AZ21" s="326">
        <f t="shared" si="1"/>
        <v>0</v>
      </c>
      <c r="BA21" s="95">
        <f>VLOOKUP(AU21,CENY!$B$11:$M$2025,12,FALSE)</f>
        <v>657.45060999999998</v>
      </c>
      <c r="BB21" s="95">
        <f t="shared" si="0"/>
        <v>0</v>
      </c>
      <c r="BD21" s="319">
        <f>OBJ!B48</f>
        <v>9257702</v>
      </c>
      <c r="BE21" s="21" t="str">
        <f>VLOOKUP(BD21,CENY!$B$11:$G$1054,2,FALSE)</f>
        <v>AvanY-stabilizátor chrbáta</v>
      </c>
      <c r="BF21" s="22">
        <f>VLOOKUP(BD21,CENY!$B$11:$G$1054,3,FALSE)</f>
        <v>200</v>
      </c>
      <c r="BG21" s="22"/>
      <c r="BH21" s="23">
        <f>2*(SUM(S19)+SUM(S20:AD20)+SUM(W22:AF22)+SUM(S27)+SUM(S28:AD28)+SUM(S30:AD30))</f>
        <v>0</v>
      </c>
      <c r="BI21" s="326">
        <f t="shared" si="2"/>
        <v>0</v>
      </c>
      <c r="BJ21" s="95">
        <f>VLOOKUP(BD21,CENY!$B$11:$M$2025,12,FALSE)</f>
        <v>15.54837</v>
      </c>
      <c r="BK21" s="95">
        <f t="shared" si="3"/>
        <v>0</v>
      </c>
    </row>
    <row r="22" spans="2:63" ht="14.4" customHeight="1" thickBot="1">
      <c r="B22" s="544" t="s">
        <v>291</v>
      </c>
      <c r="C22" s="544"/>
      <c r="D22" s="544"/>
      <c r="E22" s="544"/>
      <c r="F22" s="544"/>
      <c r="G22" s="544"/>
      <c r="H22" s="545" t="str">
        <f>verze!E18</f>
        <v>plnovýsuv</v>
      </c>
      <c r="I22" s="545"/>
      <c r="J22" s="545"/>
      <c r="K22" s="545"/>
      <c r="L22" s="545"/>
      <c r="M22" s="523" t="s">
        <v>288</v>
      </c>
      <c r="N22" s="524"/>
      <c r="O22" s="518"/>
      <c r="P22" s="519"/>
      <c r="Q22" s="518"/>
      <c r="R22" s="519"/>
      <c r="S22" s="518"/>
      <c r="T22" s="519"/>
      <c r="U22" s="518"/>
      <c r="V22" s="519"/>
      <c r="W22" s="516"/>
      <c r="X22" s="517"/>
      <c r="Y22" s="516"/>
      <c r="Z22" s="517"/>
      <c r="AA22" s="516"/>
      <c r="AB22" s="517"/>
      <c r="AC22" s="516"/>
      <c r="AD22" s="517"/>
      <c r="AE22" s="516"/>
      <c r="AF22" s="517"/>
      <c r="AI22" s="287"/>
      <c r="AJ22" s="288"/>
      <c r="AK22" s="287"/>
      <c r="AL22" s="288"/>
      <c r="AM22" s="286" t="s">
        <v>297</v>
      </c>
      <c r="AN22" s="539"/>
      <c r="AO22" s="539"/>
      <c r="AU22" s="319"/>
      <c r="AV22" s="21"/>
      <c r="AW22" s="22"/>
      <c r="AX22" s="22"/>
      <c r="AY22" s="23"/>
      <c r="AZ22" s="326" t="str">
        <f t="shared" si="1"/>
        <v/>
      </c>
      <c r="BA22" s="95"/>
      <c r="BB22" s="95" t="str">
        <f t="shared" si="0"/>
        <v/>
      </c>
      <c r="BD22" s="319"/>
      <c r="BE22" s="21"/>
      <c r="BF22" s="22"/>
      <c r="BG22" s="22"/>
      <c r="BH22" s="23"/>
      <c r="BI22" s="326" t="str">
        <f t="shared" si="2"/>
        <v/>
      </c>
      <c r="BJ22" s="95"/>
      <c r="BK22" s="95" t="str">
        <f t="shared" si="3"/>
        <v/>
      </c>
    </row>
    <row r="23" spans="2:63" ht="14.4" customHeight="1">
      <c r="O23" s="4"/>
      <c r="P23" s="4"/>
      <c r="AU23" s="319">
        <f>OBJ!B245</f>
        <v>9318188</v>
      </c>
      <c r="AV23" s="21" t="str">
        <f>VLOOKUP(AU23,CENY!$B$11:$G$1054,2,FALSE)</f>
        <v>Actro You(L) 350/SiSy 40kg; EB21</v>
      </c>
      <c r="AW23" s="22">
        <f>VLOOKUP(AU23,CENY!$B$11:$G$1054,3,FALSE)</f>
        <v>1</v>
      </c>
      <c r="AX23" s="362">
        <v>8</v>
      </c>
      <c r="AY23" s="23">
        <f>S20</f>
        <v>0</v>
      </c>
      <c r="AZ23" s="326">
        <f t="shared" si="1"/>
        <v>0</v>
      </c>
      <c r="BA23" s="95">
        <f>VLOOKUP(AU23,CENY!$B$11:$M$2025,12,FALSE)</f>
        <v>657.45060999999998</v>
      </c>
      <c r="BB23" s="95">
        <f t="shared" si="0"/>
        <v>0</v>
      </c>
      <c r="BD23" s="319">
        <f>OBJ!B216</f>
        <v>9283178</v>
      </c>
      <c r="BE23" s="21" t="str">
        <f>VLOOKUP(BD23,CENY!$B$11:$G$1054,2,FALSE)</f>
        <v>AvanY-Inlay sklenené boky 350mm; 2 x sklo</v>
      </c>
      <c r="BF23" s="22">
        <f>VLOOKUP(BD23,CENY!$B$11:$G$1054,3,FALSE)</f>
        <v>1</v>
      </c>
      <c r="BG23" s="22"/>
      <c r="BH23" s="23">
        <f>1*(S19+S20+S27+S28+S30)</f>
        <v>0</v>
      </c>
      <c r="BI23" s="326">
        <f t="shared" si="2"/>
        <v>0</v>
      </c>
      <c r="BJ23" s="95">
        <f>VLOOKUP(BD23,CENY!$B$11:$M$2025,12,FALSE)</f>
        <v>825.32597999999996</v>
      </c>
      <c r="BK23" s="95">
        <f t="shared" si="3"/>
        <v>0</v>
      </c>
    </row>
    <row r="24" spans="2:63" ht="14.4" customHeight="1">
      <c r="AU24" s="319">
        <f>OBJ!B246</f>
        <v>9318190</v>
      </c>
      <c r="AV24" s="21" t="str">
        <f>VLOOKUP(AU24,CENY!$B$11:$G$1054,2,FALSE)</f>
        <v>Actro You(L) 400/SiSy 40kg; EB21</v>
      </c>
      <c r="AW24" s="22">
        <f>VLOOKUP(AU24,CENY!$B$11:$G$1054,3,FALSE)</f>
        <v>1</v>
      </c>
      <c r="AX24" s="362">
        <v>8</v>
      </c>
      <c r="AY24" s="23">
        <f>U20</f>
        <v>0</v>
      </c>
      <c r="AZ24" s="326">
        <f t="shared" si="1"/>
        <v>0</v>
      </c>
      <c r="BA24" s="95">
        <f>VLOOKUP(AU24,CENY!$B$11:$M$2025,12,FALSE)</f>
        <v>664.73978</v>
      </c>
      <c r="BB24" s="95">
        <f t="shared" si="0"/>
        <v>0</v>
      </c>
      <c r="BD24" s="319">
        <f>OBJ!B217</f>
        <v>9283179</v>
      </c>
      <c r="BE24" s="21" t="str">
        <f>VLOOKUP(BD24,CENY!$B$11:$G$1054,2,FALSE)</f>
        <v>AvanY-Inlay sklenené boky 400mm; 2 x sklo</v>
      </c>
      <c r="BF24" s="22">
        <f>VLOOKUP(BD24,CENY!$B$11:$G$1054,3,FALSE)</f>
        <v>1</v>
      </c>
      <c r="BG24" s="22"/>
      <c r="BH24" s="23">
        <f>1*(U20+U28+U30)</f>
        <v>0</v>
      </c>
      <c r="BI24" s="326">
        <f t="shared" si="2"/>
        <v>0</v>
      </c>
      <c r="BJ24" s="95">
        <f>VLOOKUP(BD24,CENY!$B$11:$M$2025,12,FALSE)</f>
        <v>872.05524000000003</v>
      </c>
      <c r="BK24" s="95">
        <f t="shared" si="3"/>
        <v>0</v>
      </c>
    </row>
    <row r="25" spans="2:63" ht="14.4" customHeight="1" thickBot="1">
      <c r="B25" s="2" t="s">
        <v>285</v>
      </c>
      <c r="AI25" s="540" t="str">
        <f>verze!E199</f>
        <v>P2O Silent pro Quadro</v>
      </c>
      <c r="AJ25" s="541"/>
      <c r="AK25" s="541"/>
      <c r="AL25" s="541"/>
      <c r="AM25" s="541"/>
      <c r="AN25" s="541"/>
      <c r="AO25" s="541"/>
      <c r="AU25" s="319">
        <f>OBJ!B247</f>
        <v>9318191</v>
      </c>
      <c r="AV25" s="21" t="str">
        <f>VLOOKUP(AU25,CENY!$B$11:$G$1054,2,FALSE)</f>
        <v>Actro You(L) 450/SiSy 40kg; EB21</v>
      </c>
      <c r="AW25" s="22">
        <f>VLOOKUP(AU25,CENY!$B$11:$G$1054,3,FALSE)</f>
        <v>1</v>
      </c>
      <c r="AX25" s="362">
        <v>10</v>
      </c>
      <c r="AY25" s="23">
        <f>W20</f>
        <v>0</v>
      </c>
      <c r="AZ25" s="326">
        <f t="shared" si="1"/>
        <v>0</v>
      </c>
      <c r="BA25" s="95">
        <f>VLOOKUP(AU25,CENY!$B$11:$M$2025,12,FALSE)</f>
        <v>671.97520999999995</v>
      </c>
      <c r="BB25" s="95">
        <f t="shared" si="0"/>
        <v>0</v>
      </c>
      <c r="BD25" s="319">
        <f>OBJ!B218</f>
        <v>9283180</v>
      </c>
      <c r="BE25" s="21" t="str">
        <f>VLOOKUP(BD25,CENY!$B$11:$G$1054,2,FALSE)</f>
        <v>AvanY-Inlay sklenené boky 450mm; 2 x sklo</v>
      </c>
      <c r="BF25" s="22">
        <f>VLOOKUP(BD25,CENY!$B$11:$G$1054,3,FALSE)</f>
        <v>1</v>
      </c>
      <c r="BG25" s="22"/>
      <c r="BH25" s="23">
        <f>1*(W20+W22+W28+W30)</f>
        <v>0</v>
      </c>
      <c r="BI25" s="326">
        <f t="shared" si="2"/>
        <v>0</v>
      </c>
      <c r="BJ25" s="95">
        <f>VLOOKUP(BD25,CENY!$B$11:$M$2025,12,FALSE)</f>
        <v>918.78985999999998</v>
      </c>
      <c r="BK25" s="95">
        <f t="shared" si="3"/>
        <v>0</v>
      </c>
    </row>
    <row r="26" spans="2:63" ht="14.4" customHeight="1" thickBot="1">
      <c r="B26" s="96"/>
      <c r="C26" s="96"/>
      <c r="D26" s="96"/>
      <c r="E26" s="96"/>
      <c r="F26" s="96"/>
      <c r="G26" s="96"/>
      <c r="H26" s="72"/>
      <c r="I26" s="72"/>
      <c r="J26" s="72"/>
      <c r="K26" s="72"/>
      <c r="L26" s="72"/>
      <c r="M26" s="72"/>
      <c r="N26" s="72" t="str">
        <f>verze!$E$20&amp;" "</f>
        <v xml:space="preserve">Jmenovitá délka: </v>
      </c>
      <c r="O26" s="535">
        <v>270</v>
      </c>
      <c r="P26" s="536"/>
      <c r="Q26" s="535">
        <v>300</v>
      </c>
      <c r="R26" s="536"/>
      <c r="S26" s="535">
        <v>350</v>
      </c>
      <c r="T26" s="536"/>
      <c r="U26" s="535">
        <v>400</v>
      </c>
      <c r="V26" s="536"/>
      <c r="W26" s="535">
        <v>450</v>
      </c>
      <c r="X26" s="536"/>
      <c r="Y26" s="537">
        <v>500</v>
      </c>
      <c r="Z26" s="538"/>
      <c r="AA26" s="535">
        <v>550</v>
      </c>
      <c r="AB26" s="536"/>
      <c r="AC26" s="535">
        <v>600</v>
      </c>
      <c r="AD26" s="536"/>
      <c r="AI26" s="543" t="s">
        <v>299</v>
      </c>
      <c r="AJ26" s="543"/>
      <c r="AK26" s="543"/>
      <c r="AL26" s="543"/>
      <c r="AM26" s="543"/>
      <c r="AN26" s="543"/>
      <c r="AO26" s="543"/>
      <c r="AU26" s="319">
        <f>OBJ!B248</f>
        <v>9318192</v>
      </c>
      <c r="AV26" s="21" t="str">
        <f>VLOOKUP(AU26,CENY!$B$11:$G$1054,2,FALSE)</f>
        <v>Actro You(L) 500/SiSy 40kg; EB21</v>
      </c>
      <c r="AW26" s="22">
        <f>VLOOKUP(AU26,CENY!$B$11:$G$1054,3,FALSE)</f>
        <v>1</v>
      </c>
      <c r="AX26" s="362">
        <v>10</v>
      </c>
      <c r="AY26" s="23">
        <f>Y20</f>
        <v>0</v>
      </c>
      <c r="AZ26" s="326">
        <f t="shared" si="1"/>
        <v>0</v>
      </c>
      <c r="BA26" s="95">
        <f>VLOOKUP(AU26,CENY!$B$11:$M$2025,12,FALSE)</f>
        <v>164.23333</v>
      </c>
      <c r="BB26" s="95">
        <f t="shared" si="0"/>
        <v>0</v>
      </c>
      <c r="BD26" s="319">
        <f>OBJ!B219</f>
        <v>9283181</v>
      </c>
      <c r="BE26" s="21" t="str">
        <f>VLOOKUP(BD26,CENY!$B$11:$G$1054,2,FALSE)</f>
        <v>AvanY-Inlay sklenené boky 500mm; 2 x sklo</v>
      </c>
      <c r="BF26" s="22">
        <f>VLOOKUP(BD26,CENY!$B$11:$G$1054,3,FALSE)</f>
        <v>1</v>
      </c>
      <c r="BG26" s="22"/>
      <c r="BH26" s="23">
        <f>1*(Y20+Y22+Y28+Y30)</f>
        <v>0</v>
      </c>
      <c r="BI26" s="326">
        <f t="shared" si="2"/>
        <v>0</v>
      </c>
      <c r="BJ26" s="95">
        <f>VLOOKUP(BD26,CENY!$B$11:$M$2025,12,FALSE)</f>
        <v>965.52719000000002</v>
      </c>
      <c r="BK26" s="95">
        <f t="shared" si="3"/>
        <v>0</v>
      </c>
    </row>
    <row r="27" spans="2:63" ht="14.4" customHeight="1" thickBot="1">
      <c r="B27" s="530" t="s">
        <v>292</v>
      </c>
      <c r="C27" s="530"/>
      <c r="D27" s="530"/>
      <c r="E27" s="530"/>
      <c r="F27" s="530"/>
      <c r="G27" s="530"/>
      <c r="H27" s="531" t="str">
        <f>verze!E18</f>
        <v>plnovýsuv</v>
      </c>
      <c r="I27" s="531"/>
      <c r="J27" s="531"/>
      <c r="K27" s="531"/>
      <c r="L27" s="531"/>
      <c r="M27" s="532" t="s">
        <v>286</v>
      </c>
      <c r="N27" s="533"/>
      <c r="O27" s="573"/>
      <c r="P27" s="574"/>
      <c r="Q27" s="573"/>
      <c r="R27" s="574"/>
      <c r="S27" s="567"/>
      <c r="T27" s="568"/>
      <c r="U27" s="283"/>
      <c r="V27" s="284"/>
      <c r="W27" s="283"/>
      <c r="X27" s="284"/>
      <c r="Y27" s="283"/>
      <c r="Z27" s="284"/>
      <c r="AA27" s="283"/>
      <c r="AB27" s="284"/>
      <c r="AC27" s="283"/>
      <c r="AD27" s="284"/>
      <c r="AI27" s="289"/>
      <c r="AJ27" s="290"/>
      <c r="AK27" s="289"/>
      <c r="AL27" s="290"/>
      <c r="AM27" s="291" t="s">
        <v>295</v>
      </c>
      <c r="AN27" s="534"/>
      <c r="AO27" s="534"/>
      <c r="AU27" s="319">
        <f>OBJ!B249</f>
        <v>9318194</v>
      </c>
      <c r="AV27" s="21" t="str">
        <f>VLOOKUP(AU27,CENY!$B$11:$G$1054,2,FALSE)</f>
        <v>Actro You(L) 550/SiSy 40kg; EB21</v>
      </c>
      <c r="AW27" s="22">
        <f>VLOOKUP(AU27,CENY!$B$11:$G$1054,3,FALSE)</f>
        <v>1</v>
      </c>
      <c r="AX27" s="362">
        <v>10</v>
      </c>
      <c r="AY27" s="23">
        <f>AA20</f>
        <v>0</v>
      </c>
      <c r="AZ27" s="326">
        <f t="shared" si="1"/>
        <v>0</v>
      </c>
      <c r="BA27" s="95">
        <f>VLOOKUP(AU27,CENY!$B$11:$M$2025,12,FALSE)</f>
        <v>173.62268</v>
      </c>
      <c r="BB27" s="95">
        <f t="shared" si="0"/>
        <v>0</v>
      </c>
      <c r="BD27" s="319">
        <f>OBJ!B220</f>
        <v>9283182</v>
      </c>
      <c r="BE27" s="21" t="str">
        <f>VLOOKUP(BD27,CENY!$B$11:$G$1054,2,FALSE)</f>
        <v>AvanY-Inlay sklenené boky 550mm; 2 x sklo</v>
      </c>
      <c r="BF27" s="22">
        <f>VLOOKUP(BD27,CENY!$B$11:$G$1054,3,FALSE)</f>
        <v>1</v>
      </c>
      <c r="BG27" s="22"/>
      <c r="BH27" s="23">
        <f>1*(AA20+AA22+AA28+AA30)</f>
        <v>0</v>
      </c>
      <c r="BI27" s="326">
        <f t="shared" si="2"/>
        <v>0</v>
      </c>
      <c r="BJ27" s="95">
        <f>VLOOKUP(BD27,CENY!$B$11:$M$2025,12,FALSE)</f>
        <v>1058.9617900000001</v>
      </c>
      <c r="BK27" s="95">
        <f t="shared" si="3"/>
        <v>0</v>
      </c>
    </row>
    <row r="28" spans="2:63" ht="14.4" customHeight="1" thickBot="1">
      <c r="B28" s="521" t="s">
        <v>372</v>
      </c>
      <c r="C28" s="521"/>
      <c r="D28" s="521"/>
      <c r="E28" s="521"/>
      <c r="F28" s="521"/>
      <c r="G28" s="521"/>
      <c r="H28" s="522" t="str">
        <f>verze!E18</f>
        <v>plnovýsuv</v>
      </c>
      <c r="I28" s="522"/>
      <c r="J28" s="522"/>
      <c r="K28" s="522"/>
      <c r="L28" s="522"/>
      <c r="M28" s="523" t="s">
        <v>1</v>
      </c>
      <c r="N28" s="524"/>
      <c r="O28" s="571"/>
      <c r="P28" s="572"/>
      <c r="Q28" s="571"/>
      <c r="R28" s="572"/>
      <c r="S28" s="516"/>
      <c r="T28" s="517"/>
      <c r="U28" s="516"/>
      <c r="V28" s="517"/>
      <c r="W28" s="516"/>
      <c r="X28" s="517"/>
      <c r="Y28" s="516"/>
      <c r="Z28" s="517"/>
      <c r="AA28" s="516"/>
      <c r="AB28" s="517"/>
      <c r="AC28" s="516"/>
      <c r="AD28" s="517"/>
      <c r="AI28" s="287"/>
      <c r="AJ28" s="288"/>
      <c r="AK28" s="287"/>
      <c r="AL28" s="288"/>
      <c r="AM28" s="286" t="s">
        <v>294</v>
      </c>
      <c r="AN28" s="520"/>
      <c r="AO28" s="520"/>
      <c r="AU28" s="319">
        <f>OBJ!B250</f>
        <v>9318196</v>
      </c>
      <c r="AV28" s="21" t="str">
        <f>VLOOKUP(AU28,CENY!$B$11:$G$1054,2,FALSE)</f>
        <v>Actro You(L) 600/SiSy 40kg; EB21</v>
      </c>
      <c r="AW28" s="22">
        <f>VLOOKUP(AU28,CENY!$B$11:$G$1054,3,FALSE)</f>
        <v>1</v>
      </c>
      <c r="AX28" s="362">
        <v>10</v>
      </c>
      <c r="AY28" s="23">
        <f>AC20</f>
        <v>0</v>
      </c>
      <c r="AZ28" s="326">
        <f t="shared" si="1"/>
        <v>0</v>
      </c>
      <c r="BA28" s="95">
        <f>VLOOKUP(AU28,CENY!$B$11:$M$2025,12,FALSE)</f>
        <v>726.70140000000004</v>
      </c>
      <c r="BB28" s="95">
        <f t="shared" si="0"/>
        <v>0</v>
      </c>
      <c r="BD28" s="319">
        <f>OBJ!B221</f>
        <v>9283183</v>
      </c>
      <c r="BE28" s="21" t="str">
        <f>VLOOKUP(BD28,CENY!$B$11:$G$1054,2,FALSE)</f>
        <v>AvanY-Inlay sklenené boky 600mm; 2 x sklo</v>
      </c>
      <c r="BF28" s="22">
        <f>VLOOKUP(BD28,CENY!$B$11:$G$1054,3,FALSE)</f>
        <v>1</v>
      </c>
      <c r="BG28" s="22"/>
      <c r="BH28" s="23">
        <f>1*(AC20+AC22+AC28+AC30)</f>
        <v>0</v>
      </c>
      <c r="BI28" s="326">
        <f t="shared" si="2"/>
        <v>0</v>
      </c>
      <c r="BJ28" s="95">
        <f>VLOOKUP(BD28,CENY!$B$11:$M$2025,12,FALSE)</f>
        <v>1152.39642</v>
      </c>
      <c r="BK28" s="95">
        <f t="shared" si="3"/>
        <v>0</v>
      </c>
    </row>
    <row r="29" spans="2:63" ht="14.4" customHeight="1" thickBot="1">
      <c r="O29" s="283"/>
      <c r="P29" s="284"/>
      <c r="Q29" s="283"/>
      <c r="R29" s="284"/>
      <c r="S29" s="283"/>
      <c r="T29" s="284"/>
      <c r="U29" s="283"/>
      <c r="V29" s="284"/>
      <c r="W29" s="283"/>
      <c r="X29" s="284"/>
      <c r="Y29" s="283"/>
      <c r="Z29" s="284"/>
      <c r="AA29" s="283"/>
      <c r="AB29" s="284"/>
      <c r="AC29" s="283"/>
      <c r="AD29" s="284"/>
      <c r="AI29" s="287"/>
      <c r="AJ29" s="288"/>
      <c r="AK29" s="287"/>
      <c r="AL29" s="288"/>
      <c r="AM29" s="286" t="s">
        <v>298</v>
      </c>
      <c r="AN29" s="527"/>
      <c r="AO29" s="527"/>
      <c r="AU29" s="319"/>
      <c r="AV29" s="21"/>
      <c r="AW29" s="22"/>
      <c r="AX29" s="22"/>
      <c r="AY29" s="23"/>
      <c r="AZ29" s="326" t="str">
        <f t="shared" si="1"/>
        <v/>
      </c>
      <c r="BA29" s="95"/>
      <c r="BB29" s="95" t="str">
        <f t="shared" si="0"/>
        <v/>
      </c>
      <c r="BD29" s="319">
        <f>OBJ!B222</f>
        <v>9283184</v>
      </c>
      <c r="BE29" s="21" t="str">
        <f>VLOOKUP(BD29,CENY!$B$11:$G$1054,2,FALSE)</f>
        <v>AvanY-Inlay sklenené boky 650mm; 2 x sklo</v>
      </c>
      <c r="BF29" s="22">
        <f>VLOOKUP(BD29,CENY!$B$11:$G$1054,3,FALSE)</f>
        <v>1</v>
      </c>
      <c r="BG29" s="22"/>
      <c r="BH29" s="23">
        <f>1*(AE22)</f>
        <v>0</v>
      </c>
      <c r="BI29" s="326">
        <f t="shared" si="2"/>
        <v>0</v>
      </c>
      <c r="BJ29" s="95">
        <f>VLOOKUP(BD29,CENY!$B$11:$M$2025,12,FALSE)</f>
        <v>1245.8336200000001</v>
      </c>
      <c r="BK29" s="95">
        <f t="shared" si="3"/>
        <v>0</v>
      </c>
    </row>
    <row r="30" spans="2:63" ht="14.4" customHeight="1" thickBot="1">
      <c r="B30" s="528" t="s">
        <v>373</v>
      </c>
      <c r="C30" s="528"/>
      <c r="D30" s="528"/>
      <c r="E30" s="528"/>
      <c r="F30" s="528"/>
      <c r="G30" s="528"/>
      <c r="H30" s="529" t="str">
        <f>verze!E18</f>
        <v>plnovýsuv</v>
      </c>
      <c r="I30" s="529"/>
      <c r="J30" s="529"/>
      <c r="K30" s="529"/>
      <c r="L30" s="529"/>
      <c r="M30" s="523" t="s">
        <v>1</v>
      </c>
      <c r="N30" s="524"/>
      <c r="O30" s="283"/>
      <c r="P30" s="284"/>
      <c r="Q30" s="283"/>
      <c r="R30" s="284"/>
      <c r="S30" s="516"/>
      <c r="T30" s="517"/>
      <c r="U30" s="516"/>
      <c r="V30" s="517"/>
      <c r="W30" s="516"/>
      <c r="X30" s="517"/>
      <c r="Y30" s="516"/>
      <c r="Z30" s="517"/>
      <c r="AA30" s="516"/>
      <c r="AB30" s="517"/>
      <c r="AC30" s="565"/>
      <c r="AD30" s="566"/>
      <c r="AU30" s="319">
        <f>OBJ!B268</f>
        <v>9318215</v>
      </c>
      <c r="AV30" s="21" t="str">
        <f>VLOOKUP(AU30,CENY!$B$11:$G$1054,2,FALSE)</f>
        <v>Actro You(XL) 450/SiSy 70kg; EB21</v>
      </c>
      <c r="AW30" s="22">
        <f>VLOOKUP(AU30,CENY!$B$11:$G$1054,3,FALSE)</f>
        <v>1</v>
      </c>
      <c r="AX30" s="362">
        <v>10</v>
      </c>
      <c r="AY30" s="23">
        <f>W22</f>
        <v>0</v>
      </c>
      <c r="AZ30" s="326">
        <f t="shared" si="1"/>
        <v>0</v>
      </c>
      <c r="BA30" s="95">
        <f>VLOOKUP(AU30,CENY!$B$11:$M$2025,12,FALSE)</f>
        <v>197.37184999999999</v>
      </c>
      <c r="BB30" s="95">
        <f t="shared" si="0"/>
        <v>0</v>
      </c>
      <c r="BD30" s="319"/>
      <c r="BE30" s="21"/>
      <c r="BF30" s="22"/>
      <c r="BG30" s="22"/>
      <c r="BH30" s="23"/>
      <c r="BI30" s="326" t="str">
        <f t="shared" si="2"/>
        <v/>
      </c>
      <c r="BJ30" s="95"/>
      <c r="BK30" s="95" t="str">
        <f t="shared" si="3"/>
        <v/>
      </c>
    </row>
    <row r="31" spans="2:63" ht="14.4" customHeight="1">
      <c r="AU31" s="319">
        <f>OBJ!B269</f>
        <v>9318216</v>
      </c>
      <c r="AV31" s="21" t="str">
        <f>VLOOKUP(AU31,CENY!$B$11:$G$1054,2,FALSE)</f>
        <v>Actro You(XL) 500/SiSy 70kg; EB21</v>
      </c>
      <c r="AW31" s="22">
        <f>VLOOKUP(AU31,CENY!$B$11:$G$1054,3,FALSE)</f>
        <v>1</v>
      </c>
      <c r="AX31" s="362">
        <v>10</v>
      </c>
      <c r="AY31" s="23">
        <f>Y22</f>
        <v>0</v>
      </c>
      <c r="AZ31" s="326">
        <f t="shared" si="1"/>
        <v>0</v>
      </c>
      <c r="BA31" s="95">
        <f>VLOOKUP(AU31,CENY!$B$11:$M$2025,12,FALSE)</f>
        <v>823.68502000000001</v>
      </c>
      <c r="BB31" s="95">
        <f t="shared" si="0"/>
        <v>0</v>
      </c>
      <c r="BD31" s="319">
        <f>OBJ!B240</f>
        <v>9318149</v>
      </c>
      <c r="BE31" s="21" t="str">
        <f>VLOOKUP(BD31,CENY!$B$11:$G$1054,2,FALSE)</f>
        <v>Actro You(S) 350/SiSy 10kg; EB21; ľavý</v>
      </c>
      <c r="BF31" s="22">
        <f>VLOOKUP(BD31,CENY!$B$11:$G$1054,3,FALSE)</f>
        <v>10</v>
      </c>
      <c r="BG31" s="22"/>
      <c r="BH31" s="23">
        <f>AY21</f>
        <v>0</v>
      </c>
      <c r="BI31" s="326">
        <f t="shared" si="2"/>
        <v>0</v>
      </c>
      <c r="BJ31" s="95">
        <f>VLOOKUP(BD31,CENY!$B$11:$M$2025,12,FALSE)</f>
        <v>298.88173999999998</v>
      </c>
      <c r="BK31" s="95">
        <f t="shared" si="3"/>
        <v>0</v>
      </c>
    </row>
    <row r="32" spans="2:63" ht="14.4" customHeight="1">
      <c r="B32" s="366" t="str">
        <f>verze!E201</f>
        <v>SiSy = tlumení Silent System</v>
      </c>
      <c r="AU32" s="319">
        <f>OBJ!B270</f>
        <v>9318217</v>
      </c>
      <c r="AV32" s="21" t="str">
        <f>VLOOKUP(AU32,CENY!$B$11:$G$1054,2,FALSE)</f>
        <v>Actro You(XL) 550/SiSy 70kg; EB21</v>
      </c>
      <c r="AW32" s="22">
        <f>VLOOKUP(AU32,CENY!$B$11:$G$1054,3,FALSE)</f>
        <v>1</v>
      </c>
      <c r="AX32" s="362">
        <v>10</v>
      </c>
      <c r="AY32" s="23">
        <f>AA22</f>
        <v>0</v>
      </c>
      <c r="AZ32" s="326">
        <f t="shared" si="1"/>
        <v>0</v>
      </c>
      <c r="BA32" s="95">
        <f>VLOOKUP(AU32,CENY!$B$11:$M$2025,12,FALSE)</f>
        <v>862.82307000000003</v>
      </c>
      <c r="BB32" s="95">
        <f t="shared" si="0"/>
        <v>0</v>
      </c>
      <c r="BD32" s="319">
        <f>OBJ!B241</f>
        <v>9318150</v>
      </c>
      <c r="BE32" s="21" t="str">
        <f>VLOOKUP(BD32,CENY!$B$11:$G$1054,2,FALSE)</f>
        <v>Actro You(S) 350/SiSy 10kg; EB21; pravý</v>
      </c>
      <c r="BF32" s="22">
        <f>VLOOKUP(BD32,CENY!$B$11:$G$1054,3,FALSE)</f>
        <v>10</v>
      </c>
      <c r="BG32" s="22"/>
      <c r="BH32" s="23">
        <f>AY21</f>
        <v>0</v>
      </c>
      <c r="BI32" s="326">
        <f t="shared" si="2"/>
        <v>0</v>
      </c>
      <c r="BJ32" s="95">
        <f>VLOOKUP(BD32,CENY!$B$11:$M$2025,12,FALSE)</f>
        <v>298.88173999999998</v>
      </c>
      <c r="BK32" s="95">
        <f t="shared" si="3"/>
        <v>0</v>
      </c>
    </row>
    <row r="33" spans="2:63" ht="14.4" customHeight="1">
      <c r="B33" s="366" t="str">
        <f>verze!E204</f>
        <v>P2O = otvírání bez úchytky Push to open</v>
      </c>
      <c r="AU33" s="319">
        <f>OBJ!B271</f>
        <v>9318218</v>
      </c>
      <c r="AV33" s="21" t="str">
        <f>VLOOKUP(AU33,CENY!$B$11:$G$1054,2,FALSE)</f>
        <v>Actro You(XL) 600/SiSy 70kg; EB21</v>
      </c>
      <c r="AW33" s="22">
        <f>VLOOKUP(AU33,CENY!$B$11:$G$1054,3,FALSE)</f>
        <v>1</v>
      </c>
      <c r="AX33" s="362">
        <v>10</v>
      </c>
      <c r="AY33" s="23">
        <f>AC22</f>
        <v>0</v>
      </c>
      <c r="AZ33" s="326">
        <f t="shared" si="1"/>
        <v>0</v>
      </c>
      <c r="BA33" s="95">
        <f>VLOOKUP(AU33,CENY!$B$11:$M$2025,12,FALSE)</f>
        <v>941.88580999999999</v>
      </c>
      <c r="BB33" s="95">
        <f t="shared" si="0"/>
        <v>0</v>
      </c>
      <c r="BD33" s="319"/>
      <c r="BE33" s="21"/>
      <c r="BF33" s="22"/>
      <c r="BG33" s="22"/>
      <c r="BH33" s="23"/>
      <c r="BI33" s="326" t="str">
        <f t="shared" si="2"/>
        <v/>
      </c>
      <c r="BJ33" s="95"/>
      <c r="BK33" s="95" t="str">
        <f t="shared" si="3"/>
        <v/>
      </c>
    </row>
    <row r="34" spans="2:63" ht="14.4" customHeight="1">
      <c r="B34" s="366" t="str">
        <f>verze!E203</f>
        <v>P2O Silent = tlumení s otvíráním bez úchytky Push to open Silent</v>
      </c>
      <c r="AU34" s="319">
        <f>OBJ!B272</f>
        <v>9318219</v>
      </c>
      <c r="AV34" s="21" t="str">
        <f>VLOOKUP(AU34,CENY!$B$11:$G$1054,2,FALSE)</f>
        <v>Actro You(XL) 650/SiSy 70kg; EB21</v>
      </c>
      <c r="AW34" s="22">
        <f>VLOOKUP(AU34,CENY!$B$11:$G$1054,3,FALSE)</f>
        <v>1</v>
      </c>
      <c r="AX34" s="362">
        <v>10</v>
      </c>
      <c r="AY34" s="23">
        <f>AE22</f>
        <v>0</v>
      </c>
      <c r="AZ34" s="326">
        <f t="shared" si="1"/>
        <v>0</v>
      </c>
      <c r="BA34" s="95">
        <f>VLOOKUP(AU34,CENY!$B$11:$M$2025,12,FALSE)</f>
        <v>977.56314999999995</v>
      </c>
      <c r="BB34" s="95">
        <f t="shared" si="0"/>
        <v>0</v>
      </c>
      <c r="BD34" s="319">
        <f>OBJ!B255</f>
        <v>9318173</v>
      </c>
      <c r="BE34" s="21" t="str">
        <f>VLOOKUP(BD34,CENY!$B$11:$G$1054,2,FALSE)</f>
        <v>Actro You(L) 350/SiSy 40kg; EB21; ľavý</v>
      </c>
      <c r="BF34" s="22">
        <f>VLOOKUP(BD34,CENY!$B$11:$G$1054,3,FALSE)</f>
        <v>10</v>
      </c>
      <c r="BG34" s="22"/>
      <c r="BH34" s="23">
        <f>AY23</f>
        <v>0</v>
      </c>
      <c r="BI34" s="326">
        <f t="shared" si="2"/>
        <v>0</v>
      </c>
      <c r="BJ34" s="95">
        <f>VLOOKUP(BD34,CENY!$B$11:$M$2025,12,FALSE)</f>
        <v>298.88173999999998</v>
      </c>
      <c r="BK34" s="95">
        <f t="shared" si="3"/>
        <v>0</v>
      </c>
    </row>
    <row r="35" spans="2:63" ht="14.4" customHeight="1">
      <c r="AU35" s="319"/>
      <c r="AV35" s="21"/>
      <c r="AW35" s="22"/>
      <c r="AX35" s="22"/>
      <c r="AY35" s="23"/>
      <c r="AZ35" s="326" t="str">
        <f t="shared" si="1"/>
        <v/>
      </c>
      <c r="BA35" s="95"/>
      <c r="BB35" s="95" t="str">
        <f t="shared" si="0"/>
        <v/>
      </c>
      <c r="BD35" s="319">
        <f>OBJ!B256</f>
        <v>9318174</v>
      </c>
      <c r="BE35" s="21" t="str">
        <f>VLOOKUP(BD35,CENY!$B$11:$G$1054,2,FALSE)</f>
        <v>Actro You(L) 350/SiSy 40kg; EB21; pravý</v>
      </c>
      <c r="BF35" s="22">
        <f>VLOOKUP(BD35,CENY!$B$11:$G$1054,3,FALSE)</f>
        <v>10</v>
      </c>
      <c r="BG35" s="22"/>
      <c r="BH35" s="23">
        <f>AY23</f>
        <v>0</v>
      </c>
      <c r="BI35" s="326">
        <f t="shared" si="2"/>
        <v>0</v>
      </c>
      <c r="BJ35" s="95">
        <f>VLOOKUP(BD35,CENY!$B$11:$M$2025,12,FALSE)</f>
        <v>298.88173999999998</v>
      </c>
      <c r="BK35" s="95">
        <f t="shared" si="3"/>
        <v>0</v>
      </c>
    </row>
    <row r="36" spans="2:63" ht="14.4" customHeight="1">
      <c r="AU36" s="319">
        <f>OBJ!B284</f>
        <v>9257890</v>
      </c>
      <c r="AV36" s="21" t="str">
        <f>VLOOKUP(AU36,CENY!$B$11:$G$1054,2,FALSE)</f>
        <v>Actro You - Push to open Silent; &lt;10kg</v>
      </c>
      <c r="AW36" s="22">
        <f>VLOOKUP(AU36,CENY!$B$11:$G$1054,3,FALSE)</f>
        <v>1</v>
      </c>
      <c r="AX36" s="22"/>
      <c r="AY36" s="23">
        <f>AN19</f>
        <v>0</v>
      </c>
      <c r="AZ36" s="326">
        <f t="shared" si="1"/>
        <v>0</v>
      </c>
      <c r="BA36" s="95">
        <f>VLOOKUP(AU36,CENY!$B$11:$M$2025,12,FALSE)</f>
        <v>481.81412999999998</v>
      </c>
      <c r="BB36" s="95">
        <f t="shared" si="0"/>
        <v>0</v>
      </c>
      <c r="BD36" s="319">
        <f>OBJ!B257</f>
        <v>9318175</v>
      </c>
      <c r="BE36" s="21" t="str">
        <f>VLOOKUP(BD36,CENY!$B$11:$G$1054,2,FALSE)</f>
        <v>Actro You(L) 400/SiSy 40kg; EB21; ľavý</v>
      </c>
      <c r="BF36" s="22">
        <f>VLOOKUP(BD36,CENY!$B$11:$G$1054,3,FALSE)</f>
        <v>10</v>
      </c>
      <c r="BG36" s="22"/>
      <c r="BH36" s="23">
        <f>AY24</f>
        <v>0</v>
      </c>
      <c r="BI36" s="326">
        <f t="shared" si="2"/>
        <v>0</v>
      </c>
      <c r="BJ36" s="95">
        <f>VLOOKUP(BD36,CENY!$B$11:$M$2025,12,FALSE)</f>
        <v>302.69770999999997</v>
      </c>
      <c r="BK36" s="95">
        <f t="shared" si="3"/>
        <v>0</v>
      </c>
    </row>
    <row r="37" spans="2:63" ht="14.4" customHeight="1">
      <c r="AU37" s="319">
        <f>OBJ!B285</f>
        <v>9257891</v>
      </c>
      <c r="AV37" s="21" t="str">
        <f>VLOOKUP(AU37,CENY!$B$11:$G$1054,2,FALSE)</f>
        <v>Actro You - Push to open Silent; 8-20kg</v>
      </c>
      <c r="AW37" s="22">
        <f>VLOOKUP(AU37,CENY!$B$11:$G$1054,3,FALSE)</f>
        <v>1</v>
      </c>
      <c r="AX37" s="22"/>
      <c r="AY37" s="23">
        <f>AN20</f>
        <v>0</v>
      </c>
      <c r="AZ37" s="326">
        <f t="shared" si="1"/>
        <v>0</v>
      </c>
      <c r="BA37" s="95">
        <f>VLOOKUP(AU37,CENY!$B$11:$M$2025,12,FALSE)</f>
        <v>481.81412999999998</v>
      </c>
      <c r="BB37" s="95">
        <f t="shared" si="0"/>
        <v>0</v>
      </c>
      <c r="BD37" s="319">
        <f>OBJ!B258</f>
        <v>9318176</v>
      </c>
      <c r="BE37" s="21" t="str">
        <f>VLOOKUP(BD37,CENY!$B$11:$G$1054,2,FALSE)</f>
        <v>Actro You(L) 400/SiSy 40kg; EB21; pravý</v>
      </c>
      <c r="BF37" s="22">
        <f>VLOOKUP(BD37,CENY!$B$11:$G$1054,3,FALSE)</f>
        <v>10</v>
      </c>
      <c r="BG37" s="22"/>
      <c r="BH37" s="23">
        <f>AY24</f>
        <v>0</v>
      </c>
      <c r="BI37" s="326">
        <f t="shared" si="2"/>
        <v>0</v>
      </c>
      <c r="BJ37" s="95">
        <f>VLOOKUP(BD37,CENY!$B$11:$M$2025,12,FALSE)</f>
        <v>302.69770999999997</v>
      </c>
      <c r="BK37" s="95">
        <f t="shared" si="3"/>
        <v>0</v>
      </c>
    </row>
    <row r="38" spans="2:63" ht="14.4" customHeight="1">
      <c r="AU38" s="319">
        <f>OBJ!B286</f>
        <v>9257892</v>
      </c>
      <c r="AV38" s="21" t="str">
        <f>VLOOKUP(AU38,CENY!$B$11:$G$1054,2,FALSE)</f>
        <v>Actro You - Push to open Silent; 10-40kg</v>
      </c>
      <c r="AW38" s="22">
        <f>VLOOKUP(AU38,CENY!$B$11:$G$1054,3,FALSE)</f>
        <v>1</v>
      </c>
      <c r="AX38" s="22"/>
      <c r="AY38" s="23">
        <f>AN21</f>
        <v>0</v>
      </c>
      <c r="AZ38" s="326">
        <f t="shared" si="1"/>
        <v>0</v>
      </c>
      <c r="BA38" s="95">
        <f>VLOOKUP(AU38,CENY!$B$11:$M$2025,12,FALSE)</f>
        <v>481.81412999999998</v>
      </c>
      <c r="BB38" s="95">
        <f t="shared" si="0"/>
        <v>0</v>
      </c>
      <c r="BD38" s="319">
        <f>OBJ!B259</f>
        <v>9318177</v>
      </c>
      <c r="BE38" s="21" t="str">
        <f>VLOOKUP(BD38,CENY!$B$11:$G$1054,2,FALSE)</f>
        <v>Actro You(L) 450/SiSy 40kg; EB21; ľavý</v>
      </c>
      <c r="BF38" s="22">
        <f>VLOOKUP(BD38,CENY!$B$11:$G$1054,3,FALSE)</f>
        <v>10</v>
      </c>
      <c r="BG38" s="22"/>
      <c r="BH38" s="23">
        <f>AY25</f>
        <v>0</v>
      </c>
      <c r="BI38" s="326">
        <f t="shared" si="2"/>
        <v>0</v>
      </c>
      <c r="BJ38" s="95">
        <f>VLOOKUP(BD38,CENY!$B$11:$M$2025,12,FALSE)</f>
        <v>298.33073999999999</v>
      </c>
      <c r="BK38" s="95">
        <f t="shared" si="3"/>
        <v>0</v>
      </c>
    </row>
    <row r="39" spans="2:63" ht="14.4" customHeight="1">
      <c r="AU39" s="319">
        <f>OBJ!B287</f>
        <v>9257893</v>
      </c>
      <c r="AV39" s="21" t="str">
        <f>VLOOKUP(AU39,CENY!$B$11:$G$1054,2,FALSE)</f>
        <v>Actro You - Push to open Silent; 20-70kg</v>
      </c>
      <c r="AW39" s="22">
        <f>VLOOKUP(AU39,CENY!$B$11:$G$1054,3,FALSE)</f>
        <v>1</v>
      </c>
      <c r="AX39" s="22"/>
      <c r="AY39" s="23">
        <f>AN22</f>
        <v>0</v>
      </c>
      <c r="AZ39" s="326">
        <f t="shared" si="1"/>
        <v>0</v>
      </c>
      <c r="BA39" s="95">
        <f>VLOOKUP(AU39,CENY!$B$11:$M$2025,12,FALSE)</f>
        <v>481.81412999999998</v>
      </c>
      <c r="BB39" s="95">
        <f t="shared" si="0"/>
        <v>0</v>
      </c>
      <c r="BD39" s="319">
        <f>OBJ!B260</f>
        <v>9318178</v>
      </c>
      <c r="BE39" s="21" t="str">
        <f>VLOOKUP(BD39,CENY!$B$11:$G$1054,2,FALSE)</f>
        <v>Actro You(L) 450/SiSy 40kg; EB21; pravý</v>
      </c>
      <c r="BF39" s="22">
        <f>VLOOKUP(BD39,CENY!$B$11:$G$1054,3,FALSE)</f>
        <v>10</v>
      </c>
      <c r="BG39" s="22"/>
      <c r="BH39" s="23">
        <f>AY25</f>
        <v>0</v>
      </c>
      <c r="BI39" s="326">
        <f t="shared" si="2"/>
        <v>0</v>
      </c>
      <c r="BJ39" s="95">
        <f>VLOOKUP(BD39,CENY!$B$11:$M$2025,12,FALSE)</f>
        <v>298.33073999999999</v>
      </c>
      <c r="BK39" s="95">
        <f t="shared" si="3"/>
        <v>0</v>
      </c>
    </row>
    <row r="40" spans="2:63" ht="14.4" customHeight="1">
      <c r="AU40" s="319">
        <f>OBJ!B288</f>
        <v>9236718</v>
      </c>
      <c r="AV40" s="21" t="str">
        <f>VLOOKUP(AU40,CENY!$B$11:$G$1054,2,FALSE)</f>
        <v>Push to open Synchro / tyč 2.000 mm</v>
      </c>
      <c r="AW40" s="22">
        <f>VLOOKUP(AU40,CENY!$B$11:$G$1054,3,FALSE)</f>
        <v>100</v>
      </c>
      <c r="AX40" s="22"/>
      <c r="AY40" s="23">
        <f>IF(SUM(AN19:AO22)+SUM(AN27:AO29)+SUM(S30:AD30)=0,0,AY83)</f>
        <v>0</v>
      </c>
      <c r="AZ40" s="326">
        <f t="shared" si="1"/>
        <v>0</v>
      </c>
      <c r="BA40" s="95">
        <f>VLOOKUP(AU40,CENY!$B$11:$M$2025,12,FALSE)</f>
        <v>182.03933000000001</v>
      </c>
      <c r="BB40" s="95">
        <f t="shared" si="0"/>
        <v>0</v>
      </c>
      <c r="BD40" s="319">
        <f>OBJ!B261</f>
        <v>9318179</v>
      </c>
      <c r="BE40" s="21" t="str">
        <f>VLOOKUP(BD40,CENY!$B$11:$G$1054,2,FALSE)</f>
        <v>Actro You(L) 500/SiSy 40kg; EB21; ľavý</v>
      </c>
      <c r="BF40" s="22">
        <f>VLOOKUP(BD40,CENY!$B$11:$G$1054,3,FALSE)</f>
        <v>10</v>
      </c>
      <c r="BG40" s="22"/>
      <c r="BH40" s="23">
        <f>AY26</f>
        <v>0</v>
      </c>
      <c r="BI40" s="326">
        <f t="shared" si="2"/>
        <v>0</v>
      </c>
      <c r="BJ40" s="95">
        <f>VLOOKUP(BD40,CENY!$B$11:$M$2025,12,FALSE)</f>
        <v>296.00905</v>
      </c>
      <c r="BK40" s="95">
        <f t="shared" si="3"/>
        <v>0</v>
      </c>
    </row>
    <row r="41" spans="2:63" ht="14.4" customHeight="1">
      <c r="AU41" s="319"/>
      <c r="AV41" s="21"/>
      <c r="AW41" s="22"/>
      <c r="AX41" s="22"/>
      <c r="AY41" s="23"/>
      <c r="AZ41" s="326" t="str">
        <f t="shared" si="1"/>
        <v/>
      </c>
      <c r="BA41" s="95"/>
      <c r="BB41" s="95" t="str">
        <f t="shared" si="0"/>
        <v/>
      </c>
      <c r="BD41" s="319">
        <f>OBJ!B262</f>
        <v>9318180</v>
      </c>
      <c r="BE41" s="21" t="str">
        <f>VLOOKUP(BD41,CENY!$B$11:$G$1054,2,FALSE)</f>
        <v>Actro You(L) 500/SiSy 40kg; EB21; pravý</v>
      </c>
      <c r="BF41" s="22">
        <f>VLOOKUP(BD41,CENY!$B$11:$G$1054,3,FALSE)</f>
        <v>10</v>
      </c>
      <c r="BG41" s="22"/>
      <c r="BH41" s="23">
        <f>AY26</f>
        <v>0</v>
      </c>
      <c r="BI41" s="326">
        <f t="shared" si="2"/>
        <v>0</v>
      </c>
      <c r="BJ41" s="95">
        <f>VLOOKUP(BD41,CENY!$B$11:$M$2025,12,FALSE)</f>
        <v>296.00905</v>
      </c>
      <c r="BK41" s="95">
        <f t="shared" si="3"/>
        <v>0</v>
      </c>
    </row>
    <row r="42" spans="2:63" ht="14.4" customHeight="1">
      <c r="AU42" s="319">
        <f>OBJ!B296</f>
        <v>9256956</v>
      </c>
      <c r="AV42" s="21" t="str">
        <f>VLOOKUP(AU42,CENY!$B$11:$G$1054,2,FALSE)</f>
        <v>Quadro You(S) 350/SiSy 10kg; EB21</v>
      </c>
      <c r="AW42" s="22">
        <f>VLOOKUP(AU42,CENY!$B$11:$G$1054,3,FALSE)</f>
        <v>1</v>
      </c>
      <c r="AX42" s="362">
        <v>4</v>
      </c>
      <c r="AY42" s="23">
        <f>S27</f>
        <v>0</v>
      </c>
      <c r="AZ42" s="326">
        <f t="shared" si="1"/>
        <v>0</v>
      </c>
      <c r="BA42" s="95">
        <f>VLOOKUP(AU42,CENY!$B$11:$M$2025,12,FALSE)</f>
        <v>489.27857</v>
      </c>
      <c r="BB42" s="95">
        <f t="shared" si="0"/>
        <v>0</v>
      </c>
      <c r="BD42" s="319">
        <f>OBJ!B263</f>
        <v>9318181</v>
      </c>
      <c r="BE42" s="21" t="str">
        <f>VLOOKUP(BD42,CENY!$B$11:$G$1054,2,FALSE)</f>
        <v>Actro You(L) 550/SiSy 40kg; EB21; ľavý</v>
      </c>
      <c r="BF42" s="22">
        <f>VLOOKUP(BD42,CENY!$B$11:$G$1054,3,FALSE)</f>
        <v>10</v>
      </c>
      <c r="BG42" s="22"/>
      <c r="BH42" s="23">
        <f>AY27</f>
        <v>0</v>
      </c>
      <c r="BI42" s="326">
        <f t="shared" si="2"/>
        <v>0</v>
      </c>
      <c r="BJ42" s="95">
        <f>VLOOKUP(BD42,CENY!$B$11:$M$2025,12,FALSE)</f>
        <v>321.83461999999997</v>
      </c>
      <c r="BK42" s="95">
        <f t="shared" si="3"/>
        <v>0</v>
      </c>
    </row>
    <row r="43" spans="2:63" ht="14.4" customHeight="1">
      <c r="AU43" s="319"/>
      <c r="AV43" s="21"/>
      <c r="AW43" s="22"/>
      <c r="AX43" s="22"/>
      <c r="AY43" s="23"/>
      <c r="AZ43" s="326" t="str">
        <f t="shared" si="1"/>
        <v/>
      </c>
      <c r="BA43" s="95"/>
      <c r="BB43" s="95" t="str">
        <f t="shared" si="0"/>
        <v/>
      </c>
      <c r="BD43" s="319">
        <f>OBJ!B264</f>
        <v>9318182</v>
      </c>
      <c r="BE43" s="21" t="str">
        <f>VLOOKUP(BD43,CENY!$B$11:$G$1054,2,FALSE)</f>
        <v>Actro You(L) 550/SiSy 40kg; EB21; pravý</v>
      </c>
      <c r="BF43" s="22">
        <f>VLOOKUP(BD43,CENY!$B$11:$G$1054,3,FALSE)</f>
        <v>10</v>
      </c>
      <c r="BG43" s="22"/>
      <c r="BH43" s="23">
        <f>AY27</f>
        <v>0</v>
      </c>
      <c r="BI43" s="326">
        <f t="shared" si="2"/>
        <v>0</v>
      </c>
      <c r="BJ43" s="95">
        <f>VLOOKUP(BD43,CENY!$B$11:$M$2025,12,FALSE)</f>
        <v>321.83461999999997</v>
      </c>
      <c r="BK43" s="95">
        <f t="shared" si="3"/>
        <v>0</v>
      </c>
    </row>
    <row r="44" spans="2:63" ht="14.4" customHeight="1">
      <c r="AU44" s="319">
        <f>OBJ!B306</f>
        <v>9256886</v>
      </c>
      <c r="AV44" s="21" t="str">
        <f>VLOOKUP(AU44,CENY!$B$11:$G$1054,2,FALSE)</f>
        <v>Quadro You(M) 350/SiSy 25kg; EB21</v>
      </c>
      <c r="AW44" s="22">
        <f>VLOOKUP(AU44,CENY!$B$11:$G$1054,3,FALSE)</f>
        <v>1</v>
      </c>
      <c r="AX44" s="362">
        <v>8</v>
      </c>
      <c r="AY44" s="23">
        <f>S28</f>
        <v>0</v>
      </c>
      <c r="AZ44" s="326">
        <f t="shared" si="1"/>
        <v>0</v>
      </c>
      <c r="BA44" s="95">
        <f>VLOOKUP(AU44,CENY!$B$11:$M$2025,12,FALSE)</f>
        <v>489.27857</v>
      </c>
      <c r="BB44" s="95">
        <f t="shared" si="0"/>
        <v>0</v>
      </c>
      <c r="BD44" s="319">
        <f>OBJ!B265</f>
        <v>9318183</v>
      </c>
      <c r="BE44" s="21" t="str">
        <f>VLOOKUP(BD44,CENY!$B$11:$G$1054,2,FALSE)</f>
        <v>Actro You(L) 600/SiSy 40kg; EB21; ľavý</v>
      </c>
      <c r="BF44" s="22">
        <f>VLOOKUP(BD44,CENY!$B$11:$G$1054,3,FALSE)</f>
        <v>10</v>
      </c>
      <c r="BG44" s="22"/>
      <c r="BH44" s="23">
        <f>AY28</f>
        <v>0</v>
      </c>
      <c r="BI44" s="326">
        <f t="shared" si="2"/>
        <v>0</v>
      </c>
      <c r="BJ44" s="95">
        <f>VLOOKUP(BD44,CENY!$B$11:$M$2025,12,FALSE)</f>
        <v>326.21229</v>
      </c>
      <c r="BK44" s="95">
        <f t="shared" si="3"/>
        <v>0</v>
      </c>
    </row>
    <row r="45" spans="2:63" ht="14.4" customHeight="1">
      <c r="AU45" s="319">
        <f>OBJ!B307</f>
        <v>9256888</v>
      </c>
      <c r="AV45" s="21" t="str">
        <f>VLOOKUP(AU45,CENY!$B$11:$G$1054,2,FALSE)</f>
        <v>Quadro You(M) 400/SiSy 30kg; EB21</v>
      </c>
      <c r="AW45" s="22">
        <f>VLOOKUP(AU45,CENY!$B$11:$G$1054,3,FALSE)</f>
        <v>1</v>
      </c>
      <c r="AX45" s="362">
        <v>8</v>
      </c>
      <c r="AY45" s="23">
        <f>U28</f>
        <v>0</v>
      </c>
      <c r="AZ45" s="326">
        <f t="shared" si="1"/>
        <v>0</v>
      </c>
      <c r="BA45" s="95">
        <f>VLOOKUP(AU45,CENY!$B$11:$M$2025,12,FALSE)</f>
        <v>498.97861999999998</v>
      </c>
      <c r="BB45" s="95">
        <f t="shared" si="0"/>
        <v>0</v>
      </c>
      <c r="BD45" s="319">
        <f>OBJ!B266</f>
        <v>9318184</v>
      </c>
      <c r="BE45" s="21" t="str">
        <f>VLOOKUP(BD45,CENY!$B$11:$G$1054,2,FALSE)</f>
        <v>Actro You(L) 600/SiSy 40kg; EB21; pravý</v>
      </c>
      <c r="BF45" s="22">
        <f>VLOOKUP(BD45,CENY!$B$11:$G$1054,3,FALSE)</f>
        <v>10</v>
      </c>
      <c r="BG45" s="22"/>
      <c r="BH45" s="23">
        <f>AY28</f>
        <v>0</v>
      </c>
      <c r="BI45" s="326">
        <f t="shared" si="2"/>
        <v>0</v>
      </c>
      <c r="BJ45" s="95">
        <f>VLOOKUP(BD45,CENY!$B$11:$M$2025,12,FALSE)</f>
        <v>326.21229</v>
      </c>
      <c r="BK45" s="95">
        <f t="shared" si="3"/>
        <v>0</v>
      </c>
    </row>
    <row r="46" spans="2:63" ht="14.4" customHeight="1">
      <c r="AU46" s="319">
        <f>OBJ!B308</f>
        <v>9256890</v>
      </c>
      <c r="AV46" s="21" t="str">
        <f>VLOOKUP(AU46,CENY!$B$11:$G$1054,2,FALSE)</f>
        <v>Quadro You(M) 450/SiSy 30kg; EB21</v>
      </c>
      <c r="AW46" s="22">
        <f>VLOOKUP(AU46,CENY!$B$11:$G$1054,3,FALSE)</f>
        <v>1</v>
      </c>
      <c r="AX46" s="362">
        <v>8</v>
      </c>
      <c r="AY46" s="23">
        <f>W28</f>
        <v>0</v>
      </c>
      <c r="AZ46" s="326">
        <f t="shared" si="1"/>
        <v>0</v>
      </c>
      <c r="BA46" s="95">
        <f>VLOOKUP(AU46,CENY!$B$11:$M$2025,12,FALSE)</f>
        <v>122.98869999999999</v>
      </c>
      <c r="BB46" s="95">
        <f t="shared" si="0"/>
        <v>0</v>
      </c>
      <c r="BD46" s="319"/>
      <c r="BE46" s="21"/>
      <c r="BF46" s="22"/>
      <c r="BG46" s="22"/>
      <c r="BH46" s="23"/>
      <c r="BI46" s="326" t="str">
        <f t="shared" si="2"/>
        <v/>
      </c>
      <c r="BJ46" s="95"/>
      <c r="BK46" s="95" t="str">
        <f t="shared" si="3"/>
        <v/>
      </c>
    </row>
    <row r="47" spans="2:63" ht="14.4" customHeight="1">
      <c r="AU47" s="319">
        <f>OBJ!B309</f>
        <v>9256892</v>
      </c>
      <c r="AV47" s="21" t="str">
        <f>VLOOKUP(AU47,CENY!$B$11:$G$1054,2,FALSE)</f>
        <v>Quadro You(M) 500/SiSy 30kg; EB21</v>
      </c>
      <c r="AW47" s="22">
        <f>VLOOKUP(AU47,CENY!$B$11:$G$1054,3,FALSE)</f>
        <v>1</v>
      </c>
      <c r="AX47" s="362">
        <v>8</v>
      </c>
      <c r="AY47" s="23">
        <f>Y28</f>
        <v>0</v>
      </c>
      <c r="AZ47" s="326">
        <f t="shared" si="1"/>
        <v>0</v>
      </c>
      <c r="BA47" s="95">
        <f>VLOOKUP(AU47,CENY!$B$11:$M$2025,12,FALSE)</f>
        <v>504.59701000000001</v>
      </c>
      <c r="BB47" s="95">
        <f t="shared" si="0"/>
        <v>0</v>
      </c>
      <c r="BD47" s="319">
        <f>OBJ!B273</f>
        <v>9318198</v>
      </c>
      <c r="BE47" s="21" t="str">
        <f>VLOOKUP(BD47,CENY!$B$11:$G$1054,2,FALSE)</f>
        <v>Actro You(XL) 450/SiSy 70kg; EB21; ľavý</v>
      </c>
      <c r="BF47" s="22">
        <f>VLOOKUP(BD47,CENY!$B$11:$G$1054,3,FALSE)</f>
        <v>10</v>
      </c>
      <c r="BG47" s="22"/>
      <c r="BH47" s="23">
        <f>AY30</f>
        <v>0</v>
      </c>
      <c r="BI47" s="326">
        <f t="shared" si="2"/>
        <v>0</v>
      </c>
      <c r="BJ47" s="95">
        <f>VLOOKUP(BD47,CENY!$B$11:$M$2025,12,FALSE)</f>
        <v>368.62277</v>
      </c>
      <c r="BK47" s="95">
        <f t="shared" si="3"/>
        <v>0</v>
      </c>
    </row>
    <row r="48" spans="2:63" ht="14.4" customHeight="1">
      <c r="AU48" s="319">
        <f>OBJ!B310</f>
        <v>9256894</v>
      </c>
      <c r="AV48" s="21" t="str">
        <f>VLOOKUP(AU48,CENY!$B$11:$G$1054,2,FALSE)</f>
        <v>Quadro You(M) 550/SiSy 30kg; EB21</v>
      </c>
      <c r="AW48" s="22">
        <f>VLOOKUP(AU48,CENY!$B$11:$G$1054,3,FALSE)</f>
        <v>1</v>
      </c>
      <c r="AX48" s="362">
        <v>8</v>
      </c>
      <c r="AY48" s="23">
        <f>AA28</f>
        <v>0</v>
      </c>
      <c r="AZ48" s="326">
        <f t="shared" si="1"/>
        <v>0</v>
      </c>
      <c r="BA48" s="95">
        <f>VLOOKUP(AU48,CENY!$B$11:$M$2025,12,FALSE)</f>
        <v>127.68105</v>
      </c>
      <c r="BB48" s="95">
        <f t="shared" si="0"/>
        <v>0</v>
      </c>
      <c r="BD48" s="319">
        <f>OBJ!B274</f>
        <v>9318199</v>
      </c>
      <c r="BE48" s="21" t="str">
        <f>VLOOKUP(BD48,CENY!$B$11:$G$1054,2,FALSE)</f>
        <v>Actro You(XL) 450/SiSy 70kg; EB21; pravý</v>
      </c>
      <c r="BF48" s="22">
        <f>VLOOKUP(BD48,CENY!$B$11:$G$1054,3,FALSE)</f>
        <v>10</v>
      </c>
      <c r="BG48" s="22"/>
      <c r="BH48" s="23">
        <f>AY30</f>
        <v>0</v>
      </c>
      <c r="BI48" s="326">
        <f t="shared" si="2"/>
        <v>0</v>
      </c>
      <c r="BJ48" s="95">
        <f>VLOOKUP(BD48,CENY!$B$11:$M$2025,12,FALSE)</f>
        <v>368.62277</v>
      </c>
      <c r="BK48" s="95">
        <f t="shared" si="3"/>
        <v>0</v>
      </c>
    </row>
    <row r="49" spans="47:63" ht="14.4" customHeight="1">
      <c r="AU49" s="319">
        <f>OBJ!B311</f>
        <v>9256896</v>
      </c>
      <c r="AV49" s="21" t="str">
        <f>VLOOKUP(AU49,CENY!$B$11:$G$1054,2,FALSE)</f>
        <v>Quadro You(M) 600/SiSy 25kg; EB21</v>
      </c>
      <c r="AW49" s="22">
        <f>VLOOKUP(AU49,CENY!$B$11:$G$1054,3,FALSE)</f>
        <v>1</v>
      </c>
      <c r="AX49" s="362">
        <v>8</v>
      </c>
      <c r="AY49" s="23">
        <f>AC28</f>
        <v>0</v>
      </c>
      <c r="AZ49" s="326">
        <f t="shared" si="1"/>
        <v>0</v>
      </c>
      <c r="BA49" s="95">
        <f>VLOOKUP(AU49,CENY!$B$11:$M$2025,12,FALSE)</f>
        <v>537.79395</v>
      </c>
      <c r="BB49" s="95">
        <f t="shared" si="0"/>
        <v>0</v>
      </c>
      <c r="BD49" s="319">
        <f>OBJ!B275</f>
        <v>9318201</v>
      </c>
      <c r="BE49" s="21" t="str">
        <f>VLOOKUP(BD49,CENY!$B$11:$G$1054,2,FALSE)</f>
        <v>Actro You(XL) 500/SiSy 70kg; EB21; ľavý</v>
      </c>
      <c r="BF49" s="22">
        <f>VLOOKUP(BD49,CENY!$B$11:$G$1054,3,FALSE)</f>
        <v>10</v>
      </c>
      <c r="BG49" s="22"/>
      <c r="BH49" s="23">
        <f>AY31</f>
        <v>0</v>
      </c>
      <c r="BI49" s="326">
        <f t="shared" si="2"/>
        <v>0</v>
      </c>
      <c r="BJ49" s="95">
        <f>VLOOKUP(BD49,CENY!$B$11:$M$2025,12,FALSE)</f>
        <v>372.33726999999999</v>
      </c>
      <c r="BK49" s="95">
        <f t="shared" si="3"/>
        <v>0</v>
      </c>
    </row>
    <row r="50" spans="47:63" ht="14.4" customHeight="1">
      <c r="AU50" s="319"/>
      <c r="AV50" s="21"/>
      <c r="AW50" s="22"/>
      <c r="AX50" s="22"/>
      <c r="AY50" s="23"/>
      <c r="AZ50" s="326" t="str">
        <f t="shared" si="1"/>
        <v/>
      </c>
      <c r="BA50" s="95"/>
      <c r="BB50" s="95" t="str">
        <f t="shared" si="0"/>
        <v/>
      </c>
      <c r="BD50" s="319">
        <f>OBJ!B276</f>
        <v>9318203</v>
      </c>
      <c r="BE50" s="21" t="str">
        <f>VLOOKUP(BD50,CENY!$B$11:$G$1054,2,FALSE)</f>
        <v>Actro You(XL) 500/SiSy 70kg; EB21; pravý</v>
      </c>
      <c r="BF50" s="22">
        <f>VLOOKUP(BD50,CENY!$B$11:$G$1054,3,FALSE)</f>
        <v>10</v>
      </c>
      <c r="BG50" s="22"/>
      <c r="BH50" s="23">
        <f>AY31</f>
        <v>0</v>
      </c>
      <c r="BI50" s="326">
        <f t="shared" si="2"/>
        <v>0</v>
      </c>
      <c r="BJ50" s="95">
        <f>VLOOKUP(BD50,CENY!$B$11:$M$2025,12,FALSE)</f>
        <v>372.33726999999999</v>
      </c>
      <c r="BK50" s="95">
        <f t="shared" si="3"/>
        <v>0</v>
      </c>
    </row>
    <row r="51" spans="47:63" ht="14.4" customHeight="1">
      <c r="AU51" s="319">
        <f>OBJ!B329</f>
        <v>9257894</v>
      </c>
      <c r="AV51" s="21" t="str">
        <f>VLOOKUP(AU51,CENY!$B$11:$G$1054,2,FALSE)</f>
        <v>Quadro You - Push to open Silent; &lt;10kg</v>
      </c>
      <c r="AW51" s="22">
        <f>VLOOKUP(AU51,CENY!$B$11:$G$1054,3,FALSE)</f>
        <v>1</v>
      </c>
      <c r="AX51" s="22"/>
      <c r="AY51" s="23">
        <f>AN27</f>
        <v>0</v>
      </c>
      <c r="AZ51" s="326">
        <f t="shared" si="1"/>
        <v>0</v>
      </c>
      <c r="BA51" s="95">
        <f>VLOOKUP(AU51,CENY!$B$11:$M$2025,12,FALSE)</f>
        <v>480.50922000000003</v>
      </c>
      <c r="BB51" s="95">
        <f t="shared" si="0"/>
        <v>0</v>
      </c>
      <c r="BD51" s="319">
        <f>OBJ!B277</f>
        <v>9318208</v>
      </c>
      <c r="BE51" s="21" t="str">
        <f>VLOOKUP(BD51,CENY!$B$11:$G$1054,2,FALSE)</f>
        <v>Actro You(XL) 550/SiSy 70kg; EB21; ľavý</v>
      </c>
      <c r="BF51" s="22">
        <f>VLOOKUP(BD51,CENY!$B$11:$G$1054,3,FALSE)</f>
        <v>10</v>
      </c>
      <c r="BG51" s="22"/>
      <c r="BH51" s="23">
        <f>AY32</f>
        <v>0</v>
      </c>
      <c r="BI51" s="326">
        <f t="shared" si="2"/>
        <v>0</v>
      </c>
      <c r="BJ51" s="95">
        <f>VLOOKUP(BD51,CENY!$B$11:$M$2025,12,FALSE)</f>
        <v>392.11943000000002</v>
      </c>
      <c r="BK51" s="95">
        <f t="shared" si="3"/>
        <v>0</v>
      </c>
    </row>
    <row r="52" spans="47:63" ht="14.4" customHeight="1">
      <c r="AU52" s="319">
        <f>OBJ!B330</f>
        <v>9257895</v>
      </c>
      <c r="AV52" s="21" t="str">
        <f>VLOOKUP(AU52,CENY!$B$11:$G$1054,2,FALSE)</f>
        <v>Quadro You - Push to open Silent; 8-20kg</v>
      </c>
      <c r="AW52" s="22">
        <f>VLOOKUP(AU52,CENY!$B$11:$G$1054,3,FALSE)</f>
        <v>1</v>
      </c>
      <c r="AX52" s="22"/>
      <c r="AY52" s="23">
        <f>AN28</f>
        <v>0</v>
      </c>
      <c r="AZ52" s="326">
        <f t="shared" si="1"/>
        <v>0</v>
      </c>
      <c r="BA52" s="95">
        <f>VLOOKUP(AU52,CENY!$B$11:$M$2025,12,FALSE)</f>
        <v>480.50922000000003</v>
      </c>
      <c r="BB52" s="95">
        <f t="shared" si="0"/>
        <v>0</v>
      </c>
      <c r="BD52" s="319">
        <f>OBJ!B278</f>
        <v>9318209</v>
      </c>
      <c r="BE52" s="21" t="str">
        <f>VLOOKUP(BD52,CENY!$B$11:$G$1054,2,FALSE)</f>
        <v>Actro You(XL) 550/SiSy 70kg; EB21; pravý</v>
      </c>
      <c r="BF52" s="22">
        <f>VLOOKUP(BD52,CENY!$B$11:$G$1054,3,FALSE)</f>
        <v>10</v>
      </c>
      <c r="BG52" s="22"/>
      <c r="BH52" s="23">
        <f>AY32</f>
        <v>0</v>
      </c>
      <c r="BI52" s="326">
        <f t="shared" si="2"/>
        <v>0</v>
      </c>
      <c r="BJ52" s="95">
        <f>VLOOKUP(BD52,CENY!$B$11:$M$2025,12,FALSE)</f>
        <v>392.11943000000002</v>
      </c>
      <c r="BK52" s="95">
        <f t="shared" si="3"/>
        <v>0</v>
      </c>
    </row>
    <row r="53" spans="47:63" ht="14.4" customHeight="1">
      <c r="AU53" s="319">
        <f>OBJ!B331</f>
        <v>9257896</v>
      </c>
      <c r="AV53" s="21" t="str">
        <f>VLOOKUP(AU53,CENY!$B$11:$G$1054,2,FALSE)</f>
        <v>Quadro You - Push to open Silent; 10-30kg</v>
      </c>
      <c r="AW53" s="22">
        <f>VLOOKUP(AU53,CENY!$B$11:$G$1054,3,FALSE)</f>
        <v>1</v>
      </c>
      <c r="AX53" s="22"/>
      <c r="AY53" s="23">
        <f>AN29</f>
        <v>0</v>
      </c>
      <c r="AZ53" s="326">
        <f t="shared" si="1"/>
        <v>0</v>
      </c>
      <c r="BA53" s="95">
        <f>VLOOKUP(AU53,CENY!$B$11:$M$2025,12,FALSE)</f>
        <v>480.50922000000003</v>
      </c>
      <c r="BB53" s="95">
        <f t="shared" si="0"/>
        <v>0</v>
      </c>
      <c r="BD53" s="319">
        <f>OBJ!B279</f>
        <v>9318211</v>
      </c>
      <c r="BE53" s="21" t="str">
        <f>VLOOKUP(BD53,CENY!$B$11:$G$1054,2,FALSE)</f>
        <v>Actro You(XL) 600/SiSy 70kg; EB21; ľavý</v>
      </c>
      <c r="BF53" s="22">
        <f>VLOOKUP(BD53,CENY!$B$11:$G$1054,3,FALSE)</f>
        <v>10</v>
      </c>
      <c r="BG53" s="22"/>
      <c r="BH53" s="23">
        <f>AY33</f>
        <v>0</v>
      </c>
      <c r="BI53" s="326">
        <f t="shared" si="2"/>
        <v>0</v>
      </c>
      <c r="BJ53" s="95">
        <f>VLOOKUP(BD53,CENY!$B$11:$M$2025,12,FALSE)</f>
        <v>443.89010999999999</v>
      </c>
      <c r="BK53" s="95">
        <f t="shared" si="3"/>
        <v>0</v>
      </c>
    </row>
    <row r="54" spans="47:63" ht="14.4" customHeight="1">
      <c r="AU54" s="319"/>
      <c r="AV54" s="21"/>
      <c r="AW54" s="22"/>
      <c r="AX54" s="22"/>
      <c r="AY54" s="23"/>
      <c r="AZ54" s="326" t="str">
        <f t="shared" si="1"/>
        <v/>
      </c>
      <c r="BA54" s="95"/>
      <c r="BB54" s="95" t="str">
        <f t="shared" si="0"/>
        <v/>
      </c>
      <c r="BD54" s="319">
        <f>OBJ!B280</f>
        <v>9318212</v>
      </c>
      <c r="BE54" s="21" t="str">
        <f>VLOOKUP(BD54,CENY!$B$11:$G$1054,2,FALSE)</f>
        <v>Actro You(XL) 600/SiSy 70kg; EB21; pravý</v>
      </c>
      <c r="BF54" s="22">
        <f>VLOOKUP(BD54,CENY!$B$11:$G$1054,3,FALSE)</f>
        <v>10</v>
      </c>
      <c r="BG54" s="22"/>
      <c r="BH54" s="23">
        <f>AY33</f>
        <v>0</v>
      </c>
      <c r="BI54" s="326">
        <f t="shared" si="2"/>
        <v>0</v>
      </c>
      <c r="BJ54" s="95">
        <f>VLOOKUP(BD54,CENY!$B$11:$M$2025,12,FALSE)</f>
        <v>443.89010999999999</v>
      </c>
      <c r="BK54" s="95">
        <f t="shared" si="3"/>
        <v>0</v>
      </c>
    </row>
    <row r="55" spans="47:63" ht="14.4" customHeight="1">
      <c r="AU55" s="319">
        <f>OBJ!B335</f>
        <v>9256931</v>
      </c>
      <c r="AV55" s="21" t="str">
        <f>VLOOKUP(AU55,CENY!$B$11:$G$1054,2,FALSE)</f>
        <v>Quadro You(M) 350/P2O 25kg; EB21</v>
      </c>
      <c r="AW55" s="22">
        <f>VLOOKUP(AU55,CENY!$B$11:$G$1054,3,FALSE)</f>
        <v>1</v>
      </c>
      <c r="AX55" s="362">
        <v>8</v>
      </c>
      <c r="AY55" s="23">
        <f>S30</f>
        <v>0</v>
      </c>
      <c r="AZ55" s="326">
        <f t="shared" si="1"/>
        <v>0</v>
      </c>
      <c r="BA55" s="95">
        <f>VLOOKUP(AU55,CENY!$B$11:$M$2025,12,FALSE)</f>
        <v>547.49897999999996</v>
      </c>
      <c r="BB55" s="95">
        <f t="shared" si="0"/>
        <v>0</v>
      </c>
      <c r="BD55" s="319">
        <f>OBJ!B281</f>
        <v>9318213</v>
      </c>
      <c r="BE55" s="21" t="str">
        <f>VLOOKUP(BD55,CENY!$B$11:$G$1054,2,FALSE)</f>
        <v>Actro You(XL) 650/SiSy 70kg; EB21; ľavý</v>
      </c>
      <c r="BF55" s="22">
        <f>VLOOKUP(BD55,CENY!$B$11:$G$1054,3,FALSE)</f>
        <v>5</v>
      </c>
      <c r="BG55" s="22"/>
      <c r="BH55" s="23">
        <f>AY34</f>
        <v>0</v>
      </c>
      <c r="BI55" s="326">
        <f t="shared" si="2"/>
        <v>0</v>
      </c>
      <c r="BJ55" s="95">
        <f>VLOOKUP(BD55,CENY!$B$11:$M$2025,12,FALSE)</f>
        <v>462.41142000000002</v>
      </c>
      <c r="BK55" s="95">
        <f t="shared" si="3"/>
        <v>0</v>
      </c>
    </row>
    <row r="56" spans="47:63" ht="14.4" customHeight="1">
      <c r="AU56" s="319">
        <f>OBJ!B336</f>
        <v>9256933</v>
      </c>
      <c r="AV56" s="21" t="str">
        <f>VLOOKUP(AU56,CENY!$B$11:$G$1054,2,FALSE)</f>
        <v>Quadro You(M) 400/P2O 30kg; EB21</v>
      </c>
      <c r="AW56" s="22">
        <f>VLOOKUP(AU56,CENY!$B$11:$G$1054,3,FALSE)</f>
        <v>1</v>
      </c>
      <c r="AX56" s="362">
        <v>8</v>
      </c>
      <c r="AY56" s="23">
        <f>U30</f>
        <v>0</v>
      </c>
      <c r="AZ56" s="326">
        <f t="shared" si="1"/>
        <v>0</v>
      </c>
      <c r="BA56" s="95">
        <f>VLOOKUP(AU56,CENY!$B$11:$M$2025,12,FALSE)</f>
        <v>557.20162000000005</v>
      </c>
      <c r="BB56" s="95">
        <f t="shared" si="0"/>
        <v>0</v>
      </c>
      <c r="BD56" s="319">
        <f>OBJ!B282</f>
        <v>9318214</v>
      </c>
      <c r="BE56" s="21" t="str">
        <f>VLOOKUP(BD56,CENY!$B$11:$G$1054,2,FALSE)</f>
        <v>Actro You(XL) 650/SiSy 70kg; EB21; pravý</v>
      </c>
      <c r="BF56" s="22">
        <f>VLOOKUP(BD56,CENY!$B$11:$G$1054,3,FALSE)</f>
        <v>5</v>
      </c>
      <c r="BG56" s="22"/>
      <c r="BH56" s="23">
        <f>AY34</f>
        <v>0</v>
      </c>
      <c r="BI56" s="326">
        <f t="shared" si="2"/>
        <v>0</v>
      </c>
      <c r="BJ56" s="95">
        <f>VLOOKUP(BD56,CENY!$B$11:$M$2025,12,FALSE)</f>
        <v>462.41142000000002</v>
      </c>
      <c r="BK56" s="95">
        <f t="shared" si="3"/>
        <v>0</v>
      </c>
    </row>
    <row r="57" spans="47:63" ht="14.4" customHeight="1">
      <c r="AU57" s="319">
        <f>OBJ!B337</f>
        <v>9256935</v>
      </c>
      <c r="AV57" s="21" t="str">
        <f>VLOOKUP(AU57,CENY!$B$11:$G$1054,2,FALSE)</f>
        <v>Quadro You(M) 450/P2O 30kg; EB21</v>
      </c>
      <c r="AW57" s="22">
        <f>VLOOKUP(AU57,CENY!$B$11:$G$1054,3,FALSE)</f>
        <v>1</v>
      </c>
      <c r="AX57" s="362">
        <v>8</v>
      </c>
      <c r="AY57" s="23">
        <f>W30</f>
        <v>0</v>
      </c>
      <c r="AZ57" s="326">
        <f t="shared" si="1"/>
        <v>0</v>
      </c>
      <c r="BA57" s="95">
        <f>VLOOKUP(AU57,CENY!$B$11:$M$2025,12,FALSE)</f>
        <v>566.90911000000006</v>
      </c>
      <c r="BB57" s="95">
        <f t="shared" si="0"/>
        <v>0</v>
      </c>
      <c r="BD57" s="319"/>
      <c r="BE57" s="21"/>
      <c r="BF57" s="22"/>
      <c r="BG57" s="22"/>
      <c r="BH57" s="23"/>
      <c r="BI57" s="326" t="str">
        <f t="shared" si="2"/>
        <v/>
      </c>
      <c r="BJ57" s="95"/>
      <c r="BK57" s="95" t="str">
        <f t="shared" si="3"/>
        <v/>
      </c>
    </row>
    <row r="58" spans="47:63" ht="14.4" customHeight="1">
      <c r="AU58" s="319">
        <f>OBJ!B338</f>
        <v>9256937</v>
      </c>
      <c r="AV58" s="21" t="str">
        <f>VLOOKUP(AU58,CENY!$B$11:$G$1054,2,FALSE)</f>
        <v>Quadro You(M) 500/P2O 30kg; EB21</v>
      </c>
      <c r="AW58" s="22">
        <f>VLOOKUP(AU58,CENY!$B$11:$G$1054,3,FALSE)</f>
        <v>1</v>
      </c>
      <c r="AX58" s="362">
        <v>8</v>
      </c>
      <c r="AY58" s="23">
        <f>Y30</f>
        <v>0</v>
      </c>
      <c r="AZ58" s="326">
        <f t="shared" si="1"/>
        <v>0</v>
      </c>
      <c r="BA58" s="95">
        <f>VLOOKUP(AU58,CENY!$B$11:$M$2025,12,FALSE)</f>
        <v>139.41228000000001</v>
      </c>
      <c r="BB58" s="95">
        <f t="shared" si="0"/>
        <v>0</v>
      </c>
      <c r="BD58" s="319">
        <f>OBJ!B284</f>
        <v>9257890</v>
      </c>
      <c r="BE58" s="21" t="str">
        <f>VLOOKUP(BD58,CENY!$B$11:$G$1054,2,FALSE)</f>
        <v>Actro You - Push to open Silent; &lt;10kg</v>
      </c>
      <c r="BF58" s="22">
        <f>VLOOKUP(BD58,CENY!$B$11:$G$1054,3,FALSE)</f>
        <v>1</v>
      </c>
      <c r="BG58" s="22"/>
      <c r="BH58" s="23">
        <f>AY36</f>
        <v>0</v>
      </c>
      <c r="BI58" s="326">
        <f t="shared" si="2"/>
        <v>0</v>
      </c>
      <c r="BJ58" s="95">
        <f>VLOOKUP(BD58,CENY!$B$11:$M$2025,12,FALSE)</f>
        <v>481.81412999999998</v>
      </c>
      <c r="BK58" s="95">
        <f t="shared" si="3"/>
        <v>0</v>
      </c>
    </row>
    <row r="59" spans="47:63" ht="14.4" customHeight="1">
      <c r="AU59" s="319">
        <f>OBJ!B339</f>
        <v>9256939</v>
      </c>
      <c r="AV59" s="21" t="str">
        <f>VLOOKUP(AU59,CENY!$B$11:$G$1054,2,FALSE)</f>
        <v>Quadro You(M) 550/P2O 30kg; EB21</v>
      </c>
      <c r="AW59" s="22">
        <f>VLOOKUP(AU59,CENY!$B$11:$G$1054,3,FALSE)</f>
        <v>1</v>
      </c>
      <c r="AX59" s="362">
        <v>8</v>
      </c>
      <c r="AY59" s="23">
        <f>AA30</f>
        <v>0</v>
      </c>
      <c r="AZ59" s="326">
        <f t="shared" si="1"/>
        <v>0</v>
      </c>
      <c r="BA59" s="95">
        <f>VLOOKUP(AU59,CENY!$B$11:$M$2025,12,FALSE)</f>
        <v>586.3143</v>
      </c>
      <c r="BB59" s="95">
        <f t="shared" si="0"/>
        <v>0</v>
      </c>
      <c r="BD59" s="319">
        <f>OBJ!B285</f>
        <v>9257891</v>
      </c>
      <c r="BE59" s="21" t="str">
        <f>VLOOKUP(BD59,CENY!$B$11:$G$1054,2,FALSE)</f>
        <v>Actro You - Push to open Silent; 8-20kg</v>
      </c>
      <c r="BF59" s="22">
        <f>VLOOKUP(BD59,CENY!$B$11:$G$1054,3,FALSE)</f>
        <v>1</v>
      </c>
      <c r="BG59" s="22"/>
      <c r="BH59" s="23">
        <f>AY37</f>
        <v>0</v>
      </c>
      <c r="BI59" s="326">
        <f t="shared" si="2"/>
        <v>0</v>
      </c>
      <c r="BJ59" s="95">
        <f>VLOOKUP(BD59,CENY!$B$11:$M$2025,12,FALSE)</f>
        <v>481.81412999999998</v>
      </c>
      <c r="BK59" s="95">
        <f t="shared" si="3"/>
        <v>0</v>
      </c>
    </row>
    <row r="60" spans="47:63" ht="14.4" customHeight="1">
      <c r="AU60" s="319">
        <f>OBJ!B340</f>
        <v>9256941</v>
      </c>
      <c r="AV60" s="21" t="str">
        <f>VLOOKUP(AU60,CENY!$B$11:$G$1054,2,FALSE)</f>
        <v>Quadro You(M) 600/P2O 25kg; EB21</v>
      </c>
      <c r="AW60" s="22">
        <f>VLOOKUP(AU60,CENY!$B$11:$G$1054,3,FALSE)</f>
        <v>1</v>
      </c>
      <c r="AX60" s="362">
        <v>8</v>
      </c>
      <c r="AY60" s="23">
        <f>AC30</f>
        <v>0</v>
      </c>
      <c r="AZ60" s="326">
        <f t="shared" si="1"/>
        <v>0</v>
      </c>
      <c r="BA60" s="95">
        <f>VLOOKUP(AU60,CENY!$B$11:$M$2025,12,FALSE)</f>
        <v>596.01683000000003</v>
      </c>
      <c r="BB60" s="95">
        <f t="shared" si="0"/>
        <v>0</v>
      </c>
      <c r="BD60" s="319">
        <f>OBJ!B286</f>
        <v>9257892</v>
      </c>
      <c r="BE60" s="21" t="str">
        <f>VLOOKUP(BD60,CENY!$B$11:$G$1054,2,FALSE)</f>
        <v>Actro You - Push to open Silent; 10-40kg</v>
      </c>
      <c r="BF60" s="22">
        <f>VLOOKUP(BD60,CENY!$B$11:$G$1054,3,FALSE)</f>
        <v>1</v>
      </c>
      <c r="BG60" s="22"/>
      <c r="BH60" s="23">
        <f>AY38</f>
        <v>0</v>
      </c>
      <c r="BI60" s="326">
        <f t="shared" si="2"/>
        <v>0</v>
      </c>
      <c r="BJ60" s="95">
        <f>VLOOKUP(BD60,CENY!$B$11:$M$2025,12,FALSE)</f>
        <v>481.81412999999998</v>
      </c>
      <c r="BK60" s="95">
        <f t="shared" si="3"/>
        <v>0</v>
      </c>
    </row>
    <row r="61" spans="47:63" ht="14.4" customHeight="1">
      <c r="AU61" s="319"/>
      <c r="AV61" s="21"/>
      <c r="AW61" s="22"/>
      <c r="AX61" s="22"/>
      <c r="AY61" s="23"/>
      <c r="AZ61" s="326" t="str">
        <f t="shared" si="1"/>
        <v/>
      </c>
      <c r="BA61" s="95"/>
      <c r="BB61" s="95" t="str">
        <f t="shared" si="0"/>
        <v/>
      </c>
      <c r="BD61" s="319">
        <f>OBJ!B287</f>
        <v>9257893</v>
      </c>
      <c r="BE61" s="21" t="str">
        <f>VLOOKUP(BD61,CENY!$B$11:$G$1054,2,FALSE)</f>
        <v>Actro You - Push to open Silent; 20-70kg</v>
      </c>
      <c r="BF61" s="22">
        <f>VLOOKUP(BD61,CENY!$B$11:$G$1054,3,FALSE)</f>
        <v>1</v>
      </c>
      <c r="BG61" s="22"/>
      <c r="BH61" s="23">
        <f>AY39</f>
        <v>0</v>
      </c>
      <c r="BI61" s="326">
        <f t="shared" si="2"/>
        <v>0</v>
      </c>
      <c r="BJ61" s="95">
        <f>VLOOKUP(BD61,CENY!$B$11:$M$2025,12,FALSE)</f>
        <v>481.81412999999998</v>
      </c>
      <c r="BK61" s="95">
        <f t="shared" si="3"/>
        <v>0</v>
      </c>
    </row>
    <row r="62" spans="47:63" ht="14.4" customHeight="1">
      <c r="AU62" s="319">
        <f>OBJ!B358</f>
        <v>9219966</v>
      </c>
      <c r="AV62" s="21" t="str">
        <f>VLOOKUP(AU62,CENY!$B$11:$G$1054,2,FALSE)</f>
        <v>Push to open Synchro / adaptér typ A</v>
      </c>
      <c r="AW62" s="22">
        <f>VLOOKUP(AU62,CENY!$B$11:$G$1054,3,FALSE)</f>
        <v>200</v>
      </c>
      <c r="AX62" s="22"/>
      <c r="AY62" s="23">
        <f>2*SUM(Q30:AD30)</f>
        <v>0</v>
      </c>
      <c r="AZ62" s="326">
        <f t="shared" si="1"/>
        <v>0</v>
      </c>
      <c r="BA62" s="95">
        <f>VLOOKUP(AU62,CENY!$B$11:$M$2025,12,FALSE)</f>
        <v>16.488900000000001</v>
      </c>
      <c r="BB62" s="95">
        <f t="shared" si="0"/>
        <v>0</v>
      </c>
      <c r="BD62" s="319">
        <f>OBJ!B288</f>
        <v>9236718</v>
      </c>
      <c r="BE62" s="21" t="str">
        <f>VLOOKUP(BD62,CENY!$B$11:$G$1054,2,FALSE)</f>
        <v>Push to open Synchro / tyč 2.000 mm</v>
      </c>
      <c r="BF62" s="22">
        <f>VLOOKUP(BD62,CENY!$B$11:$G$1054,3,FALSE)</f>
        <v>100</v>
      </c>
      <c r="BG62" s="22"/>
      <c r="BH62" s="23">
        <f>AY40</f>
        <v>0</v>
      </c>
      <c r="BI62" s="326">
        <f t="shared" si="2"/>
        <v>0</v>
      </c>
      <c r="BJ62" s="95">
        <f>VLOOKUP(BD62,CENY!$B$11:$M$2025,12,FALSE)</f>
        <v>182.03933000000001</v>
      </c>
      <c r="BK62" s="95">
        <f t="shared" si="3"/>
        <v>0</v>
      </c>
    </row>
    <row r="63" spans="47:63" ht="14.4" customHeight="1">
      <c r="AU63" s="319"/>
      <c r="AV63" s="21"/>
      <c r="AW63" s="22"/>
      <c r="AX63" s="22"/>
      <c r="AY63" s="23"/>
      <c r="AZ63" s="326" t="str">
        <f t="shared" si="1"/>
        <v/>
      </c>
      <c r="BA63" s="95"/>
      <c r="BB63" s="95" t="str">
        <f t="shared" si="0"/>
        <v/>
      </c>
      <c r="BD63" s="319"/>
      <c r="BE63" s="21"/>
      <c r="BF63" s="22"/>
      <c r="BG63" s="22"/>
      <c r="BH63" s="23"/>
      <c r="BI63" s="326" t="str">
        <f t="shared" si="2"/>
        <v/>
      </c>
      <c r="BJ63" s="95"/>
      <c r="BK63" s="95" t="str">
        <f t="shared" si="3"/>
        <v/>
      </c>
    </row>
    <row r="64" spans="47:63" ht="14.4" customHeight="1">
      <c r="AU64" s="320">
        <v>9257258</v>
      </c>
      <c r="AV64" s="321" t="str">
        <f>VLOOKUP(AU64,CENY!$B$11:$G$1054,2,FALSE)</f>
        <v>AvanY-prích.čela Inlay s rozp.púzdrom/ v187</v>
      </c>
      <c r="AW64" s="22">
        <f>VLOOKUP(AU64,CENY!$B$11:$G$1054,3,FALSE)</f>
        <v>100</v>
      </c>
      <c r="AX64" s="22"/>
      <c r="AY64" s="68">
        <v>0</v>
      </c>
      <c r="AZ64" s="326">
        <f t="shared" si="1"/>
        <v>0</v>
      </c>
      <c r="BA64" s="95">
        <f>VLOOKUP(AU64,CENY!$B$11:$M$2025,12,FALSE)</f>
        <v>51.356920000000002</v>
      </c>
      <c r="BB64" s="95">
        <f t="shared" si="0"/>
        <v>0</v>
      </c>
      <c r="BD64" s="319">
        <f>OBJ!B301</f>
        <v>9256950</v>
      </c>
      <c r="BE64" s="21" t="str">
        <f>VLOOKUP(BD64,CENY!$B$11:$G$1054,2,FALSE)</f>
        <v>Quadro You(S) 350/SiSy 10kg; EB21; ľavý</v>
      </c>
      <c r="BF64" s="22">
        <f>VLOOKUP(BD64,CENY!$B$11:$G$1054,3,FALSE)</f>
        <v>20</v>
      </c>
      <c r="BG64" s="22"/>
      <c r="BH64" s="23">
        <f>AY42</f>
        <v>0</v>
      </c>
      <c r="BI64" s="326">
        <f t="shared" si="2"/>
        <v>0</v>
      </c>
      <c r="BJ64" s="95">
        <f>VLOOKUP(BD64,CENY!$B$11:$M$2025,12,FALSE)</f>
        <v>229.11434</v>
      </c>
      <c r="BK64" s="95">
        <f t="shared" si="3"/>
        <v>0</v>
      </c>
    </row>
    <row r="65" spans="1:63" ht="14.4" customHeight="1">
      <c r="AU65" s="319"/>
      <c r="AV65" s="21"/>
      <c r="AW65" s="22"/>
      <c r="AX65" s="22"/>
      <c r="AY65" s="23"/>
      <c r="AZ65" s="326" t="str">
        <f t="shared" si="1"/>
        <v/>
      </c>
      <c r="BA65" s="95"/>
      <c r="BB65" s="95" t="str">
        <f t="shared" si="0"/>
        <v/>
      </c>
      <c r="BD65" s="319">
        <f>OBJ!B302</f>
        <v>9256951</v>
      </c>
      <c r="BE65" s="21" t="str">
        <f>VLOOKUP(BD65,CENY!$B$11:$G$1054,2,FALSE)</f>
        <v>Quadro You(S) 350/SiSy 10kg; EB21; pravý</v>
      </c>
      <c r="BF65" s="22">
        <f>VLOOKUP(BD65,CENY!$B$11:$G$1054,3,FALSE)</f>
        <v>20</v>
      </c>
      <c r="BG65" s="22"/>
      <c r="BH65" s="23">
        <f>AY42</f>
        <v>0</v>
      </c>
      <c r="BI65" s="326">
        <f t="shared" si="2"/>
        <v>0</v>
      </c>
      <c r="BJ65" s="95">
        <f>VLOOKUP(BD65,CENY!$B$11:$M$2025,12,FALSE)</f>
        <v>229.11434</v>
      </c>
      <c r="BK65" s="95">
        <f t="shared" si="3"/>
        <v>0</v>
      </c>
    </row>
    <row r="66" spans="1:63" ht="12.9" customHeight="1" thickBot="1">
      <c r="A66" s="577"/>
      <c r="AU66" s="319">
        <f>OBJ!B214</f>
        <v>0</v>
      </c>
      <c r="AV66" s="21" t="e">
        <f>VLOOKUP(AU66,CENY!$B$11:$G$1054,2,FALSE)</f>
        <v>#N/A</v>
      </c>
      <c r="AW66" s="22" t="e">
        <f>VLOOKUP(AU66,CENY!$B$11:$G$1054,3,FALSE)</f>
        <v>#N/A</v>
      </c>
      <c r="AX66" s="22"/>
      <c r="AY66" s="68">
        <f>IF(FORM!AM21&lt;&gt;FORM!AW16,(2*(+SUM(O19:T19)+SUM(O20:AD20)+SUM(W22:AF22)+SUM(O27:T27)+SUM(O28:AD28)+SUM(O30:AD30))),0)</f>
        <v>0</v>
      </c>
      <c r="AZ66" s="326">
        <f t="shared" si="1"/>
        <v>0</v>
      </c>
      <c r="BA66" s="324" t="str">
        <f>IF(AU66=0,"",VLOOKUP(AU66,CENY!$B$11:$M$2025,12,FALSE))</f>
        <v/>
      </c>
      <c r="BB66" s="95" t="str">
        <f t="shared" si="0"/>
        <v/>
      </c>
      <c r="BD66" s="319"/>
      <c r="BE66" s="21"/>
      <c r="BF66" s="22"/>
      <c r="BG66" s="22"/>
      <c r="BH66" s="23"/>
      <c r="BI66" s="326" t="str">
        <f t="shared" si="2"/>
        <v/>
      </c>
      <c r="BJ66" s="95"/>
      <c r="BK66" s="95" t="str">
        <f t="shared" si="3"/>
        <v/>
      </c>
    </row>
    <row r="67" spans="1:63" ht="23.1" customHeight="1" thickBot="1">
      <c r="A67" s="577"/>
      <c r="B67" s="484" t="str">
        <f>verze!E13</f>
        <v>&lt;&lt;  zpět</v>
      </c>
      <c r="C67" s="485"/>
      <c r="D67" s="485"/>
      <c r="E67" s="486"/>
      <c r="G67" s="513" t="str">
        <f>verze!E6</f>
        <v xml:space="preserve"> Úvod</v>
      </c>
      <c r="H67" s="514"/>
      <c r="I67" s="514"/>
      <c r="J67" s="514"/>
      <c r="K67" s="515"/>
      <c r="O67" s="513" t="str">
        <f>verze!E7</f>
        <v xml:space="preserve"> Výběr zásuvek</v>
      </c>
      <c r="P67" s="514"/>
      <c r="Q67" s="514"/>
      <c r="R67" s="514"/>
      <c r="S67" s="515"/>
      <c r="U67" s="513" t="str">
        <f>verze!E8</f>
        <v xml:space="preserve"> </v>
      </c>
      <c r="V67" s="514"/>
      <c r="W67" s="514"/>
      <c r="X67" s="514"/>
      <c r="Y67" s="515"/>
      <c r="AA67" s="513" t="str">
        <f>verze!E9</f>
        <v xml:space="preserve"> </v>
      </c>
      <c r="AB67" s="514"/>
      <c r="AC67" s="514"/>
      <c r="AD67" s="514"/>
      <c r="AE67" s="515"/>
      <c r="AI67" s="513" t="str">
        <f>verze!E10</f>
        <v xml:space="preserve"> Objednávka</v>
      </c>
      <c r="AJ67" s="514"/>
      <c r="AK67" s="514"/>
      <c r="AL67" s="514"/>
      <c r="AM67" s="515"/>
      <c r="AO67" s="475" t="str">
        <f>verze!E14</f>
        <v>vpřed  &gt;&gt;</v>
      </c>
      <c r="AP67" s="476"/>
      <c r="AQ67" s="476"/>
      <c r="AR67" s="477"/>
      <c r="AU67" s="319"/>
      <c r="AV67" s="21"/>
      <c r="AW67" s="22"/>
      <c r="AX67" s="22"/>
      <c r="AY67" s="23"/>
      <c r="AZ67" s="326" t="str">
        <f t="shared" si="1"/>
        <v/>
      </c>
      <c r="BA67" s="95"/>
      <c r="BB67" s="95" t="str">
        <f t="shared" si="0"/>
        <v/>
      </c>
      <c r="BD67" s="319">
        <f>OBJ!B316</f>
        <v>9256860</v>
      </c>
      <c r="BE67" s="21" t="str">
        <f>VLOOKUP(BD67,CENY!$B$11:$G$1054,2,FALSE)</f>
        <v>Quadro You(M) 350/SiSy 25kg; EB21; ľavý</v>
      </c>
      <c r="BF67" s="22">
        <f>VLOOKUP(BD67,CENY!$B$11:$G$1054,3,FALSE)</f>
        <v>20</v>
      </c>
      <c r="BG67" s="22"/>
      <c r="BH67" s="23">
        <f>AY44</f>
        <v>0</v>
      </c>
      <c r="BI67" s="326">
        <f t="shared" si="2"/>
        <v>0</v>
      </c>
      <c r="BJ67" s="95">
        <f>VLOOKUP(BD67,CENY!$B$11:$M$2025,12,FALSE)</f>
        <v>229.11434</v>
      </c>
      <c r="BK67" s="95">
        <f t="shared" si="3"/>
        <v>0</v>
      </c>
    </row>
    <row r="68" spans="1:63" ht="12.9" customHeight="1">
      <c r="A68" s="577"/>
      <c r="AU68" s="319"/>
      <c r="AV68" s="21"/>
      <c r="AW68" s="22"/>
      <c r="AX68" s="22"/>
      <c r="AY68" s="23"/>
      <c r="AZ68" s="326" t="str">
        <f t="shared" si="1"/>
        <v/>
      </c>
      <c r="BA68" s="95"/>
      <c r="BB68" s="95" t="str">
        <f t="shared" si="0"/>
        <v/>
      </c>
      <c r="BD68" s="319">
        <f>OBJ!B317</f>
        <v>9256861</v>
      </c>
      <c r="BE68" s="21" t="str">
        <f>VLOOKUP(BD68,CENY!$B$11:$G$1054,2,FALSE)</f>
        <v>Quadro You(M) 350/SiSy 25kg; EB21; pravý</v>
      </c>
      <c r="BF68" s="22">
        <f>VLOOKUP(BD68,CENY!$B$11:$G$1054,3,FALSE)</f>
        <v>20</v>
      </c>
      <c r="BG68" s="22"/>
      <c r="BH68" s="23">
        <f>AY44</f>
        <v>0</v>
      </c>
      <c r="BI68" s="326">
        <f t="shared" si="2"/>
        <v>0</v>
      </c>
      <c r="BJ68" s="95">
        <f>VLOOKUP(BD68,CENY!$B$11:$M$2025,12,FALSE)</f>
        <v>229.11434</v>
      </c>
      <c r="BK68" s="95">
        <f t="shared" si="3"/>
        <v>0</v>
      </c>
    </row>
    <row r="69" spans="1:63" ht="23.1" customHeight="1">
      <c r="A69" s="577"/>
      <c r="B69" s="93" t="str">
        <f>B4</f>
        <v>Zásuvka AVANTECH YOU  187 Inlay</v>
      </c>
      <c r="C69" s="89"/>
      <c r="D69" s="89"/>
      <c r="E69" s="89"/>
      <c r="F69" s="89"/>
      <c r="G69" s="89"/>
      <c r="H69" s="89"/>
      <c r="I69" s="89"/>
      <c r="J69" s="89"/>
      <c r="K69" s="89"/>
      <c r="L69" s="89"/>
      <c r="M69" s="89"/>
      <c r="N69" s="89"/>
      <c r="O69" s="89"/>
      <c r="P69" s="89"/>
      <c r="Q69" s="89"/>
      <c r="R69" s="89"/>
      <c r="S69" s="89"/>
      <c r="T69" s="89"/>
      <c r="U69" s="89"/>
      <c r="V69" s="89"/>
      <c r="W69" s="89"/>
      <c r="X69" s="89"/>
      <c r="Y69" s="89"/>
      <c r="Z69" s="89"/>
      <c r="AA69" s="89"/>
      <c r="AB69" s="89"/>
      <c r="AC69" s="89"/>
      <c r="AD69" s="89"/>
      <c r="AE69" s="89"/>
      <c r="AF69" s="89"/>
      <c r="AG69" s="89"/>
      <c r="AH69" s="89"/>
      <c r="AI69" s="89"/>
      <c r="AJ69" s="89"/>
      <c r="AK69" s="89"/>
      <c r="AL69" s="89"/>
      <c r="AM69" s="89"/>
      <c r="AN69" s="89"/>
      <c r="AO69" s="89"/>
      <c r="AP69" s="89"/>
      <c r="AQ69" s="89"/>
      <c r="AR69" s="89"/>
      <c r="AU69" s="319"/>
      <c r="AV69" s="21"/>
      <c r="AW69" s="22"/>
      <c r="AX69" s="22"/>
      <c r="AY69" s="23"/>
      <c r="AZ69" s="326" t="str">
        <f t="shared" si="1"/>
        <v/>
      </c>
      <c r="BA69" s="95"/>
      <c r="BB69" s="95" t="str">
        <f t="shared" ref="BB69:BB112" si="4">IF(BA69="","",BA69*AY69)</f>
        <v/>
      </c>
      <c r="BD69" s="319">
        <f>OBJ!B318</f>
        <v>9256864</v>
      </c>
      <c r="BE69" s="21" t="str">
        <f>VLOOKUP(BD69,CENY!$B$11:$G$1054,2,FALSE)</f>
        <v>Quadro You(M) 400/SiSy 30kg; EB21; ľavý</v>
      </c>
      <c r="BF69" s="22">
        <f>VLOOKUP(BD69,CENY!$B$11:$G$1054,3,FALSE)</f>
        <v>20</v>
      </c>
      <c r="BG69" s="22"/>
      <c r="BH69" s="23">
        <f>AY45</f>
        <v>0</v>
      </c>
      <c r="BI69" s="326">
        <f t="shared" si="2"/>
        <v>0</v>
      </c>
      <c r="BJ69" s="95">
        <f>VLOOKUP(BD69,CENY!$B$11:$M$2025,12,FALSE)</f>
        <v>233.96566000000001</v>
      </c>
      <c r="BK69" s="95">
        <f t="shared" si="3"/>
        <v>0</v>
      </c>
    </row>
    <row r="70" spans="1:63" ht="14.4" customHeight="1">
      <c r="A70" s="577"/>
      <c r="AU70" s="319"/>
      <c r="AV70" s="21"/>
      <c r="AW70" s="22"/>
      <c r="AX70" s="22"/>
      <c r="AY70" s="23"/>
      <c r="AZ70" s="326" t="str">
        <f t="shared" ref="AZ70:AZ115" si="5">IF(AY70="","",IF($AW$4=1,AY70,0))</f>
        <v/>
      </c>
      <c r="BA70" s="95"/>
      <c r="BB70" s="95" t="str">
        <f t="shared" si="4"/>
        <v/>
      </c>
      <c r="BD70" s="319">
        <f>OBJ!B319</f>
        <v>9256865</v>
      </c>
      <c r="BE70" s="21" t="str">
        <f>VLOOKUP(BD70,CENY!$B$11:$G$1054,2,FALSE)</f>
        <v>Quadro You(M) 400/SiSy 30kg; EB21; pravý</v>
      </c>
      <c r="BF70" s="22">
        <f>VLOOKUP(BD70,CENY!$B$11:$G$1054,3,FALSE)</f>
        <v>20</v>
      </c>
      <c r="BG70" s="22"/>
      <c r="BH70" s="23">
        <f>AY45</f>
        <v>0</v>
      </c>
      <c r="BI70" s="326">
        <f t="shared" ref="BI70:BI115" si="6">IF(BH70="","",IF($AW$4=0,BH70,0))</f>
        <v>0</v>
      </c>
      <c r="BJ70" s="95">
        <f>VLOOKUP(BD70,CENY!$B$11:$M$2025,12,FALSE)</f>
        <v>233.96566000000001</v>
      </c>
      <c r="BK70" s="95">
        <f t="shared" ref="BK70:BK115" si="7">IF(BJ70="","",BJ70*BH70)</f>
        <v>0</v>
      </c>
    </row>
    <row r="71" spans="1:63" ht="14.4" customHeight="1">
      <c r="A71" s="577"/>
      <c r="AU71" s="319"/>
      <c r="AV71" s="21"/>
      <c r="AW71" s="22"/>
      <c r="AX71" s="22"/>
      <c r="AY71" s="23"/>
      <c r="AZ71" s="326" t="str">
        <f t="shared" si="5"/>
        <v/>
      </c>
      <c r="BA71" s="95"/>
      <c r="BB71" s="95" t="str">
        <f t="shared" si="4"/>
        <v/>
      </c>
      <c r="BD71" s="319">
        <f>OBJ!B320</f>
        <v>9256868</v>
      </c>
      <c r="BE71" s="21" t="str">
        <f>VLOOKUP(BD71,CENY!$B$11:$G$1054,2,FALSE)</f>
        <v>Quadro You(M) 450/SiSy 30kg; EB21; ľavý</v>
      </c>
      <c r="BF71" s="22">
        <f>VLOOKUP(BD71,CENY!$B$11:$G$1054,3,FALSE)</f>
        <v>20</v>
      </c>
      <c r="BG71" s="22"/>
      <c r="BH71" s="23">
        <f>AY46</f>
        <v>0</v>
      </c>
      <c r="BI71" s="326">
        <f t="shared" si="6"/>
        <v>0</v>
      </c>
      <c r="BJ71" s="95">
        <f>VLOOKUP(BD71,CENY!$B$11:$M$2025,12,FALSE)</f>
        <v>238.81201999999999</v>
      </c>
      <c r="BK71" s="95">
        <f t="shared" si="7"/>
        <v>0</v>
      </c>
    </row>
    <row r="72" spans="1:63" ht="14.4" customHeight="1">
      <c r="A72" s="577"/>
      <c r="AU72" s="319"/>
      <c r="AV72" s="21"/>
      <c r="AW72" s="22"/>
      <c r="AX72" s="22"/>
      <c r="AY72" s="23"/>
      <c r="AZ72" s="326" t="str">
        <f t="shared" si="5"/>
        <v/>
      </c>
      <c r="BA72" s="95"/>
      <c r="BB72" s="95" t="str">
        <f t="shared" si="4"/>
        <v/>
      </c>
      <c r="BD72" s="319">
        <f>OBJ!B321</f>
        <v>9256869</v>
      </c>
      <c r="BE72" s="21" t="str">
        <f>VLOOKUP(BD72,CENY!$B$11:$G$1054,2,FALSE)</f>
        <v>Quadro You(M) 450/SiSy 30kg; EB21; pravý</v>
      </c>
      <c r="BF72" s="22">
        <f>VLOOKUP(BD72,CENY!$B$11:$G$1054,3,FALSE)</f>
        <v>20</v>
      </c>
      <c r="BG72" s="22"/>
      <c r="BH72" s="23">
        <f>AY46</f>
        <v>0</v>
      </c>
      <c r="BI72" s="326">
        <f t="shared" si="6"/>
        <v>0</v>
      </c>
      <c r="BJ72" s="95">
        <f>VLOOKUP(BD72,CENY!$B$11:$M$2025,12,FALSE)</f>
        <v>238.81201999999999</v>
      </c>
      <c r="BK72" s="95">
        <f t="shared" si="7"/>
        <v>0</v>
      </c>
    </row>
    <row r="73" spans="1:63" ht="14.4" customHeight="1">
      <c r="A73" s="577"/>
      <c r="AU73" s="319"/>
      <c r="AV73" s="21"/>
      <c r="AW73" s="22"/>
      <c r="AX73" s="22"/>
      <c r="AY73" s="23"/>
      <c r="AZ73" s="326" t="str">
        <f t="shared" si="5"/>
        <v/>
      </c>
      <c r="BA73" s="95"/>
      <c r="BB73" s="95" t="str">
        <f t="shared" si="4"/>
        <v/>
      </c>
      <c r="BD73" s="319">
        <f>OBJ!B322</f>
        <v>9256872</v>
      </c>
      <c r="BE73" s="21" t="str">
        <f>VLOOKUP(BD73,CENY!$B$11:$G$1054,2,FALSE)</f>
        <v>Quadro You(M) 500/SiSy 30kg; EB21; ľavý</v>
      </c>
      <c r="BF73" s="22">
        <f>VLOOKUP(BD73,CENY!$B$11:$G$1054,3,FALSE)</f>
        <v>20</v>
      </c>
      <c r="BG73" s="22"/>
      <c r="BH73" s="23">
        <f>AY47</f>
        <v>0</v>
      </c>
      <c r="BI73" s="326">
        <f t="shared" si="6"/>
        <v>0</v>
      </c>
      <c r="BJ73" s="95">
        <f>VLOOKUP(BD73,CENY!$B$11:$M$2025,12,FALSE)</f>
        <v>237.18776</v>
      </c>
      <c r="BK73" s="95">
        <f t="shared" si="7"/>
        <v>0</v>
      </c>
    </row>
    <row r="74" spans="1:63" ht="14.4" customHeight="1">
      <c r="A74" s="577"/>
      <c r="AU74" s="319"/>
      <c r="AV74" s="21"/>
      <c r="AW74" s="22"/>
      <c r="AX74" s="22"/>
      <c r="AY74" s="23"/>
      <c r="AZ74" s="326" t="str">
        <f t="shared" si="5"/>
        <v/>
      </c>
      <c r="BA74" s="95"/>
      <c r="BB74" s="95" t="str">
        <f t="shared" si="4"/>
        <v/>
      </c>
      <c r="BD74" s="319">
        <f>OBJ!B323</f>
        <v>9256873</v>
      </c>
      <c r="BE74" s="21" t="str">
        <f>VLOOKUP(BD74,CENY!$B$11:$G$1054,2,FALSE)</f>
        <v>Quadro You(M) 500/SiSy 30kg; EB21; pravý</v>
      </c>
      <c r="BF74" s="22">
        <f>VLOOKUP(BD74,CENY!$B$11:$G$1054,3,FALSE)</f>
        <v>20</v>
      </c>
      <c r="BG74" s="22"/>
      <c r="BH74" s="23">
        <f>AY47</f>
        <v>0</v>
      </c>
      <c r="BI74" s="326">
        <f t="shared" si="6"/>
        <v>0</v>
      </c>
      <c r="BJ74" s="95">
        <f>VLOOKUP(BD74,CENY!$B$11:$M$2025,12,FALSE)</f>
        <v>237.18776</v>
      </c>
      <c r="BK74" s="95">
        <f t="shared" si="7"/>
        <v>0</v>
      </c>
    </row>
    <row r="75" spans="1:63" ht="14.4" customHeight="1">
      <c r="A75" s="577"/>
      <c r="AU75" s="319"/>
      <c r="AV75" s="21"/>
      <c r="AW75" s="22"/>
      <c r="AX75" s="22"/>
      <c r="AY75" s="23"/>
      <c r="AZ75" s="326" t="str">
        <f t="shared" si="5"/>
        <v/>
      </c>
      <c r="BA75" s="95"/>
      <c r="BB75" s="95" t="str">
        <f t="shared" si="4"/>
        <v/>
      </c>
      <c r="BD75" s="319">
        <f>OBJ!B324</f>
        <v>9256876</v>
      </c>
      <c r="BE75" s="21" t="str">
        <f>VLOOKUP(BD75,CENY!$B$11:$G$1054,2,FALSE)</f>
        <v>Quadro You(M) 550/SiSy 30kg; EB21; ľavý</v>
      </c>
      <c r="BF75" s="22">
        <f>VLOOKUP(BD75,CENY!$B$11:$G$1054,3,FALSE)</f>
        <v>20</v>
      </c>
      <c r="BG75" s="22"/>
      <c r="BH75" s="23">
        <f>AY48</f>
        <v>0</v>
      </c>
      <c r="BI75" s="326">
        <f t="shared" si="6"/>
        <v>0</v>
      </c>
      <c r="BJ75" s="95">
        <f>VLOOKUP(BD75,CENY!$B$11:$M$2025,12,FALSE)</f>
        <v>241.90996999999999</v>
      </c>
      <c r="BK75" s="95">
        <f t="shared" si="7"/>
        <v>0</v>
      </c>
    </row>
    <row r="76" spans="1:63" ht="14.4" customHeight="1">
      <c r="A76" s="577"/>
      <c r="AU76" s="319"/>
      <c r="AV76" s="21"/>
      <c r="AW76" s="22"/>
      <c r="AX76" s="22"/>
      <c r="AY76" s="23"/>
      <c r="AZ76" s="326" t="str">
        <f t="shared" si="5"/>
        <v/>
      </c>
      <c r="BA76" s="95"/>
      <c r="BB76" s="95" t="str">
        <f t="shared" si="4"/>
        <v/>
      </c>
      <c r="BD76" s="319">
        <f>OBJ!B325</f>
        <v>9256877</v>
      </c>
      <c r="BE76" s="21" t="str">
        <f>VLOOKUP(BD76,CENY!$B$11:$G$1054,2,FALSE)</f>
        <v>Quadro You(M) 550/SiSy 30kg; EB21; pravý</v>
      </c>
      <c r="BF76" s="22">
        <f>VLOOKUP(BD76,CENY!$B$11:$G$1054,3,FALSE)</f>
        <v>20</v>
      </c>
      <c r="BG76" s="22"/>
      <c r="BH76" s="23">
        <f>AY48</f>
        <v>0</v>
      </c>
      <c r="BI76" s="326">
        <f t="shared" si="6"/>
        <v>0</v>
      </c>
      <c r="BJ76" s="95">
        <f>VLOOKUP(BD76,CENY!$B$11:$M$2025,12,FALSE)</f>
        <v>248.51953</v>
      </c>
      <c r="BK76" s="95">
        <f t="shared" si="7"/>
        <v>0</v>
      </c>
    </row>
    <row r="77" spans="1:63" ht="14.4" customHeight="1">
      <c r="A77" s="577"/>
      <c r="AU77" s="319"/>
      <c r="AV77" s="21"/>
      <c r="AW77" s="22"/>
      <c r="AX77" s="22"/>
      <c r="AY77" s="23"/>
      <c r="AZ77" s="326" t="str">
        <f t="shared" si="5"/>
        <v/>
      </c>
      <c r="BA77" s="95"/>
      <c r="BB77" s="95" t="str">
        <f t="shared" si="4"/>
        <v/>
      </c>
      <c r="BD77" s="319">
        <f>OBJ!B326</f>
        <v>9256880</v>
      </c>
      <c r="BE77" s="21" t="str">
        <f>VLOOKUP(BD77,CENY!$B$11:$G$1054,2,FALSE)</f>
        <v>Quadro You(M) 600/SiSy 25kg; EB21; ľavý</v>
      </c>
      <c r="BF77" s="22">
        <f>VLOOKUP(BD77,CENY!$B$11:$G$1054,3,FALSE)</f>
        <v>20</v>
      </c>
      <c r="BG77" s="22"/>
      <c r="BH77" s="23">
        <f>AY49</f>
        <v>0</v>
      </c>
      <c r="BI77" s="326">
        <f t="shared" si="6"/>
        <v>0</v>
      </c>
      <c r="BJ77" s="95">
        <f>VLOOKUP(BD77,CENY!$B$11:$M$2025,12,FALSE)</f>
        <v>253.36837</v>
      </c>
      <c r="BK77" s="95">
        <f t="shared" si="7"/>
        <v>0</v>
      </c>
    </row>
    <row r="78" spans="1:63" ht="14.4" customHeight="1">
      <c r="A78" s="577"/>
      <c r="AU78" s="319"/>
      <c r="AV78" s="21"/>
      <c r="AW78" s="22"/>
      <c r="AX78" s="22"/>
      <c r="AY78" s="23"/>
      <c r="AZ78" s="326" t="str">
        <f t="shared" si="5"/>
        <v/>
      </c>
      <c r="BA78" s="95"/>
      <c r="BB78" s="95" t="str">
        <f t="shared" si="4"/>
        <v/>
      </c>
      <c r="BD78" s="319">
        <f>OBJ!B327</f>
        <v>9256881</v>
      </c>
      <c r="BE78" s="21" t="str">
        <f>VLOOKUP(BD78,CENY!$B$11:$G$1054,2,FALSE)</f>
        <v>Quadro You(M) 600/SiSy 25kg; EB21; pravý</v>
      </c>
      <c r="BF78" s="22">
        <f>VLOOKUP(BD78,CENY!$B$11:$G$1054,3,FALSE)</f>
        <v>20</v>
      </c>
      <c r="BG78" s="22"/>
      <c r="BH78" s="23">
        <f>AY49</f>
        <v>0</v>
      </c>
      <c r="BI78" s="326">
        <f t="shared" si="6"/>
        <v>0</v>
      </c>
      <c r="BJ78" s="95">
        <f>VLOOKUP(BD78,CENY!$B$11:$M$2025,12,FALSE)</f>
        <v>253.36837</v>
      </c>
      <c r="BK78" s="95">
        <f t="shared" si="7"/>
        <v>0</v>
      </c>
    </row>
    <row r="79" spans="1:63" ht="14.4" customHeight="1">
      <c r="A79" s="577"/>
      <c r="O79" s="576">
        <f>CEILING(O84/FLOOR(2000/O85,1),1)</f>
        <v>0</v>
      </c>
      <c r="P79" s="576"/>
      <c r="Q79" s="576">
        <f>CEILING(Q84/FLOOR(2000/Q85,1),1)</f>
        <v>0</v>
      </c>
      <c r="R79" s="576"/>
      <c r="S79" s="576">
        <f>CEILING(S84/FLOOR(2000/S85,1),1)</f>
        <v>0</v>
      </c>
      <c r="T79" s="576"/>
      <c r="U79" s="576">
        <f>CEILING(U84/FLOOR(2000/U85,1),1)</f>
        <v>0</v>
      </c>
      <c r="V79" s="576"/>
      <c r="W79" s="576"/>
      <c r="X79" s="576"/>
      <c r="Y79" s="576"/>
      <c r="Z79" s="576"/>
      <c r="AA79" s="576"/>
      <c r="AB79" s="576"/>
      <c r="AC79" s="576">
        <f>CEILING(AC84/FLOOR(2000/AC85,1),1)</f>
        <v>0</v>
      </c>
      <c r="AD79" s="576"/>
      <c r="AE79" s="576">
        <f>CEILING(AE84/FLOOR(2000/AE85,1),1)</f>
        <v>0</v>
      </c>
      <c r="AF79" s="576"/>
      <c r="AG79" s="576">
        <f>CEILING(AG84/FLOOR(2000/AG85,1),1)</f>
        <v>0</v>
      </c>
      <c r="AH79" s="576"/>
      <c r="AI79" s="576">
        <f>CEILING(AI84/FLOOR(2000/AI85,1),1)</f>
        <v>0</v>
      </c>
      <c r="AJ79" s="576"/>
      <c r="AU79" s="319"/>
      <c r="AV79" s="21"/>
      <c r="AW79" s="22"/>
      <c r="AX79" s="22"/>
      <c r="AY79" s="23"/>
      <c r="AZ79" s="326" t="str">
        <f t="shared" si="5"/>
        <v/>
      </c>
      <c r="BA79" s="95"/>
      <c r="BB79" s="95" t="str">
        <f t="shared" si="4"/>
        <v/>
      </c>
      <c r="BD79" s="319"/>
      <c r="BE79" s="21"/>
      <c r="BF79" s="22"/>
      <c r="BG79" s="22"/>
      <c r="BH79" s="23"/>
      <c r="BI79" s="326" t="str">
        <f t="shared" si="6"/>
        <v/>
      </c>
      <c r="BJ79" s="95"/>
      <c r="BK79" s="95" t="str">
        <f t="shared" si="7"/>
        <v/>
      </c>
    </row>
    <row r="80" spans="1:63" ht="14.4" customHeight="1">
      <c r="A80" s="577"/>
      <c r="O80" s="576">
        <f t="shared" ref="O80:AI80" si="8">CEILING(O84/FLOOR(2000/O85,1),1)</f>
        <v>0</v>
      </c>
      <c r="P80" s="576"/>
      <c r="Q80" s="576">
        <f t="shared" si="8"/>
        <v>0</v>
      </c>
      <c r="R80" s="576"/>
      <c r="S80" s="576">
        <f t="shared" si="8"/>
        <v>0</v>
      </c>
      <c r="T80" s="576"/>
      <c r="U80" s="576">
        <f t="shared" si="8"/>
        <v>0</v>
      </c>
      <c r="V80" s="576"/>
      <c r="W80" s="576">
        <f t="shared" si="8"/>
        <v>0</v>
      </c>
      <c r="X80" s="576"/>
      <c r="Y80" s="576">
        <f t="shared" si="8"/>
        <v>0</v>
      </c>
      <c r="Z80" s="576"/>
      <c r="AA80" s="576">
        <f t="shared" si="8"/>
        <v>0</v>
      </c>
      <c r="AB80" s="576"/>
      <c r="AC80" s="576">
        <f t="shared" si="8"/>
        <v>0</v>
      </c>
      <c r="AD80" s="576"/>
      <c r="AE80" s="576">
        <f t="shared" si="8"/>
        <v>0</v>
      </c>
      <c r="AF80" s="576"/>
      <c r="AG80" s="576">
        <f t="shared" si="8"/>
        <v>0</v>
      </c>
      <c r="AH80" s="576"/>
      <c r="AI80" s="576">
        <f t="shared" si="8"/>
        <v>0</v>
      </c>
      <c r="AJ80" s="576"/>
      <c r="AU80" s="319"/>
      <c r="AV80" s="21"/>
      <c r="AW80" s="22"/>
      <c r="AX80" s="22"/>
      <c r="AY80" s="23"/>
      <c r="AZ80" s="326" t="str">
        <f t="shared" si="5"/>
        <v/>
      </c>
      <c r="BA80" s="95"/>
      <c r="BB80" s="95" t="str">
        <f t="shared" si="4"/>
        <v/>
      </c>
      <c r="BD80" s="319">
        <f>OBJ!B329</f>
        <v>9257894</v>
      </c>
      <c r="BE80" s="21" t="str">
        <f>VLOOKUP(BD80,CENY!$B$11:$G$1054,2,FALSE)</f>
        <v>Quadro You - Push to open Silent; &lt;10kg</v>
      </c>
      <c r="BF80" s="22">
        <f>VLOOKUP(BD80,CENY!$B$11:$G$1054,3,FALSE)</f>
        <v>1</v>
      </c>
      <c r="BG80" s="22"/>
      <c r="BH80" s="23">
        <f>AY51</f>
        <v>0</v>
      </c>
      <c r="BI80" s="326">
        <f t="shared" si="6"/>
        <v>0</v>
      </c>
      <c r="BJ80" s="95">
        <f>VLOOKUP(BD80,CENY!$B$11:$M$2025,12,FALSE)</f>
        <v>480.50922000000003</v>
      </c>
      <c r="BK80" s="95">
        <f t="shared" si="7"/>
        <v>0</v>
      </c>
    </row>
    <row r="81" spans="1:63" ht="14.4" customHeight="1">
      <c r="A81" s="577"/>
      <c r="O81" s="575">
        <f>O85*O84</f>
        <v>0</v>
      </c>
      <c r="P81" s="575"/>
      <c r="Q81" s="575">
        <f>Q85*Q84</f>
        <v>0</v>
      </c>
      <c r="R81" s="575"/>
      <c r="S81" s="575">
        <f>S85*S84</f>
        <v>0</v>
      </c>
      <c r="T81" s="575"/>
      <c r="U81" s="575">
        <f>U85*U84</f>
        <v>0</v>
      </c>
      <c r="V81" s="575"/>
      <c r="W81" s="575">
        <f>W85*W84</f>
        <v>0</v>
      </c>
      <c r="X81" s="575"/>
      <c r="Y81" s="575">
        <f>Y85*Y84</f>
        <v>0</v>
      </c>
      <c r="Z81" s="575"/>
      <c r="AA81" s="575">
        <f>AA85*AA84</f>
        <v>0</v>
      </c>
      <c r="AB81" s="575"/>
      <c r="AC81" s="575">
        <f>AC85*AC84</f>
        <v>0</v>
      </c>
      <c r="AD81" s="575"/>
      <c r="AE81" s="575">
        <f>AE85*AE84</f>
        <v>0</v>
      </c>
      <c r="AF81" s="575"/>
      <c r="AG81" s="575">
        <f>AG85*AG84</f>
        <v>0</v>
      </c>
      <c r="AH81" s="575"/>
      <c r="AI81" s="575">
        <f>AI85*AI84</f>
        <v>0</v>
      </c>
      <c r="AJ81" s="575"/>
      <c r="AU81" s="319"/>
      <c r="AV81" s="21"/>
      <c r="AW81" s="22"/>
      <c r="AX81" s="22"/>
      <c r="AY81" s="23"/>
      <c r="AZ81" s="326" t="str">
        <f t="shared" si="5"/>
        <v/>
      </c>
      <c r="BA81" s="95"/>
      <c r="BB81" s="95" t="str">
        <f t="shared" si="4"/>
        <v/>
      </c>
      <c r="BD81" s="319">
        <f>OBJ!B330</f>
        <v>9257895</v>
      </c>
      <c r="BE81" s="21" t="str">
        <f>VLOOKUP(BD81,CENY!$B$11:$G$1054,2,FALSE)</f>
        <v>Quadro You - Push to open Silent; 8-20kg</v>
      </c>
      <c r="BF81" s="22">
        <f>VLOOKUP(BD81,CENY!$B$11:$G$1054,3,FALSE)</f>
        <v>1</v>
      </c>
      <c r="BG81" s="22"/>
      <c r="BH81" s="23">
        <f>AY52</f>
        <v>0</v>
      </c>
      <c r="BI81" s="326">
        <f t="shared" si="6"/>
        <v>0</v>
      </c>
      <c r="BJ81" s="95">
        <f>VLOOKUP(BD81,CENY!$B$11:$M$2025,12,FALSE)</f>
        <v>480.50922000000003</v>
      </c>
      <c r="BK81" s="95">
        <f t="shared" si="7"/>
        <v>0</v>
      </c>
    </row>
    <row r="82" spans="1:63" ht="14.4" customHeight="1" thickBot="1">
      <c r="A82" s="577"/>
      <c r="B82" s="1" t="str">
        <f>verze!E162</f>
        <v>Čelo na vnitřní zásuvku</v>
      </c>
      <c r="O82" s="581" t="str">
        <f>verze!E163</f>
        <v>vnější rozměry zásuvkové skřínky [mm]</v>
      </c>
      <c r="P82" s="582"/>
      <c r="Q82" s="582"/>
      <c r="R82" s="582"/>
      <c r="S82" s="582"/>
      <c r="T82" s="582"/>
      <c r="U82" s="582"/>
      <c r="V82" s="582"/>
      <c r="W82" s="582"/>
      <c r="X82" s="582"/>
      <c r="Y82" s="582"/>
      <c r="Z82" s="582"/>
      <c r="AA82" s="582"/>
      <c r="AB82" s="582"/>
      <c r="AC82" s="582"/>
      <c r="AD82" s="582"/>
      <c r="AE82" s="582"/>
      <c r="AF82" s="582"/>
      <c r="AG82" s="582"/>
      <c r="AH82" s="582"/>
      <c r="AI82" s="582"/>
      <c r="AJ82" s="582"/>
      <c r="AU82" s="319"/>
      <c r="AV82" s="21"/>
      <c r="AW82" s="22"/>
      <c r="AX82" s="22"/>
      <c r="AY82" s="23"/>
      <c r="AZ82" s="326" t="str">
        <f t="shared" si="5"/>
        <v/>
      </c>
      <c r="BA82" s="95"/>
      <c r="BB82" s="95" t="str">
        <f t="shared" si="4"/>
        <v/>
      </c>
      <c r="BD82" s="319">
        <f>OBJ!B331</f>
        <v>9257896</v>
      </c>
      <c r="BE82" s="21" t="str">
        <f>VLOOKUP(BD82,CENY!$B$11:$G$1054,2,FALSE)</f>
        <v>Quadro You - Push to open Silent; 10-30kg</v>
      </c>
      <c r="BF82" s="22">
        <f>VLOOKUP(BD82,CENY!$B$11:$G$1054,3,FALSE)</f>
        <v>1</v>
      </c>
      <c r="BG82" s="22"/>
      <c r="BH82" s="23">
        <f>AY53</f>
        <v>0</v>
      </c>
      <c r="BI82" s="326">
        <f t="shared" si="6"/>
        <v>0</v>
      </c>
      <c r="BJ82" s="95">
        <f>VLOOKUP(BD82,CENY!$B$11:$M$2025,12,FALSE)</f>
        <v>480.50922000000003</v>
      </c>
      <c r="BK82" s="95">
        <f t="shared" si="7"/>
        <v>0</v>
      </c>
    </row>
    <row r="83" spans="1:63" ht="14.4" customHeight="1" thickBot="1">
      <c r="A83" s="577"/>
      <c r="B83" s="96"/>
      <c r="C83" s="96"/>
      <c r="D83" s="96"/>
      <c r="E83" s="96"/>
      <c r="F83" s="96"/>
      <c r="G83" s="96"/>
      <c r="H83" s="72"/>
      <c r="I83" s="72"/>
      <c r="J83" s="72"/>
      <c r="K83" s="72"/>
      <c r="L83" s="72"/>
      <c r="M83" s="72"/>
      <c r="N83" s="72" t="str">
        <f>verze!E166&amp;" "</f>
        <v xml:space="preserve">Šířka korpusu: </v>
      </c>
      <c r="O83" s="535">
        <v>300</v>
      </c>
      <c r="P83" s="536"/>
      <c r="Q83" s="535">
        <v>400</v>
      </c>
      <c r="R83" s="536"/>
      <c r="S83" s="535">
        <v>450</v>
      </c>
      <c r="T83" s="536"/>
      <c r="U83" s="535">
        <v>500</v>
      </c>
      <c r="V83" s="536"/>
      <c r="W83" s="535">
        <v>550</v>
      </c>
      <c r="X83" s="536"/>
      <c r="Y83" s="535">
        <v>600</v>
      </c>
      <c r="Z83" s="536"/>
      <c r="AA83" s="535">
        <v>700</v>
      </c>
      <c r="AB83" s="536"/>
      <c r="AC83" s="535">
        <v>800</v>
      </c>
      <c r="AD83" s="536"/>
      <c r="AE83" s="535">
        <v>900</v>
      </c>
      <c r="AF83" s="584"/>
      <c r="AG83" s="535">
        <v>1000</v>
      </c>
      <c r="AH83" s="584"/>
      <c r="AI83" s="535">
        <v>1200</v>
      </c>
      <c r="AJ83" s="536"/>
      <c r="AU83" s="319">
        <f>OBJ!B196</f>
        <v>9257271</v>
      </c>
      <c r="AV83" s="21" t="str">
        <f>VLOOKUP(AU83,CENY!$B$11:$G$1054,2,FALSE)</f>
        <v>AvanY-čelo vnút.zásuvky /v187/d2000/strieb.</v>
      </c>
      <c r="AW83" s="22">
        <f>VLOOKUP(AU83,CENY!$B$11:$G$1054,3,FALSE)</f>
        <v>1</v>
      </c>
      <c r="AX83" s="22"/>
      <c r="AY83" s="23">
        <f>IF(AU87=0,0,IF(AU93&lt;2000,1,SUM(O80:AJ80)))</f>
        <v>0</v>
      </c>
      <c r="AZ83" s="326">
        <f>IF(AY83="","",IF($AW$4=1,AY83,0))</f>
        <v>0</v>
      </c>
      <c r="BA83" s="95">
        <f>VLOOKUP(AU83,CENY!$B$11:$M$2025,12,FALSE)</f>
        <v>2217.7650899999999</v>
      </c>
      <c r="BB83" s="95">
        <f t="shared" si="4"/>
        <v>0</v>
      </c>
      <c r="BD83" s="319"/>
      <c r="BE83" s="21"/>
      <c r="BF83" s="22"/>
      <c r="BG83" s="22"/>
      <c r="BH83" s="23"/>
      <c r="BI83" s="326" t="str">
        <f t="shared" si="6"/>
        <v/>
      </c>
      <c r="BJ83" s="95"/>
      <c r="BK83" s="95" t="str">
        <f t="shared" si="7"/>
        <v/>
      </c>
    </row>
    <row r="84" spans="1:63" ht="14.4" customHeight="1" thickBot="1">
      <c r="A84" s="577"/>
      <c r="B84" s="158" t="str">
        <f>" "&amp;verze!E167</f>
        <v xml:space="preserve"> ALU čelo</v>
      </c>
      <c r="C84" s="158"/>
      <c r="D84" s="158"/>
      <c r="E84" s="158"/>
      <c r="F84" s="158"/>
      <c r="G84" s="158"/>
      <c r="H84" s="158"/>
      <c r="I84" s="158"/>
      <c r="J84" s="158"/>
      <c r="K84" s="158"/>
      <c r="L84" s="158"/>
      <c r="M84" s="523"/>
      <c r="N84" s="546"/>
      <c r="O84" s="578"/>
      <c r="P84" s="579"/>
      <c r="Q84" s="578"/>
      <c r="R84" s="579"/>
      <c r="S84" s="578"/>
      <c r="T84" s="579"/>
      <c r="U84" s="578"/>
      <c r="V84" s="579"/>
      <c r="W84" s="578"/>
      <c r="X84" s="579"/>
      <c r="Y84" s="578"/>
      <c r="Z84" s="579"/>
      <c r="AA84" s="578"/>
      <c r="AB84" s="579"/>
      <c r="AC84" s="578"/>
      <c r="AD84" s="579"/>
      <c r="AE84" s="578"/>
      <c r="AF84" s="579"/>
      <c r="AG84" s="578"/>
      <c r="AH84" s="579"/>
      <c r="AI84" s="578"/>
      <c r="AJ84" s="583"/>
      <c r="AU84" s="319">
        <f>OBJ!B201</f>
        <v>9257623</v>
      </c>
      <c r="AV84" s="21" t="str">
        <f>VLOOKUP(AU84,CENY!$B$11:$G$1054,2,FALSE)</f>
        <v>AvanY-spojky čela vnút.Inlay/v187/strieb.</v>
      </c>
      <c r="AW84" s="22">
        <f>VLOOKUP(AU84,CENY!$B$11:$G$1054,3,FALSE)</f>
        <v>1</v>
      </c>
      <c r="AX84" s="22"/>
      <c r="AY84" s="23">
        <f>1*(+SUM(O19:T19)+SUM(O20:AD20)+SUM(W22:AF22)+SUM(O27:T27)+SUM(O28:AD28)+SUM(O30:AD30))</f>
        <v>0</v>
      </c>
      <c r="AZ84" s="326">
        <f>IF(AY84="","",IF($AW$4=1,AY84,0))</f>
        <v>0</v>
      </c>
      <c r="BA84" s="95">
        <f>VLOOKUP(AU84,CENY!$B$11:$M$2025,12,FALSE)</f>
        <v>150.04737</v>
      </c>
      <c r="BB84" s="95">
        <f t="shared" si="4"/>
        <v>0</v>
      </c>
      <c r="BD84" s="319">
        <f>OBJ!B345</f>
        <v>9256905</v>
      </c>
      <c r="BE84" s="21" t="str">
        <f>VLOOKUP(BD84,CENY!$B$11:$G$1054,2,FALSE)</f>
        <v>Quadro You(M) 350/P2O 25kg; EB21; ľavý</v>
      </c>
      <c r="BF84" s="22">
        <f>VLOOKUP(BD84,CENY!$B$11:$G$1054,3,FALSE)</f>
        <v>20</v>
      </c>
      <c r="BG84" s="22"/>
      <c r="BH84" s="23">
        <f>AY55</f>
        <v>0</v>
      </c>
      <c r="BI84" s="326">
        <f t="shared" si="6"/>
        <v>0</v>
      </c>
      <c r="BJ84" s="95">
        <f>VLOOKUP(BD84,CENY!$B$11:$M$2025,12,FALSE)</f>
        <v>258.22465999999997</v>
      </c>
      <c r="BK84" s="95">
        <f t="shared" si="7"/>
        <v>0</v>
      </c>
    </row>
    <row r="85" spans="1:63" ht="14.4" customHeight="1">
      <c r="A85" s="577"/>
      <c r="O85" s="580">
        <f>O83-2*FORM!$AM$24-12</f>
        <v>252</v>
      </c>
      <c r="P85" s="580"/>
      <c r="Q85" s="580">
        <f>Q83-2*FORM!$AM$24-12</f>
        <v>352</v>
      </c>
      <c r="R85" s="580"/>
      <c r="S85" s="580">
        <f>S83-2*FORM!$AM$24-12</f>
        <v>402</v>
      </c>
      <c r="T85" s="580"/>
      <c r="U85" s="580">
        <f>U83-2*FORM!$AM$24-12</f>
        <v>452</v>
      </c>
      <c r="V85" s="580"/>
      <c r="W85" s="580">
        <f>W83-2*FORM!$AM$24-12</f>
        <v>502</v>
      </c>
      <c r="X85" s="580"/>
      <c r="Y85" s="580">
        <f>Y83-2*FORM!$AM$24-12</f>
        <v>552</v>
      </c>
      <c r="Z85" s="580"/>
      <c r="AA85" s="580">
        <f>AA83-2*FORM!$AM$24-12</f>
        <v>652</v>
      </c>
      <c r="AB85" s="580"/>
      <c r="AC85" s="580">
        <f>AC83-2*FORM!$AM$24-12</f>
        <v>752</v>
      </c>
      <c r="AD85" s="580"/>
      <c r="AE85" s="580">
        <f>AE83-2*FORM!$AM$24-12</f>
        <v>852</v>
      </c>
      <c r="AF85" s="580"/>
      <c r="AG85" s="580">
        <f>AG83-2*FORM!$AM$24-12</f>
        <v>952</v>
      </c>
      <c r="AH85" s="580"/>
      <c r="AI85" s="580">
        <f>AI83-2*FORM!$AM$24-12</f>
        <v>1152</v>
      </c>
      <c r="AJ85" s="580"/>
      <c r="AU85" s="319"/>
      <c r="AV85" s="21"/>
      <c r="AW85" s="22"/>
      <c r="AX85" s="22"/>
      <c r="AY85" s="23"/>
      <c r="AZ85" s="326" t="str">
        <f t="shared" ref="AZ85:AZ95" si="9">IF(AY85="","",IF($AW$4=1,AY85,0))</f>
        <v/>
      </c>
      <c r="BA85" s="95"/>
      <c r="BB85" s="95" t="str">
        <f t="shared" si="4"/>
        <v/>
      </c>
      <c r="BD85" s="319">
        <f>OBJ!B346</f>
        <v>9256906</v>
      </c>
      <c r="BE85" s="21" t="str">
        <f>VLOOKUP(BD85,CENY!$B$11:$G$1054,2,FALSE)</f>
        <v>Quadro You(M) 350/P2O 25kg; EB21; pravý</v>
      </c>
      <c r="BF85" s="22">
        <f>VLOOKUP(BD85,CENY!$B$11:$G$1054,3,FALSE)</f>
        <v>20</v>
      </c>
      <c r="BG85" s="22"/>
      <c r="BH85" s="23">
        <f>AY55</f>
        <v>0</v>
      </c>
      <c r="BI85" s="326">
        <f t="shared" si="6"/>
        <v>0</v>
      </c>
      <c r="BJ85" s="95">
        <f>VLOOKUP(BD85,CENY!$B$11:$M$2025,12,FALSE)</f>
        <v>258.22465999999997</v>
      </c>
      <c r="BK85" s="95">
        <f t="shared" si="7"/>
        <v>0</v>
      </c>
    </row>
    <row r="86" spans="1:63" ht="14.4" customHeight="1">
      <c r="A86" s="577"/>
      <c r="AR86" s="157" t="str">
        <f>IF(AU89=0,verze!E169&amp;" "&amp;AU87&amp;" "&amp;verze!E170,"")</f>
        <v>Je potřebné vybrat 0 ks vnitřních čel.</v>
      </c>
      <c r="AU86" s="319"/>
      <c r="AV86" s="21"/>
      <c r="AW86" s="22"/>
      <c r="AX86" s="22"/>
      <c r="AY86" s="23"/>
      <c r="AZ86" s="326" t="str">
        <f t="shared" si="9"/>
        <v/>
      </c>
      <c r="BA86" s="95"/>
      <c r="BB86" s="95" t="str">
        <f t="shared" si="4"/>
        <v/>
      </c>
      <c r="BD86" s="319">
        <f>OBJ!B347</f>
        <v>9256909</v>
      </c>
      <c r="BE86" s="21" t="str">
        <f>VLOOKUP(BD86,CENY!$B$11:$G$1054,2,FALSE)</f>
        <v>Quadro You(M) 400/P2O 30kg; EB21; ľavý</v>
      </c>
      <c r="BF86" s="22">
        <f>VLOOKUP(BD86,CENY!$B$11:$G$1054,3,FALSE)</f>
        <v>20</v>
      </c>
      <c r="BG86" s="22"/>
      <c r="BH86" s="23">
        <f>AY56</f>
        <v>0</v>
      </c>
      <c r="BI86" s="326">
        <f t="shared" si="6"/>
        <v>0</v>
      </c>
      <c r="BJ86" s="95">
        <f>VLOOKUP(BD86,CENY!$B$11:$M$2025,12,FALSE)</f>
        <v>263.07337999999999</v>
      </c>
      <c r="BK86" s="95">
        <f t="shared" si="7"/>
        <v>0</v>
      </c>
    </row>
    <row r="87" spans="1:63" ht="14.4" customHeight="1">
      <c r="A87" s="577"/>
      <c r="V87" s="339"/>
      <c r="W87" s="339"/>
      <c r="X87" s="339"/>
      <c r="Y87" s="339"/>
      <c r="Z87" s="339"/>
      <c r="AA87" s="339"/>
      <c r="AB87" s="339"/>
      <c r="AC87" s="339"/>
      <c r="AR87" s="332" t="str">
        <f>IF(AU89=0,"",IF(AU87=AU89,verze!E174,IF(AU90&gt;0,verze!E171&amp;" "&amp;AU90&amp;" "&amp;verze!E170,verze!E172&amp;" "&amp;AU91&amp;" "&amp;verze!E173)))</f>
        <v/>
      </c>
      <c r="AU87" s="330">
        <f>1*(+SUM(O19:T19)+SUM(O20:AD20)+SUM(W22:AF22)+SUM(O27:T27)+SUM(O28:AD28)+SUM(O30:AD30))</f>
        <v>0</v>
      </c>
      <c r="AV87" s="329" t="s">
        <v>356</v>
      </c>
      <c r="AW87" s="22"/>
      <c r="AX87" s="22"/>
      <c r="AY87" s="23"/>
      <c r="AZ87" s="326" t="str">
        <f t="shared" si="9"/>
        <v/>
      </c>
      <c r="BA87" s="95"/>
      <c r="BB87" s="95" t="str">
        <f t="shared" si="4"/>
        <v/>
      </c>
      <c r="BD87" s="319">
        <f>OBJ!B348</f>
        <v>9256910</v>
      </c>
      <c r="BE87" s="21" t="str">
        <f>VLOOKUP(BD87,CENY!$B$11:$G$1054,2,FALSE)</f>
        <v>Quadro You(M) 400/P2O 30kg; EB21; pravý</v>
      </c>
      <c r="BF87" s="22">
        <f>VLOOKUP(BD87,CENY!$B$11:$G$1054,3,FALSE)</f>
        <v>20</v>
      </c>
      <c r="BG87" s="22"/>
      <c r="BH87" s="23">
        <f>AY56</f>
        <v>0</v>
      </c>
      <c r="BI87" s="326">
        <f t="shared" si="6"/>
        <v>0</v>
      </c>
      <c r="BJ87" s="95">
        <f>VLOOKUP(BD87,CENY!$B$11:$M$2025,12,FALSE)</f>
        <v>263.07337999999999</v>
      </c>
      <c r="BK87" s="95">
        <f t="shared" si="7"/>
        <v>0</v>
      </c>
    </row>
    <row r="88" spans="1:63" ht="14.4" customHeight="1">
      <c r="A88" s="577"/>
      <c r="V88" s="339"/>
      <c r="W88" s="339"/>
      <c r="X88" s="339"/>
      <c r="Y88" s="339"/>
      <c r="Z88" s="339"/>
      <c r="AA88" s="339"/>
      <c r="AB88" s="339"/>
      <c r="AC88" s="339"/>
      <c r="AU88" s="20"/>
      <c r="AV88" s="21"/>
      <c r="AW88" s="22"/>
      <c r="AX88" s="22"/>
      <c r="AY88" s="23"/>
      <c r="AZ88" s="326" t="str">
        <f t="shared" si="9"/>
        <v/>
      </c>
      <c r="BA88" s="95"/>
      <c r="BB88" s="95" t="str">
        <f t="shared" si="4"/>
        <v/>
      </c>
      <c r="BD88" s="319">
        <f>OBJ!B349</f>
        <v>9256913</v>
      </c>
      <c r="BE88" s="21" t="str">
        <f>VLOOKUP(BD88,CENY!$B$11:$G$1054,2,FALSE)</f>
        <v>Quadro You(M) 450/P2O 30kg; EB21; ľavý</v>
      </c>
      <c r="BF88" s="22">
        <f>VLOOKUP(BD88,CENY!$B$11:$G$1054,3,FALSE)</f>
        <v>20</v>
      </c>
      <c r="BG88" s="22"/>
      <c r="BH88" s="23">
        <f>AY57</f>
        <v>0</v>
      </c>
      <c r="BI88" s="326">
        <f t="shared" si="6"/>
        <v>0</v>
      </c>
      <c r="BJ88" s="95">
        <f>VLOOKUP(BD88,CENY!$B$11:$M$2025,12,FALSE)</f>
        <v>267.92221999999998</v>
      </c>
      <c r="BK88" s="95">
        <f t="shared" si="7"/>
        <v>0</v>
      </c>
    </row>
    <row r="89" spans="1:63" ht="14.4" customHeight="1">
      <c r="A89" s="577"/>
      <c r="V89" s="339"/>
      <c r="W89" s="339"/>
      <c r="X89" s="339"/>
      <c r="Y89" s="339"/>
      <c r="Z89" s="339"/>
      <c r="AA89" s="339"/>
      <c r="AB89" s="339"/>
      <c r="AC89" s="339"/>
      <c r="AU89" s="331">
        <f>SUM(O84:AJ84)</f>
        <v>0</v>
      </c>
      <c r="AV89" s="21" t="s">
        <v>357</v>
      </c>
      <c r="AW89" s="22"/>
      <c r="AX89" s="22"/>
      <c r="AY89" s="23"/>
      <c r="AZ89" s="326" t="str">
        <f t="shared" si="9"/>
        <v/>
      </c>
      <c r="BA89" s="95"/>
      <c r="BB89" s="95" t="str">
        <f t="shared" si="4"/>
        <v/>
      </c>
      <c r="BD89" s="319">
        <f>OBJ!B350</f>
        <v>9256914</v>
      </c>
      <c r="BE89" s="21" t="str">
        <f>VLOOKUP(BD89,CENY!$B$11:$G$1054,2,FALSE)</f>
        <v>Quadro You(M) 450/P2O 30kg; EB21; pravý</v>
      </c>
      <c r="BF89" s="22">
        <f>VLOOKUP(BD89,CENY!$B$11:$G$1054,3,FALSE)</f>
        <v>20</v>
      </c>
      <c r="BG89" s="22"/>
      <c r="BH89" s="23">
        <f>AY57</f>
        <v>0</v>
      </c>
      <c r="BI89" s="326">
        <f t="shared" si="6"/>
        <v>0</v>
      </c>
      <c r="BJ89" s="95">
        <f>VLOOKUP(BD89,CENY!$B$11:$M$2025,12,FALSE)</f>
        <v>267.92221999999998</v>
      </c>
      <c r="BK89" s="95">
        <f t="shared" si="7"/>
        <v>0</v>
      </c>
    </row>
    <row r="90" spans="1:63" ht="14.4" customHeight="1">
      <c r="A90" s="577"/>
      <c r="V90" s="339"/>
      <c r="W90" s="339"/>
      <c r="X90" s="339"/>
      <c r="Y90" s="339"/>
      <c r="Z90" s="339"/>
      <c r="AA90" s="339"/>
      <c r="AB90" s="339"/>
      <c r="AC90" s="339"/>
      <c r="AU90" s="22">
        <f>AU87-AU89</f>
        <v>0</v>
      </c>
      <c r="AV90" s="21"/>
      <c r="AW90" s="22"/>
      <c r="AX90" s="22"/>
      <c r="AY90" s="23"/>
      <c r="AZ90" s="326" t="str">
        <f t="shared" si="9"/>
        <v/>
      </c>
      <c r="BA90" s="95"/>
      <c r="BB90" s="95" t="str">
        <f t="shared" si="4"/>
        <v/>
      </c>
      <c r="BD90" s="319">
        <f>OBJ!B351</f>
        <v>9256917</v>
      </c>
      <c r="BE90" s="21" t="str">
        <f>VLOOKUP(BD90,CENY!$B$11:$G$1054,2,FALSE)</f>
        <v>Quadro You(M) 500/P2O 30kg; EB21; ľavý</v>
      </c>
      <c r="BF90" s="22">
        <f>VLOOKUP(BD90,CENY!$B$11:$G$1054,3,FALSE)</f>
        <v>20</v>
      </c>
      <c r="BG90" s="22"/>
      <c r="BH90" s="23">
        <f>AY58</f>
        <v>0</v>
      </c>
      <c r="BI90" s="326">
        <f t="shared" si="6"/>
        <v>0</v>
      </c>
      <c r="BJ90" s="95">
        <f>VLOOKUP(BD90,CENY!$B$11:$M$2025,12,FALSE)</f>
        <v>265.52375999999998</v>
      </c>
      <c r="BK90" s="95">
        <f t="shared" si="7"/>
        <v>0</v>
      </c>
    </row>
    <row r="91" spans="1:63" ht="14.4" customHeight="1">
      <c r="A91" s="577"/>
      <c r="V91" s="339"/>
      <c r="W91" s="339"/>
      <c r="X91" s="339"/>
      <c r="Y91" s="339"/>
      <c r="Z91" s="339"/>
      <c r="AA91" s="339"/>
      <c r="AB91" s="339"/>
      <c r="AC91" s="339"/>
      <c r="AU91" s="22">
        <f>ABS(AU90)</f>
        <v>0</v>
      </c>
      <c r="AV91" s="21"/>
      <c r="AW91" s="22"/>
      <c r="AX91" s="22"/>
      <c r="AY91" s="23"/>
      <c r="AZ91" s="326" t="str">
        <f t="shared" si="9"/>
        <v/>
      </c>
      <c r="BA91" s="95"/>
      <c r="BB91" s="95" t="str">
        <f t="shared" si="4"/>
        <v/>
      </c>
      <c r="BD91" s="319">
        <f>OBJ!B352</f>
        <v>9256918</v>
      </c>
      <c r="BE91" s="21" t="str">
        <f>VLOOKUP(BD91,CENY!$B$11:$G$1054,2,FALSE)</f>
        <v>Quadro You(M) 500/P2O 30kg; EB21; pravý</v>
      </c>
      <c r="BF91" s="22">
        <f>VLOOKUP(BD91,CENY!$B$11:$G$1054,3,FALSE)</f>
        <v>20</v>
      </c>
      <c r="BG91" s="22"/>
      <c r="BH91" s="23">
        <f>AY58</f>
        <v>0</v>
      </c>
      <c r="BI91" s="326">
        <f t="shared" si="6"/>
        <v>0</v>
      </c>
      <c r="BJ91" s="95">
        <f>VLOOKUP(BD91,CENY!$B$11:$M$2025,12,FALSE)</f>
        <v>265.52375999999998</v>
      </c>
      <c r="BK91" s="95">
        <f t="shared" si="7"/>
        <v>0</v>
      </c>
    </row>
    <row r="92" spans="1:63" ht="14.4" customHeight="1">
      <c r="A92" s="577"/>
      <c r="V92" s="339"/>
      <c r="W92" s="339"/>
      <c r="X92" s="339"/>
      <c r="Y92" s="339"/>
      <c r="Z92" s="339"/>
      <c r="AA92" s="339"/>
      <c r="AB92" s="339"/>
      <c r="AC92" s="339"/>
      <c r="AU92" s="20"/>
      <c r="AV92" s="21"/>
      <c r="AW92" s="22"/>
      <c r="AX92" s="22"/>
      <c r="AY92" s="23"/>
      <c r="AZ92" s="326" t="str">
        <f t="shared" si="9"/>
        <v/>
      </c>
      <c r="BA92" s="95"/>
      <c r="BB92" s="95" t="str">
        <f t="shared" si="4"/>
        <v/>
      </c>
      <c r="BD92" s="319">
        <f>OBJ!B353</f>
        <v>9256921</v>
      </c>
      <c r="BE92" s="21" t="str">
        <f>VLOOKUP(BD92,CENY!$B$11:$G$1054,2,FALSE)</f>
        <v>Quadro You(M) 550/P2O 30kg; EB21; ľavý</v>
      </c>
      <c r="BF92" s="22">
        <f>VLOOKUP(BD92,CENY!$B$11:$G$1054,3,FALSE)</f>
        <v>20</v>
      </c>
      <c r="BG92" s="22"/>
      <c r="BH92" s="23">
        <f>AY59</f>
        <v>0</v>
      </c>
      <c r="BI92" s="326">
        <f t="shared" si="6"/>
        <v>0</v>
      </c>
      <c r="BJ92" s="95">
        <f>VLOOKUP(BD92,CENY!$B$11:$M$2025,12,FALSE)</f>
        <v>270.22431</v>
      </c>
      <c r="BK92" s="95">
        <f t="shared" si="7"/>
        <v>0</v>
      </c>
    </row>
    <row r="93" spans="1:63" ht="14.4" customHeight="1">
      <c r="A93" s="577"/>
      <c r="AU93" s="22">
        <f>(AU89-1)*4+SUM(O81:AJ81)</f>
        <v>-4</v>
      </c>
      <c r="AV93" s="21" t="s">
        <v>358</v>
      </c>
      <c r="AW93" s="22"/>
      <c r="AX93" s="22"/>
      <c r="AY93" s="23"/>
      <c r="AZ93" s="326" t="str">
        <f t="shared" si="9"/>
        <v/>
      </c>
      <c r="BA93" s="95"/>
      <c r="BB93" s="95"/>
      <c r="BD93" s="319">
        <f>OBJ!B354</f>
        <v>9256922</v>
      </c>
      <c r="BE93" s="21" t="str">
        <f>VLOOKUP(BD93,CENY!$B$11:$G$1054,2,FALSE)</f>
        <v>Quadro You(M) 550/P2O 30kg; EB21; pravý</v>
      </c>
      <c r="BF93" s="22">
        <f>VLOOKUP(BD93,CENY!$B$11:$G$1054,3,FALSE)</f>
        <v>20</v>
      </c>
      <c r="BG93" s="22"/>
      <c r="BH93" s="23">
        <f>AY59</f>
        <v>0</v>
      </c>
      <c r="BI93" s="326">
        <f t="shared" si="6"/>
        <v>0</v>
      </c>
      <c r="BJ93" s="95">
        <f>VLOOKUP(BD93,CENY!$B$11:$M$2025,12,FALSE)</f>
        <v>277.60748999999998</v>
      </c>
      <c r="BK93" s="95">
        <f t="shared" si="7"/>
        <v>0</v>
      </c>
    </row>
    <row r="94" spans="1:63" ht="14.4" customHeight="1">
      <c r="A94" s="577"/>
      <c r="AU94" s="20"/>
      <c r="AV94" s="21"/>
      <c r="AW94" s="22"/>
      <c r="AX94" s="22"/>
      <c r="AY94" s="23"/>
      <c r="AZ94" s="326" t="str">
        <f t="shared" si="9"/>
        <v/>
      </c>
      <c r="BA94" s="95"/>
      <c r="BB94" s="95" t="str">
        <f t="shared" si="4"/>
        <v/>
      </c>
      <c r="BD94" s="319">
        <f>OBJ!B355</f>
        <v>9256925</v>
      </c>
      <c r="BE94" s="21" t="str">
        <f>VLOOKUP(BD94,CENY!$B$11:$G$1054,2,FALSE)</f>
        <v>Quadro You(M) 600/P2O 25kg; EB21; ľavý</v>
      </c>
      <c r="BF94" s="22">
        <f>VLOOKUP(BD94,CENY!$B$11:$G$1054,3,FALSE)</f>
        <v>20</v>
      </c>
      <c r="BG94" s="22"/>
      <c r="BH94" s="23">
        <f>AY60</f>
        <v>0</v>
      </c>
      <c r="BI94" s="326">
        <f t="shared" si="6"/>
        <v>0</v>
      </c>
      <c r="BJ94" s="95">
        <f>VLOOKUP(BD94,CENY!$B$11:$M$2025,12,FALSE)</f>
        <v>282.45375999999999</v>
      </c>
      <c r="BK94" s="95">
        <f t="shared" si="7"/>
        <v>0</v>
      </c>
    </row>
    <row r="95" spans="1:63" ht="14.4" customHeight="1">
      <c r="A95" s="577"/>
      <c r="AU95" s="20"/>
      <c r="AV95" s="21"/>
      <c r="AW95" s="22"/>
      <c r="AX95" s="22"/>
      <c r="AY95" s="23"/>
      <c r="AZ95" s="326" t="str">
        <f t="shared" si="9"/>
        <v/>
      </c>
      <c r="BA95" s="95"/>
      <c r="BB95" s="95" t="str">
        <f t="shared" si="4"/>
        <v/>
      </c>
      <c r="BD95" s="319">
        <f>OBJ!B356</f>
        <v>9256926</v>
      </c>
      <c r="BE95" s="21" t="str">
        <f>VLOOKUP(BD95,CENY!$B$11:$G$1054,2,FALSE)</f>
        <v>Quadro You(M) 600/P2O 25kg; EB21; pravý</v>
      </c>
      <c r="BF95" s="22">
        <f>VLOOKUP(BD95,CENY!$B$11:$G$1054,3,FALSE)</f>
        <v>20</v>
      </c>
      <c r="BG95" s="22"/>
      <c r="BH95" s="23">
        <f>AY60</f>
        <v>0</v>
      </c>
      <c r="BI95" s="326">
        <f t="shared" si="6"/>
        <v>0</v>
      </c>
      <c r="BJ95" s="95">
        <f>VLOOKUP(BD95,CENY!$B$11:$M$2025,12,FALSE)</f>
        <v>282.45375999999999</v>
      </c>
      <c r="BK95" s="95">
        <f t="shared" si="7"/>
        <v>0</v>
      </c>
    </row>
    <row r="96" spans="1:63" ht="14.4" customHeight="1">
      <c r="A96" s="577"/>
      <c r="AU96" s="20"/>
      <c r="AV96" s="21"/>
      <c r="AW96" s="22"/>
      <c r="AX96" s="22"/>
      <c r="AY96" s="23"/>
      <c r="AZ96" s="326" t="str">
        <f t="shared" si="5"/>
        <v/>
      </c>
      <c r="BA96" s="95"/>
      <c r="BB96" s="95" t="str">
        <f t="shared" si="4"/>
        <v/>
      </c>
      <c r="BD96" s="319"/>
      <c r="BE96" s="21"/>
      <c r="BF96" s="22"/>
      <c r="BG96" s="22"/>
      <c r="BH96" s="23"/>
      <c r="BI96" s="326" t="str">
        <f t="shared" si="6"/>
        <v/>
      </c>
      <c r="BJ96" s="95"/>
      <c r="BK96" s="95" t="str">
        <f t="shared" si="7"/>
        <v/>
      </c>
    </row>
    <row r="97" spans="1:63" ht="14.4" customHeight="1">
      <c r="A97" s="577"/>
      <c r="AU97" s="331">
        <f>SUM(O84:AJ84)</f>
        <v>0</v>
      </c>
      <c r="AV97" s="21" t="s">
        <v>357</v>
      </c>
      <c r="AW97" s="22"/>
      <c r="AX97" s="22"/>
      <c r="AY97" s="23"/>
      <c r="AZ97" s="326" t="str">
        <f t="shared" si="5"/>
        <v/>
      </c>
      <c r="BA97" s="95"/>
      <c r="BB97" s="95" t="str">
        <f t="shared" si="4"/>
        <v/>
      </c>
      <c r="BD97" s="319">
        <f>OBJ!B358</f>
        <v>9219966</v>
      </c>
      <c r="BE97" s="21" t="str">
        <f>VLOOKUP(BD97,CENY!$B$11:$G$1054,2,FALSE)</f>
        <v>Push to open Synchro / adaptér typ A</v>
      </c>
      <c r="BF97" s="22">
        <f>VLOOKUP(BD97,CENY!$B$11:$G$1054,3,FALSE)</f>
        <v>200</v>
      </c>
      <c r="BG97" s="22"/>
      <c r="BH97" s="23">
        <f>AY62</f>
        <v>0</v>
      </c>
      <c r="BI97" s="326">
        <f t="shared" si="6"/>
        <v>0</v>
      </c>
      <c r="BJ97" s="95">
        <f>VLOOKUP(BD97,CENY!$B$11:$M$2025,12,FALSE)</f>
        <v>16.488900000000001</v>
      </c>
      <c r="BK97" s="95">
        <f t="shared" si="7"/>
        <v>0</v>
      </c>
    </row>
    <row r="98" spans="1:63" ht="14.4" customHeight="1">
      <c r="A98" s="577"/>
      <c r="AU98" s="22">
        <f>AU95-AU97</f>
        <v>0</v>
      </c>
      <c r="AV98" s="21"/>
      <c r="AW98" s="22"/>
      <c r="AX98" s="22"/>
      <c r="AY98" s="23"/>
      <c r="AZ98" s="326" t="str">
        <f t="shared" si="5"/>
        <v/>
      </c>
      <c r="BA98" s="95"/>
      <c r="BB98" s="95" t="str">
        <f t="shared" si="4"/>
        <v/>
      </c>
      <c r="BD98" s="319"/>
      <c r="BE98" s="21"/>
      <c r="BF98" s="22"/>
      <c r="BG98" s="22"/>
      <c r="BH98" s="23"/>
      <c r="BI98" s="326" t="str">
        <f t="shared" si="6"/>
        <v/>
      </c>
      <c r="BJ98" s="95"/>
      <c r="BK98" s="95" t="str">
        <f t="shared" si="7"/>
        <v/>
      </c>
    </row>
    <row r="99" spans="1:63" ht="14.4" customHeight="1">
      <c r="A99" s="577"/>
      <c r="AU99" s="22">
        <f>ABS(AU98)</f>
        <v>0</v>
      </c>
      <c r="AV99" s="21"/>
      <c r="AW99" s="22"/>
      <c r="AX99" s="22"/>
      <c r="AY99" s="23"/>
      <c r="AZ99" s="326" t="str">
        <f t="shared" si="5"/>
        <v/>
      </c>
      <c r="BA99" s="95"/>
      <c r="BB99" s="95" t="str">
        <f t="shared" si="4"/>
        <v/>
      </c>
      <c r="BD99" s="319">
        <f>OBJ!B214</f>
        <v>0</v>
      </c>
      <c r="BE99" s="21" t="e">
        <f>VLOOKUP(BD99,CENY!$B$11:$G$1054,2,FALSE)</f>
        <v>#N/A</v>
      </c>
      <c r="BF99" s="22" t="e">
        <f>VLOOKUP(BD99,CENY!$B$11:$G$1054,3,FALSE)</f>
        <v>#N/A</v>
      </c>
      <c r="BG99" s="22"/>
      <c r="BH99" s="23">
        <f>AY66</f>
        <v>0</v>
      </c>
      <c r="BI99" s="326">
        <f t="shared" si="6"/>
        <v>0</v>
      </c>
      <c r="BJ99" s="324" t="str">
        <f>IF(BD99=0,"",VLOOKUP(BD99,CENY!$B$11:$M$2025,12,FALSE))</f>
        <v/>
      </c>
      <c r="BK99" s="95" t="str">
        <f t="shared" si="7"/>
        <v/>
      </c>
    </row>
    <row r="100" spans="1:63" ht="14.4" customHeight="1">
      <c r="A100" s="577"/>
      <c r="AU100" s="20"/>
      <c r="AV100" s="21"/>
      <c r="AW100" s="22"/>
      <c r="AX100" s="22"/>
      <c r="AY100" s="23"/>
      <c r="AZ100" s="326" t="str">
        <f t="shared" si="5"/>
        <v/>
      </c>
      <c r="BA100" s="95"/>
      <c r="BB100" s="95" t="str">
        <f t="shared" si="4"/>
        <v/>
      </c>
      <c r="BD100" s="319"/>
      <c r="BE100" s="21"/>
      <c r="BF100" s="22"/>
      <c r="BG100" s="22"/>
      <c r="BH100" s="23"/>
      <c r="BI100" s="326" t="str">
        <f t="shared" si="6"/>
        <v/>
      </c>
      <c r="BJ100" s="95"/>
      <c r="BK100" s="95" t="str">
        <f t="shared" si="7"/>
        <v/>
      </c>
    </row>
    <row r="101" spans="1:63">
      <c r="A101" s="577"/>
      <c r="AU101" s="22">
        <f>(AU97-1)*4+SUM(O80:AJ80)</f>
        <v>-4</v>
      </c>
      <c r="AV101" s="21" t="s">
        <v>358</v>
      </c>
      <c r="AW101" s="22"/>
      <c r="AX101" s="22"/>
      <c r="AY101" s="23"/>
      <c r="AZ101" s="326" t="str">
        <f t="shared" si="5"/>
        <v/>
      </c>
      <c r="BA101" s="95"/>
      <c r="BB101" s="95" t="str">
        <f t="shared" si="4"/>
        <v/>
      </c>
      <c r="BD101" s="319"/>
      <c r="BE101" s="21"/>
      <c r="BF101" s="22"/>
      <c r="BG101" s="22"/>
      <c r="BH101" s="23"/>
      <c r="BI101" s="326" t="str">
        <f t="shared" si="6"/>
        <v/>
      </c>
      <c r="BJ101" s="95"/>
      <c r="BK101" s="95" t="str">
        <f t="shared" si="7"/>
        <v/>
      </c>
    </row>
    <row r="102" spans="1:63">
      <c r="A102" s="577"/>
      <c r="AU102" s="20"/>
      <c r="AV102" s="21"/>
      <c r="AW102" s="22"/>
      <c r="AX102" s="22"/>
      <c r="AY102" s="23"/>
      <c r="AZ102" s="326" t="str">
        <f t="shared" si="5"/>
        <v/>
      </c>
      <c r="BA102" s="95"/>
      <c r="BB102" s="95" t="str">
        <f t="shared" si="4"/>
        <v/>
      </c>
      <c r="BD102" s="319">
        <f>OBJ!B196</f>
        <v>9257271</v>
      </c>
      <c r="BE102" s="21" t="str">
        <f>VLOOKUP(BD102,CENY!$B$11:$G$1054,2,FALSE)</f>
        <v>AvanY-čelo vnút.zásuvky /v187/d2000/strieb.</v>
      </c>
      <c r="BF102" s="22">
        <f>VLOOKUP(BD102,CENY!$B$11:$G$1054,3,FALSE)</f>
        <v>1</v>
      </c>
      <c r="BG102" s="22"/>
      <c r="BH102" s="23">
        <f>AY83</f>
        <v>0</v>
      </c>
      <c r="BI102" s="326">
        <f>IF(BH102="","",IF($AW$4=0,BH102,0))</f>
        <v>0</v>
      </c>
      <c r="BJ102" s="95">
        <f>VLOOKUP(BD102,CENY!$B$11:$M$2025,12,FALSE)</f>
        <v>2217.7650899999999</v>
      </c>
      <c r="BK102" s="95">
        <f t="shared" si="7"/>
        <v>0</v>
      </c>
    </row>
    <row r="103" spans="1:63">
      <c r="A103" s="577"/>
      <c r="AU103" s="335" t="str">
        <f>IF(AU97=0,verze!E169&amp;" "&amp;AU95&amp;" "&amp;verze!E170,"")</f>
        <v>Je potřebné vybrat  ks vnitřních čel.</v>
      </c>
      <c r="AV103" s="21"/>
      <c r="AW103" s="22"/>
      <c r="AX103" s="22"/>
      <c r="AY103" s="23"/>
      <c r="AZ103" s="326" t="str">
        <f t="shared" si="5"/>
        <v/>
      </c>
      <c r="BA103" s="95"/>
      <c r="BB103" s="95" t="str">
        <f t="shared" si="4"/>
        <v/>
      </c>
      <c r="BD103" s="319"/>
      <c r="BE103" s="21"/>
      <c r="BF103" s="22"/>
      <c r="BG103" s="22"/>
      <c r="BH103" s="23"/>
      <c r="BI103" s="326" t="str">
        <f>IF(BH103="","",IF($AW$4=0,BH103,0))</f>
        <v/>
      </c>
      <c r="BJ103" s="95"/>
      <c r="BK103" s="95" t="str">
        <f t="shared" si="7"/>
        <v/>
      </c>
    </row>
    <row r="104" spans="1:63">
      <c r="A104" s="577"/>
      <c r="AU104" s="335" t="str">
        <f>IF(AU97=0,"",IF(AU95=AU97,verze!E174,IF(AU98&gt;0,verze!E171&amp;" "&amp;AU98&amp;" "&amp;verze!E170,verze!E172&amp;" "&amp;AU99&amp;" "&amp;verze!E173)))</f>
        <v/>
      </c>
      <c r="AV104" s="21"/>
      <c r="AW104" s="22"/>
      <c r="AX104" s="22"/>
      <c r="AY104" s="23"/>
      <c r="AZ104" s="326" t="str">
        <f t="shared" si="5"/>
        <v/>
      </c>
      <c r="BA104" s="95"/>
      <c r="BB104" s="95" t="str">
        <f t="shared" si="4"/>
        <v/>
      </c>
      <c r="BD104" s="319">
        <f>OBJ!B203</f>
        <v>9257641</v>
      </c>
      <c r="BE104" s="21" t="str">
        <f>VLOOKUP(BD104,CENY!$B$11:$G$1054,2,FALSE)</f>
        <v>AvanY-stabilizátor čela vnút.zásuvky</v>
      </c>
      <c r="BF104" s="22">
        <f>VLOOKUP(BD104,CENY!$B$11:$G$1054,3,FALSE)</f>
        <v>100</v>
      </c>
      <c r="BG104" s="22"/>
      <c r="BH104" s="23">
        <f>AY84</f>
        <v>0</v>
      </c>
      <c r="BI104" s="326">
        <f>IF(BH104="","",IF($AW$4=0,BH104,0))</f>
        <v>0</v>
      </c>
      <c r="BJ104" s="95">
        <f>VLOOKUP(BD104,CENY!$B$11:$M$2025,12,FALSE)</f>
        <v>10.840870000000001</v>
      </c>
      <c r="BK104" s="95">
        <f t="shared" si="7"/>
        <v>0</v>
      </c>
    </row>
    <row r="105" spans="1:63">
      <c r="A105" s="577"/>
      <c r="AU105" s="20"/>
      <c r="AV105" s="21"/>
      <c r="AW105" s="22"/>
      <c r="AX105" s="22"/>
      <c r="AY105" s="23"/>
      <c r="AZ105" s="326" t="str">
        <f t="shared" si="5"/>
        <v/>
      </c>
      <c r="BA105" s="95"/>
      <c r="BB105" s="95" t="str">
        <f t="shared" si="4"/>
        <v/>
      </c>
      <c r="BD105" s="319">
        <f>OBJ!B206</f>
        <v>9257631</v>
      </c>
      <c r="BE105" s="21" t="str">
        <f>VLOOKUP(BD105,CENY!$B$11:$G$1054,2,FALSE)</f>
        <v>AvanY-krytka čela vnút.zás./v187/strieb.</v>
      </c>
      <c r="BF105" s="22">
        <f>VLOOKUP(BD105,CENY!$B$11:$G$1054,3,FALSE)</f>
        <v>200</v>
      </c>
      <c r="BG105" s="22"/>
      <c r="BH105" s="23">
        <f>2*AY84</f>
        <v>0</v>
      </c>
      <c r="BI105" s="326">
        <f>IF(BH105="","",IF($AW$4=0,BH105,0))</f>
        <v>0</v>
      </c>
      <c r="BJ105" s="95">
        <f>VLOOKUP(BD105,CENY!$B$11:$M$2025,12,FALSE)</f>
        <v>7.9287099999999997</v>
      </c>
      <c r="BK105" s="95">
        <f t="shared" si="7"/>
        <v>0</v>
      </c>
    </row>
    <row r="106" spans="1:63">
      <c r="AU106" s="20"/>
      <c r="AV106" s="21"/>
      <c r="AW106" s="22"/>
      <c r="AX106" s="22"/>
      <c r="AY106" s="23"/>
      <c r="AZ106" s="326" t="str">
        <f t="shared" si="5"/>
        <v/>
      </c>
      <c r="BA106" s="95"/>
      <c r="BB106" s="95" t="str">
        <f t="shared" si="4"/>
        <v/>
      </c>
      <c r="BD106" s="319"/>
      <c r="BE106" s="21"/>
      <c r="BF106" s="22"/>
      <c r="BG106" s="22"/>
      <c r="BH106" s="23"/>
      <c r="BI106" s="326"/>
      <c r="BJ106" s="95"/>
      <c r="BK106" s="95" t="str">
        <f t="shared" si="7"/>
        <v/>
      </c>
    </row>
    <row r="107" spans="1:63">
      <c r="AU107" s="319">
        <f>OBJ!B361</f>
        <v>45167</v>
      </c>
      <c r="AV107" s="21" t="str">
        <f>VLOOKUP(AU107,CENY!$B$11:$G$1054,2,FALSE)</f>
        <v>Skrutka s polgul.hlavou 3,5x12mm</v>
      </c>
      <c r="AW107" s="22">
        <f>VLOOKUP(AU107,CENY!$B$11:$G$1054,3,FALSE)</f>
        <v>200</v>
      </c>
      <c r="AX107" s="22"/>
      <c r="AY107" s="23">
        <f>SUMPRODUCT(AX5:AX11,AY5:AY11)</f>
        <v>0</v>
      </c>
      <c r="AZ107" s="326">
        <f>IF(AY107="","",IF($AW$4=1,AY107,0))</f>
        <v>0</v>
      </c>
      <c r="BA107" s="95">
        <f>VLOOKUP(AU107,CENY!$B$11:$M$2025,12,FALSE)</f>
        <v>0.84719999999999995</v>
      </c>
      <c r="BB107" s="95">
        <f>IF(BA107="","",BA107*AY107)</f>
        <v>0</v>
      </c>
      <c r="BC107" s="86" t="s">
        <v>396</v>
      </c>
      <c r="BD107" s="319">
        <f>OBJ!B361</f>
        <v>45167</v>
      </c>
      <c r="BE107" s="21" t="str">
        <f>VLOOKUP(BD107,CENY!$B$11:$G$1054,2,FALSE)</f>
        <v>Skrutka s polgul.hlavou 3,5x12mm</v>
      </c>
      <c r="BF107" s="22">
        <f>VLOOKUP(BD107,CENY!$B$11:$G$1054,3,FALSE)</f>
        <v>200</v>
      </c>
      <c r="BG107" s="22"/>
      <c r="BH107" s="23">
        <f>AY107+BH21*2+BH104</f>
        <v>0</v>
      </c>
      <c r="BI107" s="326">
        <f>IF(BH107="","",IF($AW$4=0,BH107,0))</f>
        <v>0</v>
      </c>
      <c r="BJ107" s="95">
        <f>VLOOKUP(BD107,CENY!$B$11:$M$2025,12,FALSE)</f>
        <v>0.84719999999999995</v>
      </c>
      <c r="BK107" s="95">
        <f>IF(BJ107="","",BJ107*BH107)</f>
        <v>0</v>
      </c>
    </row>
    <row r="108" spans="1:63">
      <c r="AU108" s="319">
        <f>OBJ!B362</f>
        <v>45168</v>
      </c>
      <c r="AV108" s="21" t="str">
        <f>VLOOKUP(AU108,CENY!$B$11:$G$1054,2,FALSE)</f>
        <v>Skrutka s polgul.hlavou 3,5x20mm</v>
      </c>
      <c r="AW108" s="22">
        <f>VLOOKUP(AU108,CENY!$B$11:$G$1054,3,FALSE)</f>
        <v>200</v>
      </c>
      <c r="AX108" s="22"/>
      <c r="AY108" s="360">
        <v>0</v>
      </c>
      <c r="AZ108" s="326">
        <f>IF(AY108="","",IF($AW$4=1,AY108,0))</f>
        <v>0</v>
      </c>
      <c r="BA108" s="95">
        <f>VLOOKUP(AU108,CENY!$B$11:$M$2025,12,FALSE)</f>
        <v>1.2154199999999999</v>
      </c>
      <c r="BB108" s="95">
        <f>IF(BA108="","",BA108*AY108)</f>
        <v>0</v>
      </c>
      <c r="BC108" s="86" t="s">
        <v>397</v>
      </c>
      <c r="BD108" s="319">
        <f>OBJ!B362</f>
        <v>45168</v>
      </c>
      <c r="BE108" s="21" t="str">
        <f>VLOOKUP(BD108,CENY!$B$11:$G$1054,2,FALSE)</f>
        <v>Skrutka s polgul.hlavou 3,5x20mm</v>
      </c>
      <c r="BF108" s="22">
        <f>VLOOKUP(BD108,CENY!$B$11:$G$1054,3,FALSE)</f>
        <v>200</v>
      </c>
      <c r="BG108" s="22"/>
      <c r="BH108" s="360">
        <v>0</v>
      </c>
      <c r="BI108" s="326">
        <f>IF(BH108="","",IF($AW$4=0,BH108,0))</f>
        <v>0</v>
      </c>
      <c r="BJ108" s="95">
        <f>VLOOKUP(BD108,CENY!$B$11:$M$2025,12,FALSE)</f>
        <v>1.2154199999999999</v>
      </c>
      <c r="BK108" s="95">
        <f>IF(BJ108="","",BJ108*BH108)</f>
        <v>0</v>
      </c>
    </row>
    <row r="109" spans="1:63">
      <c r="AU109" s="319">
        <f>OBJ!B363</f>
        <v>9278224</v>
      </c>
      <c r="AV109" s="21" t="str">
        <f>VLOOKUP(AU109,CENY!$B$11:$G$1054,2,FALSE)</f>
        <v>Skrutka s polgul.hlavou 3,5x30mm</v>
      </c>
      <c r="AW109" s="22">
        <f>VLOOKUP(AU109,CENY!$B$11:$G$1054,3,FALSE)</f>
        <v>200</v>
      </c>
      <c r="AX109" s="22"/>
      <c r="AY109" s="360">
        <v>0</v>
      </c>
      <c r="AZ109" s="326">
        <f>IF(AY109="","",IF($AW$4=1,AY109,0))</f>
        <v>0</v>
      </c>
      <c r="BA109" s="95">
        <f>VLOOKUP(AU109,CENY!$B$11:$M$2025,12,FALSE)</f>
        <v>0.89337999999999995</v>
      </c>
      <c r="BB109" s="95">
        <f>IF(BA109="","",BA109*AY109)</f>
        <v>0</v>
      </c>
      <c r="BC109" s="86" t="s">
        <v>398</v>
      </c>
      <c r="BD109" s="319">
        <f>OBJ!B363</f>
        <v>9278224</v>
      </c>
      <c r="BE109" s="21" t="str">
        <f>VLOOKUP(BD109,CENY!$B$11:$G$1054,2,FALSE)</f>
        <v>Skrutka s polgul.hlavou 3,5x30mm</v>
      </c>
      <c r="BF109" s="22">
        <f>VLOOKUP(BD109,CENY!$B$11:$G$1054,3,FALSE)</f>
        <v>200</v>
      </c>
      <c r="BG109" s="22"/>
      <c r="BH109" s="360">
        <f>2*SUM(BH5:BH18)</f>
        <v>0</v>
      </c>
      <c r="BI109" s="326">
        <f>IF(BH109="","",IF($AW$4=0,BH109,0))</f>
        <v>0</v>
      </c>
      <c r="BJ109" s="95">
        <f>VLOOKUP(BD109,CENY!$B$11:$M$2025,12,FALSE)</f>
        <v>0.89337999999999995</v>
      </c>
      <c r="BK109" s="95">
        <f>IF(BJ109="","",BJ109*BH109)</f>
        <v>0</v>
      </c>
    </row>
    <row r="110" spans="1:63">
      <c r="AU110" s="319">
        <f>OBJ!B364</f>
        <v>9279197</v>
      </c>
      <c r="AV110" s="21" t="str">
        <f>VLOOKUP(AU110,CENY!$B$11:$G$1054,2,FALSE)</f>
        <v>Skrutka s polgul.hlavou M3,5x12mm</v>
      </c>
      <c r="AW110" s="22">
        <f>VLOOKUP(AU110,CENY!$B$11:$G$1054,3,FALSE)</f>
        <v>1000</v>
      </c>
      <c r="AX110" s="22"/>
      <c r="AY110" s="68">
        <v>0</v>
      </c>
      <c r="AZ110" s="326">
        <f>IF(AY110="","",IF($AW$4=1,AY110,0))</f>
        <v>0</v>
      </c>
      <c r="BA110" s="95">
        <f>VLOOKUP(AU110,CENY!$B$11:$M$2025,12,FALSE)</f>
        <v>0</v>
      </c>
      <c r="BB110" s="95">
        <f>IF(BA110="","",BA110*AY110)</f>
        <v>0</v>
      </c>
      <c r="BC110" s="86" t="s">
        <v>399</v>
      </c>
      <c r="BD110" s="319">
        <f>OBJ!B364</f>
        <v>9279197</v>
      </c>
      <c r="BE110" s="21" t="str">
        <f>VLOOKUP(BD110,CENY!$B$11:$G$1054,2,FALSE)</f>
        <v>Skrutka s polgul.hlavou M3,5x12mm</v>
      </c>
      <c r="BF110" s="22">
        <f>VLOOKUP(BD110,CENY!$B$11:$G$1054,3,FALSE)</f>
        <v>1000</v>
      </c>
      <c r="BG110" s="22"/>
      <c r="BH110" s="68">
        <f>3*BH20</f>
        <v>0</v>
      </c>
      <c r="BI110" s="326">
        <f>IF(BH110="","",IF($AW$4=0,BH110,0))</f>
        <v>0</v>
      </c>
      <c r="BJ110" s="95">
        <f>VLOOKUP(BD110,CENY!$B$11:$M$2025,12,FALSE)</f>
        <v>0</v>
      </c>
      <c r="BK110" s="95">
        <f>IF(BJ110="","",BJ110*BH110)</f>
        <v>0</v>
      </c>
    </row>
    <row r="111" spans="1:63">
      <c r="AU111" s="319">
        <f>OBJ!B365</f>
        <v>9137114</v>
      </c>
      <c r="AV111" s="21" t="str">
        <f>VLOOKUP(AU111,CENY!$B$11:$G$1054,2,FALSE)</f>
        <v>EURO-skrutka  6,0x14mm / niklovaná</v>
      </c>
      <c r="AW111" s="22">
        <f>VLOOKUP(AU111,CENY!$B$11:$G$1054,3,FALSE)</f>
        <v>200</v>
      </c>
      <c r="AX111" s="22"/>
      <c r="AY111" s="23">
        <f>SUMPRODUCT(AX21:AX60,AY21:AY60)</f>
        <v>0</v>
      </c>
      <c r="AZ111" s="326">
        <f>IF(AY111="","",IF($AW$4=1,AY111,0))</f>
        <v>0</v>
      </c>
      <c r="BA111" s="95">
        <f>VLOOKUP(AU111,CENY!$B$11:$M$2025,12,FALSE)</f>
        <v>1.8839300000000001</v>
      </c>
      <c r="BB111" s="95">
        <f>IF(BA111="","",BA111*AY111)</f>
        <v>0</v>
      </c>
      <c r="BC111" s="86" t="s">
        <v>400</v>
      </c>
      <c r="BD111" s="319">
        <f>OBJ!B365</f>
        <v>9137114</v>
      </c>
      <c r="BE111" s="21" t="str">
        <f>VLOOKUP(BD111,CENY!$B$11:$G$1054,2,FALSE)</f>
        <v>EURO-skrutka  6,0x14mm / niklovaná</v>
      </c>
      <c r="BF111" s="22">
        <f>VLOOKUP(BD111,CENY!$B$11:$G$1054,3,FALSE)</f>
        <v>200</v>
      </c>
      <c r="BG111" s="22"/>
      <c r="BH111" s="23">
        <f>AY111</f>
        <v>0</v>
      </c>
      <c r="BI111" s="326">
        <f>IF(BH111="","",IF($AW$4=0,BH111,0))</f>
        <v>0</v>
      </c>
      <c r="BJ111" s="95">
        <f>VLOOKUP(BD111,CENY!$B$11:$M$2025,12,FALSE)</f>
        <v>1.8839300000000001</v>
      </c>
      <c r="BK111" s="95">
        <f>IF(BJ111="","",BJ111*BH111)</f>
        <v>0</v>
      </c>
    </row>
    <row r="112" spans="1:63">
      <c r="AU112" s="20"/>
      <c r="AV112" s="21"/>
      <c r="AW112" s="22"/>
      <c r="AX112" s="22"/>
      <c r="AY112" s="23"/>
      <c r="AZ112" s="326" t="str">
        <f t="shared" si="5"/>
        <v/>
      </c>
      <c r="BA112" s="95"/>
      <c r="BB112" s="95" t="str">
        <f t="shared" si="4"/>
        <v/>
      </c>
      <c r="BD112" s="319"/>
      <c r="BE112" s="21"/>
      <c r="BF112" s="22"/>
      <c r="BG112" s="22"/>
      <c r="BH112" s="23"/>
      <c r="BI112" s="326" t="str">
        <f t="shared" si="6"/>
        <v/>
      </c>
      <c r="BJ112" s="95"/>
      <c r="BK112" s="95" t="str">
        <f t="shared" si="7"/>
        <v/>
      </c>
    </row>
    <row r="113" spans="47:63">
      <c r="AU113" s="20"/>
      <c r="AV113" s="21"/>
      <c r="AW113" s="22"/>
      <c r="AX113" s="22"/>
      <c r="AY113" s="23"/>
      <c r="AZ113" s="326" t="str">
        <f t="shared" si="5"/>
        <v/>
      </c>
      <c r="BA113" s="95"/>
      <c r="BB113" s="95" t="str">
        <f>IF(BA113="","",BA113*AY113)</f>
        <v/>
      </c>
      <c r="BD113" s="319"/>
      <c r="BE113" s="21"/>
      <c r="BF113" s="22"/>
      <c r="BG113" s="22"/>
      <c r="BH113" s="23"/>
      <c r="BI113" s="326" t="str">
        <f t="shared" si="6"/>
        <v/>
      </c>
      <c r="BJ113" s="95"/>
      <c r="BK113" s="95" t="str">
        <f t="shared" si="7"/>
        <v/>
      </c>
    </row>
    <row r="114" spans="47:63">
      <c r="AU114" s="20"/>
      <c r="AV114" s="21"/>
      <c r="AW114" s="22"/>
      <c r="AX114" s="22"/>
      <c r="AY114" s="23"/>
      <c r="AZ114" s="326" t="str">
        <f t="shared" si="5"/>
        <v/>
      </c>
      <c r="BA114" s="95"/>
      <c r="BB114" s="95" t="str">
        <f>IF(BA114="","",BA114*AY114)</f>
        <v/>
      </c>
      <c r="BD114" s="319"/>
      <c r="BE114" s="21"/>
      <c r="BF114" s="22"/>
      <c r="BG114" s="22"/>
      <c r="BH114" s="23"/>
      <c r="BI114" s="326" t="str">
        <f t="shared" si="6"/>
        <v/>
      </c>
      <c r="BJ114" s="95"/>
      <c r="BK114" s="95" t="str">
        <f t="shared" si="7"/>
        <v/>
      </c>
    </row>
    <row r="115" spans="47:63">
      <c r="AU115" s="20"/>
      <c r="AV115" s="21"/>
      <c r="AW115" s="22"/>
      <c r="AX115" s="22"/>
      <c r="AY115" s="23"/>
      <c r="AZ115" s="326" t="str">
        <f t="shared" si="5"/>
        <v/>
      </c>
      <c r="BA115" s="95"/>
      <c r="BB115" s="95" t="str">
        <f>IF(BA115="","",BA115*AY115)</f>
        <v/>
      </c>
      <c r="BD115" s="319"/>
      <c r="BE115" s="21"/>
      <c r="BF115" s="22"/>
      <c r="BG115" s="22"/>
      <c r="BH115" s="23"/>
      <c r="BI115" s="326" t="str">
        <f t="shared" si="6"/>
        <v/>
      </c>
      <c r="BJ115" s="95"/>
      <c r="BK115" s="95" t="str">
        <f t="shared" si="7"/>
        <v/>
      </c>
    </row>
  </sheetData>
  <sheetProtection algorithmName="SHA-512" hashValue="kVQt2Ptea0rQV+2i3NM90tp39G7g6mpdcM2VsRzto0jW8S+lZno/NZEQMlz+3UW6hAaBhpo7YZ9tDfRnoz/rlw==" saltValue="rl8CSK13KzpRwuzzPbM4NQ==" spinCount="100000" sheet="1" objects="1" scenarios="1"/>
  <mergeCells count="186">
    <mergeCell ref="AO2:AR2"/>
    <mergeCell ref="B6:E6"/>
    <mergeCell ref="F6:K6"/>
    <mergeCell ref="O2:S2"/>
    <mergeCell ref="B7:E7"/>
    <mergeCell ref="F7:K7"/>
    <mergeCell ref="B8:E8"/>
    <mergeCell ref="F8:K8"/>
    <mergeCell ref="B2:E2"/>
    <mergeCell ref="G2:K2"/>
    <mergeCell ref="U2:Y2"/>
    <mergeCell ref="AA2:AE2"/>
    <mergeCell ref="AI2:AM2"/>
    <mergeCell ref="B12:E12"/>
    <mergeCell ref="F12:K12"/>
    <mergeCell ref="B13:E13"/>
    <mergeCell ref="F13:I13"/>
    <mergeCell ref="J13:K13"/>
    <mergeCell ref="O17:AF17"/>
    <mergeCell ref="B9:E9"/>
    <mergeCell ref="F9:K9"/>
    <mergeCell ref="AK9:AP10"/>
    <mergeCell ref="B10:E10"/>
    <mergeCell ref="F10:K10"/>
    <mergeCell ref="B11:E11"/>
    <mergeCell ref="F11:K11"/>
    <mergeCell ref="AI17:AO17"/>
    <mergeCell ref="M20:N20"/>
    <mergeCell ref="O20:P20"/>
    <mergeCell ref="Q20:R20"/>
    <mergeCell ref="S20:T20"/>
    <mergeCell ref="AI18:AO18"/>
    <mergeCell ref="B19:G19"/>
    <mergeCell ref="H19:L19"/>
    <mergeCell ref="M19:N19"/>
    <mergeCell ref="O19:P19"/>
    <mergeCell ref="Q19:R19"/>
    <mergeCell ref="S19:T19"/>
    <mergeCell ref="AN19:AO19"/>
    <mergeCell ref="O18:P18"/>
    <mergeCell ref="Q18:R18"/>
    <mergeCell ref="S18:T18"/>
    <mergeCell ref="U18:V18"/>
    <mergeCell ref="W18:X18"/>
    <mergeCell ref="Y18:Z18"/>
    <mergeCell ref="AA18:AB18"/>
    <mergeCell ref="AC18:AD18"/>
    <mergeCell ref="AE18:AF18"/>
    <mergeCell ref="Y22:Z22"/>
    <mergeCell ref="AA22:AB22"/>
    <mergeCell ref="AC22:AD22"/>
    <mergeCell ref="AE22:AF22"/>
    <mergeCell ref="AN22:AO22"/>
    <mergeCell ref="AI25:AO25"/>
    <mergeCell ref="AN20:AO20"/>
    <mergeCell ref="AN21:AO21"/>
    <mergeCell ref="B22:G22"/>
    <mergeCell ref="H22:L22"/>
    <mergeCell ref="M22:N22"/>
    <mergeCell ref="O22:P22"/>
    <mergeCell ref="Q22:R22"/>
    <mergeCell ref="S22:T22"/>
    <mergeCell ref="U22:V22"/>
    <mergeCell ref="W22:X22"/>
    <mergeCell ref="U20:V20"/>
    <mergeCell ref="W20:X20"/>
    <mergeCell ref="Y20:Z20"/>
    <mergeCell ref="AA20:AB20"/>
    <mergeCell ref="AC20:AD20"/>
    <mergeCell ref="AE20:AF20"/>
    <mergeCell ref="B20:G20"/>
    <mergeCell ref="H20:L20"/>
    <mergeCell ref="AA26:AB26"/>
    <mergeCell ref="AC26:AD26"/>
    <mergeCell ref="AI26:AO26"/>
    <mergeCell ref="B27:G27"/>
    <mergeCell ref="H27:L27"/>
    <mergeCell ref="M27:N27"/>
    <mergeCell ref="O27:P27"/>
    <mergeCell ref="Q27:R27"/>
    <mergeCell ref="S27:T27"/>
    <mergeCell ref="AN27:AO27"/>
    <mergeCell ref="O26:P26"/>
    <mergeCell ref="Q26:R26"/>
    <mergeCell ref="S26:T26"/>
    <mergeCell ref="U26:V26"/>
    <mergeCell ref="W26:X26"/>
    <mergeCell ref="Y26:Z26"/>
    <mergeCell ref="U28:V28"/>
    <mergeCell ref="W28:X28"/>
    <mergeCell ref="Y28:Z28"/>
    <mergeCell ref="AA28:AB28"/>
    <mergeCell ref="AC28:AD28"/>
    <mergeCell ref="AN28:AO28"/>
    <mergeCell ref="B28:G28"/>
    <mergeCell ref="H28:L28"/>
    <mergeCell ref="M28:N28"/>
    <mergeCell ref="O28:P28"/>
    <mergeCell ref="Q28:R28"/>
    <mergeCell ref="S28:T28"/>
    <mergeCell ref="AN29:AO29"/>
    <mergeCell ref="B30:G30"/>
    <mergeCell ref="H30:L30"/>
    <mergeCell ref="M30:N30"/>
    <mergeCell ref="S30:T30"/>
    <mergeCell ref="U30:V30"/>
    <mergeCell ref="W30:X30"/>
    <mergeCell ref="Y30:Z30"/>
    <mergeCell ref="AA30:AB30"/>
    <mergeCell ref="AC30:AD30"/>
    <mergeCell ref="A66:A105"/>
    <mergeCell ref="B67:E67"/>
    <mergeCell ref="G67:K67"/>
    <mergeCell ref="O67:S67"/>
    <mergeCell ref="U67:Y67"/>
    <mergeCell ref="AA67:AE67"/>
    <mergeCell ref="AE79:AF79"/>
    <mergeCell ref="AE80:AF80"/>
    <mergeCell ref="O83:P83"/>
    <mergeCell ref="Q83:R83"/>
    <mergeCell ref="O80:P80"/>
    <mergeCell ref="Q80:R80"/>
    <mergeCell ref="S80:T80"/>
    <mergeCell ref="U80:V80"/>
    <mergeCell ref="W80:X80"/>
    <mergeCell ref="Y80:Z80"/>
    <mergeCell ref="AA80:AB80"/>
    <mergeCell ref="AC80:AD80"/>
    <mergeCell ref="AC83:AD83"/>
    <mergeCell ref="AE83:AF83"/>
    <mergeCell ref="M84:N84"/>
    <mergeCell ref="O84:P84"/>
    <mergeCell ref="Q84:R84"/>
    <mergeCell ref="S84:T84"/>
    <mergeCell ref="AO67:AR67"/>
    <mergeCell ref="O79:P79"/>
    <mergeCell ref="Q79:R79"/>
    <mergeCell ref="S79:T79"/>
    <mergeCell ref="U79:V79"/>
    <mergeCell ref="W79:X79"/>
    <mergeCell ref="Y79:Z79"/>
    <mergeCell ref="AA79:AB79"/>
    <mergeCell ref="AC79:AD79"/>
    <mergeCell ref="AG79:AH79"/>
    <mergeCell ref="AI79:AJ79"/>
    <mergeCell ref="O82:AJ82"/>
    <mergeCell ref="W83:X83"/>
    <mergeCell ref="Y83:Z83"/>
    <mergeCell ref="W84:X84"/>
    <mergeCell ref="Y84:Z84"/>
    <mergeCell ref="AA84:AB84"/>
    <mergeCell ref="W81:X81"/>
    <mergeCell ref="Y81:Z81"/>
    <mergeCell ref="AI67:AM67"/>
    <mergeCell ref="AG80:AH80"/>
    <mergeCell ref="AI80:AJ80"/>
    <mergeCell ref="O81:P81"/>
    <mergeCell ref="Q81:R81"/>
    <mergeCell ref="S81:T81"/>
    <mergeCell ref="U81:V81"/>
    <mergeCell ref="AC81:AD81"/>
    <mergeCell ref="AE81:AF81"/>
    <mergeCell ref="AG81:AH81"/>
    <mergeCell ref="AA81:AB81"/>
    <mergeCell ref="AI81:AJ81"/>
    <mergeCell ref="O85:P85"/>
    <mergeCell ref="Q85:R85"/>
    <mergeCell ref="S85:T85"/>
    <mergeCell ref="U85:V85"/>
    <mergeCell ref="AE85:AF85"/>
    <mergeCell ref="AI83:AJ83"/>
    <mergeCell ref="S83:T83"/>
    <mergeCell ref="U83:V83"/>
    <mergeCell ref="AA83:AB83"/>
    <mergeCell ref="U84:V84"/>
    <mergeCell ref="AC84:AD84"/>
    <mergeCell ref="AE84:AF84"/>
    <mergeCell ref="AG84:AH84"/>
    <mergeCell ref="AI84:AJ84"/>
    <mergeCell ref="AG85:AH85"/>
    <mergeCell ref="AI85:AJ85"/>
    <mergeCell ref="W85:X85"/>
    <mergeCell ref="Y85:Z85"/>
    <mergeCell ref="AA85:AB85"/>
    <mergeCell ref="AC85:AD85"/>
    <mergeCell ref="AG83:AH83"/>
  </mergeCells>
  <conditionalFormatting sqref="AY24:AY29 AY37:AY40 BH35:BH40 BH42:BH47 BH72:BH77 AY31:AY35 BH49:BH57 AY15:AY22 AY54:AY57 BH30:BH33 BH63:BH70 BH79:BH92 BH5:BH22 AY5:AY13 AZ6:AZ82 AZ105:AZ106 BI6:BI101 BI106 BH112:BI115 AZ112:AZ115">
    <cfRule type="cellIs" dxfId="574" priority="80" stopIfTrue="1" operator="equal">
      <formula>0</formula>
    </cfRule>
  </conditionalFormatting>
  <conditionalFormatting sqref="AY50:AY53 AY63 AY42:AY43 AY47 AY65 AY45">
    <cfRule type="cellIs" dxfId="573" priority="78" stopIfTrue="1" operator="equal">
      <formula>0</formula>
    </cfRule>
  </conditionalFormatting>
  <conditionalFormatting sqref="O17:AF17 S19:T19 S20:AD20 W22:AD22 S27:T27 S28:AD28 S30:AD30">
    <cfRule type="expression" dxfId="572" priority="79" stopIfTrue="1">
      <formula>$AW$4=0</formula>
    </cfRule>
  </conditionalFormatting>
  <conditionalFormatting sqref="AY72 AY78:AY79">
    <cfRule type="cellIs" dxfId="571" priority="77" stopIfTrue="1" operator="equal">
      <formula>0</formula>
    </cfRule>
  </conditionalFormatting>
  <conditionalFormatting sqref="AY80">
    <cfRule type="cellIs" dxfId="570" priority="76" stopIfTrue="1" operator="equal">
      <formula>0</formula>
    </cfRule>
  </conditionalFormatting>
  <conditionalFormatting sqref="AY60:AY61">
    <cfRule type="cellIs" dxfId="569" priority="66" stopIfTrue="1" operator="equal">
      <formula>0</formula>
    </cfRule>
  </conditionalFormatting>
  <conditionalFormatting sqref="AY48:AY49">
    <cfRule type="cellIs" dxfId="568" priority="75" stopIfTrue="1" operator="equal">
      <formula>0</formula>
    </cfRule>
  </conditionalFormatting>
  <conditionalFormatting sqref="AY59">
    <cfRule type="cellIs" dxfId="567" priority="74" stopIfTrue="1" operator="equal">
      <formula>0</formula>
    </cfRule>
  </conditionalFormatting>
  <conditionalFormatting sqref="AY67:AY69">
    <cfRule type="cellIs" dxfId="566" priority="73" stopIfTrue="1" operator="equal">
      <formula>0</formula>
    </cfRule>
  </conditionalFormatting>
  <conditionalFormatting sqref="AY70">
    <cfRule type="cellIs" dxfId="565" priority="72" stopIfTrue="1" operator="equal">
      <formula>0</formula>
    </cfRule>
  </conditionalFormatting>
  <conditionalFormatting sqref="AY71">
    <cfRule type="cellIs" dxfId="564" priority="71" stopIfTrue="1" operator="equal">
      <formula>0</formula>
    </cfRule>
  </conditionalFormatting>
  <conditionalFormatting sqref="AY81:AY82">
    <cfRule type="cellIs" dxfId="563" priority="70" stopIfTrue="1" operator="equal">
      <formula>0</formula>
    </cfRule>
  </conditionalFormatting>
  <conditionalFormatting sqref="BH94:BH96 BH98">
    <cfRule type="cellIs" dxfId="562" priority="69" stopIfTrue="1" operator="equal">
      <formula>0</formula>
    </cfRule>
  </conditionalFormatting>
  <conditionalFormatting sqref="AY105:AY106 AY112:AY115">
    <cfRule type="cellIs" dxfId="561" priority="67" stopIfTrue="1" operator="equal">
      <formula>0</formula>
    </cfRule>
  </conditionalFormatting>
  <conditionalFormatting sqref="BH99:BH101">
    <cfRule type="cellIs" dxfId="560" priority="65" stopIfTrue="1" operator="equal">
      <formula>0</formula>
    </cfRule>
  </conditionalFormatting>
  <conditionalFormatting sqref="AY14">
    <cfRule type="cellIs" dxfId="559" priority="64" stopIfTrue="1" operator="equal">
      <formula>0</formula>
    </cfRule>
  </conditionalFormatting>
  <conditionalFormatting sqref="AY23">
    <cfRule type="cellIs" dxfId="558" priority="63" stopIfTrue="1" operator="equal">
      <formula>0</formula>
    </cfRule>
  </conditionalFormatting>
  <conditionalFormatting sqref="AY36">
    <cfRule type="cellIs" dxfId="557" priority="62" stopIfTrue="1" operator="equal">
      <formula>0</formula>
    </cfRule>
  </conditionalFormatting>
  <conditionalFormatting sqref="AY41">
    <cfRule type="cellIs" dxfId="556" priority="61" stopIfTrue="1" operator="equal">
      <formula>0</formula>
    </cfRule>
  </conditionalFormatting>
  <conditionalFormatting sqref="AY46">
    <cfRule type="cellIs" dxfId="555" priority="60" stopIfTrue="1" operator="equal">
      <formula>0</formula>
    </cfRule>
  </conditionalFormatting>
  <conditionalFormatting sqref="AY58">
    <cfRule type="cellIs" dxfId="554" priority="59" stopIfTrue="1" operator="equal">
      <formula>0</formula>
    </cfRule>
  </conditionalFormatting>
  <conditionalFormatting sqref="AY62">
    <cfRule type="cellIs" dxfId="553" priority="58" stopIfTrue="1" operator="equal">
      <formula>0</formula>
    </cfRule>
  </conditionalFormatting>
  <conditionalFormatting sqref="AY64">
    <cfRule type="cellIs" dxfId="552" priority="57" stopIfTrue="1" operator="equal">
      <formula>0</formula>
    </cfRule>
  </conditionalFormatting>
  <conditionalFormatting sqref="AY66">
    <cfRule type="cellIs" dxfId="551" priority="56" stopIfTrue="1" operator="equal">
      <formula>0</formula>
    </cfRule>
  </conditionalFormatting>
  <conditionalFormatting sqref="AY73:AY77">
    <cfRule type="cellIs" dxfId="550" priority="55" stopIfTrue="1" operator="equal">
      <formula>0</formula>
    </cfRule>
  </conditionalFormatting>
  <conditionalFormatting sqref="F13:K13">
    <cfRule type="expression" dxfId="549" priority="54" stopIfTrue="1">
      <formula>$AW$4=1</formula>
    </cfRule>
  </conditionalFormatting>
  <conditionalFormatting sqref="BH23:BH26">
    <cfRule type="cellIs" dxfId="548" priority="53" stopIfTrue="1" operator="equal">
      <formula>0</formula>
    </cfRule>
  </conditionalFormatting>
  <conditionalFormatting sqref="BH27">
    <cfRule type="cellIs" dxfId="547" priority="52" stopIfTrue="1" operator="equal">
      <formula>0</formula>
    </cfRule>
  </conditionalFormatting>
  <conditionalFormatting sqref="BH28">
    <cfRule type="cellIs" dxfId="546" priority="51" stopIfTrue="1" operator="equal">
      <formula>0</formula>
    </cfRule>
  </conditionalFormatting>
  <conditionalFormatting sqref="BH29">
    <cfRule type="cellIs" dxfId="545" priority="50" stopIfTrue="1" operator="equal">
      <formula>0</formula>
    </cfRule>
  </conditionalFormatting>
  <conditionalFormatting sqref="BH34">
    <cfRule type="cellIs" dxfId="544" priority="49" stopIfTrue="1" operator="equal">
      <formula>0</formula>
    </cfRule>
  </conditionalFormatting>
  <conditionalFormatting sqref="BH41">
    <cfRule type="cellIs" dxfId="543" priority="48" stopIfTrue="1" operator="equal">
      <formula>0</formula>
    </cfRule>
  </conditionalFormatting>
  <conditionalFormatting sqref="BH58">
    <cfRule type="cellIs" dxfId="542" priority="47" stopIfTrue="1" operator="equal">
      <formula>0</formula>
    </cfRule>
  </conditionalFormatting>
  <conditionalFormatting sqref="BH59:BH62">
    <cfRule type="cellIs" dxfId="541" priority="46" stopIfTrue="1" operator="equal">
      <formula>0</formula>
    </cfRule>
  </conditionalFormatting>
  <conditionalFormatting sqref="BH71">
    <cfRule type="cellIs" dxfId="540" priority="45" stopIfTrue="1" operator="equal">
      <formula>0</formula>
    </cfRule>
  </conditionalFormatting>
  <conditionalFormatting sqref="BH78">
    <cfRule type="cellIs" dxfId="539" priority="44" stopIfTrue="1" operator="equal">
      <formula>0</formula>
    </cfRule>
  </conditionalFormatting>
  <conditionalFormatting sqref="BH93">
    <cfRule type="cellIs" dxfId="538" priority="43" stopIfTrue="1" operator="equal">
      <formula>0</formula>
    </cfRule>
  </conditionalFormatting>
  <conditionalFormatting sqref="BH97">
    <cfRule type="cellIs" dxfId="537" priority="42" stopIfTrue="1" operator="equal">
      <formula>0</formula>
    </cfRule>
  </conditionalFormatting>
  <conditionalFormatting sqref="AE22:AF22">
    <cfRule type="expression" dxfId="536" priority="40" stopIfTrue="1">
      <formula>$AW$4=0</formula>
    </cfRule>
  </conditionalFormatting>
  <conditionalFormatting sqref="AY44">
    <cfRule type="cellIs" dxfId="535" priority="37" stopIfTrue="1" operator="equal">
      <formula>0</formula>
    </cfRule>
  </conditionalFormatting>
  <conditionalFormatting sqref="AY30">
    <cfRule type="cellIs" dxfId="534" priority="39" stopIfTrue="1" operator="equal">
      <formula>0</formula>
    </cfRule>
  </conditionalFormatting>
  <conditionalFormatting sqref="BH48">
    <cfRule type="cellIs" dxfId="533" priority="38" stopIfTrue="1" operator="equal">
      <formula>0</formula>
    </cfRule>
  </conditionalFormatting>
  <conditionalFormatting sqref="AZ5">
    <cfRule type="cellIs" dxfId="532" priority="36" stopIfTrue="1" operator="equal">
      <formula>0</formula>
    </cfRule>
  </conditionalFormatting>
  <conditionalFormatting sqref="BI5">
    <cfRule type="cellIs" dxfId="531" priority="35" stopIfTrue="1" operator="equal">
      <formula>0</formula>
    </cfRule>
  </conditionalFormatting>
  <conditionalFormatting sqref="AZ83:AZ84">
    <cfRule type="cellIs" dxfId="530" priority="14" stopIfTrue="1" operator="equal">
      <formula>0</formula>
    </cfRule>
  </conditionalFormatting>
  <conditionalFormatting sqref="AY83:AY84">
    <cfRule type="cellIs" dxfId="529" priority="13" stopIfTrue="1" operator="equal">
      <formula>0</formula>
    </cfRule>
  </conditionalFormatting>
  <conditionalFormatting sqref="BH102:BH103">
    <cfRule type="cellIs" dxfId="528" priority="12" stopIfTrue="1" operator="equal">
      <formula>0</formula>
    </cfRule>
  </conditionalFormatting>
  <conditionalFormatting sqref="AZ96:AZ104">
    <cfRule type="cellIs" dxfId="527" priority="25" stopIfTrue="1" operator="equal">
      <formula>0</formula>
    </cfRule>
  </conditionalFormatting>
  <conditionalFormatting sqref="AZ94">
    <cfRule type="cellIs" dxfId="526" priority="19" stopIfTrue="1" operator="equal">
      <formula>0</formula>
    </cfRule>
  </conditionalFormatting>
  <conditionalFormatting sqref="AY103:AY104">
    <cfRule type="cellIs" dxfId="525" priority="31" stopIfTrue="1" operator="equal">
      <formula>0</formula>
    </cfRule>
  </conditionalFormatting>
  <conditionalFormatting sqref="AY102">
    <cfRule type="cellIs" dxfId="524" priority="30" stopIfTrue="1" operator="equal">
      <formula>0</formula>
    </cfRule>
  </conditionalFormatting>
  <conditionalFormatting sqref="AY96:AY101">
    <cfRule type="cellIs" dxfId="523" priority="29" stopIfTrue="1" operator="equal">
      <formula>0</formula>
    </cfRule>
  </conditionalFormatting>
  <conditionalFormatting sqref="V87:AC92">
    <cfRule type="expression" dxfId="522" priority="33" stopIfTrue="1">
      <formula>OR($AU$97=0,$AU$97=$AU$95)</formula>
    </cfRule>
  </conditionalFormatting>
  <conditionalFormatting sqref="AY94">
    <cfRule type="cellIs" dxfId="521" priority="18" stopIfTrue="1" operator="equal">
      <formula>0</formula>
    </cfRule>
  </conditionalFormatting>
  <conditionalFormatting sqref="BH106">
    <cfRule type="cellIs" dxfId="520" priority="23" stopIfTrue="1" operator="equal">
      <formula>0</formula>
    </cfRule>
  </conditionalFormatting>
  <conditionalFormatting sqref="AR87">
    <cfRule type="expression" dxfId="519" priority="22" stopIfTrue="1">
      <formula>$AU$87=AU89</formula>
    </cfRule>
  </conditionalFormatting>
  <conditionalFormatting sqref="AZ95">
    <cfRule type="cellIs" dxfId="518" priority="21" stopIfTrue="1" operator="equal">
      <formula>0</formula>
    </cfRule>
  </conditionalFormatting>
  <conditionalFormatting sqref="AY95">
    <cfRule type="cellIs" dxfId="517" priority="20" stopIfTrue="1" operator="equal">
      <formula>0</formula>
    </cfRule>
  </conditionalFormatting>
  <conditionalFormatting sqref="AZ85:AZ93">
    <cfRule type="cellIs" dxfId="516" priority="17" stopIfTrue="1" operator="equal">
      <formula>0</formula>
    </cfRule>
  </conditionalFormatting>
  <conditionalFormatting sqref="AY88:AY93">
    <cfRule type="cellIs" dxfId="515" priority="16" stopIfTrue="1" operator="equal">
      <formula>0</formula>
    </cfRule>
  </conditionalFormatting>
  <conditionalFormatting sqref="AY85:AY87">
    <cfRule type="cellIs" dxfId="514" priority="15" stopIfTrue="1" operator="equal">
      <formula>0</formula>
    </cfRule>
  </conditionalFormatting>
  <conditionalFormatting sqref="BI102">
    <cfRule type="cellIs" dxfId="513" priority="11" stopIfTrue="1" operator="equal">
      <formula>0</formula>
    </cfRule>
  </conditionalFormatting>
  <conditionalFormatting sqref="BH104:BH105">
    <cfRule type="cellIs" dxfId="512" priority="10" stopIfTrue="1" operator="equal">
      <formula>0</formula>
    </cfRule>
  </conditionalFormatting>
  <conditionalFormatting sqref="BI104:BI105">
    <cfRule type="cellIs" dxfId="511" priority="9" stopIfTrue="1" operator="equal">
      <formula>0</formula>
    </cfRule>
  </conditionalFormatting>
  <conditionalFormatting sqref="BI103">
    <cfRule type="cellIs" dxfId="510" priority="8" stopIfTrue="1" operator="equal">
      <formula>0</formula>
    </cfRule>
  </conditionalFormatting>
  <conditionalFormatting sqref="AZ107:AZ111">
    <cfRule type="cellIs" dxfId="509" priority="7" stopIfTrue="1" operator="equal">
      <formula>0</formula>
    </cfRule>
  </conditionalFormatting>
  <conditionalFormatting sqref="AY107:AY111">
    <cfRule type="cellIs" dxfId="508" priority="6" stopIfTrue="1" operator="equal">
      <formula>0</formula>
    </cfRule>
  </conditionalFormatting>
  <conditionalFormatting sqref="BH107 BH110:BH111">
    <cfRule type="cellIs" dxfId="507" priority="5" stopIfTrue="1" operator="equal">
      <formula>0</formula>
    </cfRule>
  </conditionalFormatting>
  <conditionalFormatting sqref="BI107:BI111">
    <cfRule type="cellIs" dxfId="506" priority="4" stopIfTrue="1" operator="equal">
      <formula>0</formula>
    </cfRule>
  </conditionalFormatting>
  <conditionalFormatting sqref="BH108:BH109">
    <cfRule type="cellIs" dxfId="505" priority="3" stopIfTrue="1" operator="equal">
      <formula>0</formula>
    </cfRule>
  </conditionalFormatting>
  <conditionalFormatting sqref="AI17:AO17">
    <cfRule type="expression" dxfId="504" priority="2" stopIfTrue="1">
      <formula>$AW$4=0</formula>
    </cfRule>
  </conditionalFormatting>
  <conditionalFormatting sqref="AI25:AO25">
    <cfRule type="expression" dxfId="503" priority="1" stopIfTrue="1">
      <formula>$AW$4=0</formula>
    </cfRule>
  </conditionalFormatting>
  <hyperlinks>
    <hyperlink ref="M4" location="MENU!A1" display="MENU!A1" xr:uid="{00000000-0004-0000-0D00-000000000000}"/>
    <hyperlink ref="M10" location="OBJ!A1" display="OBJ!A1" xr:uid="{00000000-0004-0000-0D00-000001000000}"/>
    <hyperlink ref="M9" location="suhrn!A1" display="suhrn!A1" xr:uid="{00000000-0004-0000-0D00-000002000000}"/>
    <hyperlink ref="O2:S2" location="MENU!A5" display="MENU!A5" xr:uid="{00000000-0004-0000-0D00-000003000000}"/>
    <hyperlink ref="AK9:AO10" location="'IT70(vn100)'!A66" display="'IT70(vn100)'!A66" xr:uid="{00000000-0004-0000-0D00-000004000000}"/>
    <hyperlink ref="AK9:AP10" location="'AVT187In(vn-A)'!A66" display="'AVT187In(vn-A)'!A66" xr:uid="{00000000-0004-0000-0D00-000005000000}"/>
    <hyperlink ref="M69" location="MENU!A1" display="MENU!A1" xr:uid="{00000000-0004-0000-0D00-000006000000}"/>
    <hyperlink ref="B67:E67" location="'AVT187In(vn-A)'!A1" display="'AVT187In(vn-A)'!A1" xr:uid="{00000000-0004-0000-0D00-000007000000}"/>
  </hyperlinks>
  <printOptions horizontalCentered="1"/>
  <pageMargins left="0.19685039370078741" right="0.19685039370078741" top="0.19685039370078741" bottom="0.19685039370078741" header="0.31496062992125984" footer="0.31496062992125984"/>
  <pageSetup paperSize="9" orientation="landscape" r:id="rId1"/>
  <headerFooter>
    <oddHeader>&amp;R&amp;"Aptos"&amp;10&amp;K000000 Restricted&amp;1#_x000D_</oddHeader>
  </headerFooter>
  <drawing r:id="rId2"/>
  <legacyDrawing r:id="rId3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List57">
    <tabColor rgb="FF00B050"/>
  </sheetPr>
  <dimension ref="A1:BK146"/>
  <sheetViews>
    <sheetView showGridLines="0" showRowColHeaders="0" zoomScale="95" zoomScaleNormal="95" workbookViewId="0"/>
  </sheetViews>
  <sheetFormatPr defaultColWidth="9" defaultRowHeight="13.8"/>
  <cols>
    <col min="1" max="1" width="3.59765625" style="86" customWidth="1"/>
    <col min="2" max="4" width="3.09765625" style="86" customWidth="1"/>
    <col min="5" max="5" width="7.59765625" style="86" customWidth="1"/>
    <col min="6" max="44" width="3.09765625" style="86" customWidth="1"/>
    <col min="45" max="45" width="3.59765625" style="86" customWidth="1"/>
    <col min="46" max="46" width="9" style="86" customWidth="1"/>
    <col min="47" max="47" width="9" style="86" hidden="1" customWidth="1"/>
    <col min="48" max="48" width="32.5" style="86" hidden="1" customWidth="1"/>
    <col min="49" max="49" width="4.3984375" style="86" hidden="1" customWidth="1"/>
    <col min="50" max="50" width="2" style="86" hidden="1" customWidth="1"/>
    <col min="51" max="52" width="4.59765625" style="86" hidden="1" customWidth="1"/>
    <col min="53" max="54" width="9" style="86" hidden="1" customWidth="1"/>
    <col min="55" max="55" width="2.59765625" style="86" hidden="1" customWidth="1"/>
    <col min="56" max="56" width="9" style="86" hidden="1" customWidth="1"/>
    <col min="57" max="57" width="33.8984375" style="86" hidden="1" customWidth="1"/>
    <col min="58" max="58" width="4.3984375" style="86" hidden="1" customWidth="1"/>
    <col min="59" max="59" width="2" style="86" hidden="1" customWidth="1"/>
    <col min="60" max="61" width="4.59765625" style="86" hidden="1" customWidth="1"/>
    <col min="62" max="63" width="9" style="86" hidden="1" customWidth="1"/>
    <col min="64" max="75" width="9" style="86" customWidth="1"/>
    <col min="76" max="16384" width="9" style="86"/>
  </cols>
  <sheetData>
    <row r="1" spans="1:63" ht="12.9" customHeight="1" thickBot="1">
      <c r="AU1" s="140"/>
      <c r="AV1" s="279"/>
      <c r="AW1" s="279"/>
      <c r="AX1" s="140"/>
      <c r="AY1" s="140"/>
      <c r="AZ1" s="140"/>
      <c r="BA1" s="140"/>
      <c r="BB1" s="140"/>
      <c r="BC1" s="140"/>
      <c r="BD1" s="140"/>
      <c r="BE1" s="140"/>
      <c r="BF1" s="140"/>
      <c r="BG1" s="140"/>
      <c r="BH1" s="140"/>
      <c r="BI1" s="140"/>
      <c r="BJ1" s="140"/>
      <c r="BK1" s="140"/>
    </row>
    <row r="2" spans="1:63" ht="23.1" customHeight="1" thickBot="1">
      <c r="B2" s="475" t="str">
        <f>verze!E13</f>
        <v>&lt;&lt;  zpět</v>
      </c>
      <c r="C2" s="476"/>
      <c r="D2" s="476"/>
      <c r="E2" s="477"/>
      <c r="G2" s="513" t="str">
        <f>verze!E6</f>
        <v xml:space="preserve"> Úvod</v>
      </c>
      <c r="H2" s="514"/>
      <c r="I2" s="514"/>
      <c r="J2" s="514"/>
      <c r="K2" s="515"/>
      <c r="O2" s="500" t="str">
        <f>verze!E7</f>
        <v xml:space="preserve"> Výběr zásuvek</v>
      </c>
      <c r="P2" s="501"/>
      <c r="Q2" s="501"/>
      <c r="R2" s="501"/>
      <c r="S2" s="502"/>
      <c r="U2" s="513" t="str">
        <f>verze!E8</f>
        <v xml:space="preserve"> </v>
      </c>
      <c r="V2" s="514"/>
      <c r="W2" s="514"/>
      <c r="X2" s="514"/>
      <c r="Y2" s="515"/>
      <c r="AA2" s="513" t="str">
        <f>verze!E9</f>
        <v xml:space="preserve"> </v>
      </c>
      <c r="AB2" s="514"/>
      <c r="AC2" s="514"/>
      <c r="AD2" s="514"/>
      <c r="AE2" s="515"/>
      <c r="AI2" s="513" t="str">
        <f>verze!E10</f>
        <v xml:space="preserve"> Objednávka</v>
      </c>
      <c r="AJ2" s="514"/>
      <c r="AK2" s="514"/>
      <c r="AL2" s="514"/>
      <c r="AM2" s="515"/>
      <c r="AO2" s="475" t="str">
        <f>verze!E14</f>
        <v>vpřed  &gt;&gt;</v>
      </c>
      <c r="AP2" s="476"/>
      <c r="AQ2" s="476"/>
      <c r="AR2" s="477"/>
      <c r="AV2" s="143"/>
      <c r="AW2" s="143"/>
    </row>
    <row r="3" spans="1:63" ht="12.9" customHeight="1">
      <c r="AV3" s="143"/>
      <c r="AW3" s="143"/>
    </row>
    <row r="4" spans="1:63" ht="23.1" customHeight="1">
      <c r="A4" s="89"/>
      <c r="B4" s="93" t="str">
        <f>verze!E206&amp;" AVANTECH YOU  187"</f>
        <v>Zásuvka AVANTECH YOU  187</v>
      </c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U4" s="94" t="s">
        <v>33</v>
      </c>
      <c r="AW4" s="285">
        <f>IF(FORM!AU13=FORM!U18,1,0)</f>
        <v>1</v>
      </c>
      <c r="BB4" s="322">
        <f>SUM(BB5:BB1003)</f>
        <v>0</v>
      </c>
      <c r="BD4" s="94" t="s">
        <v>34</v>
      </c>
      <c r="BK4" s="322">
        <f>SUM(BK5:BK996)</f>
        <v>0</v>
      </c>
    </row>
    <row r="5" spans="1:63" ht="14.4" customHeight="1">
      <c r="AU5" s="319">
        <f>OBJ!B112</f>
        <v>9353353</v>
      </c>
      <c r="AV5" s="21" t="str">
        <f>VLOOKUP(AU5,CENY!$B$11:$G$1054,2,FALSE)</f>
        <v>AvanY-sólo oceľ.boky-NW 187/270mm/strieb.</v>
      </c>
      <c r="AW5" s="22">
        <f>VLOOKUP(AU5,CENY!$B$11:$G$1054,3,FALSE)</f>
        <v>1</v>
      </c>
      <c r="AX5" s="362">
        <v>4</v>
      </c>
      <c r="AY5" s="23">
        <f>O19+O20+O27+O28+O30</f>
        <v>0</v>
      </c>
      <c r="AZ5" s="326">
        <f>IF(AY5="","",IF($AW$4=1,AY5,0))</f>
        <v>0</v>
      </c>
      <c r="BA5" s="95">
        <f>VLOOKUP(AU5,CENY!$B$11:$M$2025,12,FALSE)</f>
        <v>781.77286000000004</v>
      </c>
      <c r="BB5" s="95">
        <f t="shared" ref="BB5:BB68" si="0">IF(BA5="","",BA5*AY5)</f>
        <v>0</v>
      </c>
      <c r="BD5" s="319">
        <f>OBJ!B122</f>
        <v>9255044</v>
      </c>
      <c r="BE5" s="21" t="str">
        <f>VLOOKUP(BD5,CENY!$B$11:$G$1054,2,FALSE)</f>
        <v>AvanY-bok ľavý /v187/h270/ strieborná</v>
      </c>
      <c r="BF5" s="22">
        <f>VLOOKUP(BD5,CENY!$B$11:$G$1054,3,FALSE)</f>
        <v>10</v>
      </c>
      <c r="BG5" s="22"/>
      <c r="BH5" s="23">
        <f>AY5</f>
        <v>0</v>
      </c>
      <c r="BI5" s="326">
        <f>IF(BH5="","",IF($AW$4=0,BH5,0))</f>
        <v>0</v>
      </c>
      <c r="BJ5" s="95">
        <f>VLOOKUP(BD5,CENY!$B$11:$M$2025,12,FALSE)</f>
        <v>343.85318000000001</v>
      </c>
      <c r="BK5" s="95">
        <f>IF(BJ5="","",BJ5*BH5)</f>
        <v>0</v>
      </c>
    </row>
    <row r="6" spans="1:63" ht="14.4" customHeight="1">
      <c r="B6" s="549" t="str">
        <f>" "&amp;verze!E90</f>
        <v xml:space="preserve"> bočnice:</v>
      </c>
      <c r="C6" s="549"/>
      <c r="D6" s="549"/>
      <c r="E6" s="549"/>
      <c r="F6" s="564" t="s">
        <v>328</v>
      </c>
      <c r="G6" s="564"/>
      <c r="H6" s="564"/>
      <c r="I6" s="564"/>
      <c r="J6" s="564"/>
      <c r="K6" s="564"/>
      <c r="AU6" s="319">
        <f>OBJ!B113</f>
        <v>9353354</v>
      </c>
      <c r="AV6" s="21" t="str">
        <f>VLOOKUP(AU6,CENY!$B$11:$G$1054,2,FALSE)</f>
        <v>AvanY-sólo oceľ.boky-NW 187/300mm/strieb.</v>
      </c>
      <c r="AW6" s="22">
        <f>VLOOKUP(AU6,CENY!$B$11:$G$1054,3,FALSE)</f>
        <v>1</v>
      </c>
      <c r="AX6" s="362">
        <v>4</v>
      </c>
      <c r="AY6" s="23">
        <f>Q19+Q20+Q27+Q28+Q30</f>
        <v>0</v>
      </c>
      <c r="AZ6" s="326">
        <f t="shared" ref="AZ6:AZ69" si="1">IF(AY6="","",IF($AW$4=1,AY6,0))</f>
        <v>0</v>
      </c>
      <c r="BA6" s="95">
        <f>VLOOKUP(AU6,CENY!$B$11:$M$2025,12,FALSE)</f>
        <v>788.96299999999997</v>
      </c>
      <c r="BB6" s="95">
        <f t="shared" si="0"/>
        <v>0</v>
      </c>
      <c r="BD6" s="319">
        <f>OBJ!B123</f>
        <v>9255045</v>
      </c>
      <c r="BE6" s="21" t="str">
        <f>VLOOKUP(BD6,CENY!$B$11:$G$1054,2,FALSE)</f>
        <v>AvanY-bok pravý /v187/h270/ strieborná</v>
      </c>
      <c r="BF6" s="22">
        <f>VLOOKUP(BD6,CENY!$B$11:$G$1054,3,FALSE)</f>
        <v>10</v>
      </c>
      <c r="BG6" s="22"/>
      <c r="BH6" s="23">
        <f>AY5</f>
        <v>0</v>
      </c>
      <c r="BI6" s="326">
        <f t="shared" ref="BI6:BI69" si="2">IF(BH6="","",IF($AW$4=0,BH6,0))</f>
        <v>0</v>
      </c>
      <c r="BJ6" s="95">
        <f>VLOOKUP(BD6,CENY!$B$11:$M$2025,12,FALSE)</f>
        <v>343.85318000000001</v>
      </c>
      <c r="BK6" s="95">
        <f t="shared" ref="BK6:BK69" si="3">IF(BJ6="","",BJ6*BH6)</f>
        <v>0</v>
      </c>
    </row>
    <row r="7" spans="1:63" ht="14.4" customHeight="1">
      <c r="B7" s="549" t="str">
        <f>" "&amp;verze!E56</f>
        <v xml:space="preserve"> barva:</v>
      </c>
      <c r="C7" s="549"/>
      <c r="D7" s="549"/>
      <c r="E7" s="549"/>
      <c r="F7" s="564" t="str">
        <f>" "&amp;FORM!U8</f>
        <v xml:space="preserve"> stříbrná</v>
      </c>
      <c r="G7" s="564"/>
      <c r="H7" s="564"/>
      <c r="I7" s="564"/>
      <c r="J7" s="564"/>
      <c r="K7" s="564"/>
      <c r="AU7" s="319">
        <f>OBJ!B114</f>
        <v>9353355</v>
      </c>
      <c r="AV7" s="21" t="str">
        <f>VLOOKUP(AU7,CENY!$B$11:$G$1054,2,FALSE)</f>
        <v>AvanY-sólo oceľ.boky-NW 187/350mm/strieb.</v>
      </c>
      <c r="AW7" s="22">
        <f>VLOOKUP(AU7,CENY!$B$11:$G$1054,3,FALSE)</f>
        <v>1</v>
      </c>
      <c r="AX7" s="362">
        <v>6</v>
      </c>
      <c r="AY7" s="23">
        <f>S19+S20+S27+S28+S30</f>
        <v>0</v>
      </c>
      <c r="AZ7" s="326">
        <f t="shared" si="1"/>
        <v>0</v>
      </c>
      <c r="BA7" s="95">
        <f>VLOOKUP(AU7,CENY!$B$11:$M$2025,12,FALSE)</f>
        <v>800.95977000000005</v>
      </c>
      <c r="BB7" s="95">
        <f t="shared" si="0"/>
        <v>0</v>
      </c>
      <c r="BD7" s="319">
        <f>OBJ!B124</f>
        <v>9255046</v>
      </c>
      <c r="BE7" s="21" t="str">
        <f>VLOOKUP(BD7,CENY!$B$11:$G$1054,2,FALSE)</f>
        <v>AvanY-bok ľavý /v187/h300/ strieborná</v>
      </c>
      <c r="BF7" s="22">
        <f>VLOOKUP(BD7,CENY!$B$11:$G$1054,3,FALSE)</f>
        <v>10</v>
      </c>
      <c r="BG7" s="22"/>
      <c r="BH7" s="23">
        <f>AY6</f>
        <v>0</v>
      </c>
      <c r="BI7" s="326">
        <f t="shared" si="2"/>
        <v>0</v>
      </c>
      <c r="BJ7" s="95">
        <f>VLOOKUP(BD7,CENY!$B$11:$M$2025,12,FALSE)</f>
        <v>347.69150999999999</v>
      </c>
      <c r="BK7" s="95">
        <f t="shared" si="3"/>
        <v>0</v>
      </c>
    </row>
    <row r="8" spans="1:63" ht="14.4" customHeight="1" thickBot="1">
      <c r="B8" s="549" t="str">
        <f>" "&amp;verze!E70</f>
        <v xml:space="preserve"> dekorativní profil:</v>
      </c>
      <c r="C8" s="549"/>
      <c r="D8" s="549"/>
      <c r="E8" s="549"/>
      <c r="F8" s="564" t="str">
        <f>" "&amp;FORM!AM18</f>
        <v xml:space="preserve"> v barvě bočnice</v>
      </c>
      <c r="G8" s="564"/>
      <c r="H8" s="564"/>
      <c r="I8" s="564"/>
      <c r="J8" s="564"/>
      <c r="K8" s="564"/>
      <c r="AU8" s="319">
        <f>OBJ!B115</f>
        <v>9353356</v>
      </c>
      <c r="AV8" s="21" t="str">
        <f>VLOOKUP(AU8,CENY!$B$11:$G$1054,2,FALSE)</f>
        <v>AvanY-sólo oceľ.boky-NW 187/400mm/strieb.</v>
      </c>
      <c r="AW8" s="22">
        <f>VLOOKUP(AU8,CENY!$B$11:$G$1054,3,FALSE)</f>
        <v>1</v>
      </c>
      <c r="AX8" s="362">
        <v>6</v>
      </c>
      <c r="AY8" s="23">
        <f>U20+U28+U30</f>
        <v>0</v>
      </c>
      <c r="AZ8" s="326">
        <f t="shared" si="1"/>
        <v>0</v>
      </c>
      <c r="BA8" s="95">
        <f>VLOOKUP(AU8,CENY!$B$11:$M$2025,12,FALSE)</f>
        <v>812.95644000000004</v>
      </c>
      <c r="BB8" s="95">
        <f t="shared" si="0"/>
        <v>0</v>
      </c>
      <c r="BD8" s="319">
        <f>OBJ!B125</f>
        <v>9255047</v>
      </c>
      <c r="BE8" s="21" t="str">
        <f>VLOOKUP(BD8,CENY!$B$11:$G$1054,2,FALSE)</f>
        <v>AvanY-bok pravý /v187/h300/ strieborná</v>
      </c>
      <c r="BF8" s="22">
        <f>VLOOKUP(BD8,CENY!$B$11:$G$1054,3,FALSE)</f>
        <v>10</v>
      </c>
      <c r="BG8" s="22"/>
      <c r="BH8" s="23">
        <f>AY6</f>
        <v>0</v>
      </c>
      <c r="BI8" s="326">
        <f t="shared" si="2"/>
        <v>0</v>
      </c>
      <c r="BJ8" s="95">
        <f>VLOOKUP(BD8,CENY!$B$11:$M$2025,12,FALSE)</f>
        <v>347.69150999999999</v>
      </c>
      <c r="BK8" s="95">
        <f t="shared" si="3"/>
        <v>0</v>
      </c>
    </row>
    <row r="9" spans="1:63" ht="14.4" customHeight="1" thickTop="1">
      <c r="B9" s="550"/>
      <c r="C9" s="558"/>
      <c r="D9" s="558"/>
      <c r="E9" s="559"/>
      <c r="F9" s="560"/>
      <c r="G9" s="561"/>
      <c r="H9" s="561"/>
      <c r="I9" s="561"/>
      <c r="J9" s="561"/>
      <c r="K9" s="562"/>
      <c r="AK9" s="585" t="str">
        <f>verze!E160</f>
        <v>Je nutné natypovat šířky čel ?</v>
      </c>
      <c r="AL9" s="586"/>
      <c r="AM9" s="586"/>
      <c r="AN9" s="586"/>
      <c r="AO9" s="586"/>
      <c r="AP9" s="587"/>
      <c r="AU9" s="319">
        <f>OBJ!B116</f>
        <v>9353357</v>
      </c>
      <c r="AV9" s="21" t="str">
        <f>VLOOKUP(AU9,CENY!$B$11:$G$1054,2,FALSE)</f>
        <v>AvanY-sólo oceľ.boky-NW 187/450mm/strieb.</v>
      </c>
      <c r="AW9" s="22">
        <f>VLOOKUP(AU9,CENY!$B$11:$G$1054,3,FALSE)</f>
        <v>1</v>
      </c>
      <c r="AX9" s="362">
        <v>6</v>
      </c>
      <c r="AY9" s="23">
        <f>W20+W22+W28+W30</f>
        <v>0</v>
      </c>
      <c r="AZ9" s="326">
        <f t="shared" si="1"/>
        <v>0</v>
      </c>
      <c r="BA9" s="95">
        <f>VLOOKUP(AU9,CENY!$B$11:$M$2025,12,FALSE)</f>
        <v>803.01720999999998</v>
      </c>
      <c r="BB9" s="95">
        <f t="shared" si="0"/>
        <v>0</v>
      </c>
      <c r="BD9" s="319">
        <f>OBJ!B126</f>
        <v>9255048</v>
      </c>
      <c r="BE9" s="21" t="str">
        <f>VLOOKUP(BD9,CENY!$B$11:$G$1054,2,FALSE)</f>
        <v>AvanY-bok ľavý /v187/h350/ strieborná</v>
      </c>
      <c r="BF9" s="22">
        <f>VLOOKUP(BD9,CENY!$B$11:$G$1054,3,FALSE)</f>
        <v>10</v>
      </c>
      <c r="BG9" s="22"/>
      <c r="BH9" s="23">
        <f>AY7</f>
        <v>0</v>
      </c>
      <c r="BI9" s="326">
        <f t="shared" si="2"/>
        <v>0</v>
      </c>
      <c r="BJ9" s="95">
        <f>VLOOKUP(BD9,CENY!$B$11:$M$2025,12,FALSE)</f>
        <v>354.09370999999999</v>
      </c>
      <c r="BK9" s="95">
        <f t="shared" si="3"/>
        <v>0</v>
      </c>
    </row>
    <row r="10" spans="1:63" ht="14.4" customHeight="1">
      <c r="B10" s="549" t="str">
        <f>" "&amp;verze!E57</f>
        <v xml:space="preserve"> čelní kování:</v>
      </c>
      <c r="C10" s="549"/>
      <c r="D10" s="549"/>
      <c r="E10" s="549"/>
      <c r="F10" s="563" t="str">
        <f>" "&amp;FORM!AM8</f>
        <v xml:space="preserve"> na vruty</v>
      </c>
      <c r="G10" s="563"/>
      <c r="H10" s="563"/>
      <c r="I10" s="563"/>
      <c r="J10" s="563"/>
      <c r="K10" s="563"/>
      <c r="AK10" s="588"/>
      <c r="AL10" s="589"/>
      <c r="AM10" s="589"/>
      <c r="AN10" s="589"/>
      <c r="AO10" s="589"/>
      <c r="AP10" s="590"/>
      <c r="AU10" s="319">
        <f>OBJ!B117</f>
        <v>9353358</v>
      </c>
      <c r="AV10" s="21" t="str">
        <f>VLOOKUP(AU10,CENY!$B$11:$G$1054,2,FALSE)</f>
        <v>AvanY-sólo oceľ.boky-NW 187/500mm/strieb.</v>
      </c>
      <c r="AW10" s="22">
        <f>VLOOKUP(AU10,CENY!$B$11:$G$1054,3,FALSE)</f>
        <v>1</v>
      </c>
      <c r="AX10" s="362">
        <v>8</v>
      </c>
      <c r="AY10" s="23">
        <f>Y20+Y22+Y28+Y30</f>
        <v>0</v>
      </c>
      <c r="AZ10" s="326">
        <f t="shared" si="1"/>
        <v>0</v>
      </c>
      <c r="BA10" s="95">
        <f>VLOOKUP(AU10,CENY!$B$11:$M$2025,12,FALSE)</f>
        <v>814.69060000000002</v>
      </c>
      <c r="BB10" s="95">
        <f t="shared" si="0"/>
        <v>0</v>
      </c>
      <c r="BD10" s="319">
        <f>OBJ!B127</f>
        <v>9255049</v>
      </c>
      <c r="BE10" s="21" t="str">
        <f>VLOOKUP(BD10,CENY!$B$11:$G$1054,2,FALSE)</f>
        <v>AvanY-bok pravý /v187/h350/ strieborná</v>
      </c>
      <c r="BF10" s="22">
        <f>VLOOKUP(BD10,CENY!$B$11:$G$1054,3,FALSE)</f>
        <v>10</v>
      </c>
      <c r="BG10" s="22"/>
      <c r="BH10" s="23">
        <f>AY7</f>
        <v>0</v>
      </c>
      <c r="BI10" s="326">
        <f t="shared" si="2"/>
        <v>0</v>
      </c>
      <c r="BJ10" s="95">
        <f>VLOOKUP(BD10,CENY!$B$11:$M$2025,12,FALSE)</f>
        <v>354.09370999999999</v>
      </c>
      <c r="BK10" s="95">
        <f t="shared" si="3"/>
        <v>0</v>
      </c>
    </row>
    <row r="11" spans="1:63" ht="14.4" customHeight="1">
      <c r="B11" s="549" t="str">
        <f>" "&amp;verze!E76</f>
        <v xml:space="preserve"> krytka:</v>
      </c>
      <c r="C11" s="549"/>
      <c r="D11" s="549"/>
      <c r="E11" s="549"/>
      <c r="F11" s="563" t="str">
        <f>" "&amp;FORM!AM21</f>
        <v xml:space="preserve"> žádná</v>
      </c>
      <c r="G11" s="563"/>
      <c r="H11" s="563"/>
      <c r="I11" s="563"/>
      <c r="J11" s="563"/>
      <c r="K11" s="563"/>
      <c r="AU11" s="319">
        <f>OBJ!B118</f>
        <v>9353359</v>
      </c>
      <c r="AV11" s="21" t="str">
        <f>VLOOKUP(AU11,CENY!$B$11:$G$1054,2,FALSE)</f>
        <v>AvanY-sólo oceľ.boky-NW 187/550mm/strieb.</v>
      </c>
      <c r="AW11" s="22">
        <f>VLOOKUP(AU11,CENY!$B$11:$G$1054,3,FALSE)</f>
        <v>1</v>
      </c>
      <c r="AX11" s="362">
        <v>8</v>
      </c>
      <c r="AY11" s="23">
        <f>AA20+AA22+AA28+AA30</f>
        <v>0</v>
      </c>
      <c r="AZ11" s="326">
        <f t="shared" si="1"/>
        <v>0</v>
      </c>
      <c r="BA11" s="95">
        <f>VLOOKUP(AU11,CENY!$B$11:$M$2025,12,FALSE)</f>
        <v>848.94223999999997</v>
      </c>
      <c r="BB11" s="95">
        <f t="shared" si="0"/>
        <v>0</v>
      </c>
      <c r="BD11" s="319">
        <f>OBJ!B128</f>
        <v>9255050</v>
      </c>
      <c r="BE11" s="21" t="str">
        <f>VLOOKUP(BD11,CENY!$B$11:$G$1054,2,FALSE)</f>
        <v>AvanY-bok ľavý /v187/h400/ strieborná</v>
      </c>
      <c r="BF11" s="22">
        <f>VLOOKUP(BD11,CENY!$B$11:$G$1054,3,FALSE)</f>
        <v>10</v>
      </c>
      <c r="BG11" s="22"/>
      <c r="BH11" s="23">
        <f>AY8</f>
        <v>0</v>
      </c>
      <c r="BI11" s="326">
        <f t="shared" si="2"/>
        <v>0</v>
      </c>
      <c r="BJ11" s="95">
        <f>VLOOKUP(BD11,CENY!$B$11:$M$2025,12,FALSE)</f>
        <v>360.48838000000001</v>
      </c>
      <c r="BK11" s="95">
        <f t="shared" si="3"/>
        <v>0</v>
      </c>
    </row>
    <row r="12" spans="1:63" ht="14.4" customHeight="1" thickBot="1">
      <c r="B12" s="549"/>
      <c r="C12" s="549"/>
      <c r="D12" s="549"/>
      <c r="E12" s="550"/>
      <c r="F12" s="551"/>
      <c r="G12" s="552"/>
      <c r="H12" s="552"/>
      <c r="I12" s="552"/>
      <c r="J12" s="553"/>
      <c r="K12" s="554"/>
      <c r="AU12" s="319">
        <f>OBJ!B119</f>
        <v>9353360</v>
      </c>
      <c r="AV12" s="21" t="str">
        <f>VLOOKUP(AU12,CENY!$B$11:$G$1054,2,FALSE)</f>
        <v>AvanY-sólo oceľ.boky-NW 187/600mm/strieb.</v>
      </c>
      <c r="AW12" s="22">
        <f>VLOOKUP(AU12,CENY!$B$11:$G$1054,3,FALSE)</f>
        <v>1</v>
      </c>
      <c r="AX12" s="362">
        <v>8</v>
      </c>
      <c r="AY12" s="23">
        <f>AC20+AC22+AC28+AC30</f>
        <v>0</v>
      </c>
      <c r="AZ12" s="326">
        <f t="shared" si="1"/>
        <v>0</v>
      </c>
      <c r="BA12" s="95">
        <f>VLOOKUP(AU12,CENY!$B$11:$M$2025,12,FALSE)</f>
        <v>867.96834999999999</v>
      </c>
      <c r="BB12" s="95">
        <f t="shared" si="0"/>
        <v>0</v>
      </c>
      <c r="BD12" s="319">
        <f>OBJ!B129</f>
        <v>9255051</v>
      </c>
      <c r="BE12" s="21" t="str">
        <f>VLOOKUP(BD12,CENY!$B$11:$G$1054,2,FALSE)</f>
        <v>AvanY-bok pravý /v187/h400/ strieborná</v>
      </c>
      <c r="BF12" s="22">
        <f>VLOOKUP(BD12,CENY!$B$11:$G$1054,3,FALSE)</f>
        <v>10</v>
      </c>
      <c r="BG12" s="22"/>
      <c r="BH12" s="23">
        <f>AY8</f>
        <v>0</v>
      </c>
      <c r="BI12" s="326">
        <f t="shared" si="2"/>
        <v>0</v>
      </c>
      <c r="BJ12" s="95">
        <f>VLOOKUP(BD12,CENY!$B$11:$M$2025,12,FALSE)</f>
        <v>360.48838000000001</v>
      </c>
      <c r="BK12" s="95">
        <f t="shared" si="3"/>
        <v>0</v>
      </c>
    </row>
    <row r="13" spans="1:63" ht="14.4" customHeight="1">
      <c r="B13" s="549" t="str">
        <f>" "&amp;verze!E92</f>
        <v xml:space="preserve"> cena kování:</v>
      </c>
      <c r="C13" s="549"/>
      <c r="D13" s="549"/>
      <c r="E13" s="550"/>
      <c r="F13" s="555">
        <f>IF(AW4=1,BB4,BK4)</f>
        <v>0</v>
      </c>
      <c r="G13" s="555"/>
      <c r="H13" s="555"/>
      <c r="I13" s="555"/>
      <c r="J13" s="556" t="str">
        <f>IF(verze!E1="CZK","CZK","EUR")</f>
        <v>CZK</v>
      </c>
      <c r="K13" s="557"/>
      <c r="AU13" s="319">
        <f>OBJ!B120</f>
        <v>9353371</v>
      </c>
      <c r="AV13" s="21" t="str">
        <f>VLOOKUP(AU13,CENY!$B$11:$G$1054,2,FALSE)</f>
        <v>AvanY-sólo oceľ.boky-NW 187/650mm/strieb.</v>
      </c>
      <c r="AW13" s="22">
        <f>VLOOKUP(AU13,CENY!$B$11:$G$1054,3,FALSE)</f>
        <v>1</v>
      </c>
      <c r="AX13" s="362">
        <v>10</v>
      </c>
      <c r="AY13" s="23">
        <f>AE22</f>
        <v>0</v>
      </c>
      <c r="AZ13" s="326">
        <f t="shared" si="1"/>
        <v>0</v>
      </c>
      <c r="BA13" s="95">
        <f>VLOOKUP(AU13,CENY!$B$11:$M$2025,12,FALSE)</f>
        <v>895.00838999999996</v>
      </c>
      <c r="BB13" s="95">
        <f t="shared" si="0"/>
        <v>0</v>
      </c>
      <c r="BD13" s="319">
        <f>OBJ!B130</f>
        <v>9255052</v>
      </c>
      <c r="BE13" s="21" t="str">
        <f>VLOOKUP(BD13,CENY!$B$11:$G$1054,2,FALSE)</f>
        <v>AvanY-bok ľavý /v187/h450/ strieborná</v>
      </c>
      <c r="BF13" s="22">
        <f>VLOOKUP(BD13,CENY!$B$11:$G$1054,3,FALSE)</f>
        <v>10</v>
      </c>
      <c r="BG13" s="22"/>
      <c r="BH13" s="23">
        <f>AY9</f>
        <v>0</v>
      </c>
      <c r="BI13" s="326">
        <f t="shared" si="2"/>
        <v>0</v>
      </c>
      <c r="BJ13" s="95">
        <f>VLOOKUP(BD13,CENY!$B$11:$M$2025,12,FALSE)</f>
        <v>357.13297</v>
      </c>
      <c r="BK13" s="95">
        <f t="shared" si="3"/>
        <v>0</v>
      </c>
    </row>
    <row r="14" spans="1:63" ht="14.4" customHeight="1">
      <c r="AU14" s="319"/>
      <c r="AV14" s="21"/>
      <c r="AW14" s="22"/>
      <c r="AX14" s="22"/>
      <c r="AY14" s="23"/>
      <c r="AZ14" s="326" t="str">
        <f t="shared" si="1"/>
        <v/>
      </c>
      <c r="BA14" s="95"/>
      <c r="BB14" s="95" t="str">
        <f t="shared" si="0"/>
        <v/>
      </c>
      <c r="BD14" s="319">
        <f>OBJ!B131</f>
        <v>9255053</v>
      </c>
      <c r="BE14" s="21" t="str">
        <f>VLOOKUP(BD14,CENY!$B$11:$G$1054,2,FALSE)</f>
        <v>AvanY-bok pravý /v187/h450/ strieborná</v>
      </c>
      <c r="BF14" s="22">
        <f>VLOOKUP(BD14,CENY!$B$11:$G$1054,3,FALSE)</f>
        <v>10</v>
      </c>
      <c r="BG14" s="22"/>
      <c r="BH14" s="23">
        <f>AY9</f>
        <v>0</v>
      </c>
      <c r="BI14" s="326">
        <f t="shared" si="2"/>
        <v>0</v>
      </c>
      <c r="BJ14" s="95">
        <f>VLOOKUP(BD14,CENY!$B$11:$M$2025,12,FALSE)</f>
        <v>357.13297</v>
      </c>
      <c r="BK14" s="95">
        <f t="shared" si="3"/>
        <v>0</v>
      </c>
    </row>
    <row r="15" spans="1:63" ht="14.4" customHeight="1">
      <c r="AU15" s="319">
        <f>OBJ!B71</f>
        <v>9347502</v>
      </c>
      <c r="AV15" s="21" t="str">
        <f>VLOOKUP(AU15,CENY!$B$11:$G$1054,2,FALSE)</f>
        <v>AvanY-design ALprofil Hybrid na bok 270/ strieb.</v>
      </c>
      <c r="AW15" s="22">
        <f>VLOOKUP(AU15,CENY!$B$11:$G$1054,3,FALSE)</f>
        <v>200</v>
      </c>
      <c r="AX15" s="22"/>
      <c r="AY15" s="23">
        <f>IF(FORM!AM18=FORM!AU16,0,2*(O19+O20+O27+O28+O30))</f>
        <v>0</v>
      </c>
      <c r="AZ15" s="326">
        <f t="shared" si="1"/>
        <v>0</v>
      </c>
      <c r="BA15" s="95">
        <f>VLOOKUP(AU15,CENY!$B$11:$M$2025,12,FALSE)</f>
        <v>19.78839</v>
      </c>
      <c r="BB15" s="95">
        <f t="shared" si="0"/>
        <v>0</v>
      </c>
      <c r="BD15" s="319">
        <f>OBJ!B132</f>
        <v>9255054</v>
      </c>
      <c r="BE15" s="21" t="str">
        <f>VLOOKUP(BD15,CENY!$B$11:$G$1054,2,FALSE)</f>
        <v>AvanY-bok ľavý /v187/h500/ strieborná</v>
      </c>
      <c r="BF15" s="22">
        <f>VLOOKUP(BD15,CENY!$B$11:$G$1054,3,FALSE)</f>
        <v>10</v>
      </c>
      <c r="BG15" s="22"/>
      <c r="BH15" s="23">
        <f>AY10</f>
        <v>0</v>
      </c>
      <c r="BI15" s="326">
        <f t="shared" si="2"/>
        <v>0</v>
      </c>
      <c r="BJ15" s="95">
        <f>VLOOKUP(BD15,CENY!$B$11:$M$2025,12,FALSE)</f>
        <v>363.36250999999999</v>
      </c>
      <c r="BK15" s="95">
        <f t="shared" si="3"/>
        <v>0</v>
      </c>
    </row>
    <row r="16" spans="1:63" ht="14.4" customHeight="1">
      <c r="AU16" s="319">
        <f>OBJ!B72</f>
        <v>9347503</v>
      </c>
      <c r="AV16" s="21" t="str">
        <f>VLOOKUP(AU16,CENY!$B$11:$G$1054,2,FALSE)</f>
        <v>AvanY-design ALprofil Hybrid na bok 300/ strieb.</v>
      </c>
      <c r="AW16" s="22">
        <f>VLOOKUP(AU16,CENY!$B$11:$G$1054,3,FALSE)</f>
        <v>200</v>
      </c>
      <c r="AX16" s="22"/>
      <c r="AY16" s="23">
        <f>IF(FORM!AM18=FORM!AU16,0,2*(Q19+Q20+Q27+Q28+Q30))</f>
        <v>0</v>
      </c>
      <c r="AZ16" s="326">
        <f t="shared" si="1"/>
        <v>0</v>
      </c>
      <c r="BA16" s="95">
        <f>VLOOKUP(AU16,CENY!$B$11:$M$2025,12,FALSE)</f>
        <v>20.006769999999999</v>
      </c>
      <c r="BB16" s="95">
        <f t="shared" si="0"/>
        <v>0</v>
      </c>
      <c r="BD16" s="319">
        <f>OBJ!B133</f>
        <v>9255055</v>
      </c>
      <c r="BE16" s="21" t="str">
        <f>VLOOKUP(BD16,CENY!$B$11:$G$1054,2,FALSE)</f>
        <v>AvanY-bok pravý /v187/h500/ strieborná</v>
      </c>
      <c r="BF16" s="22">
        <f>VLOOKUP(BD16,CENY!$B$11:$G$1054,3,FALSE)</f>
        <v>10</v>
      </c>
      <c r="BG16" s="22"/>
      <c r="BH16" s="23">
        <f>AY10</f>
        <v>0</v>
      </c>
      <c r="BI16" s="326">
        <f t="shared" si="2"/>
        <v>0</v>
      </c>
      <c r="BJ16" s="95">
        <f>VLOOKUP(BD16,CENY!$B$11:$M$2025,12,FALSE)</f>
        <v>363.36250999999999</v>
      </c>
      <c r="BK16" s="95">
        <f t="shared" si="3"/>
        <v>0</v>
      </c>
    </row>
    <row r="17" spans="2:63" ht="14.4" customHeight="1" thickBot="1">
      <c r="B17" s="1" t="s">
        <v>284</v>
      </c>
      <c r="O17" s="547" t="str">
        <f>FORM!U18</f>
        <v>flexibilní sety</v>
      </c>
      <c r="P17" s="548"/>
      <c r="Q17" s="548"/>
      <c r="R17" s="548"/>
      <c r="S17" s="548"/>
      <c r="T17" s="548"/>
      <c r="U17" s="548"/>
      <c r="V17" s="548"/>
      <c r="W17" s="548"/>
      <c r="X17" s="548"/>
      <c r="Y17" s="548"/>
      <c r="Z17" s="548"/>
      <c r="AA17" s="548"/>
      <c r="AB17" s="548"/>
      <c r="AC17" s="548"/>
      <c r="AD17" s="548"/>
      <c r="AE17" s="548"/>
      <c r="AF17" s="548"/>
      <c r="AI17" s="540" t="str">
        <f>verze!E198</f>
        <v>P2O Silent pro Actro</v>
      </c>
      <c r="AJ17" s="541"/>
      <c r="AK17" s="541"/>
      <c r="AL17" s="541"/>
      <c r="AM17" s="541"/>
      <c r="AN17" s="541"/>
      <c r="AO17" s="541"/>
      <c r="AU17" s="319">
        <f>OBJ!B73</f>
        <v>9347504</v>
      </c>
      <c r="AV17" s="21" t="str">
        <f>VLOOKUP(AU17,CENY!$B$11:$G$1054,2,FALSE)</f>
        <v>AvanY-design ALprofil Hybrid na bok 350/ strieb.</v>
      </c>
      <c r="AW17" s="22">
        <f>VLOOKUP(AU17,CENY!$B$11:$G$1054,3,FALSE)</f>
        <v>200</v>
      </c>
      <c r="AX17" s="22"/>
      <c r="AY17" s="23">
        <f>IF(FORM!AM18=FORM!AU16,0,2*(S19+S20+S27+S28+S30))</f>
        <v>0</v>
      </c>
      <c r="AZ17" s="326">
        <f t="shared" si="1"/>
        <v>0</v>
      </c>
      <c r="BA17" s="95">
        <f>VLOOKUP(AU17,CENY!$B$11:$M$2025,12,FALSE)</f>
        <v>20.37642</v>
      </c>
      <c r="BB17" s="95">
        <f t="shared" si="0"/>
        <v>0</v>
      </c>
      <c r="BD17" s="319">
        <f>OBJ!B134</f>
        <v>9255056</v>
      </c>
      <c r="BE17" s="21" t="str">
        <f>VLOOKUP(BD17,CENY!$B$11:$G$1054,2,FALSE)</f>
        <v>AvanY-bok ľavý /v187/h550/ strieborná</v>
      </c>
      <c r="BF17" s="22">
        <f>VLOOKUP(BD17,CENY!$B$11:$G$1054,3,FALSE)</f>
        <v>10</v>
      </c>
      <c r="BG17" s="22"/>
      <c r="BH17" s="23">
        <f>AY11</f>
        <v>0</v>
      </c>
      <c r="BI17" s="326">
        <f t="shared" si="2"/>
        <v>0</v>
      </c>
      <c r="BJ17" s="95">
        <f>VLOOKUP(BD17,CENY!$B$11:$M$2025,12,FALSE)</f>
        <v>379.68511999999998</v>
      </c>
      <c r="BK17" s="95">
        <f t="shared" si="3"/>
        <v>0</v>
      </c>
    </row>
    <row r="18" spans="2:63" ht="14.4" customHeight="1" thickBot="1">
      <c r="B18" s="96"/>
      <c r="C18" s="96"/>
      <c r="D18" s="96"/>
      <c r="E18" s="96"/>
      <c r="F18" s="96"/>
      <c r="G18" s="96"/>
      <c r="H18" s="72"/>
      <c r="I18" s="72"/>
      <c r="J18" s="72"/>
      <c r="K18" s="72"/>
      <c r="L18" s="72"/>
      <c r="M18" s="72"/>
      <c r="N18" s="72" t="str">
        <f>verze!$E$20&amp;" "</f>
        <v xml:space="preserve">Jmenovitá délka: </v>
      </c>
      <c r="O18" s="535">
        <v>270</v>
      </c>
      <c r="P18" s="536"/>
      <c r="Q18" s="535">
        <v>300</v>
      </c>
      <c r="R18" s="536"/>
      <c r="S18" s="535">
        <v>350</v>
      </c>
      <c r="T18" s="536"/>
      <c r="U18" s="535">
        <v>400</v>
      </c>
      <c r="V18" s="536"/>
      <c r="W18" s="535">
        <v>450</v>
      </c>
      <c r="X18" s="536"/>
      <c r="Y18" s="537">
        <v>500</v>
      </c>
      <c r="Z18" s="538"/>
      <c r="AA18" s="535">
        <v>550</v>
      </c>
      <c r="AB18" s="536"/>
      <c r="AC18" s="535">
        <v>600</v>
      </c>
      <c r="AD18" s="536"/>
      <c r="AE18" s="535">
        <v>650</v>
      </c>
      <c r="AF18" s="536"/>
      <c r="AI18" s="543" t="s">
        <v>299</v>
      </c>
      <c r="AJ18" s="543"/>
      <c r="AK18" s="543"/>
      <c r="AL18" s="543"/>
      <c r="AM18" s="543"/>
      <c r="AN18" s="543"/>
      <c r="AO18" s="543"/>
      <c r="AU18" s="319">
        <f>OBJ!B74</f>
        <v>9347505</v>
      </c>
      <c r="AV18" s="21" t="str">
        <f>VLOOKUP(AU18,CENY!$B$11:$G$1054,2,FALSE)</f>
        <v>AvanY-design ALprofil Hybrid na bok 400/ strieb.</v>
      </c>
      <c r="AW18" s="22">
        <f>VLOOKUP(AU18,CENY!$B$11:$G$1054,3,FALSE)</f>
        <v>200</v>
      </c>
      <c r="AX18" s="22"/>
      <c r="AY18" s="23">
        <f>IF(FORM!AM18=FORM!AU16,0,2*(U20+U28+U30))</f>
        <v>0</v>
      </c>
      <c r="AZ18" s="326">
        <f t="shared" si="1"/>
        <v>0</v>
      </c>
      <c r="BA18" s="95">
        <f>VLOOKUP(AU18,CENY!$B$11:$M$2025,12,FALSE)</f>
        <v>20.742249999999999</v>
      </c>
      <c r="BB18" s="95">
        <f t="shared" si="0"/>
        <v>0</v>
      </c>
      <c r="BD18" s="319">
        <f>OBJ!B135</f>
        <v>9255057</v>
      </c>
      <c r="BE18" s="21" t="str">
        <f>VLOOKUP(BD18,CENY!$B$11:$G$1054,2,FALSE)</f>
        <v>AvanY-bok pravý /v187/h550/ strieborná</v>
      </c>
      <c r="BF18" s="22">
        <f>VLOOKUP(BD18,CENY!$B$11:$G$1054,3,FALSE)</f>
        <v>10</v>
      </c>
      <c r="BG18" s="22"/>
      <c r="BH18" s="23">
        <f>AY11</f>
        <v>0</v>
      </c>
      <c r="BI18" s="326">
        <f t="shared" si="2"/>
        <v>0</v>
      </c>
      <c r="BJ18" s="95">
        <f>VLOOKUP(BD18,CENY!$B$11:$M$2025,12,FALSE)</f>
        <v>379.68511999999998</v>
      </c>
      <c r="BK18" s="95">
        <f t="shared" si="3"/>
        <v>0</v>
      </c>
    </row>
    <row r="19" spans="2:63" ht="14.4" customHeight="1" thickBot="1">
      <c r="B19" s="530" t="s">
        <v>289</v>
      </c>
      <c r="C19" s="530"/>
      <c r="D19" s="530"/>
      <c r="E19" s="530"/>
      <c r="F19" s="530"/>
      <c r="G19" s="530"/>
      <c r="H19" s="531" t="str">
        <f>verze!E18</f>
        <v>plnovýsuv</v>
      </c>
      <c r="I19" s="531"/>
      <c r="J19" s="531"/>
      <c r="K19" s="531"/>
      <c r="L19" s="531"/>
      <c r="M19" s="532" t="s">
        <v>286</v>
      </c>
      <c r="N19" s="533"/>
      <c r="O19" s="567"/>
      <c r="P19" s="568"/>
      <c r="Q19" s="567"/>
      <c r="R19" s="568"/>
      <c r="S19" s="567"/>
      <c r="T19" s="568"/>
      <c r="U19" s="283"/>
      <c r="V19" s="284"/>
      <c r="W19" s="283"/>
      <c r="X19" s="284"/>
      <c r="Y19" s="283"/>
      <c r="Z19" s="284"/>
      <c r="AA19" s="283"/>
      <c r="AB19" s="284"/>
      <c r="AC19" s="283"/>
      <c r="AD19" s="284"/>
      <c r="AE19" s="280"/>
      <c r="AF19" s="281"/>
      <c r="AI19" s="289"/>
      <c r="AJ19" s="290"/>
      <c r="AK19" s="289"/>
      <c r="AL19" s="290"/>
      <c r="AM19" s="291" t="s">
        <v>295</v>
      </c>
      <c r="AN19" s="534"/>
      <c r="AO19" s="534"/>
      <c r="AU19" s="319">
        <f>OBJ!B75</f>
        <v>9347506</v>
      </c>
      <c r="AV19" s="21" t="str">
        <f>VLOOKUP(AU19,CENY!$B$11:$G$1054,2,FALSE)</f>
        <v>AvanY-design ALprofil Hybrid na bok 450/ strieb.</v>
      </c>
      <c r="AW19" s="22">
        <f>VLOOKUP(AU19,CENY!$B$11:$G$1054,3,FALSE)</f>
        <v>200</v>
      </c>
      <c r="AX19" s="22"/>
      <c r="AY19" s="23">
        <f>IF(FORM!AM18=FORM!AU16,0,2*(W20+W22+W28+W30))</f>
        <v>0</v>
      </c>
      <c r="AZ19" s="326">
        <f t="shared" si="1"/>
        <v>0</v>
      </c>
      <c r="BA19" s="95">
        <f>VLOOKUP(AU19,CENY!$B$11:$M$2025,12,FALSE)</f>
        <v>21.111910000000002</v>
      </c>
      <c r="BB19" s="95">
        <f t="shared" si="0"/>
        <v>0</v>
      </c>
      <c r="BD19" s="319">
        <f>OBJ!B136</f>
        <v>9255058</v>
      </c>
      <c r="BE19" s="21" t="str">
        <f>VLOOKUP(BD19,CENY!$B$11:$G$1054,2,FALSE)</f>
        <v>AvanY-bok ľavý /v187/h600/ strieborná</v>
      </c>
      <c r="BF19" s="22">
        <f>VLOOKUP(BD19,CENY!$B$11:$G$1054,3,FALSE)</f>
        <v>10</v>
      </c>
      <c r="BG19" s="22"/>
      <c r="BH19" s="23">
        <f>AY12</f>
        <v>0</v>
      </c>
      <c r="BI19" s="326">
        <f t="shared" si="2"/>
        <v>0</v>
      </c>
      <c r="BJ19" s="95">
        <f>VLOOKUP(BD19,CENY!$B$11:$M$2025,12,FALSE)</f>
        <v>389.34050000000002</v>
      </c>
      <c r="BK19" s="95">
        <f t="shared" si="3"/>
        <v>0</v>
      </c>
    </row>
    <row r="20" spans="2:63" ht="14.4" customHeight="1" thickBot="1">
      <c r="B20" s="521" t="s">
        <v>290</v>
      </c>
      <c r="C20" s="521"/>
      <c r="D20" s="521"/>
      <c r="E20" s="521"/>
      <c r="F20" s="521"/>
      <c r="G20" s="521"/>
      <c r="H20" s="522" t="str">
        <f>verze!E18</f>
        <v>plnovýsuv</v>
      </c>
      <c r="I20" s="522"/>
      <c r="J20" s="522"/>
      <c r="K20" s="522"/>
      <c r="L20" s="522"/>
      <c r="M20" s="523" t="s">
        <v>287</v>
      </c>
      <c r="N20" s="546"/>
      <c r="O20" s="516"/>
      <c r="P20" s="517"/>
      <c r="Q20" s="516"/>
      <c r="R20" s="517"/>
      <c r="S20" s="516"/>
      <c r="T20" s="517"/>
      <c r="U20" s="516"/>
      <c r="V20" s="517"/>
      <c r="W20" s="516"/>
      <c r="X20" s="517"/>
      <c r="Y20" s="516"/>
      <c r="Z20" s="517"/>
      <c r="AA20" s="516"/>
      <c r="AB20" s="517"/>
      <c r="AC20" s="565"/>
      <c r="AD20" s="566"/>
      <c r="AE20" s="518"/>
      <c r="AF20" s="519"/>
      <c r="AI20" s="287"/>
      <c r="AJ20" s="288"/>
      <c r="AK20" s="287"/>
      <c r="AL20" s="288"/>
      <c r="AM20" s="286" t="s">
        <v>294</v>
      </c>
      <c r="AN20" s="520"/>
      <c r="AO20" s="520"/>
      <c r="AU20" s="319">
        <f>OBJ!B76</f>
        <v>9347507</v>
      </c>
      <c r="AV20" s="21" t="str">
        <f>VLOOKUP(AU20,CENY!$B$11:$G$1054,2,FALSE)</f>
        <v>AvanY-design ALprofil Hybrid na bok 500/ strieb.</v>
      </c>
      <c r="AW20" s="22">
        <f>VLOOKUP(AU20,CENY!$B$11:$G$1054,3,FALSE)</f>
        <v>200</v>
      </c>
      <c r="AX20" s="22"/>
      <c r="AY20" s="23">
        <f>IF(FORM!AM18=FORM!AU16,0,2*(Y20+Y22+Y28+Y30))</f>
        <v>0</v>
      </c>
      <c r="AZ20" s="326">
        <f t="shared" si="1"/>
        <v>0</v>
      </c>
      <c r="BA20" s="95">
        <f>VLOOKUP(AU20,CENY!$B$11:$M$2025,12,FALSE)</f>
        <v>21.479700000000001</v>
      </c>
      <c r="BB20" s="95">
        <f t="shared" si="0"/>
        <v>0</v>
      </c>
      <c r="BD20" s="319">
        <f>OBJ!B137</f>
        <v>9255059</v>
      </c>
      <c r="BE20" s="21" t="str">
        <f>VLOOKUP(BD20,CENY!$B$11:$G$1054,2,FALSE)</f>
        <v>AvanY-bok pravý /v187/h600/ strieborná</v>
      </c>
      <c r="BF20" s="22">
        <f>VLOOKUP(BD20,CENY!$B$11:$G$1054,3,FALSE)</f>
        <v>10</v>
      </c>
      <c r="BG20" s="22"/>
      <c r="BH20" s="23">
        <f>AY12</f>
        <v>0</v>
      </c>
      <c r="BI20" s="326">
        <f t="shared" si="2"/>
        <v>0</v>
      </c>
      <c r="BJ20" s="95">
        <f>VLOOKUP(BD20,CENY!$B$11:$M$2025,12,FALSE)</f>
        <v>389.34050000000002</v>
      </c>
      <c r="BK20" s="95">
        <f t="shared" si="3"/>
        <v>0</v>
      </c>
    </row>
    <row r="21" spans="2:63" ht="14.4" customHeight="1" thickBot="1">
      <c r="O21" s="283"/>
      <c r="P21" s="284"/>
      <c r="Q21" s="283"/>
      <c r="R21" s="284"/>
      <c r="S21" s="283"/>
      <c r="T21" s="284"/>
      <c r="U21" s="283"/>
      <c r="V21" s="284"/>
      <c r="W21" s="283"/>
      <c r="X21" s="284"/>
      <c r="Y21" s="283"/>
      <c r="Z21" s="284"/>
      <c r="AA21" s="283"/>
      <c r="AB21" s="284"/>
      <c r="AC21" s="283"/>
      <c r="AD21" s="284"/>
      <c r="AE21" s="283"/>
      <c r="AF21" s="284"/>
      <c r="AI21" s="287"/>
      <c r="AJ21" s="288"/>
      <c r="AK21" s="287"/>
      <c r="AL21" s="288"/>
      <c r="AM21" s="286" t="s">
        <v>296</v>
      </c>
      <c r="AN21" s="542"/>
      <c r="AO21" s="542"/>
      <c r="AU21" s="319">
        <f>OBJ!B77</f>
        <v>9347508</v>
      </c>
      <c r="AV21" s="21" t="str">
        <f>VLOOKUP(AU21,CENY!$B$11:$G$1054,2,FALSE)</f>
        <v>AvanY-design ALprofil Hybrid na bok 550/ strieb.</v>
      </c>
      <c r="AW21" s="22">
        <f>VLOOKUP(AU21,CENY!$B$11:$G$1054,3,FALSE)</f>
        <v>200</v>
      </c>
      <c r="AX21" s="22"/>
      <c r="AY21" s="23">
        <f>IF(FORM!AM18=FORM!AU16,0,2*(AA20+AA22+AA28+AA30))</f>
        <v>0</v>
      </c>
      <c r="AZ21" s="326">
        <f t="shared" si="1"/>
        <v>0</v>
      </c>
      <c r="BA21" s="95">
        <f>VLOOKUP(AU21,CENY!$B$11:$M$2025,12,FALSE)</f>
        <v>21.84564</v>
      </c>
      <c r="BB21" s="95">
        <f t="shared" si="0"/>
        <v>0</v>
      </c>
      <c r="BD21" s="319">
        <f>OBJ!B138</f>
        <v>9255060</v>
      </c>
      <c r="BE21" s="21" t="str">
        <f>VLOOKUP(BD21,CENY!$B$11:$G$1054,2,FALSE)</f>
        <v>AvanY-bok ľavý /v187/h650/ strieborná</v>
      </c>
      <c r="BF21" s="22">
        <f>VLOOKUP(BD21,CENY!$B$11:$G$1054,3,FALSE)</f>
        <v>10</v>
      </c>
      <c r="BG21" s="22"/>
      <c r="BH21" s="23">
        <f>AY13</f>
        <v>0</v>
      </c>
      <c r="BI21" s="326">
        <f t="shared" si="2"/>
        <v>0</v>
      </c>
      <c r="BJ21" s="95">
        <f>VLOOKUP(BD21,CENY!$B$11:$M$2025,12,FALSE)</f>
        <v>402.46422999999999</v>
      </c>
      <c r="BK21" s="95">
        <f t="shared" si="3"/>
        <v>0</v>
      </c>
    </row>
    <row r="22" spans="2:63" ht="14.4" customHeight="1" thickBot="1">
      <c r="B22" s="544" t="s">
        <v>291</v>
      </c>
      <c r="C22" s="544"/>
      <c r="D22" s="544"/>
      <c r="E22" s="544"/>
      <c r="F22" s="544"/>
      <c r="G22" s="544"/>
      <c r="H22" s="545" t="str">
        <f>verze!E18</f>
        <v>plnovýsuv</v>
      </c>
      <c r="I22" s="545"/>
      <c r="J22" s="545"/>
      <c r="K22" s="545"/>
      <c r="L22" s="545"/>
      <c r="M22" s="523" t="s">
        <v>288</v>
      </c>
      <c r="N22" s="524"/>
      <c r="O22" s="518"/>
      <c r="P22" s="519"/>
      <c r="Q22" s="518"/>
      <c r="R22" s="519"/>
      <c r="S22" s="518"/>
      <c r="T22" s="519"/>
      <c r="U22" s="518"/>
      <c r="V22" s="519"/>
      <c r="W22" s="516"/>
      <c r="X22" s="517"/>
      <c r="Y22" s="516"/>
      <c r="Z22" s="517"/>
      <c r="AA22" s="516"/>
      <c r="AB22" s="517"/>
      <c r="AC22" s="516"/>
      <c r="AD22" s="517"/>
      <c r="AE22" s="565"/>
      <c r="AF22" s="566"/>
      <c r="AI22" s="287"/>
      <c r="AJ22" s="288"/>
      <c r="AK22" s="287"/>
      <c r="AL22" s="288"/>
      <c r="AM22" s="286" t="s">
        <v>297</v>
      </c>
      <c r="AN22" s="539"/>
      <c r="AO22" s="539"/>
      <c r="AU22" s="319">
        <f>OBJ!B78</f>
        <v>9347509</v>
      </c>
      <c r="AV22" s="21" t="str">
        <f>VLOOKUP(AU22,CENY!$B$11:$G$1054,2,FALSE)</f>
        <v>AvanY-design ALprofil Hybrid na bok 600/ strieb.</v>
      </c>
      <c r="AW22" s="22">
        <f>VLOOKUP(AU22,CENY!$B$11:$G$1054,3,FALSE)</f>
        <v>200</v>
      </c>
      <c r="AX22" s="22"/>
      <c r="AY22" s="23">
        <f>IF(FORM!AM18=FORM!AU16,0,2*(AC20+AC22+AC28+AC30))</f>
        <v>0</v>
      </c>
      <c r="AZ22" s="326">
        <f t="shared" si="1"/>
        <v>0</v>
      </c>
      <c r="BA22" s="95">
        <f>VLOOKUP(AU22,CENY!$B$11:$M$2025,12,FALSE)</f>
        <v>22.79205</v>
      </c>
      <c r="BB22" s="95">
        <f t="shared" si="0"/>
        <v>0</v>
      </c>
      <c r="BD22" s="319">
        <f>OBJ!B139</f>
        <v>9255061</v>
      </c>
      <c r="BE22" s="21" t="str">
        <f>VLOOKUP(BD22,CENY!$B$11:$G$1054,2,FALSE)</f>
        <v>AvanY-bok pravý /v187/h650/ strieborná</v>
      </c>
      <c r="BF22" s="22">
        <f>VLOOKUP(BD22,CENY!$B$11:$G$1054,3,FALSE)</f>
        <v>10</v>
      </c>
      <c r="BG22" s="22"/>
      <c r="BH22" s="23">
        <f>AY13</f>
        <v>0</v>
      </c>
      <c r="BI22" s="326">
        <f t="shared" si="2"/>
        <v>0</v>
      </c>
      <c r="BJ22" s="95">
        <f>VLOOKUP(BD22,CENY!$B$11:$M$2025,12,FALSE)</f>
        <v>402.46422999999999</v>
      </c>
      <c r="BK22" s="95">
        <f t="shared" si="3"/>
        <v>0</v>
      </c>
    </row>
    <row r="23" spans="2:63" ht="14.4" customHeight="1">
      <c r="O23" s="4"/>
      <c r="P23" s="4"/>
      <c r="AU23" s="319">
        <f>OBJ!B79</f>
        <v>9347510</v>
      </c>
      <c r="AV23" s="21" t="str">
        <f>VLOOKUP(AU23,CENY!$B$11:$G$1054,2,FALSE)</f>
        <v>AvanY-design ALprofil Hybrid na bok 650/ strieb.</v>
      </c>
      <c r="AW23" s="22">
        <f>VLOOKUP(AU23,CENY!$B$11:$G$1054,3,FALSE)</f>
        <v>200</v>
      </c>
      <c r="AX23" s="22"/>
      <c r="AY23" s="23">
        <f>IF(FORM!AM18=FORM!AU16,0,2*AE22)</f>
        <v>0</v>
      </c>
      <c r="AZ23" s="326">
        <f t="shared" si="1"/>
        <v>0</v>
      </c>
      <c r="BA23" s="95">
        <f>VLOOKUP(AU23,CENY!$B$11:$M$2025,12,FALSE)</f>
        <v>24.580449999999999</v>
      </c>
      <c r="BB23" s="95">
        <f t="shared" si="0"/>
        <v>0</v>
      </c>
      <c r="BD23" s="319"/>
      <c r="BE23" s="21"/>
      <c r="BF23" s="22"/>
      <c r="BG23" s="22"/>
      <c r="BH23" s="23"/>
      <c r="BI23" s="326" t="str">
        <f t="shared" si="2"/>
        <v/>
      </c>
      <c r="BJ23" s="95"/>
      <c r="BK23" s="95" t="str">
        <f t="shared" si="3"/>
        <v/>
      </c>
    </row>
    <row r="24" spans="2:63" ht="14.4" customHeight="1">
      <c r="AU24" s="319"/>
      <c r="AV24" s="21"/>
      <c r="AW24" s="22"/>
      <c r="AX24" s="22"/>
      <c r="AY24" s="23"/>
      <c r="AZ24" s="326" t="str">
        <f t="shared" si="1"/>
        <v/>
      </c>
      <c r="BA24" s="95"/>
      <c r="BB24" s="95" t="str">
        <f t="shared" si="0"/>
        <v/>
      </c>
      <c r="BD24" s="320">
        <v>9255839</v>
      </c>
      <c r="BE24" s="321" t="str">
        <f>VLOOKUP(BD24,CENY!$B$11:$G$1054,2,FALSE)</f>
        <v>AvanY-prích.čela s rozp.púzdrom/ v187-251</v>
      </c>
      <c r="BF24" s="22">
        <f>VLOOKUP(BD24,CENY!$B$11:$G$1054,3,FALSE)</f>
        <v>200</v>
      </c>
      <c r="BG24" s="22"/>
      <c r="BH24" s="23">
        <v>0</v>
      </c>
      <c r="BI24" s="326">
        <f t="shared" si="2"/>
        <v>0</v>
      </c>
      <c r="BJ24" s="95">
        <f>VLOOKUP(BD24,CENY!$B$11:$M$2025,12,FALSE)</f>
        <v>49.991039999999998</v>
      </c>
      <c r="BK24" s="95">
        <f t="shared" si="3"/>
        <v>0</v>
      </c>
    </row>
    <row r="25" spans="2:63" ht="14.4" customHeight="1" thickBot="1">
      <c r="B25" s="2" t="s">
        <v>285</v>
      </c>
      <c r="AI25" s="540" t="str">
        <f>verze!E199</f>
        <v>P2O Silent pro Quadro</v>
      </c>
      <c r="AJ25" s="541"/>
      <c r="AK25" s="541"/>
      <c r="AL25" s="541"/>
      <c r="AM25" s="541"/>
      <c r="AN25" s="541"/>
      <c r="AO25" s="541"/>
      <c r="AU25" s="319">
        <f>OBJ!B233</f>
        <v>9318154</v>
      </c>
      <c r="AV25" s="21" t="str">
        <f>VLOOKUP(AU25,CENY!$B$11:$G$1054,2,FALSE)</f>
        <v>Actro You(S) 270/SiSy 10kg; EB21</v>
      </c>
      <c r="AW25" s="22">
        <f>VLOOKUP(AU25,CENY!$B$11:$G$1054,3,FALSE)</f>
        <v>1</v>
      </c>
      <c r="AX25" s="362">
        <v>4</v>
      </c>
      <c r="AY25" s="23">
        <f>O19</f>
        <v>0</v>
      </c>
      <c r="AZ25" s="326">
        <f t="shared" si="1"/>
        <v>0</v>
      </c>
      <c r="BA25" s="95">
        <f>VLOOKUP(AU25,CENY!$B$11:$M$2025,12,FALSE)</f>
        <v>657.45060999999998</v>
      </c>
      <c r="BB25" s="95">
        <f t="shared" si="0"/>
        <v>0</v>
      </c>
      <c r="BD25" s="319">
        <f>OBJ!B48</f>
        <v>9257702</v>
      </c>
      <c r="BE25" s="21" t="str">
        <f>VLOOKUP(BD25,CENY!$B$11:$G$1054,2,FALSE)</f>
        <v>AvanY-stabilizátor chrbáta</v>
      </c>
      <c r="BF25" s="22">
        <f>VLOOKUP(BD25,CENY!$B$11:$G$1054,3,FALSE)</f>
        <v>200</v>
      </c>
      <c r="BG25" s="22"/>
      <c r="BH25" s="23">
        <f>2*(SUM(O19:T19)+SUM(O20:AD20)+SUM(W22:AF22)+SUM(O27:T27)+SUM(O28:AD28)+SUM(O30:AD30))</f>
        <v>0</v>
      </c>
      <c r="BI25" s="326">
        <f t="shared" si="2"/>
        <v>0</v>
      </c>
      <c r="BJ25" s="95">
        <f>VLOOKUP(BD25,CENY!$B$11:$M$2025,12,FALSE)</f>
        <v>15.54837</v>
      </c>
      <c r="BK25" s="95">
        <f t="shared" si="3"/>
        <v>0</v>
      </c>
    </row>
    <row r="26" spans="2:63" ht="14.4" customHeight="1" thickBot="1">
      <c r="B26" s="96"/>
      <c r="C26" s="96"/>
      <c r="D26" s="96"/>
      <c r="E26" s="96"/>
      <c r="F26" s="96"/>
      <c r="G26" s="96"/>
      <c r="H26" s="72"/>
      <c r="I26" s="72"/>
      <c r="J26" s="72"/>
      <c r="K26" s="72"/>
      <c r="L26" s="72"/>
      <c r="M26" s="72"/>
      <c r="N26" s="72" t="str">
        <f>verze!$E$20&amp;" "</f>
        <v xml:space="preserve">Jmenovitá délka: </v>
      </c>
      <c r="O26" s="535">
        <v>270</v>
      </c>
      <c r="P26" s="536"/>
      <c r="Q26" s="535">
        <v>300</v>
      </c>
      <c r="R26" s="536"/>
      <c r="S26" s="535">
        <v>350</v>
      </c>
      <c r="T26" s="536"/>
      <c r="U26" s="535">
        <v>400</v>
      </c>
      <c r="V26" s="536"/>
      <c r="W26" s="535">
        <v>450</v>
      </c>
      <c r="X26" s="536"/>
      <c r="Y26" s="537">
        <v>500</v>
      </c>
      <c r="Z26" s="538"/>
      <c r="AA26" s="535">
        <v>550</v>
      </c>
      <c r="AB26" s="536"/>
      <c r="AC26" s="535">
        <v>600</v>
      </c>
      <c r="AD26" s="536"/>
      <c r="AI26" s="543" t="s">
        <v>299</v>
      </c>
      <c r="AJ26" s="543"/>
      <c r="AK26" s="543"/>
      <c r="AL26" s="543"/>
      <c r="AM26" s="543"/>
      <c r="AN26" s="543"/>
      <c r="AO26" s="543"/>
      <c r="AU26" s="319">
        <f>OBJ!B234</f>
        <v>9318156</v>
      </c>
      <c r="AV26" s="21" t="str">
        <f>VLOOKUP(AU26,CENY!$B$11:$G$1054,2,FALSE)</f>
        <v>Actro You(S) 300/SiSy 10kg; EB21</v>
      </c>
      <c r="AW26" s="22">
        <f>VLOOKUP(AU26,CENY!$B$11:$G$1054,3,FALSE)</f>
        <v>1</v>
      </c>
      <c r="AX26" s="362">
        <v>4</v>
      </c>
      <c r="AY26" s="23">
        <f>Q19</f>
        <v>0</v>
      </c>
      <c r="AZ26" s="326">
        <f t="shared" si="1"/>
        <v>0</v>
      </c>
      <c r="BA26" s="95">
        <f>VLOOKUP(AU26,CENY!$B$11:$M$2025,12,FALSE)</f>
        <v>657.45060999999998</v>
      </c>
      <c r="BB26" s="95">
        <f t="shared" si="0"/>
        <v>0</v>
      </c>
      <c r="BD26" s="20"/>
      <c r="BE26" s="21"/>
      <c r="BF26" s="22"/>
      <c r="BG26" s="22"/>
      <c r="BH26" s="23"/>
      <c r="BI26" s="326" t="str">
        <f t="shared" si="2"/>
        <v/>
      </c>
      <c r="BJ26" s="95"/>
      <c r="BK26" s="95" t="str">
        <f t="shared" si="3"/>
        <v/>
      </c>
    </row>
    <row r="27" spans="2:63" ht="14.4" customHeight="1" thickBot="1">
      <c r="B27" s="530" t="s">
        <v>292</v>
      </c>
      <c r="C27" s="530"/>
      <c r="D27" s="530"/>
      <c r="E27" s="530"/>
      <c r="F27" s="530"/>
      <c r="G27" s="530"/>
      <c r="H27" s="531" t="str">
        <f>verze!E18</f>
        <v>plnovýsuv</v>
      </c>
      <c r="I27" s="531"/>
      <c r="J27" s="531"/>
      <c r="K27" s="531"/>
      <c r="L27" s="531"/>
      <c r="M27" s="532" t="s">
        <v>286</v>
      </c>
      <c r="N27" s="533"/>
      <c r="O27" s="567"/>
      <c r="P27" s="568"/>
      <c r="Q27" s="567"/>
      <c r="R27" s="568"/>
      <c r="S27" s="567"/>
      <c r="T27" s="568"/>
      <c r="U27" s="283"/>
      <c r="V27" s="284"/>
      <c r="W27" s="283"/>
      <c r="X27" s="284"/>
      <c r="Y27" s="283"/>
      <c r="Z27" s="284"/>
      <c r="AA27" s="283"/>
      <c r="AB27" s="284"/>
      <c r="AC27" s="283"/>
      <c r="AD27" s="284"/>
      <c r="AI27" s="289"/>
      <c r="AJ27" s="290"/>
      <c r="AK27" s="289"/>
      <c r="AL27" s="290"/>
      <c r="AM27" s="291" t="s">
        <v>295</v>
      </c>
      <c r="AN27" s="534"/>
      <c r="AO27" s="534"/>
      <c r="AU27" s="319">
        <f>OBJ!B235</f>
        <v>9318160</v>
      </c>
      <c r="AV27" s="21" t="str">
        <f>VLOOKUP(AU27,CENY!$B$11:$G$1054,2,FALSE)</f>
        <v>Actro You(S) 350/SiSy 10kg; EB21</v>
      </c>
      <c r="AW27" s="22">
        <f>VLOOKUP(AU27,CENY!$B$11:$G$1054,3,FALSE)</f>
        <v>1</v>
      </c>
      <c r="AX27" s="362">
        <v>4</v>
      </c>
      <c r="AY27" s="23">
        <f>S19</f>
        <v>0</v>
      </c>
      <c r="AZ27" s="326">
        <f t="shared" si="1"/>
        <v>0</v>
      </c>
      <c r="BA27" s="95">
        <f>VLOOKUP(AU27,CENY!$B$11:$M$2025,12,FALSE)</f>
        <v>657.45060999999998</v>
      </c>
      <c r="BB27" s="95">
        <f t="shared" si="0"/>
        <v>0</v>
      </c>
      <c r="BD27" s="319">
        <f>OBJ!B71</f>
        <v>9347502</v>
      </c>
      <c r="BE27" s="21" t="str">
        <f>VLOOKUP(BD27,CENY!$B$11:$G$1054,2,FALSE)</f>
        <v>AvanY-design ALprofil Hybrid na bok 270/ strieb.</v>
      </c>
      <c r="BF27" s="22">
        <f>VLOOKUP(BD27,CENY!$B$11:$G$1054,3,FALSE)</f>
        <v>200</v>
      </c>
      <c r="BG27" s="22"/>
      <c r="BH27" s="23">
        <f>2*(O19+O20+O27+O28+O30)</f>
        <v>0</v>
      </c>
      <c r="BI27" s="326">
        <f t="shared" si="2"/>
        <v>0</v>
      </c>
      <c r="BJ27" s="95">
        <f>VLOOKUP(BD27,CENY!$B$11:$M$2025,12,FALSE)</f>
        <v>19.78839</v>
      </c>
      <c r="BK27" s="95">
        <f t="shared" si="3"/>
        <v>0</v>
      </c>
    </row>
    <row r="28" spans="2:63" ht="14.4" customHeight="1" thickBot="1">
      <c r="B28" s="521" t="s">
        <v>372</v>
      </c>
      <c r="C28" s="521"/>
      <c r="D28" s="521"/>
      <c r="E28" s="521"/>
      <c r="F28" s="521"/>
      <c r="G28" s="521"/>
      <c r="H28" s="522" t="str">
        <f>verze!E18</f>
        <v>plnovýsuv</v>
      </c>
      <c r="I28" s="522"/>
      <c r="J28" s="522"/>
      <c r="K28" s="522"/>
      <c r="L28" s="522"/>
      <c r="M28" s="523" t="s">
        <v>1</v>
      </c>
      <c r="N28" s="524"/>
      <c r="O28" s="516"/>
      <c r="P28" s="517"/>
      <c r="Q28" s="516"/>
      <c r="R28" s="517"/>
      <c r="S28" s="516"/>
      <c r="T28" s="517"/>
      <c r="U28" s="516"/>
      <c r="V28" s="517"/>
      <c r="W28" s="516"/>
      <c r="X28" s="517"/>
      <c r="Y28" s="516"/>
      <c r="Z28" s="517"/>
      <c r="AA28" s="516"/>
      <c r="AB28" s="517"/>
      <c r="AC28" s="516"/>
      <c r="AD28" s="517"/>
      <c r="AI28" s="287"/>
      <c r="AJ28" s="288"/>
      <c r="AK28" s="287"/>
      <c r="AL28" s="288"/>
      <c r="AM28" s="286" t="s">
        <v>294</v>
      </c>
      <c r="AN28" s="520"/>
      <c r="AO28" s="520"/>
      <c r="AU28" s="20"/>
      <c r="AV28" s="21"/>
      <c r="AW28" s="22"/>
      <c r="AX28" s="22"/>
      <c r="AY28" s="23"/>
      <c r="AZ28" s="326" t="str">
        <f t="shared" si="1"/>
        <v/>
      </c>
      <c r="BA28" s="95"/>
      <c r="BB28" s="95" t="str">
        <f t="shared" si="0"/>
        <v/>
      </c>
      <c r="BD28" s="319">
        <f>OBJ!B72</f>
        <v>9347503</v>
      </c>
      <c r="BE28" s="21" t="str">
        <f>VLOOKUP(BD28,CENY!$B$11:$G$1054,2,FALSE)</f>
        <v>AvanY-design ALprofil Hybrid na bok 300/ strieb.</v>
      </c>
      <c r="BF28" s="22">
        <f>VLOOKUP(BD28,CENY!$B$11:$G$1054,3,FALSE)</f>
        <v>200</v>
      </c>
      <c r="BG28" s="22"/>
      <c r="BH28" s="23">
        <f>2*(Q19+Q20+Q27+Q28+Q30)</f>
        <v>0</v>
      </c>
      <c r="BI28" s="326">
        <f t="shared" si="2"/>
        <v>0</v>
      </c>
      <c r="BJ28" s="95">
        <f>VLOOKUP(BD28,CENY!$B$11:$M$2025,12,FALSE)</f>
        <v>20.006769999999999</v>
      </c>
      <c r="BK28" s="95">
        <f t="shared" si="3"/>
        <v>0</v>
      </c>
    </row>
    <row r="29" spans="2:63" ht="14.4" customHeight="1" thickBot="1">
      <c r="O29" s="283"/>
      <c r="P29" s="284"/>
      <c r="Q29" s="283"/>
      <c r="R29" s="284"/>
      <c r="S29" s="283"/>
      <c r="T29" s="284"/>
      <c r="U29" s="283"/>
      <c r="V29" s="284"/>
      <c r="W29" s="283"/>
      <c r="X29" s="284"/>
      <c r="Y29" s="283"/>
      <c r="Z29" s="284"/>
      <c r="AA29" s="283"/>
      <c r="AB29" s="284"/>
      <c r="AC29" s="283"/>
      <c r="AD29" s="284"/>
      <c r="AI29" s="287"/>
      <c r="AJ29" s="288"/>
      <c r="AK29" s="287"/>
      <c r="AL29" s="288"/>
      <c r="AM29" s="286" t="s">
        <v>298</v>
      </c>
      <c r="AN29" s="527"/>
      <c r="AO29" s="527"/>
      <c r="AU29" s="319">
        <f>OBJ!B243</f>
        <v>9318186</v>
      </c>
      <c r="AV29" s="21" t="str">
        <f>VLOOKUP(AU29,CENY!$B$11:$G$1054,2,FALSE)</f>
        <v>Actro You(L) 270/SiSy 40kg; EB21</v>
      </c>
      <c r="AW29" s="22">
        <f>VLOOKUP(AU29,CENY!$B$11:$G$1054,3,FALSE)</f>
        <v>1</v>
      </c>
      <c r="AX29" s="362">
        <v>8</v>
      </c>
      <c r="AY29" s="23">
        <f>O20</f>
        <v>0</v>
      </c>
      <c r="AZ29" s="326">
        <f t="shared" si="1"/>
        <v>0</v>
      </c>
      <c r="BA29" s="95">
        <f>VLOOKUP(AU29,CENY!$B$11:$M$2025,12,FALSE)</f>
        <v>657.45060999999998</v>
      </c>
      <c r="BB29" s="95">
        <f t="shared" si="0"/>
        <v>0</v>
      </c>
      <c r="BD29" s="319">
        <f>OBJ!B73</f>
        <v>9347504</v>
      </c>
      <c r="BE29" s="21" t="str">
        <f>VLOOKUP(BD29,CENY!$B$11:$G$1054,2,FALSE)</f>
        <v>AvanY-design ALprofil Hybrid na bok 350/ strieb.</v>
      </c>
      <c r="BF29" s="22">
        <f>VLOOKUP(BD29,CENY!$B$11:$G$1054,3,FALSE)</f>
        <v>200</v>
      </c>
      <c r="BG29" s="22"/>
      <c r="BH29" s="23">
        <f>2*(S19+S20+S27+S28+S30)</f>
        <v>0</v>
      </c>
      <c r="BI29" s="326">
        <f t="shared" si="2"/>
        <v>0</v>
      </c>
      <c r="BJ29" s="95">
        <f>VLOOKUP(BD29,CENY!$B$11:$M$2025,12,FALSE)</f>
        <v>20.37642</v>
      </c>
      <c r="BK29" s="95">
        <f t="shared" si="3"/>
        <v>0</v>
      </c>
    </row>
    <row r="30" spans="2:63" ht="14.4" customHeight="1" thickBot="1">
      <c r="B30" s="528" t="s">
        <v>373</v>
      </c>
      <c r="C30" s="528"/>
      <c r="D30" s="528"/>
      <c r="E30" s="528"/>
      <c r="F30" s="528"/>
      <c r="G30" s="528"/>
      <c r="H30" s="529" t="str">
        <f>verze!E18</f>
        <v>plnovýsuv</v>
      </c>
      <c r="I30" s="529"/>
      <c r="J30" s="529"/>
      <c r="K30" s="529"/>
      <c r="L30" s="529"/>
      <c r="M30" s="523" t="s">
        <v>1</v>
      </c>
      <c r="N30" s="524"/>
      <c r="O30" s="516"/>
      <c r="P30" s="517"/>
      <c r="Q30" s="516"/>
      <c r="R30" s="517"/>
      <c r="S30" s="516"/>
      <c r="T30" s="517"/>
      <c r="U30" s="516"/>
      <c r="V30" s="517"/>
      <c r="W30" s="516"/>
      <c r="X30" s="517"/>
      <c r="Y30" s="516"/>
      <c r="Z30" s="517"/>
      <c r="AA30" s="516"/>
      <c r="AB30" s="517"/>
      <c r="AC30" s="565"/>
      <c r="AD30" s="566"/>
      <c r="AU30" s="319">
        <f>OBJ!B244</f>
        <v>9318187</v>
      </c>
      <c r="AV30" s="21" t="str">
        <f>VLOOKUP(AU30,CENY!$B$11:$G$1054,2,FALSE)</f>
        <v>Actro You(L) 300/SiSy 40kg; EB21</v>
      </c>
      <c r="AW30" s="22">
        <f>VLOOKUP(AU30,CENY!$B$11:$G$1054,3,FALSE)</f>
        <v>1</v>
      </c>
      <c r="AX30" s="362">
        <v>8</v>
      </c>
      <c r="AY30" s="23">
        <f>Q20</f>
        <v>0</v>
      </c>
      <c r="AZ30" s="326">
        <f t="shared" si="1"/>
        <v>0</v>
      </c>
      <c r="BA30" s="95">
        <f>VLOOKUP(AU30,CENY!$B$11:$M$2025,12,FALSE)</f>
        <v>657.45060999999998</v>
      </c>
      <c r="BB30" s="95">
        <f t="shared" si="0"/>
        <v>0</v>
      </c>
      <c r="BD30" s="319">
        <f>OBJ!B74</f>
        <v>9347505</v>
      </c>
      <c r="BE30" s="21" t="str">
        <f>VLOOKUP(BD30,CENY!$B$11:$G$1054,2,FALSE)</f>
        <v>AvanY-design ALprofil Hybrid na bok 400/ strieb.</v>
      </c>
      <c r="BF30" s="22">
        <f>VLOOKUP(BD30,CENY!$B$11:$G$1054,3,FALSE)</f>
        <v>200</v>
      </c>
      <c r="BG30" s="22"/>
      <c r="BH30" s="23">
        <f>2*(U20+U28+U30)</f>
        <v>0</v>
      </c>
      <c r="BI30" s="326">
        <f t="shared" si="2"/>
        <v>0</v>
      </c>
      <c r="BJ30" s="95">
        <f>VLOOKUP(BD30,CENY!$B$11:$M$2025,12,FALSE)</f>
        <v>20.742249999999999</v>
      </c>
      <c r="BK30" s="95">
        <f t="shared" si="3"/>
        <v>0</v>
      </c>
    </row>
    <row r="31" spans="2:63" ht="14.4" customHeight="1">
      <c r="AU31" s="319">
        <f>OBJ!B245</f>
        <v>9318188</v>
      </c>
      <c r="AV31" s="21" t="str">
        <f>VLOOKUP(AU31,CENY!$B$11:$G$1054,2,FALSE)</f>
        <v>Actro You(L) 350/SiSy 40kg; EB21</v>
      </c>
      <c r="AW31" s="22">
        <f>VLOOKUP(AU31,CENY!$B$11:$G$1054,3,FALSE)</f>
        <v>1</v>
      </c>
      <c r="AX31" s="362">
        <v>8</v>
      </c>
      <c r="AY31" s="23">
        <f>S20</f>
        <v>0</v>
      </c>
      <c r="AZ31" s="326">
        <f t="shared" si="1"/>
        <v>0</v>
      </c>
      <c r="BA31" s="95">
        <f>VLOOKUP(AU31,CENY!$B$11:$M$2025,12,FALSE)</f>
        <v>657.45060999999998</v>
      </c>
      <c r="BB31" s="95">
        <f t="shared" si="0"/>
        <v>0</v>
      </c>
      <c r="BD31" s="319">
        <f>OBJ!B75</f>
        <v>9347506</v>
      </c>
      <c r="BE31" s="21" t="str">
        <f>VLOOKUP(BD31,CENY!$B$11:$G$1054,2,FALSE)</f>
        <v>AvanY-design ALprofil Hybrid na bok 450/ strieb.</v>
      </c>
      <c r="BF31" s="22">
        <f>VLOOKUP(BD31,CENY!$B$11:$G$1054,3,FALSE)</f>
        <v>200</v>
      </c>
      <c r="BG31" s="22"/>
      <c r="BH31" s="23">
        <f>2*(W20+W22+W28+W30)</f>
        <v>0</v>
      </c>
      <c r="BI31" s="326">
        <f t="shared" si="2"/>
        <v>0</v>
      </c>
      <c r="BJ31" s="95">
        <f>VLOOKUP(BD31,CENY!$B$11:$M$2025,12,FALSE)</f>
        <v>21.111910000000002</v>
      </c>
      <c r="BK31" s="95">
        <f t="shared" si="3"/>
        <v>0</v>
      </c>
    </row>
    <row r="32" spans="2:63" ht="14.4" customHeight="1">
      <c r="B32" s="366" t="str">
        <f>verze!E201</f>
        <v>SiSy = tlumení Silent System</v>
      </c>
      <c r="AU32" s="319">
        <f>OBJ!B246</f>
        <v>9318190</v>
      </c>
      <c r="AV32" s="21" t="str">
        <f>VLOOKUP(AU32,CENY!$B$11:$G$1054,2,FALSE)</f>
        <v>Actro You(L) 400/SiSy 40kg; EB21</v>
      </c>
      <c r="AW32" s="22">
        <f>VLOOKUP(AU32,CENY!$B$11:$G$1054,3,FALSE)</f>
        <v>1</v>
      </c>
      <c r="AX32" s="362">
        <v>8</v>
      </c>
      <c r="AY32" s="23">
        <f>U20</f>
        <v>0</v>
      </c>
      <c r="AZ32" s="326">
        <f t="shared" si="1"/>
        <v>0</v>
      </c>
      <c r="BA32" s="95">
        <f>VLOOKUP(AU32,CENY!$B$11:$M$2025,12,FALSE)</f>
        <v>664.73978</v>
      </c>
      <c r="BB32" s="95">
        <f t="shared" si="0"/>
        <v>0</v>
      </c>
      <c r="BD32" s="319">
        <f>OBJ!B76</f>
        <v>9347507</v>
      </c>
      <c r="BE32" s="21" t="str">
        <f>VLOOKUP(BD32,CENY!$B$11:$G$1054,2,FALSE)</f>
        <v>AvanY-design ALprofil Hybrid na bok 500/ strieb.</v>
      </c>
      <c r="BF32" s="22">
        <f>VLOOKUP(BD32,CENY!$B$11:$G$1054,3,FALSE)</f>
        <v>200</v>
      </c>
      <c r="BG32" s="22"/>
      <c r="BH32" s="23">
        <f>2*(Y20+Y22+Y28+Y30)</f>
        <v>0</v>
      </c>
      <c r="BI32" s="326">
        <f t="shared" si="2"/>
        <v>0</v>
      </c>
      <c r="BJ32" s="95">
        <f>VLOOKUP(BD32,CENY!$B$11:$M$2025,12,FALSE)</f>
        <v>21.479700000000001</v>
      </c>
      <c r="BK32" s="95">
        <f t="shared" si="3"/>
        <v>0</v>
      </c>
    </row>
    <row r="33" spans="2:63" ht="14.4" customHeight="1">
      <c r="B33" s="366" t="str">
        <f>verze!E204</f>
        <v>P2O = otvírání bez úchytky Push to open</v>
      </c>
      <c r="AU33" s="319">
        <f>OBJ!B247</f>
        <v>9318191</v>
      </c>
      <c r="AV33" s="21" t="str">
        <f>VLOOKUP(AU33,CENY!$B$11:$G$1054,2,FALSE)</f>
        <v>Actro You(L) 450/SiSy 40kg; EB21</v>
      </c>
      <c r="AW33" s="22">
        <f>VLOOKUP(AU33,CENY!$B$11:$G$1054,3,FALSE)</f>
        <v>1</v>
      </c>
      <c r="AX33" s="362">
        <v>10</v>
      </c>
      <c r="AY33" s="23">
        <f>W20</f>
        <v>0</v>
      </c>
      <c r="AZ33" s="326">
        <f t="shared" si="1"/>
        <v>0</v>
      </c>
      <c r="BA33" s="95">
        <f>VLOOKUP(AU33,CENY!$B$11:$M$2025,12,FALSE)</f>
        <v>671.97520999999995</v>
      </c>
      <c r="BB33" s="95">
        <f t="shared" si="0"/>
        <v>0</v>
      </c>
      <c r="BD33" s="319">
        <f>OBJ!B77</f>
        <v>9347508</v>
      </c>
      <c r="BE33" s="21" t="str">
        <f>VLOOKUP(BD33,CENY!$B$11:$G$1054,2,FALSE)</f>
        <v>AvanY-design ALprofil Hybrid na bok 550/ strieb.</v>
      </c>
      <c r="BF33" s="22">
        <f>VLOOKUP(BD33,CENY!$B$11:$G$1054,3,FALSE)</f>
        <v>200</v>
      </c>
      <c r="BG33" s="22"/>
      <c r="BH33" s="23">
        <f>2*(AA20+AA22+AA28+AA30)</f>
        <v>0</v>
      </c>
      <c r="BI33" s="326">
        <f t="shared" si="2"/>
        <v>0</v>
      </c>
      <c r="BJ33" s="95">
        <f>VLOOKUP(BD33,CENY!$B$11:$M$2025,12,FALSE)</f>
        <v>21.84564</v>
      </c>
      <c r="BK33" s="95">
        <f t="shared" si="3"/>
        <v>0</v>
      </c>
    </row>
    <row r="34" spans="2:63" ht="14.4" customHeight="1">
      <c r="B34" s="366" t="str">
        <f>verze!E203</f>
        <v>P2O Silent = tlumení s otvíráním bez úchytky Push to open Silent</v>
      </c>
      <c r="AU34" s="319">
        <f>OBJ!B248</f>
        <v>9318192</v>
      </c>
      <c r="AV34" s="21" t="str">
        <f>VLOOKUP(AU34,CENY!$B$11:$G$1054,2,FALSE)</f>
        <v>Actro You(L) 500/SiSy 40kg; EB21</v>
      </c>
      <c r="AW34" s="22">
        <f>VLOOKUP(AU34,CENY!$B$11:$G$1054,3,FALSE)</f>
        <v>1</v>
      </c>
      <c r="AX34" s="362">
        <v>10</v>
      </c>
      <c r="AY34" s="23">
        <f>Y20</f>
        <v>0</v>
      </c>
      <c r="AZ34" s="326">
        <f t="shared" si="1"/>
        <v>0</v>
      </c>
      <c r="BA34" s="95">
        <f>VLOOKUP(AU34,CENY!$B$11:$M$2025,12,FALSE)</f>
        <v>164.23333</v>
      </c>
      <c r="BB34" s="95">
        <f t="shared" si="0"/>
        <v>0</v>
      </c>
      <c r="BD34" s="319">
        <f>OBJ!B78</f>
        <v>9347509</v>
      </c>
      <c r="BE34" s="21" t="str">
        <f>VLOOKUP(BD34,CENY!$B$11:$G$1054,2,FALSE)</f>
        <v>AvanY-design ALprofil Hybrid na bok 600/ strieb.</v>
      </c>
      <c r="BF34" s="22">
        <f>VLOOKUP(BD34,CENY!$B$11:$G$1054,3,FALSE)</f>
        <v>200</v>
      </c>
      <c r="BG34" s="22"/>
      <c r="BH34" s="23">
        <f>2*(AC20+AC22+AC28+AC30)</f>
        <v>0</v>
      </c>
      <c r="BI34" s="326">
        <f t="shared" si="2"/>
        <v>0</v>
      </c>
      <c r="BJ34" s="95">
        <f>VLOOKUP(BD34,CENY!$B$11:$M$2025,12,FALSE)</f>
        <v>22.79205</v>
      </c>
      <c r="BK34" s="95">
        <f t="shared" si="3"/>
        <v>0</v>
      </c>
    </row>
    <row r="35" spans="2:63" ht="14.4" customHeight="1">
      <c r="AU35" s="319">
        <f>OBJ!B249</f>
        <v>9318194</v>
      </c>
      <c r="AV35" s="21" t="str">
        <f>VLOOKUP(AU35,CENY!$B$11:$G$1054,2,FALSE)</f>
        <v>Actro You(L) 550/SiSy 40kg; EB21</v>
      </c>
      <c r="AW35" s="22">
        <f>VLOOKUP(AU35,CENY!$B$11:$G$1054,3,FALSE)</f>
        <v>1</v>
      </c>
      <c r="AX35" s="362">
        <v>10</v>
      </c>
      <c r="AY35" s="23">
        <f>AA20</f>
        <v>0</v>
      </c>
      <c r="AZ35" s="326">
        <f t="shared" si="1"/>
        <v>0</v>
      </c>
      <c r="BA35" s="95">
        <f>VLOOKUP(AU35,CENY!$B$11:$M$2025,12,FALSE)</f>
        <v>173.62268</v>
      </c>
      <c r="BB35" s="95">
        <f t="shared" si="0"/>
        <v>0</v>
      </c>
      <c r="BD35" s="319">
        <f>OBJ!B79</f>
        <v>9347510</v>
      </c>
      <c r="BE35" s="21" t="str">
        <f>VLOOKUP(BD35,CENY!$B$11:$G$1054,2,FALSE)</f>
        <v>AvanY-design ALprofil Hybrid na bok 650/ strieb.</v>
      </c>
      <c r="BF35" s="22">
        <f>VLOOKUP(BD35,CENY!$B$11:$G$1054,3,FALSE)</f>
        <v>200</v>
      </c>
      <c r="BG35" s="22"/>
      <c r="BH35" s="23">
        <f>2*AE22</f>
        <v>0</v>
      </c>
      <c r="BI35" s="326">
        <f t="shared" si="2"/>
        <v>0</v>
      </c>
      <c r="BJ35" s="95">
        <f>VLOOKUP(BD35,CENY!$B$11:$M$2025,12,FALSE)</f>
        <v>24.580449999999999</v>
      </c>
      <c r="BK35" s="95">
        <f t="shared" si="3"/>
        <v>0</v>
      </c>
    </row>
    <row r="36" spans="2:63" ht="14.4" customHeight="1">
      <c r="AU36" s="319">
        <f>OBJ!B250</f>
        <v>9318196</v>
      </c>
      <c r="AV36" s="21" t="str">
        <f>VLOOKUP(AU36,CENY!$B$11:$G$1054,2,FALSE)</f>
        <v>Actro You(L) 600/SiSy 40kg; EB21</v>
      </c>
      <c r="AW36" s="22">
        <f>VLOOKUP(AU36,CENY!$B$11:$G$1054,3,FALSE)</f>
        <v>1</v>
      </c>
      <c r="AX36" s="362">
        <v>10</v>
      </c>
      <c r="AY36" s="23">
        <f>AC20</f>
        <v>0</v>
      </c>
      <c r="AZ36" s="326">
        <f t="shared" si="1"/>
        <v>0</v>
      </c>
      <c r="BA36" s="95">
        <f>VLOOKUP(AU36,CENY!$B$11:$M$2025,12,FALSE)</f>
        <v>726.70140000000004</v>
      </c>
      <c r="BB36" s="95">
        <f t="shared" si="0"/>
        <v>0</v>
      </c>
      <c r="BD36" s="319"/>
      <c r="BE36" s="21"/>
      <c r="BF36" s="22"/>
      <c r="BG36" s="22"/>
      <c r="BH36" s="23"/>
      <c r="BI36" s="326" t="str">
        <f t="shared" si="2"/>
        <v/>
      </c>
      <c r="BJ36" s="95"/>
      <c r="BK36" s="95" t="str">
        <f t="shared" si="3"/>
        <v/>
      </c>
    </row>
    <row r="37" spans="2:63" ht="14.4" customHeight="1">
      <c r="AU37" s="319"/>
      <c r="AV37" s="21"/>
      <c r="AW37" s="22"/>
      <c r="AX37" s="22"/>
      <c r="AY37" s="23"/>
      <c r="AZ37" s="326" t="str">
        <f t="shared" si="1"/>
        <v/>
      </c>
      <c r="BA37" s="95"/>
      <c r="BB37" s="95" t="str">
        <f t="shared" si="0"/>
        <v/>
      </c>
      <c r="BD37" s="319">
        <f>OBJ!B236</f>
        <v>9318145</v>
      </c>
      <c r="BE37" s="21" t="str">
        <f>VLOOKUP(BD37,CENY!$B$11:$G$1054,2,FALSE)</f>
        <v>Actro You(S) 270/SiSy 10kg; EB21; ľavý</v>
      </c>
      <c r="BF37" s="22">
        <f>VLOOKUP(BD37,CENY!$B$11:$G$1054,3,FALSE)</f>
        <v>10</v>
      </c>
      <c r="BG37" s="22"/>
      <c r="BH37" s="23">
        <f>AY25</f>
        <v>0</v>
      </c>
      <c r="BI37" s="326">
        <f t="shared" si="2"/>
        <v>0</v>
      </c>
      <c r="BJ37" s="95">
        <f>VLOOKUP(BD37,CENY!$B$11:$M$2025,12,FALSE)</f>
        <v>298.88173999999998</v>
      </c>
      <c r="BK37" s="95">
        <f t="shared" si="3"/>
        <v>0</v>
      </c>
    </row>
    <row r="38" spans="2:63" ht="14.4" customHeight="1">
      <c r="AU38" s="319">
        <f>OBJ!B268</f>
        <v>9318215</v>
      </c>
      <c r="AV38" s="21" t="str">
        <f>VLOOKUP(AU38,CENY!$B$11:$G$1054,2,FALSE)</f>
        <v>Actro You(XL) 450/SiSy 70kg; EB21</v>
      </c>
      <c r="AW38" s="22">
        <f>VLOOKUP(AU38,CENY!$B$11:$G$1054,3,FALSE)</f>
        <v>1</v>
      </c>
      <c r="AX38" s="362">
        <v>10</v>
      </c>
      <c r="AY38" s="23">
        <f>W22</f>
        <v>0</v>
      </c>
      <c r="AZ38" s="326">
        <f t="shared" si="1"/>
        <v>0</v>
      </c>
      <c r="BA38" s="95">
        <f>VLOOKUP(AU38,CENY!$B$11:$M$2025,12,FALSE)</f>
        <v>197.37184999999999</v>
      </c>
      <c r="BB38" s="95">
        <f t="shared" si="0"/>
        <v>0</v>
      </c>
      <c r="BD38" s="319">
        <f>OBJ!B237</f>
        <v>9318146</v>
      </c>
      <c r="BE38" s="21" t="str">
        <f>VLOOKUP(BD38,CENY!$B$11:$G$1054,2,FALSE)</f>
        <v>Actro You(S) 270/SiSy 10kg; EB21; pravý</v>
      </c>
      <c r="BF38" s="22">
        <f>VLOOKUP(BD38,CENY!$B$11:$G$1054,3,FALSE)</f>
        <v>10</v>
      </c>
      <c r="BG38" s="22"/>
      <c r="BH38" s="23">
        <f>AY25</f>
        <v>0</v>
      </c>
      <c r="BI38" s="326">
        <f t="shared" si="2"/>
        <v>0</v>
      </c>
      <c r="BJ38" s="95">
        <f>VLOOKUP(BD38,CENY!$B$11:$M$2025,12,FALSE)</f>
        <v>298.88173999999998</v>
      </c>
      <c r="BK38" s="95">
        <f t="shared" si="3"/>
        <v>0</v>
      </c>
    </row>
    <row r="39" spans="2:63" ht="14.4" customHeight="1">
      <c r="AU39" s="319">
        <f>OBJ!B269</f>
        <v>9318216</v>
      </c>
      <c r="AV39" s="21" t="str">
        <f>VLOOKUP(AU39,CENY!$B$11:$G$1054,2,FALSE)</f>
        <v>Actro You(XL) 500/SiSy 70kg; EB21</v>
      </c>
      <c r="AW39" s="22">
        <f>VLOOKUP(AU39,CENY!$B$11:$G$1054,3,FALSE)</f>
        <v>1</v>
      </c>
      <c r="AX39" s="362">
        <v>10</v>
      </c>
      <c r="AY39" s="23">
        <f>Y22</f>
        <v>0</v>
      </c>
      <c r="AZ39" s="326">
        <f t="shared" si="1"/>
        <v>0</v>
      </c>
      <c r="BA39" s="95">
        <f>VLOOKUP(AU39,CENY!$B$11:$M$2025,12,FALSE)</f>
        <v>823.68502000000001</v>
      </c>
      <c r="BB39" s="95">
        <f t="shared" si="0"/>
        <v>0</v>
      </c>
      <c r="BD39" s="319">
        <f>OBJ!B238</f>
        <v>9318147</v>
      </c>
      <c r="BE39" s="21" t="str">
        <f>VLOOKUP(BD39,CENY!$B$11:$G$1054,2,FALSE)</f>
        <v>Actro You(S) 300/SiSy 10kg; EB21; ľavý</v>
      </c>
      <c r="BF39" s="22">
        <f>VLOOKUP(BD39,CENY!$B$11:$G$1054,3,FALSE)</f>
        <v>10</v>
      </c>
      <c r="BG39" s="22"/>
      <c r="BH39" s="23">
        <f>AY26</f>
        <v>0</v>
      </c>
      <c r="BI39" s="326">
        <f t="shared" si="2"/>
        <v>0</v>
      </c>
      <c r="BJ39" s="95">
        <f>VLOOKUP(BD39,CENY!$B$11:$M$2025,12,FALSE)</f>
        <v>298.88173999999998</v>
      </c>
      <c r="BK39" s="95">
        <f t="shared" si="3"/>
        <v>0</v>
      </c>
    </row>
    <row r="40" spans="2:63" ht="14.4" customHeight="1">
      <c r="AU40" s="319">
        <f>OBJ!B270</f>
        <v>9318217</v>
      </c>
      <c r="AV40" s="21" t="str">
        <f>VLOOKUP(AU40,CENY!$B$11:$G$1054,2,FALSE)</f>
        <v>Actro You(XL) 550/SiSy 70kg; EB21</v>
      </c>
      <c r="AW40" s="22">
        <f>VLOOKUP(AU40,CENY!$B$11:$G$1054,3,FALSE)</f>
        <v>1</v>
      </c>
      <c r="AX40" s="362">
        <v>10</v>
      </c>
      <c r="AY40" s="23">
        <f>AA22</f>
        <v>0</v>
      </c>
      <c r="AZ40" s="326">
        <f t="shared" si="1"/>
        <v>0</v>
      </c>
      <c r="BA40" s="95">
        <f>VLOOKUP(AU40,CENY!$B$11:$M$2025,12,FALSE)</f>
        <v>862.82307000000003</v>
      </c>
      <c r="BB40" s="95">
        <f t="shared" si="0"/>
        <v>0</v>
      </c>
      <c r="BD40" s="319">
        <f>OBJ!B239</f>
        <v>9318148</v>
      </c>
      <c r="BE40" s="21" t="str">
        <f>VLOOKUP(BD40,CENY!$B$11:$G$1054,2,FALSE)</f>
        <v>Actro You(S) 300/SiSy 10kg; EB21; pravý</v>
      </c>
      <c r="BF40" s="22">
        <f>VLOOKUP(BD40,CENY!$B$11:$G$1054,3,FALSE)</f>
        <v>10</v>
      </c>
      <c r="BG40" s="22"/>
      <c r="BH40" s="23">
        <f>AY26</f>
        <v>0</v>
      </c>
      <c r="BI40" s="326">
        <f t="shared" si="2"/>
        <v>0</v>
      </c>
      <c r="BJ40" s="95">
        <f>VLOOKUP(BD40,CENY!$B$11:$M$2025,12,FALSE)</f>
        <v>298.88173999999998</v>
      </c>
      <c r="BK40" s="95">
        <f t="shared" si="3"/>
        <v>0</v>
      </c>
    </row>
    <row r="41" spans="2:63" ht="14.4" customHeight="1">
      <c r="AU41" s="319">
        <f>OBJ!B271</f>
        <v>9318218</v>
      </c>
      <c r="AV41" s="21" t="str">
        <f>VLOOKUP(AU41,CENY!$B$11:$G$1054,2,FALSE)</f>
        <v>Actro You(XL) 600/SiSy 70kg; EB21</v>
      </c>
      <c r="AW41" s="22">
        <f>VLOOKUP(AU41,CENY!$B$11:$G$1054,3,FALSE)</f>
        <v>1</v>
      </c>
      <c r="AX41" s="362">
        <v>10</v>
      </c>
      <c r="AY41" s="23">
        <f>AC22</f>
        <v>0</v>
      </c>
      <c r="AZ41" s="326">
        <f t="shared" si="1"/>
        <v>0</v>
      </c>
      <c r="BA41" s="95">
        <f>VLOOKUP(AU41,CENY!$B$11:$M$2025,12,FALSE)</f>
        <v>941.88580999999999</v>
      </c>
      <c r="BB41" s="95">
        <f t="shared" si="0"/>
        <v>0</v>
      </c>
      <c r="BD41" s="319">
        <f>OBJ!B240</f>
        <v>9318149</v>
      </c>
      <c r="BE41" s="21" t="str">
        <f>VLOOKUP(BD41,CENY!$B$11:$G$1054,2,FALSE)</f>
        <v>Actro You(S) 350/SiSy 10kg; EB21; ľavý</v>
      </c>
      <c r="BF41" s="22">
        <f>VLOOKUP(BD41,CENY!$B$11:$G$1054,3,FALSE)</f>
        <v>10</v>
      </c>
      <c r="BG41" s="22"/>
      <c r="BH41" s="23">
        <f>AY27</f>
        <v>0</v>
      </c>
      <c r="BI41" s="326">
        <f t="shared" si="2"/>
        <v>0</v>
      </c>
      <c r="BJ41" s="95">
        <f>VLOOKUP(BD41,CENY!$B$11:$M$2025,12,FALSE)</f>
        <v>298.88173999999998</v>
      </c>
      <c r="BK41" s="95">
        <f t="shared" si="3"/>
        <v>0</v>
      </c>
    </row>
    <row r="42" spans="2:63" ht="14.4" customHeight="1">
      <c r="AU42" s="319">
        <f>OBJ!B272</f>
        <v>9318219</v>
      </c>
      <c r="AV42" s="21" t="str">
        <f>VLOOKUP(AU42,CENY!$B$11:$G$1054,2,FALSE)</f>
        <v>Actro You(XL) 650/SiSy 70kg; EB21</v>
      </c>
      <c r="AW42" s="22">
        <f>VLOOKUP(AU42,CENY!$B$11:$G$1054,3,FALSE)</f>
        <v>1</v>
      </c>
      <c r="AX42" s="362">
        <v>10</v>
      </c>
      <c r="AY42" s="23">
        <f>AE22</f>
        <v>0</v>
      </c>
      <c r="AZ42" s="326">
        <f t="shared" si="1"/>
        <v>0</v>
      </c>
      <c r="BA42" s="95">
        <f>VLOOKUP(AU42,CENY!$B$11:$M$2025,12,FALSE)</f>
        <v>977.56314999999995</v>
      </c>
      <c r="BB42" s="95">
        <f t="shared" si="0"/>
        <v>0</v>
      </c>
      <c r="BD42" s="319">
        <f>OBJ!B241</f>
        <v>9318150</v>
      </c>
      <c r="BE42" s="21" t="str">
        <f>VLOOKUP(BD42,CENY!$B$11:$G$1054,2,FALSE)</f>
        <v>Actro You(S) 350/SiSy 10kg; EB21; pravý</v>
      </c>
      <c r="BF42" s="22">
        <f>VLOOKUP(BD42,CENY!$B$11:$G$1054,3,FALSE)</f>
        <v>10</v>
      </c>
      <c r="BG42" s="22"/>
      <c r="BH42" s="23">
        <f>AY27</f>
        <v>0</v>
      </c>
      <c r="BI42" s="326">
        <f t="shared" si="2"/>
        <v>0</v>
      </c>
      <c r="BJ42" s="95">
        <f>VLOOKUP(BD42,CENY!$B$11:$M$2025,12,FALSE)</f>
        <v>298.88173999999998</v>
      </c>
      <c r="BK42" s="95">
        <f t="shared" si="3"/>
        <v>0</v>
      </c>
    </row>
    <row r="43" spans="2:63" ht="14.4" customHeight="1">
      <c r="AU43" s="319"/>
      <c r="AV43" s="21"/>
      <c r="AW43" s="22"/>
      <c r="AX43" s="22"/>
      <c r="AY43" s="23"/>
      <c r="AZ43" s="326" t="str">
        <f t="shared" si="1"/>
        <v/>
      </c>
      <c r="BA43" s="95"/>
      <c r="BB43" s="95" t="str">
        <f t="shared" si="0"/>
        <v/>
      </c>
      <c r="BD43" s="319"/>
      <c r="BE43" s="21"/>
      <c r="BF43" s="22"/>
      <c r="BG43" s="22"/>
      <c r="BH43" s="23"/>
      <c r="BI43" s="326" t="str">
        <f t="shared" si="2"/>
        <v/>
      </c>
      <c r="BJ43" s="95"/>
      <c r="BK43" s="95" t="str">
        <f t="shared" si="3"/>
        <v/>
      </c>
    </row>
    <row r="44" spans="2:63" ht="14.4" customHeight="1">
      <c r="AU44" s="319">
        <f>OBJ!B284</f>
        <v>9257890</v>
      </c>
      <c r="AV44" s="21" t="str">
        <f>VLOOKUP(AU44,CENY!$B$11:$G$1054,2,FALSE)</f>
        <v>Actro You - Push to open Silent; &lt;10kg</v>
      </c>
      <c r="AW44" s="22">
        <f>VLOOKUP(AU44,CENY!$B$11:$G$1054,3,FALSE)</f>
        <v>1</v>
      </c>
      <c r="AX44" s="22"/>
      <c r="AY44" s="23">
        <f>AN19</f>
        <v>0</v>
      </c>
      <c r="AZ44" s="326">
        <f t="shared" si="1"/>
        <v>0</v>
      </c>
      <c r="BA44" s="95">
        <f>VLOOKUP(AU44,CENY!$B$11:$M$2025,12,FALSE)</f>
        <v>481.81412999999998</v>
      </c>
      <c r="BB44" s="95">
        <f t="shared" si="0"/>
        <v>0</v>
      </c>
      <c r="BD44" s="319">
        <f>OBJ!B251</f>
        <v>9318167</v>
      </c>
      <c r="BE44" s="21" t="str">
        <f>VLOOKUP(BD44,CENY!$B$11:$G$1054,2,FALSE)</f>
        <v>Actro You(L) 270/SiSy 40kg; EB21; ľavý</v>
      </c>
      <c r="BF44" s="22">
        <f>VLOOKUP(BD44,CENY!$B$11:$G$1054,3,FALSE)</f>
        <v>10</v>
      </c>
      <c r="BG44" s="22"/>
      <c r="BH44" s="23">
        <f>AY29</f>
        <v>0</v>
      </c>
      <c r="BI44" s="326">
        <f t="shared" si="2"/>
        <v>0</v>
      </c>
      <c r="BJ44" s="95">
        <f>VLOOKUP(BD44,CENY!$B$11:$M$2025,12,FALSE)</f>
        <v>298.88173999999998</v>
      </c>
      <c r="BK44" s="95">
        <f t="shared" si="3"/>
        <v>0</v>
      </c>
    </row>
    <row r="45" spans="2:63" ht="14.4" customHeight="1">
      <c r="AU45" s="319">
        <f>OBJ!B285</f>
        <v>9257891</v>
      </c>
      <c r="AV45" s="21" t="str">
        <f>VLOOKUP(AU45,CENY!$B$11:$G$1054,2,FALSE)</f>
        <v>Actro You - Push to open Silent; 8-20kg</v>
      </c>
      <c r="AW45" s="22">
        <f>VLOOKUP(AU45,CENY!$B$11:$G$1054,3,FALSE)</f>
        <v>1</v>
      </c>
      <c r="AX45" s="22"/>
      <c r="AY45" s="23">
        <f>AN20</f>
        <v>0</v>
      </c>
      <c r="AZ45" s="326">
        <f t="shared" si="1"/>
        <v>0</v>
      </c>
      <c r="BA45" s="95">
        <f>VLOOKUP(AU45,CENY!$B$11:$M$2025,12,FALSE)</f>
        <v>481.81412999999998</v>
      </c>
      <c r="BB45" s="95">
        <f t="shared" si="0"/>
        <v>0</v>
      </c>
      <c r="BD45" s="319">
        <f>OBJ!B252</f>
        <v>9318170</v>
      </c>
      <c r="BE45" s="21" t="str">
        <f>VLOOKUP(BD45,CENY!$B$11:$G$1054,2,FALSE)</f>
        <v>Actro You(L) 270/SiSy 40kg; EB21; pravý</v>
      </c>
      <c r="BF45" s="22">
        <f>VLOOKUP(BD45,CENY!$B$11:$G$1054,3,FALSE)</f>
        <v>10</v>
      </c>
      <c r="BG45" s="22"/>
      <c r="BH45" s="23">
        <f>AY29</f>
        <v>0</v>
      </c>
      <c r="BI45" s="326">
        <f t="shared" si="2"/>
        <v>0</v>
      </c>
      <c r="BJ45" s="95">
        <f>VLOOKUP(BD45,CENY!$B$11:$M$2025,12,FALSE)</f>
        <v>298.88173999999998</v>
      </c>
      <c r="BK45" s="95">
        <f t="shared" si="3"/>
        <v>0</v>
      </c>
    </row>
    <row r="46" spans="2:63" ht="14.4" customHeight="1">
      <c r="AU46" s="319">
        <f>OBJ!B286</f>
        <v>9257892</v>
      </c>
      <c r="AV46" s="21" t="str">
        <f>VLOOKUP(AU46,CENY!$B$11:$G$1054,2,FALSE)</f>
        <v>Actro You - Push to open Silent; 10-40kg</v>
      </c>
      <c r="AW46" s="22">
        <f>VLOOKUP(AU46,CENY!$B$11:$G$1054,3,FALSE)</f>
        <v>1</v>
      </c>
      <c r="AX46" s="22"/>
      <c r="AY46" s="23">
        <f>AN21</f>
        <v>0</v>
      </c>
      <c r="AZ46" s="326">
        <f t="shared" si="1"/>
        <v>0</v>
      </c>
      <c r="BA46" s="95">
        <f>VLOOKUP(AU46,CENY!$B$11:$M$2025,12,FALSE)</f>
        <v>481.81412999999998</v>
      </c>
      <c r="BB46" s="95">
        <f t="shared" si="0"/>
        <v>0</v>
      </c>
      <c r="BD46" s="319">
        <f>OBJ!B253</f>
        <v>9318171</v>
      </c>
      <c r="BE46" s="21" t="str">
        <f>VLOOKUP(BD46,CENY!$B$11:$G$1054,2,FALSE)</f>
        <v>Actro You(L) 300/SiSy 40kg; EB21; ľavý</v>
      </c>
      <c r="BF46" s="22">
        <f>VLOOKUP(BD46,CENY!$B$11:$G$1054,3,FALSE)</f>
        <v>10</v>
      </c>
      <c r="BG46" s="22"/>
      <c r="BH46" s="23">
        <f>AY30</f>
        <v>0</v>
      </c>
      <c r="BI46" s="326">
        <f t="shared" si="2"/>
        <v>0</v>
      </c>
      <c r="BJ46" s="95">
        <f>VLOOKUP(BD46,CENY!$B$11:$M$2025,12,FALSE)</f>
        <v>298.88173999999998</v>
      </c>
      <c r="BK46" s="95">
        <f t="shared" si="3"/>
        <v>0</v>
      </c>
    </row>
    <row r="47" spans="2:63" ht="14.4" customHeight="1">
      <c r="AU47" s="319">
        <f>OBJ!B287</f>
        <v>9257893</v>
      </c>
      <c r="AV47" s="21" t="str">
        <f>VLOOKUP(AU47,CENY!$B$11:$G$1054,2,FALSE)</f>
        <v>Actro You - Push to open Silent; 20-70kg</v>
      </c>
      <c r="AW47" s="22">
        <f>VLOOKUP(AU47,CENY!$B$11:$G$1054,3,FALSE)</f>
        <v>1</v>
      </c>
      <c r="AX47" s="22"/>
      <c r="AY47" s="23">
        <f>AN22</f>
        <v>0</v>
      </c>
      <c r="AZ47" s="326">
        <f t="shared" si="1"/>
        <v>0</v>
      </c>
      <c r="BA47" s="95">
        <f>VLOOKUP(AU47,CENY!$B$11:$M$2025,12,FALSE)</f>
        <v>481.81412999999998</v>
      </c>
      <c r="BB47" s="95">
        <f t="shared" si="0"/>
        <v>0</v>
      </c>
      <c r="BD47" s="319">
        <f>OBJ!B254</f>
        <v>9318172</v>
      </c>
      <c r="BE47" s="21" t="str">
        <f>VLOOKUP(BD47,CENY!$B$11:$G$1054,2,FALSE)</f>
        <v>Actro You(L) 300/SiSy 40kg; EB21; pravý</v>
      </c>
      <c r="BF47" s="22">
        <f>VLOOKUP(BD47,CENY!$B$11:$G$1054,3,FALSE)</f>
        <v>10</v>
      </c>
      <c r="BG47" s="22"/>
      <c r="BH47" s="23">
        <f>AY30</f>
        <v>0</v>
      </c>
      <c r="BI47" s="326">
        <f t="shared" si="2"/>
        <v>0</v>
      </c>
      <c r="BJ47" s="95">
        <f>VLOOKUP(BD47,CENY!$B$11:$M$2025,12,FALSE)</f>
        <v>298.88173999999998</v>
      </c>
      <c r="BK47" s="95">
        <f t="shared" si="3"/>
        <v>0</v>
      </c>
    </row>
    <row r="48" spans="2:63" ht="14.4" customHeight="1">
      <c r="AU48" s="319">
        <f>OBJ!B288</f>
        <v>9236718</v>
      </c>
      <c r="AV48" s="21" t="str">
        <f>VLOOKUP(AU48,CENY!$B$11:$G$1054,2,FALSE)</f>
        <v>Push to open Synchro / tyč 2.000 mm</v>
      </c>
      <c r="AW48" s="22">
        <f>VLOOKUP(AU48,CENY!$B$11:$G$1054,3,FALSE)</f>
        <v>100</v>
      </c>
      <c r="AX48" s="22"/>
      <c r="AY48" s="23">
        <f>IF(SUM(AN19:AO22)+SUM(AN27:AO29)+SUM(O30:AD30)=0,0,AY83)</f>
        <v>0</v>
      </c>
      <c r="AZ48" s="326">
        <f t="shared" si="1"/>
        <v>0</v>
      </c>
      <c r="BA48" s="95">
        <f>VLOOKUP(AU48,CENY!$B$11:$M$2025,12,FALSE)</f>
        <v>182.03933000000001</v>
      </c>
      <c r="BB48" s="95">
        <f t="shared" si="0"/>
        <v>0</v>
      </c>
      <c r="BD48" s="319">
        <f>OBJ!B255</f>
        <v>9318173</v>
      </c>
      <c r="BE48" s="21" t="str">
        <f>VLOOKUP(BD48,CENY!$B$11:$G$1054,2,FALSE)</f>
        <v>Actro You(L) 350/SiSy 40kg; EB21; ľavý</v>
      </c>
      <c r="BF48" s="22">
        <f>VLOOKUP(BD48,CENY!$B$11:$G$1054,3,FALSE)</f>
        <v>10</v>
      </c>
      <c r="BG48" s="22"/>
      <c r="BH48" s="23">
        <f>AY31</f>
        <v>0</v>
      </c>
      <c r="BI48" s="326">
        <f t="shared" si="2"/>
        <v>0</v>
      </c>
      <c r="BJ48" s="95">
        <f>VLOOKUP(BD48,CENY!$B$11:$M$2025,12,FALSE)</f>
        <v>298.88173999999998</v>
      </c>
      <c r="BK48" s="95">
        <f t="shared" si="3"/>
        <v>0</v>
      </c>
    </row>
    <row r="49" spans="47:63" ht="14.4" customHeight="1">
      <c r="AU49" s="319"/>
      <c r="AV49" s="21"/>
      <c r="AW49" s="22"/>
      <c r="AX49" s="22"/>
      <c r="AY49" s="23"/>
      <c r="AZ49" s="326" t="str">
        <f t="shared" si="1"/>
        <v/>
      </c>
      <c r="BA49" s="95"/>
      <c r="BB49" s="95" t="str">
        <f t="shared" si="0"/>
        <v/>
      </c>
      <c r="BD49" s="319">
        <f>OBJ!B256</f>
        <v>9318174</v>
      </c>
      <c r="BE49" s="21" t="str">
        <f>VLOOKUP(BD49,CENY!$B$11:$G$1054,2,FALSE)</f>
        <v>Actro You(L) 350/SiSy 40kg; EB21; pravý</v>
      </c>
      <c r="BF49" s="22">
        <f>VLOOKUP(BD49,CENY!$B$11:$G$1054,3,FALSE)</f>
        <v>10</v>
      </c>
      <c r="BG49" s="22"/>
      <c r="BH49" s="23">
        <f>AY31</f>
        <v>0</v>
      </c>
      <c r="BI49" s="326">
        <f t="shared" si="2"/>
        <v>0</v>
      </c>
      <c r="BJ49" s="95">
        <f>VLOOKUP(BD49,CENY!$B$11:$M$2025,12,FALSE)</f>
        <v>298.88173999999998</v>
      </c>
      <c r="BK49" s="95">
        <f t="shared" si="3"/>
        <v>0</v>
      </c>
    </row>
    <row r="50" spans="47:63" ht="14.4" customHeight="1">
      <c r="AU50" s="319">
        <f>OBJ!B294</f>
        <v>9256953</v>
      </c>
      <c r="AV50" s="21" t="str">
        <f>VLOOKUP(AU50,CENY!$B$11:$G$1054,2,FALSE)</f>
        <v>Quadro You(S) 270/SiSy 10kg; EB21</v>
      </c>
      <c r="AW50" s="22">
        <f>VLOOKUP(AU50,CENY!$B$11:$G$1054,3,FALSE)</f>
        <v>1</v>
      </c>
      <c r="AX50" s="362">
        <v>4</v>
      </c>
      <c r="AY50" s="23">
        <f>O27</f>
        <v>0</v>
      </c>
      <c r="AZ50" s="326">
        <f t="shared" si="1"/>
        <v>0</v>
      </c>
      <c r="BA50" s="95">
        <f>VLOOKUP(AU50,CENY!$B$11:$M$2025,12,FALSE)</f>
        <v>478.60127999999997</v>
      </c>
      <c r="BB50" s="95">
        <f t="shared" si="0"/>
        <v>0</v>
      </c>
      <c r="BD50" s="319">
        <f>OBJ!B257</f>
        <v>9318175</v>
      </c>
      <c r="BE50" s="21" t="str">
        <f>VLOOKUP(BD50,CENY!$B$11:$G$1054,2,FALSE)</f>
        <v>Actro You(L) 400/SiSy 40kg; EB21; ľavý</v>
      </c>
      <c r="BF50" s="22">
        <f>VLOOKUP(BD50,CENY!$B$11:$G$1054,3,FALSE)</f>
        <v>10</v>
      </c>
      <c r="BG50" s="22"/>
      <c r="BH50" s="23">
        <f>AY32</f>
        <v>0</v>
      </c>
      <c r="BI50" s="326">
        <f t="shared" si="2"/>
        <v>0</v>
      </c>
      <c r="BJ50" s="95">
        <f>VLOOKUP(BD50,CENY!$B$11:$M$2025,12,FALSE)</f>
        <v>302.69770999999997</v>
      </c>
      <c r="BK50" s="95">
        <f t="shared" si="3"/>
        <v>0</v>
      </c>
    </row>
    <row r="51" spans="47:63" ht="14.4" customHeight="1">
      <c r="AU51" s="319">
        <f>OBJ!B295</f>
        <v>9256954</v>
      </c>
      <c r="AV51" s="21" t="str">
        <f>VLOOKUP(AU51,CENY!$B$11:$G$1054,2,FALSE)</f>
        <v>Quadro You(S) 300/SiSy 10kg; EB21</v>
      </c>
      <c r="AW51" s="22">
        <f>VLOOKUP(AU51,CENY!$B$11:$G$1054,3,FALSE)</f>
        <v>1</v>
      </c>
      <c r="AX51" s="362">
        <v>4</v>
      </c>
      <c r="AY51" s="23">
        <f>Q27</f>
        <v>0</v>
      </c>
      <c r="AZ51" s="326">
        <f t="shared" si="1"/>
        <v>0</v>
      </c>
      <c r="BA51" s="95">
        <f>VLOOKUP(AU51,CENY!$B$11:$M$2025,12,FALSE)</f>
        <v>479.57344999999998</v>
      </c>
      <c r="BB51" s="95">
        <f t="shared" si="0"/>
        <v>0</v>
      </c>
      <c r="BD51" s="319">
        <f>OBJ!B258</f>
        <v>9318176</v>
      </c>
      <c r="BE51" s="21" t="str">
        <f>VLOOKUP(BD51,CENY!$B$11:$G$1054,2,FALSE)</f>
        <v>Actro You(L) 400/SiSy 40kg; EB21; pravý</v>
      </c>
      <c r="BF51" s="22">
        <f>VLOOKUP(BD51,CENY!$B$11:$G$1054,3,FALSE)</f>
        <v>10</v>
      </c>
      <c r="BG51" s="22"/>
      <c r="BH51" s="23">
        <f>AY32</f>
        <v>0</v>
      </c>
      <c r="BI51" s="326">
        <f t="shared" si="2"/>
        <v>0</v>
      </c>
      <c r="BJ51" s="95">
        <f>VLOOKUP(BD51,CENY!$B$11:$M$2025,12,FALSE)</f>
        <v>302.69770999999997</v>
      </c>
      <c r="BK51" s="95">
        <f t="shared" si="3"/>
        <v>0</v>
      </c>
    </row>
    <row r="52" spans="47:63" ht="14.4" customHeight="1">
      <c r="AU52" s="319">
        <f>OBJ!B296</f>
        <v>9256956</v>
      </c>
      <c r="AV52" s="21" t="str">
        <f>VLOOKUP(AU52,CENY!$B$11:$G$1054,2,FALSE)</f>
        <v>Quadro You(S) 350/SiSy 10kg; EB21</v>
      </c>
      <c r="AW52" s="22">
        <f>VLOOKUP(AU52,CENY!$B$11:$G$1054,3,FALSE)</f>
        <v>1</v>
      </c>
      <c r="AX52" s="362">
        <v>4</v>
      </c>
      <c r="AY52" s="23">
        <f>S27</f>
        <v>0</v>
      </c>
      <c r="AZ52" s="326">
        <f t="shared" si="1"/>
        <v>0</v>
      </c>
      <c r="BA52" s="95">
        <f>VLOOKUP(AU52,CENY!$B$11:$M$2025,12,FALSE)</f>
        <v>489.27857</v>
      </c>
      <c r="BB52" s="95">
        <f t="shared" si="0"/>
        <v>0</v>
      </c>
      <c r="BD52" s="319">
        <f>OBJ!B259</f>
        <v>9318177</v>
      </c>
      <c r="BE52" s="21" t="str">
        <f>VLOOKUP(BD52,CENY!$B$11:$G$1054,2,FALSE)</f>
        <v>Actro You(L) 450/SiSy 40kg; EB21; ľavý</v>
      </c>
      <c r="BF52" s="22">
        <f>VLOOKUP(BD52,CENY!$B$11:$G$1054,3,FALSE)</f>
        <v>10</v>
      </c>
      <c r="BG52" s="22"/>
      <c r="BH52" s="23">
        <f>AY33</f>
        <v>0</v>
      </c>
      <c r="BI52" s="326">
        <f t="shared" si="2"/>
        <v>0</v>
      </c>
      <c r="BJ52" s="95">
        <f>VLOOKUP(BD52,CENY!$B$11:$M$2025,12,FALSE)</f>
        <v>298.33073999999999</v>
      </c>
      <c r="BK52" s="95">
        <f t="shared" si="3"/>
        <v>0</v>
      </c>
    </row>
    <row r="53" spans="47:63" ht="14.4" customHeight="1">
      <c r="AU53" s="319"/>
      <c r="AV53" s="21"/>
      <c r="AW53" s="22"/>
      <c r="AX53" s="22"/>
      <c r="AY53" s="23"/>
      <c r="AZ53" s="326" t="str">
        <f t="shared" si="1"/>
        <v/>
      </c>
      <c r="BA53" s="95"/>
      <c r="BB53" s="95" t="str">
        <f t="shared" si="0"/>
        <v/>
      </c>
      <c r="BD53" s="319">
        <f>OBJ!B260</f>
        <v>9318178</v>
      </c>
      <c r="BE53" s="21" t="str">
        <f>VLOOKUP(BD53,CENY!$B$11:$G$1054,2,FALSE)</f>
        <v>Actro You(L) 450/SiSy 40kg; EB21; pravý</v>
      </c>
      <c r="BF53" s="22">
        <f>VLOOKUP(BD53,CENY!$B$11:$G$1054,3,FALSE)</f>
        <v>10</v>
      </c>
      <c r="BG53" s="22"/>
      <c r="BH53" s="23">
        <f>AY33</f>
        <v>0</v>
      </c>
      <c r="BI53" s="326">
        <f t="shared" si="2"/>
        <v>0</v>
      </c>
      <c r="BJ53" s="95">
        <f>VLOOKUP(BD53,CENY!$B$11:$M$2025,12,FALSE)</f>
        <v>298.33073999999999</v>
      </c>
      <c r="BK53" s="95">
        <f t="shared" si="3"/>
        <v>0</v>
      </c>
    </row>
    <row r="54" spans="47:63" ht="14.4" customHeight="1">
      <c r="AU54" s="319">
        <f>OBJ!B304</f>
        <v>9256883</v>
      </c>
      <c r="AV54" s="21" t="str">
        <f>VLOOKUP(AU54,CENY!$B$11:$G$1054,2,FALSE)</f>
        <v>Quadro You(M) 270/SiSy 20kg; EB21</v>
      </c>
      <c r="AW54" s="22">
        <f>VLOOKUP(AU54,CENY!$B$11:$G$1054,3,FALSE)</f>
        <v>1</v>
      </c>
      <c r="AX54" s="362">
        <v>8</v>
      </c>
      <c r="AY54" s="23">
        <f>O28</f>
        <v>0</v>
      </c>
      <c r="AZ54" s="326">
        <f t="shared" si="1"/>
        <v>0</v>
      </c>
      <c r="BA54" s="95">
        <f>VLOOKUP(AU54,CENY!$B$11:$M$2025,12,FALSE)</f>
        <v>478.60127999999997</v>
      </c>
      <c r="BB54" s="95">
        <f t="shared" si="0"/>
        <v>0</v>
      </c>
      <c r="BD54" s="319">
        <f>OBJ!B261</f>
        <v>9318179</v>
      </c>
      <c r="BE54" s="21" t="str">
        <f>VLOOKUP(BD54,CENY!$B$11:$G$1054,2,FALSE)</f>
        <v>Actro You(L) 500/SiSy 40kg; EB21; ľavý</v>
      </c>
      <c r="BF54" s="22">
        <f>VLOOKUP(BD54,CENY!$B$11:$G$1054,3,FALSE)</f>
        <v>10</v>
      </c>
      <c r="BG54" s="22"/>
      <c r="BH54" s="23">
        <f>AY34</f>
        <v>0</v>
      </c>
      <c r="BI54" s="326">
        <f t="shared" si="2"/>
        <v>0</v>
      </c>
      <c r="BJ54" s="95">
        <f>VLOOKUP(BD54,CENY!$B$11:$M$2025,12,FALSE)</f>
        <v>296.00905</v>
      </c>
      <c r="BK54" s="95">
        <f t="shared" si="3"/>
        <v>0</v>
      </c>
    </row>
    <row r="55" spans="47:63" ht="14.4" customHeight="1">
      <c r="AU55" s="319">
        <f>OBJ!B305</f>
        <v>9256884</v>
      </c>
      <c r="AV55" s="21" t="str">
        <f>VLOOKUP(AU55,CENY!$B$11:$G$1054,2,FALSE)</f>
        <v>Quadro You(M) 300/SiSy 20kg; EB21</v>
      </c>
      <c r="AW55" s="22">
        <f>VLOOKUP(AU55,CENY!$B$11:$G$1054,3,FALSE)</f>
        <v>1</v>
      </c>
      <c r="AX55" s="362">
        <v>8</v>
      </c>
      <c r="AY55" s="23">
        <f>Q28</f>
        <v>0</v>
      </c>
      <c r="AZ55" s="326">
        <f t="shared" si="1"/>
        <v>0</v>
      </c>
      <c r="BA55" s="95">
        <f>VLOOKUP(AU55,CENY!$B$11:$M$2025,12,FALSE)</f>
        <v>479.57344999999998</v>
      </c>
      <c r="BB55" s="95">
        <f t="shared" si="0"/>
        <v>0</v>
      </c>
      <c r="BD55" s="319">
        <f>OBJ!B262</f>
        <v>9318180</v>
      </c>
      <c r="BE55" s="21" t="str">
        <f>VLOOKUP(BD55,CENY!$B$11:$G$1054,2,FALSE)</f>
        <v>Actro You(L) 500/SiSy 40kg; EB21; pravý</v>
      </c>
      <c r="BF55" s="22">
        <f>VLOOKUP(BD55,CENY!$B$11:$G$1054,3,FALSE)</f>
        <v>10</v>
      </c>
      <c r="BG55" s="22"/>
      <c r="BH55" s="23">
        <f>AY34</f>
        <v>0</v>
      </c>
      <c r="BI55" s="326">
        <f t="shared" si="2"/>
        <v>0</v>
      </c>
      <c r="BJ55" s="95">
        <f>VLOOKUP(BD55,CENY!$B$11:$M$2025,12,FALSE)</f>
        <v>296.00905</v>
      </c>
      <c r="BK55" s="95">
        <f t="shared" si="3"/>
        <v>0</v>
      </c>
    </row>
    <row r="56" spans="47:63" ht="14.4" customHeight="1">
      <c r="AU56" s="319">
        <f>OBJ!B306</f>
        <v>9256886</v>
      </c>
      <c r="AV56" s="21" t="str">
        <f>VLOOKUP(AU56,CENY!$B$11:$G$1054,2,FALSE)</f>
        <v>Quadro You(M) 350/SiSy 25kg; EB21</v>
      </c>
      <c r="AW56" s="22">
        <f>VLOOKUP(AU56,CENY!$B$11:$G$1054,3,FALSE)</f>
        <v>1</v>
      </c>
      <c r="AX56" s="362">
        <v>8</v>
      </c>
      <c r="AY56" s="23">
        <f>S28</f>
        <v>0</v>
      </c>
      <c r="AZ56" s="326">
        <f t="shared" si="1"/>
        <v>0</v>
      </c>
      <c r="BA56" s="95">
        <f>VLOOKUP(AU56,CENY!$B$11:$M$2025,12,FALSE)</f>
        <v>489.27857</v>
      </c>
      <c r="BB56" s="95">
        <f t="shared" si="0"/>
        <v>0</v>
      </c>
      <c r="BD56" s="319">
        <f>OBJ!B263</f>
        <v>9318181</v>
      </c>
      <c r="BE56" s="21" t="str">
        <f>VLOOKUP(BD56,CENY!$B$11:$G$1054,2,FALSE)</f>
        <v>Actro You(L) 550/SiSy 40kg; EB21; ľavý</v>
      </c>
      <c r="BF56" s="22">
        <f>VLOOKUP(BD56,CENY!$B$11:$G$1054,3,FALSE)</f>
        <v>10</v>
      </c>
      <c r="BG56" s="22"/>
      <c r="BH56" s="23">
        <f>AY35</f>
        <v>0</v>
      </c>
      <c r="BI56" s="326">
        <f t="shared" si="2"/>
        <v>0</v>
      </c>
      <c r="BJ56" s="95">
        <f>VLOOKUP(BD56,CENY!$B$11:$M$2025,12,FALSE)</f>
        <v>321.83461999999997</v>
      </c>
      <c r="BK56" s="95">
        <f t="shared" si="3"/>
        <v>0</v>
      </c>
    </row>
    <row r="57" spans="47:63" ht="14.4" customHeight="1">
      <c r="AU57" s="319">
        <f>OBJ!B307</f>
        <v>9256888</v>
      </c>
      <c r="AV57" s="21" t="str">
        <f>VLOOKUP(AU57,CENY!$B$11:$G$1054,2,FALSE)</f>
        <v>Quadro You(M) 400/SiSy 30kg; EB21</v>
      </c>
      <c r="AW57" s="22">
        <f>VLOOKUP(AU57,CENY!$B$11:$G$1054,3,FALSE)</f>
        <v>1</v>
      </c>
      <c r="AX57" s="362">
        <v>8</v>
      </c>
      <c r="AY57" s="23">
        <f>U28</f>
        <v>0</v>
      </c>
      <c r="AZ57" s="326">
        <f t="shared" si="1"/>
        <v>0</v>
      </c>
      <c r="BA57" s="95">
        <f>VLOOKUP(AU57,CENY!$B$11:$M$2025,12,FALSE)</f>
        <v>498.97861999999998</v>
      </c>
      <c r="BB57" s="95">
        <f t="shared" si="0"/>
        <v>0</v>
      </c>
      <c r="BD57" s="319">
        <f>OBJ!B264</f>
        <v>9318182</v>
      </c>
      <c r="BE57" s="21" t="str">
        <f>VLOOKUP(BD57,CENY!$B$11:$G$1054,2,FALSE)</f>
        <v>Actro You(L) 550/SiSy 40kg; EB21; pravý</v>
      </c>
      <c r="BF57" s="22">
        <f>VLOOKUP(BD57,CENY!$B$11:$G$1054,3,FALSE)</f>
        <v>10</v>
      </c>
      <c r="BG57" s="22"/>
      <c r="BH57" s="23">
        <f>AY35</f>
        <v>0</v>
      </c>
      <c r="BI57" s="326">
        <f t="shared" si="2"/>
        <v>0</v>
      </c>
      <c r="BJ57" s="95">
        <f>VLOOKUP(BD57,CENY!$B$11:$M$2025,12,FALSE)</f>
        <v>321.83461999999997</v>
      </c>
      <c r="BK57" s="95">
        <f t="shared" si="3"/>
        <v>0</v>
      </c>
    </row>
    <row r="58" spans="47:63" ht="14.4" customHeight="1">
      <c r="AU58" s="319">
        <f>OBJ!B308</f>
        <v>9256890</v>
      </c>
      <c r="AV58" s="21" t="str">
        <f>VLOOKUP(AU58,CENY!$B$11:$G$1054,2,FALSE)</f>
        <v>Quadro You(M) 450/SiSy 30kg; EB21</v>
      </c>
      <c r="AW58" s="22">
        <f>VLOOKUP(AU58,CENY!$B$11:$G$1054,3,FALSE)</f>
        <v>1</v>
      </c>
      <c r="AX58" s="362">
        <v>8</v>
      </c>
      <c r="AY58" s="23">
        <f>W28</f>
        <v>0</v>
      </c>
      <c r="AZ58" s="326">
        <f t="shared" si="1"/>
        <v>0</v>
      </c>
      <c r="BA58" s="95">
        <f>VLOOKUP(AU58,CENY!$B$11:$M$2025,12,FALSE)</f>
        <v>122.98869999999999</v>
      </c>
      <c r="BB58" s="95">
        <f t="shared" si="0"/>
        <v>0</v>
      </c>
      <c r="BD58" s="319">
        <f>OBJ!B265</f>
        <v>9318183</v>
      </c>
      <c r="BE58" s="21" t="str">
        <f>VLOOKUP(BD58,CENY!$B$11:$G$1054,2,FALSE)</f>
        <v>Actro You(L) 600/SiSy 40kg; EB21; ľavý</v>
      </c>
      <c r="BF58" s="22">
        <f>VLOOKUP(BD58,CENY!$B$11:$G$1054,3,FALSE)</f>
        <v>10</v>
      </c>
      <c r="BG58" s="22"/>
      <c r="BH58" s="23">
        <f>AY36</f>
        <v>0</v>
      </c>
      <c r="BI58" s="326">
        <f t="shared" si="2"/>
        <v>0</v>
      </c>
      <c r="BJ58" s="95">
        <f>VLOOKUP(BD58,CENY!$B$11:$M$2025,12,FALSE)</f>
        <v>326.21229</v>
      </c>
      <c r="BK58" s="95">
        <f t="shared" si="3"/>
        <v>0</v>
      </c>
    </row>
    <row r="59" spans="47:63" ht="14.4" customHeight="1">
      <c r="AU59" s="319">
        <f>OBJ!B309</f>
        <v>9256892</v>
      </c>
      <c r="AV59" s="21" t="str">
        <f>VLOOKUP(AU59,CENY!$B$11:$G$1054,2,FALSE)</f>
        <v>Quadro You(M) 500/SiSy 30kg; EB21</v>
      </c>
      <c r="AW59" s="22">
        <f>VLOOKUP(AU59,CENY!$B$11:$G$1054,3,FALSE)</f>
        <v>1</v>
      </c>
      <c r="AX59" s="362">
        <v>8</v>
      </c>
      <c r="AY59" s="23">
        <f>Y28</f>
        <v>0</v>
      </c>
      <c r="AZ59" s="326">
        <f t="shared" si="1"/>
        <v>0</v>
      </c>
      <c r="BA59" s="95">
        <f>VLOOKUP(AU59,CENY!$B$11:$M$2025,12,FALSE)</f>
        <v>504.59701000000001</v>
      </c>
      <c r="BB59" s="95">
        <f t="shared" si="0"/>
        <v>0</v>
      </c>
      <c r="BD59" s="319">
        <f>OBJ!B266</f>
        <v>9318184</v>
      </c>
      <c r="BE59" s="21" t="str">
        <f>VLOOKUP(BD59,CENY!$B$11:$G$1054,2,FALSE)</f>
        <v>Actro You(L) 600/SiSy 40kg; EB21; pravý</v>
      </c>
      <c r="BF59" s="22">
        <f>VLOOKUP(BD59,CENY!$B$11:$G$1054,3,FALSE)</f>
        <v>10</v>
      </c>
      <c r="BG59" s="22"/>
      <c r="BH59" s="23">
        <f>AY36</f>
        <v>0</v>
      </c>
      <c r="BI59" s="326">
        <f t="shared" si="2"/>
        <v>0</v>
      </c>
      <c r="BJ59" s="95">
        <f>VLOOKUP(BD59,CENY!$B$11:$M$2025,12,FALSE)</f>
        <v>326.21229</v>
      </c>
      <c r="BK59" s="95">
        <f t="shared" si="3"/>
        <v>0</v>
      </c>
    </row>
    <row r="60" spans="47:63" ht="14.4" customHeight="1">
      <c r="AU60" s="319">
        <f>OBJ!B310</f>
        <v>9256894</v>
      </c>
      <c r="AV60" s="21" t="str">
        <f>VLOOKUP(AU60,CENY!$B$11:$G$1054,2,FALSE)</f>
        <v>Quadro You(M) 550/SiSy 30kg; EB21</v>
      </c>
      <c r="AW60" s="22">
        <f>VLOOKUP(AU60,CENY!$B$11:$G$1054,3,FALSE)</f>
        <v>1</v>
      </c>
      <c r="AX60" s="362">
        <v>8</v>
      </c>
      <c r="AY60" s="23">
        <f>AA28</f>
        <v>0</v>
      </c>
      <c r="AZ60" s="326">
        <f t="shared" si="1"/>
        <v>0</v>
      </c>
      <c r="BA60" s="95">
        <f>VLOOKUP(AU60,CENY!$B$11:$M$2025,12,FALSE)</f>
        <v>127.68105</v>
      </c>
      <c r="BB60" s="95">
        <f t="shared" si="0"/>
        <v>0</v>
      </c>
      <c r="BD60" s="319"/>
      <c r="BE60" s="21"/>
      <c r="BF60" s="22"/>
      <c r="BG60" s="22"/>
      <c r="BH60" s="23"/>
      <c r="BI60" s="326" t="str">
        <f t="shared" si="2"/>
        <v/>
      </c>
      <c r="BJ60" s="95"/>
      <c r="BK60" s="95" t="str">
        <f t="shared" si="3"/>
        <v/>
      </c>
    </row>
    <row r="61" spans="47:63" ht="14.4" customHeight="1">
      <c r="AU61" s="319">
        <f>OBJ!B311</f>
        <v>9256896</v>
      </c>
      <c r="AV61" s="21" t="str">
        <f>VLOOKUP(AU61,CENY!$B$11:$G$1054,2,FALSE)</f>
        <v>Quadro You(M) 600/SiSy 25kg; EB21</v>
      </c>
      <c r="AW61" s="22">
        <f>VLOOKUP(AU61,CENY!$B$11:$G$1054,3,FALSE)</f>
        <v>1</v>
      </c>
      <c r="AX61" s="362">
        <v>8</v>
      </c>
      <c r="AY61" s="23">
        <f>AC28</f>
        <v>0</v>
      </c>
      <c r="AZ61" s="326">
        <f t="shared" si="1"/>
        <v>0</v>
      </c>
      <c r="BA61" s="95">
        <f>VLOOKUP(AU61,CENY!$B$11:$M$2025,12,FALSE)</f>
        <v>537.79395</v>
      </c>
      <c r="BB61" s="95">
        <f t="shared" si="0"/>
        <v>0</v>
      </c>
      <c r="BD61" s="319">
        <f>OBJ!B273</f>
        <v>9318198</v>
      </c>
      <c r="BE61" s="21" t="str">
        <f>VLOOKUP(BD61,CENY!$B$11:$G$1054,2,FALSE)</f>
        <v>Actro You(XL) 450/SiSy 70kg; EB21; ľavý</v>
      </c>
      <c r="BF61" s="22">
        <f>VLOOKUP(BD61,CENY!$B$11:$G$1054,3,FALSE)</f>
        <v>10</v>
      </c>
      <c r="BG61" s="22"/>
      <c r="BH61" s="23">
        <f>AY38</f>
        <v>0</v>
      </c>
      <c r="BI61" s="326">
        <f t="shared" si="2"/>
        <v>0</v>
      </c>
      <c r="BJ61" s="95">
        <f>VLOOKUP(BD61,CENY!$B$11:$M$2025,12,FALSE)</f>
        <v>368.62277</v>
      </c>
      <c r="BK61" s="95">
        <f t="shared" si="3"/>
        <v>0</v>
      </c>
    </row>
    <row r="62" spans="47:63" ht="14.4" customHeight="1">
      <c r="AU62" s="319"/>
      <c r="AV62" s="21"/>
      <c r="AW62" s="22"/>
      <c r="AX62" s="22"/>
      <c r="AY62" s="23"/>
      <c r="AZ62" s="326" t="str">
        <f t="shared" si="1"/>
        <v/>
      </c>
      <c r="BA62" s="95"/>
      <c r="BB62" s="95" t="str">
        <f t="shared" si="0"/>
        <v/>
      </c>
      <c r="BD62" s="319">
        <f>OBJ!B274</f>
        <v>9318199</v>
      </c>
      <c r="BE62" s="21" t="str">
        <f>VLOOKUP(BD62,CENY!$B$11:$G$1054,2,FALSE)</f>
        <v>Actro You(XL) 450/SiSy 70kg; EB21; pravý</v>
      </c>
      <c r="BF62" s="22">
        <f>VLOOKUP(BD62,CENY!$B$11:$G$1054,3,FALSE)</f>
        <v>10</v>
      </c>
      <c r="BG62" s="22"/>
      <c r="BH62" s="23">
        <f>AY38</f>
        <v>0</v>
      </c>
      <c r="BI62" s="326">
        <f t="shared" si="2"/>
        <v>0</v>
      </c>
      <c r="BJ62" s="95">
        <f>VLOOKUP(BD62,CENY!$B$11:$M$2025,12,FALSE)</f>
        <v>368.62277</v>
      </c>
      <c r="BK62" s="95">
        <f t="shared" si="3"/>
        <v>0</v>
      </c>
    </row>
    <row r="63" spans="47:63" ht="14.4" customHeight="1">
      <c r="AU63" s="319">
        <f>OBJ!B329</f>
        <v>9257894</v>
      </c>
      <c r="AV63" s="21" t="str">
        <f>VLOOKUP(AU63,CENY!$B$11:$G$1054,2,FALSE)</f>
        <v>Quadro You - Push to open Silent; &lt;10kg</v>
      </c>
      <c r="AW63" s="22">
        <f>VLOOKUP(AU63,CENY!$B$11:$G$1054,3,FALSE)</f>
        <v>1</v>
      </c>
      <c r="AX63" s="22"/>
      <c r="AY63" s="23">
        <f>AN27</f>
        <v>0</v>
      </c>
      <c r="AZ63" s="326">
        <f t="shared" si="1"/>
        <v>0</v>
      </c>
      <c r="BA63" s="95">
        <f>VLOOKUP(AU63,CENY!$B$11:$M$2025,12,FALSE)</f>
        <v>480.50922000000003</v>
      </c>
      <c r="BB63" s="95">
        <f t="shared" si="0"/>
        <v>0</v>
      </c>
      <c r="BD63" s="319">
        <f>OBJ!B275</f>
        <v>9318201</v>
      </c>
      <c r="BE63" s="21" t="str">
        <f>VLOOKUP(BD63,CENY!$B$11:$G$1054,2,FALSE)</f>
        <v>Actro You(XL) 500/SiSy 70kg; EB21; ľavý</v>
      </c>
      <c r="BF63" s="22">
        <f>VLOOKUP(BD63,CENY!$B$11:$G$1054,3,FALSE)</f>
        <v>10</v>
      </c>
      <c r="BG63" s="22"/>
      <c r="BH63" s="23">
        <f>AY39</f>
        <v>0</v>
      </c>
      <c r="BI63" s="326">
        <f t="shared" si="2"/>
        <v>0</v>
      </c>
      <c r="BJ63" s="95">
        <f>VLOOKUP(BD63,CENY!$B$11:$M$2025,12,FALSE)</f>
        <v>372.33726999999999</v>
      </c>
      <c r="BK63" s="95">
        <f t="shared" si="3"/>
        <v>0</v>
      </c>
    </row>
    <row r="64" spans="47:63" ht="14.4" customHeight="1">
      <c r="AU64" s="319">
        <f>OBJ!B330</f>
        <v>9257895</v>
      </c>
      <c r="AV64" s="21" t="str">
        <f>VLOOKUP(AU64,CENY!$B$11:$G$1054,2,FALSE)</f>
        <v>Quadro You - Push to open Silent; 8-20kg</v>
      </c>
      <c r="AW64" s="22">
        <f>VLOOKUP(AU64,CENY!$B$11:$G$1054,3,FALSE)</f>
        <v>1</v>
      </c>
      <c r="AX64" s="22"/>
      <c r="AY64" s="23">
        <f>AN28</f>
        <v>0</v>
      </c>
      <c r="AZ64" s="326">
        <f t="shared" si="1"/>
        <v>0</v>
      </c>
      <c r="BA64" s="95">
        <f>VLOOKUP(AU64,CENY!$B$11:$M$2025,12,FALSE)</f>
        <v>480.50922000000003</v>
      </c>
      <c r="BB64" s="95">
        <f t="shared" si="0"/>
        <v>0</v>
      </c>
      <c r="BD64" s="319">
        <f>OBJ!B276</f>
        <v>9318203</v>
      </c>
      <c r="BE64" s="21" t="str">
        <f>VLOOKUP(BD64,CENY!$B$11:$G$1054,2,FALSE)</f>
        <v>Actro You(XL) 500/SiSy 70kg; EB21; pravý</v>
      </c>
      <c r="BF64" s="22">
        <f>VLOOKUP(BD64,CENY!$B$11:$G$1054,3,FALSE)</f>
        <v>10</v>
      </c>
      <c r="BG64" s="22"/>
      <c r="BH64" s="23">
        <f>AY39</f>
        <v>0</v>
      </c>
      <c r="BI64" s="326">
        <f t="shared" si="2"/>
        <v>0</v>
      </c>
      <c r="BJ64" s="95">
        <f>VLOOKUP(BD64,CENY!$B$11:$M$2025,12,FALSE)</f>
        <v>372.33726999999999</v>
      </c>
      <c r="BK64" s="95">
        <f t="shared" si="3"/>
        <v>0</v>
      </c>
    </row>
    <row r="65" spans="1:63" ht="14.4" customHeight="1">
      <c r="AU65" s="319">
        <f>OBJ!B331</f>
        <v>9257896</v>
      </c>
      <c r="AV65" s="21" t="str">
        <f>VLOOKUP(AU65,CENY!$B$11:$G$1054,2,FALSE)</f>
        <v>Quadro You - Push to open Silent; 10-30kg</v>
      </c>
      <c r="AW65" s="22">
        <f>VLOOKUP(AU65,CENY!$B$11:$G$1054,3,FALSE)</f>
        <v>1</v>
      </c>
      <c r="AX65" s="22"/>
      <c r="AY65" s="23">
        <f>AN29</f>
        <v>0</v>
      </c>
      <c r="AZ65" s="326">
        <f t="shared" si="1"/>
        <v>0</v>
      </c>
      <c r="BA65" s="95">
        <f>VLOOKUP(AU65,CENY!$B$11:$M$2025,12,FALSE)</f>
        <v>480.50922000000003</v>
      </c>
      <c r="BB65" s="95">
        <f t="shared" si="0"/>
        <v>0</v>
      </c>
      <c r="BD65" s="319">
        <f>OBJ!B277</f>
        <v>9318208</v>
      </c>
      <c r="BE65" s="21" t="str">
        <f>VLOOKUP(BD65,CENY!$B$11:$G$1054,2,FALSE)</f>
        <v>Actro You(XL) 550/SiSy 70kg; EB21; ľavý</v>
      </c>
      <c r="BF65" s="22">
        <f>VLOOKUP(BD65,CENY!$B$11:$G$1054,3,FALSE)</f>
        <v>10</v>
      </c>
      <c r="BG65" s="22"/>
      <c r="BH65" s="23">
        <f>AY40</f>
        <v>0</v>
      </c>
      <c r="BI65" s="326">
        <f t="shared" si="2"/>
        <v>0</v>
      </c>
      <c r="BJ65" s="95">
        <f>VLOOKUP(BD65,CENY!$B$11:$M$2025,12,FALSE)</f>
        <v>392.11943000000002</v>
      </c>
      <c r="BK65" s="95">
        <f t="shared" si="3"/>
        <v>0</v>
      </c>
    </row>
    <row r="66" spans="1:63" ht="12.9" customHeight="1" thickBot="1">
      <c r="A66" s="577"/>
      <c r="AU66" s="319"/>
      <c r="AV66" s="21"/>
      <c r="AW66" s="22"/>
      <c r="AX66" s="22"/>
      <c r="AY66" s="23"/>
      <c r="AZ66" s="326" t="str">
        <f t="shared" si="1"/>
        <v/>
      </c>
      <c r="BA66" s="95"/>
      <c r="BB66" s="95" t="str">
        <f t="shared" si="0"/>
        <v/>
      </c>
      <c r="BD66" s="319">
        <f>OBJ!B278</f>
        <v>9318209</v>
      </c>
      <c r="BE66" s="21" t="str">
        <f>VLOOKUP(BD66,CENY!$B$11:$G$1054,2,FALSE)</f>
        <v>Actro You(XL) 550/SiSy 70kg; EB21; pravý</v>
      </c>
      <c r="BF66" s="22">
        <f>VLOOKUP(BD66,CENY!$B$11:$G$1054,3,FALSE)</f>
        <v>10</v>
      </c>
      <c r="BG66" s="22"/>
      <c r="BH66" s="23">
        <f>AY40</f>
        <v>0</v>
      </c>
      <c r="BI66" s="326">
        <f t="shared" si="2"/>
        <v>0</v>
      </c>
      <c r="BJ66" s="95">
        <f>VLOOKUP(BD66,CENY!$B$11:$M$2025,12,FALSE)</f>
        <v>392.11943000000002</v>
      </c>
      <c r="BK66" s="95">
        <f t="shared" si="3"/>
        <v>0</v>
      </c>
    </row>
    <row r="67" spans="1:63" ht="23.1" customHeight="1" thickBot="1">
      <c r="A67" s="577"/>
      <c r="B67" s="484" t="str">
        <f>verze!E13</f>
        <v>&lt;&lt;  zpět</v>
      </c>
      <c r="C67" s="485"/>
      <c r="D67" s="485"/>
      <c r="E67" s="486"/>
      <c r="G67" s="513" t="str">
        <f>verze!E6</f>
        <v xml:space="preserve"> Úvod</v>
      </c>
      <c r="H67" s="514"/>
      <c r="I67" s="514"/>
      <c r="J67" s="514"/>
      <c r="K67" s="515"/>
      <c r="O67" s="513" t="str">
        <f>verze!E7</f>
        <v xml:space="preserve"> Výběr zásuvek</v>
      </c>
      <c r="P67" s="514"/>
      <c r="Q67" s="514"/>
      <c r="R67" s="514"/>
      <c r="S67" s="515"/>
      <c r="U67" s="513" t="str">
        <f>verze!E8</f>
        <v xml:space="preserve"> </v>
      </c>
      <c r="V67" s="514"/>
      <c r="W67" s="514"/>
      <c r="X67" s="514"/>
      <c r="Y67" s="515"/>
      <c r="AA67" s="513" t="str">
        <f>verze!E9</f>
        <v xml:space="preserve"> </v>
      </c>
      <c r="AB67" s="514"/>
      <c r="AC67" s="514"/>
      <c r="AD67" s="514"/>
      <c r="AE67" s="515"/>
      <c r="AI67" s="513" t="str">
        <f>verze!E10</f>
        <v xml:space="preserve"> Objednávka</v>
      </c>
      <c r="AJ67" s="514"/>
      <c r="AK67" s="514"/>
      <c r="AL67" s="514"/>
      <c r="AM67" s="515"/>
      <c r="AO67" s="475" t="str">
        <f>verze!E14</f>
        <v>vpřed  &gt;&gt;</v>
      </c>
      <c r="AP67" s="476"/>
      <c r="AQ67" s="476"/>
      <c r="AR67" s="477"/>
      <c r="AU67" s="319">
        <f>OBJ!B333</f>
        <v>9256928</v>
      </c>
      <c r="AV67" s="21" t="str">
        <f>VLOOKUP(AU67,CENY!$B$11:$G$1054,2,FALSE)</f>
        <v>Quadro You(M) 270/P2O 20kg; EB21</v>
      </c>
      <c r="AW67" s="22">
        <f>VLOOKUP(AU67,CENY!$B$11:$G$1054,3,FALSE)</f>
        <v>1</v>
      </c>
      <c r="AX67" s="362">
        <v>8</v>
      </c>
      <c r="AY67" s="23">
        <f>O30</f>
        <v>0</v>
      </c>
      <c r="AZ67" s="326">
        <f t="shared" si="1"/>
        <v>0</v>
      </c>
      <c r="BA67" s="95">
        <f>VLOOKUP(AU67,CENY!$B$11:$M$2025,12,FALSE)</f>
        <v>536.84897999999998</v>
      </c>
      <c r="BB67" s="95">
        <f t="shared" si="0"/>
        <v>0</v>
      </c>
      <c r="BD67" s="319">
        <f>OBJ!B279</f>
        <v>9318211</v>
      </c>
      <c r="BE67" s="21" t="str">
        <f>VLOOKUP(BD67,CENY!$B$11:$G$1054,2,FALSE)</f>
        <v>Actro You(XL) 600/SiSy 70kg; EB21; ľavý</v>
      </c>
      <c r="BF67" s="22">
        <f>VLOOKUP(BD67,CENY!$B$11:$G$1054,3,FALSE)</f>
        <v>10</v>
      </c>
      <c r="BG67" s="22"/>
      <c r="BH67" s="23">
        <f>AY41</f>
        <v>0</v>
      </c>
      <c r="BI67" s="326">
        <f t="shared" si="2"/>
        <v>0</v>
      </c>
      <c r="BJ67" s="95">
        <f>VLOOKUP(BD67,CENY!$B$11:$M$2025,12,FALSE)</f>
        <v>443.89010999999999</v>
      </c>
      <c r="BK67" s="95">
        <f t="shared" si="3"/>
        <v>0</v>
      </c>
    </row>
    <row r="68" spans="1:63" ht="12.9" customHeight="1">
      <c r="A68" s="577"/>
      <c r="AU68" s="319">
        <f>OBJ!B334</f>
        <v>9256929</v>
      </c>
      <c r="AV68" s="21" t="str">
        <f>VLOOKUP(AU68,CENY!$B$11:$G$1054,2,FALSE)</f>
        <v>Quadro You(M) 300/P2O 20kg; EB21</v>
      </c>
      <c r="AW68" s="22">
        <f>VLOOKUP(AU68,CENY!$B$11:$G$1054,3,FALSE)</f>
        <v>1</v>
      </c>
      <c r="AX68" s="362">
        <v>8</v>
      </c>
      <c r="AY68" s="23">
        <f>Q30</f>
        <v>0</v>
      </c>
      <c r="AZ68" s="326">
        <f t="shared" si="1"/>
        <v>0</v>
      </c>
      <c r="BA68" s="95">
        <f>VLOOKUP(AU68,CENY!$B$11:$M$2025,12,FALSE)</f>
        <v>537.79395</v>
      </c>
      <c r="BB68" s="95">
        <f t="shared" si="0"/>
        <v>0</v>
      </c>
      <c r="BD68" s="319">
        <f>OBJ!B280</f>
        <v>9318212</v>
      </c>
      <c r="BE68" s="21" t="str">
        <f>VLOOKUP(BD68,CENY!$B$11:$G$1054,2,FALSE)</f>
        <v>Actro You(XL) 600/SiSy 70kg; EB21; pravý</v>
      </c>
      <c r="BF68" s="22">
        <f>VLOOKUP(BD68,CENY!$B$11:$G$1054,3,FALSE)</f>
        <v>10</v>
      </c>
      <c r="BG68" s="22"/>
      <c r="BH68" s="23">
        <f>AY41</f>
        <v>0</v>
      </c>
      <c r="BI68" s="326">
        <f t="shared" si="2"/>
        <v>0</v>
      </c>
      <c r="BJ68" s="95">
        <f>VLOOKUP(BD68,CENY!$B$11:$M$2025,12,FALSE)</f>
        <v>443.89010999999999</v>
      </c>
      <c r="BK68" s="95">
        <f t="shared" si="3"/>
        <v>0</v>
      </c>
    </row>
    <row r="69" spans="1:63" ht="23.1" customHeight="1">
      <c r="A69" s="577"/>
      <c r="B69" s="93" t="str">
        <f>B4</f>
        <v>Zásuvka AVANTECH YOU  187</v>
      </c>
      <c r="C69" s="89"/>
      <c r="D69" s="89"/>
      <c r="E69" s="89"/>
      <c r="F69" s="89"/>
      <c r="G69" s="89"/>
      <c r="H69" s="89"/>
      <c r="I69" s="89"/>
      <c r="J69" s="89"/>
      <c r="K69" s="89"/>
      <c r="L69" s="89"/>
      <c r="M69" s="89"/>
      <c r="N69" s="89"/>
      <c r="O69" s="89"/>
      <c r="P69" s="89"/>
      <c r="Q69" s="89"/>
      <c r="R69" s="89"/>
      <c r="S69" s="89"/>
      <c r="T69" s="89"/>
      <c r="U69" s="89"/>
      <c r="V69" s="89"/>
      <c r="W69" s="89"/>
      <c r="X69" s="89"/>
      <c r="Y69" s="89"/>
      <c r="Z69" s="89"/>
      <c r="AA69" s="89"/>
      <c r="AB69" s="89"/>
      <c r="AC69" s="89"/>
      <c r="AD69" s="89"/>
      <c r="AE69" s="89"/>
      <c r="AF69" s="89"/>
      <c r="AG69" s="89"/>
      <c r="AH69" s="89"/>
      <c r="AI69" s="89"/>
      <c r="AJ69" s="89"/>
      <c r="AK69" s="89"/>
      <c r="AL69" s="89"/>
      <c r="AM69" s="89"/>
      <c r="AN69" s="89"/>
      <c r="AO69" s="89"/>
      <c r="AP69" s="89"/>
      <c r="AQ69" s="89"/>
      <c r="AR69" s="89"/>
      <c r="AU69" s="319">
        <f>OBJ!B335</f>
        <v>9256931</v>
      </c>
      <c r="AV69" s="21" t="str">
        <f>VLOOKUP(AU69,CENY!$B$11:$G$1054,2,FALSE)</f>
        <v>Quadro You(M) 350/P2O 25kg; EB21</v>
      </c>
      <c r="AW69" s="22">
        <f>VLOOKUP(AU69,CENY!$B$11:$G$1054,3,FALSE)</f>
        <v>1</v>
      </c>
      <c r="AX69" s="362">
        <v>8</v>
      </c>
      <c r="AY69" s="23">
        <f>S30</f>
        <v>0</v>
      </c>
      <c r="AZ69" s="326">
        <f t="shared" si="1"/>
        <v>0</v>
      </c>
      <c r="BA69" s="95">
        <f>VLOOKUP(AU69,CENY!$B$11:$M$2025,12,FALSE)</f>
        <v>547.49897999999996</v>
      </c>
      <c r="BB69" s="95">
        <f t="shared" ref="BB69:BB132" si="4">IF(BA69="","",BA69*AY69)</f>
        <v>0</v>
      </c>
      <c r="BD69" s="319">
        <f>OBJ!B281</f>
        <v>9318213</v>
      </c>
      <c r="BE69" s="21" t="str">
        <f>VLOOKUP(BD69,CENY!$B$11:$G$1054,2,FALSE)</f>
        <v>Actro You(XL) 650/SiSy 70kg; EB21; ľavý</v>
      </c>
      <c r="BF69" s="22">
        <f>VLOOKUP(BD69,CENY!$B$11:$G$1054,3,FALSE)</f>
        <v>5</v>
      </c>
      <c r="BG69" s="22"/>
      <c r="BH69" s="23">
        <f>AY42</f>
        <v>0</v>
      </c>
      <c r="BI69" s="326">
        <f t="shared" si="2"/>
        <v>0</v>
      </c>
      <c r="BJ69" s="95">
        <f>VLOOKUP(BD69,CENY!$B$11:$M$2025,12,FALSE)</f>
        <v>462.41142000000002</v>
      </c>
      <c r="BK69" s="95">
        <f t="shared" si="3"/>
        <v>0</v>
      </c>
    </row>
    <row r="70" spans="1:63" ht="14.4" customHeight="1">
      <c r="A70" s="577"/>
      <c r="AU70" s="319">
        <f>OBJ!B336</f>
        <v>9256933</v>
      </c>
      <c r="AV70" s="21" t="str">
        <f>VLOOKUP(AU70,CENY!$B$11:$G$1054,2,FALSE)</f>
        <v>Quadro You(M) 400/P2O 30kg; EB21</v>
      </c>
      <c r="AW70" s="22">
        <f>VLOOKUP(AU70,CENY!$B$11:$G$1054,3,FALSE)</f>
        <v>1</v>
      </c>
      <c r="AX70" s="362">
        <v>8</v>
      </c>
      <c r="AY70" s="23">
        <f>U30</f>
        <v>0</v>
      </c>
      <c r="AZ70" s="326">
        <f t="shared" ref="AZ70:AZ133" si="5">IF(AY70="","",IF($AW$4=1,AY70,0))</f>
        <v>0</v>
      </c>
      <c r="BA70" s="95">
        <f>VLOOKUP(AU70,CENY!$B$11:$M$2025,12,FALSE)</f>
        <v>557.20162000000005</v>
      </c>
      <c r="BB70" s="95">
        <f t="shared" si="4"/>
        <v>0</v>
      </c>
      <c r="BD70" s="319">
        <f>OBJ!B282</f>
        <v>9318214</v>
      </c>
      <c r="BE70" s="21" t="str">
        <f>VLOOKUP(BD70,CENY!$B$11:$G$1054,2,FALSE)</f>
        <v>Actro You(XL) 650/SiSy 70kg; EB21; pravý</v>
      </c>
      <c r="BF70" s="22">
        <f>VLOOKUP(BD70,CENY!$B$11:$G$1054,3,FALSE)</f>
        <v>5</v>
      </c>
      <c r="BG70" s="22"/>
      <c r="BH70" s="23">
        <f>AY42</f>
        <v>0</v>
      </c>
      <c r="BI70" s="326">
        <f t="shared" ref="BI70:BI127" si="6">IF(BH70="","",IF($AW$4=0,BH70,0))</f>
        <v>0</v>
      </c>
      <c r="BJ70" s="95">
        <f>VLOOKUP(BD70,CENY!$B$11:$M$2025,12,FALSE)</f>
        <v>462.41142000000002</v>
      </c>
      <c r="BK70" s="95">
        <f t="shared" ref="BK70:BK133" si="7">IF(BJ70="","",BJ70*BH70)</f>
        <v>0</v>
      </c>
    </row>
    <row r="71" spans="1:63" ht="14.4" customHeight="1">
      <c r="A71" s="577"/>
      <c r="AU71" s="319">
        <f>OBJ!B337</f>
        <v>9256935</v>
      </c>
      <c r="AV71" s="21" t="str">
        <f>VLOOKUP(AU71,CENY!$B$11:$G$1054,2,FALSE)</f>
        <v>Quadro You(M) 450/P2O 30kg; EB21</v>
      </c>
      <c r="AW71" s="22">
        <f>VLOOKUP(AU71,CENY!$B$11:$G$1054,3,FALSE)</f>
        <v>1</v>
      </c>
      <c r="AX71" s="362">
        <v>8</v>
      </c>
      <c r="AY71" s="23">
        <f>W30</f>
        <v>0</v>
      </c>
      <c r="AZ71" s="326">
        <f t="shared" si="5"/>
        <v>0</v>
      </c>
      <c r="BA71" s="95">
        <f>VLOOKUP(AU71,CENY!$B$11:$M$2025,12,FALSE)</f>
        <v>566.90911000000006</v>
      </c>
      <c r="BB71" s="95">
        <f t="shared" si="4"/>
        <v>0</v>
      </c>
      <c r="BD71" s="319"/>
      <c r="BE71" s="21"/>
      <c r="BF71" s="22"/>
      <c r="BG71" s="22"/>
      <c r="BH71" s="23"/>
      <c r="BI71" s="326" t="str">
        <f t="shared" si="6"/>
        <v/>
      </c>
      <c r="BJ71" s="95"/>
      <c r="BK71" s="95" t="str">
        <f t="shared" si="7"/>
        <v/>
      </c>
    </row>
    <row r="72" spans="1:63" ht="14.4" customHeight="1">
      <c r="A72" s="577"/>
      <c r="AU72" s="319">
        <f>OBJ!B338</f>
        <v>9256937</v>
      </c>
      <c r="AV72" s="21" t="str">
        <f>VLOOKUP(AU72,CENY!$B$11:$G$1054,2,FALSE)</f>
        <v>Quadro You(M) 500/P2O 30kg; EB21</v>
      </c>
      <c r="AW72" s="22">
        <f>VLOOKUP(AU72,CENY!$B$11:$G$1054,3,FALSE)</f>
        <v>1</v>
      </c>
      <c r="AX72" s="362">
        <v>8</v>
      </c>
      <c r="AY72" s="23">
        <f>Y30</f>
        <v>0</v>
      </c>
      <c r="AZ72" s="326">
        <f t="shared" si="5"/>
        <v>0</v>
      </c>
      <c r="BA72" s="95">
        <f>VLOOKUP(AU72,CENY!$B$11:$M$2025,12,FALSE)</f>
        <v>139.41228000000001</v>
      </c>
      <c r="BB72" s="95">
        <f t="shared" si="4"/>
        <v>0</v>
      </c>
      <c r="BD72" s="319">
        <f>OBJ!B284</f>
        <v>9257890</v>
      </c>
      <c r="BE72" s="21" t="str">
        <f>VLOOKUP(BD72,CENY!$B$11:$G$1054,2,FALSE)</f>
        <v>Actro You - Push to open Silent; &lt;10kg</v>
      </c>
      <c r="BF72" s="22">
        <f>VLOOKUP(BD72,CENY!$B$11:$G$1054,3,FALSE)</f>
        <v>1</v>
      </c>
      <c r="BG72" s="22"/>
      <c r="BH72" s="23">
        <f>AY44</f>
        <v>0</v>
      </c>
      <c r="BI72" s="326">
        <f t="shared" si="6"/>
        <v>0</v>
      </c>
      <c r="BJ72" s="95">
        <f>VLOOKUP(BD72,CENY!$B$11:$M$2025,12,FALSE)</f>
        <v>481.81412999999998</v>
      </c>
      <c r="BK72" s="95">
        <f t="shared" si="7"/>
        <v>0</v>
      </c>
    </row>
    <row r="73" spans="1:63" ht="14.4" customHeight="1">
      <c r="A73" s="577"/>
      <c r="AU73" s="319">
        <f>OBJ!B339</f>
        <v>9256939</v>
      </c>
      <c r="AV73" s="21" t="str">
        <f>VLOOKUP(AU73,CENY!$B$11:$G$1054,2,FALSE)</f>
        <v>Quadro You(M) 550/P2O 30kg; EB21</v>
      </c>
      <c r="AW73" s="22">
        <f>VLOOKUP(AU73,CENY!$B$11:$G$1054,3,FALSE)</f>
        <v>1</v>
      </c>
      <c r="AX73" s="362">
        <v>8</v>
      </c>
      <c r="AY73" s="23">
        <f>AA30</f>
        <v>0</v>
      </c>
      <c r="AZ73" s="326">
        <f t="shared" si="5"/>
        <v>0</v>
      </c>
      <c r="BA73" s="95">
        <f>VLOOKUP(AU73,CENY!$B$11:$M$2025,12,FALSE)</f>
        <v>586.3143</v>
      </c>
      <c r="BB73" s="95">
        <f t="shared" si="4"/>
        <v>0</v>
      </c>
      <c r="BD73" s="319">
        <f>OBJ!B285</f>
        <v>9257891</v>
      </c>
      <c r="BE73" s="21" t="str">
        <f>VLOOKUP(BD73,CENY!$B$11:$G$1054,2,FALSE)</f>
        <v>Actro You - Push to open Silent; 8-20kg</v>
      </c>
      <c r="BF73" s="22">
        <f>VLOOKUP(BD73,CENY!$B$11:$G$1054,3,FALSE)</f>
        <v>1</v>
      </c>
      <c r="BG73" s="22"/>
      <c r="BH73" s="23">
        <f>AY45</f>
        <v>0</v>
      </c>
      <c r="BI73" s="326">
        <f t="shared" si="6"/>
        <v>0</v>
      </c>
      <c r="BJ73" s="95">
        <f>VLOOKUP(BD73,CENY!$B$11:$M$2025,12,FALSE)</f>
        <v>481.81412999999998</v>
      </c>
      <c r="BK73" s="95">
        <f t="shared" si="7"/>
        <v>0</v>
      </c>
    </row>
    <row r="74" spans="1:63" ht="14.4" customHeight="1">
      <c r="A74" s="577"/>
      <c r="AU74" s="319">
        <f>OBJ!B340</f>
        <v>9256941</v>
      </c>
      <c r="AV74" s="21" t="str">
        <f>VLOOKUP(AU74,CENY!$B$11:$G$1054,2,FALSE)</f>
        <v>Quadro You(M) 600/P2O 25kg; EB21</v>
      </c>
      <c r="AW74" s="22">
        <f>VLOOKUP(AU74,CENY!$B$11:$G$1054,3,FALSE)</f>
        <v>1</v>
      </c>
      <c r="AX74" s="362">
        <v>8</v>
      </c>
      <c r="AY74" s="23">
        <f>AC30</f>
        <v>0</v>
      </c>
      <c r="AZ74" s="326">
        <f t="shared" si="5"/>
        <v>0</v>
      </c>
      <c r="BA74" s="95">
        <f>VLOOKUP(AU74,CENY!$B$11:$M$2025,12,FALSE)</f>
        <v>596.01683000000003</v>
      </c>
      <c r="BB74" s="95">
        <f t="shared" si="4"/>
        <v>0</v>
      </c>
      <c r="BD74" s="319">
        <f>OBJ!B286</f>
        <v>9257892</v>
      </c>
      <c r="BE74" s="21" t="str">
        <f>VLOOKUP(BD74,CENY!$B$11:$G$1054,2,FALSE)</f>
        <v>Actro You - Push to open Silent; 10-40kg</v>
      </c>
      <c r="BF74" s="22">
        <f>VLOOKUP(BD74,CENY!$B$11:$G$1054,3,FALSE)</f>
        <v>1</v>
      </c>
      <c r="BG74" s="22"/>
      <c r="BH74" s="23">
        <f>AY46</f>
        <v>0</v>
      </c>
      <c r="BI74" s="326">
        <f t="shared" si="6"/>
        <v>0</v>
      </c>
      <c r="BJ74" s="95">
        <f>VLOOKUP(BD74,CENY!$B$11:$M$2025,12,FALSE)</f>
        <v>481.81412999999998</v>
      </c>
      <c r="BK74" s="95">
        <f t="shared" si="7"/>
        <v>0</v>
      </c>
    </row>
    <row r="75" spans="1:63" ht="14.4" customHeight="1">
      <c r="A75" s="577"/>
      <c r="AU75" s="319"/>
      <c r="AV75" s="21"/>
      <c r="AW75" s="22"/>
      <c r="AX75" s="22"/>
      <c r="AY75" s="23"/>
      <c r="AZ75" s="326" t="str">
        <f t="shared" si="5"/>
        <v/>
      </c>
      <c r="BA75" s="95"/>
      <c r="BB75" s="95" t="str">
        <f t="shared" si="4"/>
        <v/>
      </c>
      <c r="BD75" s="319">
        <f>OBJ!B287</f>
        <v>9257893</v>
      </c>
      <c r="BE75" s="21" t="str">
        <f>VLOOKUP(BD75,CENY!$B$11:$G$1054,2,FALSE)</f>
        <v>Actro You - Push to open Silent; 20-70kg</v>
      </c>
      <c r="BF75" s="22">
        <f>VLOOKUP(BD75,CENY!$B$11:$G$1054,3,FALSE)</f>
        <v>1</v>
      </c>
      <c r="BG75" s="22"/>
      <c r="BH75" s="23">
        <f>AY47</f>
        <v>0</v>
      </c>
      <c r="BI75" s="326">
        <f t="shared" si="6"/>
        <v>0</v>
      </c>
      <c r="BJ75" s="95">
        <f>VLOOKUP(BD75,CENY!$B$11:$M$2025,12,FALSE)</f>
        <v>481.81412999999998</v>
      </c>
      <c r="BK75" s="95">
        <f t="shared" si="7"/>
        <v>0</v>
      </c>
    </row>
    <row r="76" spans="1:63" ht="14.4" customHeight="1">
      <c r="A76" s="577"/>
      <c r="AU76" s="319">
        <f>OBJ!B358</f>
        <v>9219966</v>
      </c>
      <c r="AV76" s="21" t="str">
        <f>VLOOKUP(AU76,CENY!$B$11:$G$1054,2,FALSE)</f>
        <v>Push to open Synchro / adaptér typ A</v>
      </c>
      <c r="AW76" s="22">
        <f>VLOOKUP(AU76,CENY!$B$11:$G$1054,3,FALSE)</f>
        <v>200</v>
      </c>
      <c r="AX76" s="22"/>
      <c r="AY76" s="23">
        <f>2*SUM(O30:AD30)</f>
        <v>0</v>
      </c>
      <c r="AZ76" s="326">
        <f t="shared" si="5"/>
        <v>0</v>
      </c>
      <c r="BA76" s="95">
        <f>VLOOKUP(AU76,CENY!$B$11:$M$2025,12,FALSE)</f>
        <v>16.488900000000001</v>
      </c>
      <c r="BB76" s="95">
        <f t="shared" si="4"/>
        <v>0</v>
      </c>
      <c r="BD76" s="319">
        <f>OBJ!B288</f>
        <v>9236718</v>
      </c>
      <c r="BE76" s="21" t="str">
        <f>VLOOKUP(BD76,CENY!$B$11:$G$1054,2,FALSE)</f>
        <v>Push to open Synchro / tyč 2.000 mm</v>
      </c>
      <c r="BF76" s="22">
        <f>VLOOKUP(BD76,CENY!$B$11:$G$1054,3,FALSE)</f>
        <v>100</v>
      </c>
      <c r="BG76" s="22"/>
      <c r="BH76" s="23">
        <f>AY48</f>
        <v>0</v>
      </c>
      <c r="BI76" s="326">
        <f t="shared" si="6"/>
        <v>0</v>
      </c>
      <c r="BJ76" s="95">
        <f>VLOOKUP(BD76,CENY!$B$11:$M$2025,12,FALSE)</f>
        <v>182.03933000000001</v>
      </c>
      <c r="BK76" s="95">
        <f t="shared" si="7"/>
        <v>0</v>
      </c>
    </row>
    <row r="77" spans="1:63" ht="14.4" customHeight="1">
      <c r="A77" s="577"/>
      <c r="AU77" s="319"/>
      <c r="AV77" s="21"/>
      <c r="AW77" s="22"/>
      <c r="AX77" s="22"/>
      <c r="AY77" s="23"/>
      <c r="AZ77" s="326" t="str">
        <f t="shared" si="5"/>
        <v/>
      </c>
      <c r="BA77" s="95"/>
      <c r="BB77" s="95" t="str">
        <f t="shared" si="4"/>
        <v/>
      </c>
      <c r="BD77" s="319"/>
      <c r="BE77" s="21"/>
      <c r="BF77" s="22"/>
      <c r="BG77" s="22"/>
      <c r="BH77" s="23"/>
      <c r="BI77" s="326" t="str">
        <f t="shared" si="6"/>
        <v/>
      </c>
      <c r="BJ77" s="95"/>
      <c r="BK77" s="95" t="str">
        <f t="shared" si="7"/>
        <v/>
      </c>
    </row>
    <row r="78" spans="1:63" ht="14.4" customHeight="1">
      <c r="A78" s="577"/>
      <c r="AU78" s="320">
        <v>9255839</v>
      </c>
      <c r="AV78" s="321" t="str">
        <f>VLOOKUP(AU78,CENY!$B$11:$G$1054,2,FALSE)</f>
        <v>AvanY-prích.čela s rozp.púzdrom/ v187-251</v>
      </c>
      <c r="AW78" s="22">
        <f>VLOOKUP(AU78,CENY!$B$11:$G$1054,3,FALSE)</f>
        <v>200</v>
      </c>
      <c r="AX78" s="22"/>
      <c r="AY78" s="68">
        <v>0</v>
      </c>
      <c r="AZ78" s="326">
        <f t="shared" si="5"/>
        <v>0</v>
      </c>
      <c r="BA78" s="95">
        <f>VLOOKUP(AU78,CENY!$B$11:$M$2025,12,FALSE)</f>
        <v>49.991039999999998</v>
      </c>
      <c r="BB78" s="95">
        <f t="shared" si="4"/>
        <v>0</v>
      </c>
      <c r="BD78" s="319">
        <f>OBJ!B297</f>
        <v>9256944</v>
      </c>
      <c r="BE78" s="21" t="str">
        <f>VLOOKUP(BD78,CENY!$B$11:$G$1054,2,FALSE)</f>
        <v>Quadro You(S) 270/SiSy 10kg; EB21; ľavý</v>
      </c>
      <c r="BF78" s="22">
        <f>VLOOKUP(BD78,CENY!$B$11:$G$1054,3,FALSE)</f>
        <v>20</v>
      </c>
      <c r="BG78" s="22"/>
      <c r="BH78" s="23">
        <f>AY50</f>
        <v>0</v>
      </c>
      <c r="BI78" s="326">
        <f t="shared" si="6"/>
        <v>0</v>
      </c>
      <c r="BJ78" s="95">
        <f>VLOOKUP(BD78,CENY!$B$11:$M$2025,12,FALSE)</f>
        <v>223.77942999999999</v>
      </c>
      <c r="BK78" s="95">
        <f t="shared" si="7"/>
        <v>0</v>
      </c>
    </row>
    <row r="79" spans="1:63" ht="14.4" customHeight="1">
      <c r="A79" s="577"/>
      <c r="O79" s="576">
        <f>CEILING(O84/FLOOR(2000/O85,1),1)</f>
        <v>0</v>
      </c>
      <c r="P79" s="576"/>
      <c r="Q79" s="576">
        <f>CEILING(Q84/FLOOR(2000/Q85,1),1)</f>
        <v>0</v>
      </c>
      <c r="R79" s="576"/>
      <c r="S79" s="576">
        <f>CEILING(S84/FLOOR(2000/S85,1),1)</f>
        <v>0</v>
      </c>
      <c r="T79" s="576"/>
      <c r="U79" s="576">
        <f>CEILING(U84/FLOOR(2000/U85,1),1)</f>
        <v>0</v>
      </c>
      <c r="V79" s="576"/>
      <c r="W79" s="576"/>
      <c r="X79" s="576"/>
      <c r="Y79" s="576"/>
      <c r="Z79" s="576"/>
      <c r="AA79" s="576"/>
      <c r="AB79" s="576"/>
      <c r="AC79" s="576">
        <f>CEILING(AC84/FLOOR(2000/AC85,1),1)</f>
        <v>0</v>
      </c>
      <c r="AD79" s="576"/>
      <c r="AE79" s="576">
        <f>CEILING(AE84/FLOOR(2000/AE85,1),1)</f>
        <v>0</v>
      </c>
      <c r="AF79" s="576"/>
      <c r="AG79" s="576">
        <f>CEILING(AG84/FLOOR(2000/AG85,1),1)</f>
        <v>0</v>
      </c>
      <c r="AH79" s="576"/>
      <c r="AI79" s="576">
        <f>CEILING(AI84/FLOOR(2000/AI85,1),1)</f>
        <v>0</v>
      </c>
      <c r="AJ79" s="576"/>
      <c r="AU79" s="319"/>
      <c r="AV79" s="21"/>
      <c r="AW79" s="22"/>
      <c r="AX79" s="22"/>
      <c r="AY79" s="23"/>
      <c r="AZ79" s="326" t="str">
        <f t="shared" si="5"/>
        <v/>
      </c>
      <c r="BA79" s="95"/>
      <c r="BB79" s="95" t="str">
        <f t="shared" si="4"/>
        <v/>
      </c>
      <c r="BD79" s="319">
        <f>OBJ!B298</f>
        <v>9256945</v>
      </c>
      <c r="BE79" s="21" t="str">
        <f>VLOOKUP(BD79,CENY!$B$11:$G$1054,2,FALSE)</f>
        <v>Quadro You(S) 270/SiSy 10kg; EB21; pravý</v>
      </c>
      <c r="BF79" s="22">
        <f>VLOOKUP(BD79,CENY!$B$11:$G$1054,3,FALSE)</f>
        <v>20</v>
      </c>
      <c r="BG79" s="22"/>
      <c r="BH79" s="23">
        <f>AY50</f>
        <v>0</v>
      </c>
      <c r="BI79" s="326">
        <f t="shared" si="6"/>
        <v>0</v>
      </c>
      <c r="BJ79" s="95">
        <f>VLOOKUP(BD79,CENY!$B$11:$M$2025,12,FALSE)</f>
        <v>223.77942999999999</v>
      </c>
      <c r="BK79" s="95">
        <f t="shared" si="7"/>
        <v>0</v>
      </c>
    </row>
    <row r="80" spans="1:63" ht="14.4" customHeight="1">
      <c r="A80" s="577"/>
      <c r="O80" s="575">
        <f>O85*O84</f>
        <v>0</v>
      </c>
      <c r="P80" s="575"/>
      <c r="Q80" s="575">
        <f>Q85*Q84</f>
        <v>0</v>
      </c>
      <c r="R80" s="575"/>
      <c r="S80" s="575">
        <f>S85*S84</f>
        <v>0</v>
      </c>
      <c r="T80" s="575"/>
      <c r="U80" s="575">
        <f>U85*U84</f>
        <v>0</v>
      </c>
      <c r="V80" s="575"/>
      <c r="W80" s="575"/>
      <c r="X80" s="575"/>
      <c r="Y80" s="575"/>
      <c r="Z80" s="575"/>
      <c r="AA80" s="575"/>
      <c r="AB80" s="575"/>
      <c r="AC80" s="575">
        <f>AC85*AC84</f>
        <v>0</v>
      </c>
      <c r="AD80" s="575"/>
      <c r="AE80" s="575">
        <f>AE85*AE84</f>
        <v>0</v>
      </c>
      <c r="AF80" s="575"/>
      <c r="AG80" s="575">
        <f>AG85*AG84</f>
        <v>0</v>
      </c>
      <c r="AH80" s="575"/>
      <c r="AI80" s="575">
        <f>AI85*AI84</f>
        <v>0</v>
      </c>
      <c r="AJ80" s="575"/>
      <c r="AU80" s="319">
        <f>OBJ!B214</f>
        <v>0</v>
      </c>
      <c r="AV80" s="21" t="e">
        <f>VLOOKUP(AU80,CENY!$B$11:$G$1054,2,FALSE)</f>
        <v>#N/A</v>
      </c>
      <c r="AW80" s="22" t="e">
        <f>VLOOKUP(AU80,CENY!$B$11:$G$1054,3,FALSE)</f>
        <v>#N/A</v>
      </c>
      <c r="AX80" s="22"/>
      <c r="AY80" s="68">
        <f>IF(FORM!AM21&lt;&gt;FORM!AW16,(2*(+SUM(O19:T19)+SUM(O20:AD20)+SUM(W22:AF22)+SUM(O27:T27)+SUM(O28:AD28)+SUM(O30:AD30))),0)</f>
        <v>0</v>
      </c>
      <c r="AZ80" s="326">
        <f t="shared" si="5"/>
        <v>0</v>
      </c>
      <c r="BA80" s="324" t="str">
        <f>IF(AU80=0,"",VLOOKUP(AU80,CENY!$B$11:$M$2025,12,FALSE))</f>
        <v/>
      </c>
      <c r="BB80" s="95" t="str">
        <f t="shared" si="4"/>
        <v/>
      </c>
      <c r="BD80" s="319">
        <f>OBJ!B299</f>
        <v>9256946</v>
      </c>
      <c r="BE80" s="21" t="str">
        <f>VLOOKUP(BD80,CENY!$B$11:$G$1054,2,FALSE)</f>
        <v>Quadro You(S) 300/SiSy 10kg; EB21; ľavý</v>
      </c>
      <c r="BF80" s="22">
        <f>VLOOKUP(BD80,CENY!$B$11:$G$1054,3,FALSE)</f>
        <v>20</v>
      </c>
      <c r="BG80" s="22"/>
      <c r="BH80" s="23">
        <f>AY51</f>
        <v>0</v>
      </c>
      <c r="BI80" s="326">
        <f t="shared" si="6"/>
        <v>0</v>
      </c>
      <c r="BJ80" s="95">
        <f>VLOOKUP(BD80,CENY!$B$11:$M$2025,12,FALSE)</f>
        <v>224.26065</v>
      </c>
      <c r="BK80" s="95">
        <f t="shared" si="7"/>
        <v>0</v>
      </c>
    </row>
    <row r="81" spans="1:63" ht="14.4" customHeight="1" thickBot="1">
      <c r="A81" s="577"/>
      <c r="O81" s="581" t="str">
        <f>verze!E163</f>
        <v>vnější rozměry zásuvkové skřínky [mm]</v>
      </c>
      <c r="P81" s="582"/>
      <c r="Q81" s="582"/>
      <c r="R81" s="582"/>
      <c r="S81" s="582"/>
      <c r="T81" s="582"/>
      <c r="U81" s="582"/>
      <c r="V81" s="582"/>
      <c r="W81" s="582"/>
      <c r="X81" s="582"/>
      <c r="Y81" s="582"/>
      <c r="Z81" s="582"/>
      <c r="AA81" s="582"/>
      <c r="AB81" s="582"/>
      <c r="AC81" s="582"/>
      <c r="AD81" s="582"/>
      <c r="AE81" s="582"/>
      <c r="AF81" s="582"/>
      <c r="AG81" s="582"/>
      <c r="AH81" s="582"/>
      <c r="AI81" s="582"/>
      <c r="AJ81" s="582"/>
      <c r="AU81" s="319"/>
      <c r="AV81" s="21"/>
      <c r="AW81" s="22"/>
      <c r="AX81" s="22"/>
      <c r="AY81" s="23"/>
      <c r="AZ81" s="326" t="str">
        <f t="shared" si="5"/>
        <v/>
      </c>
      <c r="BA81" s="95"/>
      <c r="BB81" s="95" t="str">
        <f t="shared" si="4"/>
        <v/>
      </c>
      <c r="BD81" s="319">
        <f>OBJ!B300</f>
        <v>9256947</v>
      </c>
      <c r="BE81" s="21" t="str">
        <f>VLOOKUP(BD81,CENY!$B$11:$G$1054,2,FALSE)</f>
        <v>Quadro You(S) 300/SiSy 10kg; EB21; pravý</v>
      </c>
      <c r="BF81" s="22">
        <f>VLOOKUP(BD81,CENY!$B$11:$G$1054,3,FALSE)</f>
        <v>20</v>
      </c>
      <c r="BG81" s="22"/>
      <c r="BH81" s="23">
        <f>AY51</f>
        <v>0</v>
      </c>
      <c r="BI81" s="326">
        <f t="shared" si="6"/>
        <v>0</v>
      </c>
      <c r="BJ81" s="95">
        <f>VLOOKUP(BD81,CENY!$B$11:$M$2025,12,FALSE)</f>
        <v>224.26065</v>
      </c>
      <c r="BK81" s="95">
        <f t="shared" si="7"/>
        <v>0</v>
      </c>
    </row>
    <row r="82" spans="1:63" ht="14.4" customHeight="1" thickBot="1">
      <c r="A82" s="577"/>
      <c r="B82" s="1" t="str">
        <f>verze!E162</f>
        <v>Čelo na vnitřní zásuvku</v>
      </c>
      <c r="O82" s="595" t="str">
        <f>verze!E164</f>
        <v>nízke čelo = 66 mm</v>
      </c>
      <c r="P82" s="596"/>
      <c r="Q82" s="596"/>
      <c r="R82" s="596"/>
      <c r="S82" s="596"/>
      <c r="T82" s="596"/>
      <c r="U82" s="596"/>
      <c r="V82" s="596"/>
      <c r="W82" s="334"/>
      <c r="X82" s="334"/>
      <c r="Y82" s="334"/>
      <c r="Z82" s="334"/>
      <c r="AA82" s="594"/>
      <c r="AB82" s="594"/>
      <c r="AC82" s="596" t="str">
        <f>verze!E165</f>
        <v>vysoké čelo = 130 mm</v>
      </c>
      <c r="AD82" s="596"/>
      <c r="AE82" s="596"/>
      <c r="AF82" s="596"/>
      <c r="AG82" s="596"/>
      <c r="AH82" s="596"/>
      <c r="AI82" s="596"/>
      <c r="AJ82" s="596"/>
      <c r="AU82" s="319"/>
      <c r="AV82" s="21"/>
      <c r="AW82" s="22"/>
      <c r="AX82" s="22"/>
      <c r="AY82" s="23"/>
      <c r="AZ82" s="326" t="str">
        <f t="shared" si="5"/>
        <v/>
      </c>
      <c r="BA82" s="95"/>
      <c r="BB82" s="95" t="str">
        <f t="shared" si="4"/>
        <v/>
      </c>
      <c r="BD82" s="319">
        <f>OBJ!B301</f>
        <v>9256950</v>
      </c>
      <c r="BE82" s="21" t="str">
        <f>VLOOKUP(BD82,CENY!$B$11:$G$1054,2,FALSE)</f>
        <v>Quadro You(S) 350/SiSy 10kg; EB21; ľavý</v>
      </c>
      <c r="BF82" s="22">
        <f>VLOOKUP(BD82,CENY!$B$11:$G$1054,3,FALSE)</f>
        <v>20</v>
      </c>
      <c r="BG82" s="22"/>
      <c r="BH82" s="23">
        <f>AY52</f>
        <v>0</v>
      </c>
      <c r="BI82" s="326">
        <f t="shared" si="6"/>
        <v>0</v>
      </c>
      <c r="BJ82" s="95">
        <f>VLOOKUP(BD82,CENY!$B$11:$M$2025,12,FALSE)</f>
        <v>229.11434</v>
      </c>
      <c r="BK82" s="95">
        <f t="shared" si="7"/>
        <v>0</v>
      </c>
    </row>
    <row r="83" spans="1:63" ht="14.4" customHeight="1" thickBot="1">
      <c r="A83" s="577"/>
      <c r="B83" s="96"/>
      <c r="C83" s="96"/>
      <c r="D83" s="96"/>
      <c r="E83" s="96"/>
      <c r="F83" s="96"/>
      <c r="G83" s="96"/>
      <c r="H83" s="72"/>
      <c r="I83" s="72"/>
      <c r="J83" s="72"/>
      <c r="K83" s="72"/>
      <c r="L83" s="72"/>
      <c r="M83" s="72"/>
      <c r="N83" s="72" t="str">
        <f>verze!E166&amp;" "</f>
        <v xml:space="preserve">Šířka korpusu: </v>
      </c>
      <c r="O83" s="598">
        <v>450</v>
      </c>
      <c r="P83" s="599"/>
      <c r="Q83" s="601">
        <v>600</v>
      </c>
      <c r="R83" s="601"/>
      <c r="S83" s="601">
        <v>900</v>
      </c>
      <c r="T83" s="601"/>
      <c r="U83" s="601">
        <v>1200</v>
      </c>
      <c r="V83" s="598"/>
      <c r="W83" s="334"/>
      <c r="X83" s="334"/>
      <c r="Y83" s="334"/>
      <c r="Z83" s="334"/>
      <c r="AA83" s="594"/>
      <c r="AB83" s="594"/>
      <c r="AC83" s="600">
        <v>450</v>
      </c>
      <c r="AD83" s="601"/>
      <c r="AE83" s="600">
        <v>600</v>
      </c>
      <c r="AF83" s="601"/>
      <c r="AG83" s="598">
        <v>900</v>
      </c>
      <c r="AH83" s="599"/>
      <c r="AI83" s="598">
        <v>1200</v>
      </c>
      <c r="AJ83" s="599"/>
      <c r="AU83" s="319">
        <f>OBJ!B210</f>
        <v>9257663</v>
      </c>
      <c r="AV83" s="21" t="str">
        <f>VLOOKUP(AU83,CENY!$B$11:$G$1054,2,FALSE)</f>
        <v>AvanY-indiv.čelo vnút.zásuv./d2000/strieb.</v>
      </c>
      <c r="AW83" s="22">
        <f>VLOOKUP(AU83,CENY!$B$11:$G$1054,3,FALSE)</f>
        <v>1</v>
      </c>
      <c r="AX83" s="22"/>
      <c r="AY83" s="23">
        <f>IF(AU95=0,0,IF(AU101&lt;2000,1,SUM(O79:AJ79)))</f>
        <v>0</v>
      </c>
      <c r="AZ83" s="326">
        <f t="shared" si="5"/>
        <v>0</v>
      </c>
      <c r="BA83" s="95">
        <f>VLOOKUP(AU83,CENY!$B$11:$M$2025,12,FALSE)</f>
        <v>741.56732999999997</v>
      </c>
      <c r="BB83" s="95">
        <f t="shared" si="4"/>
        <v>0</v>
      </c>
      <c r="BD83" s="319">
        <f>OBJ!B302</f>
        <v>9256951</v>
      </c>
      <c r="BE83" s="21" t="str">
        <f>VLOOKUP(BD83,CENY!$B$11:$G$1054,2,FALSE)</f>
        <v>Quadro You(S) 350/SiSy 10kg; EB21; pravý</v>
      </c>
      <c r="BF83" s="22">
        <f>VLOOKUP(BD83,CENY!$B$11:$G$1054,3,FALSE)</f>
        <v>20</v>
      </c>
      <c r="BG83" s="22"/>
      <c r="BH83" s="23">
        <f>AY52</f>
        <v>0</v>
      </c>
      <c r="BI83" s="326">
        <f t="shared" si="6"/>
        <v>0</v>
      </c>
      <c r="BJ83" s="95">
        <f>VLOOKUP(BD83,CENY!$B$11:$M$2025,12,FALSE)</f>
        <v>229.11434</v>
      </c>
      <c r="BK83" s="95">
        <f t="shared" si="7"/>
        <v>0</v>
      </c>
    </row>
    <row r="84" spans="1:63" ht="14.4" customHeight="1" thickBot="1">
      <c r="A84" s="577"/>
      <c r="B84" s="158" t="str">
        <f>" "&amp;verze!E167</f>
        <v xml:space="preserve"> ALU čelo</v>
      </c>
      <c r="C84" s="158"/>
      <c r="D84" s="158"/>
      <c r="E84" s="158"/>
      <c r="F84" s="158"/>
      <c r="G84" s="158"/>
      <c r="H84" s="158"/>
      <c r="I84" s="158"/>
      <c r="J84" s="158"/>
      <c r="K84" s="158"/>
      <c r="L84" s="158"/>
      <c r="M84" s="523"/>
      <c r="N84" s="546"/>
      <c r="O84" s="578"/>
      <c r="P84" s="579"/>
      <c r="Q84" s="597"/>
      <c r="R84" s="597"/>
      <c r="S84" s="597"/>
      <c r="T84" s="597"/>
      <c r="U84" s="597"/>
      <c r="V84" s="578"/>
      <c r="W84" s="336"/>
      <c r="X84" s="336"/>
      <c r="Y84" s="336"/>
      <c r="Z84" s="336"/>
      <c r="AA84" s="336"/>
      <c r="AB84" s="336"/>
      <c r="AC84" s="579"/>
      <c r="AD84" s="597"/>
      <c r="AE84" s="579"/>
      <c r="AF84" s="597"/>
      <c r="AG84" s="583"/>
      <c r="AH84" s="579"/>
      <c r="AI84" s="578"/>
      <c r="AJ84" s="583"/>
      <c r="AU84" s="319">
        <f>OBJ!B211</f>
        <v>9257651</v>
      </c>
      <c r="AV84" s="21" t="str">
        <f>VLOOKUP(AU84,CENY!$B$11:$G$1054,2,FALSE)</f>
        <v>AvanY-spojky indiv.čela vnút./v187/strieb.</v>
      </c>
      <c r="AW84" s="22">
        <f>VLOOKUP(AU84,CENY!$B$11:$G$1054,3,FALSE)</f>
        <v>1</v>
      </c>
      <c r="AX84" s="22"/>
      <c r="AY84" s="23">
        <f>1*(+SUM(O19:T19)+SUM(O20:AD20)+SUM(W22:AF22)+SUM(O27:T27)+SUM(O28:AD28)+SUM(O30:AD30))</f>
        <v>0</v>
      </c>
      <c r="AZ84" s="326">
        <f t="shared" si="5"/>
        <v>0</v>
      </c>
      <c r="BA84" s="95">
        <f>VLOOKUP(AU84,CENY!$B$11:$M$2025,12,FALSE)</f>
        <v>557.04454999999996</v>
      </c>
      <c r="BB84" s="95">
        <f t="shared" si="4"/>
        <v>0</v>
      </c>
      <c r="BD84" s="319"/>
      <c r="BE84" s="21"/>
      <c r="BF84" s="22"/>
      <c r="BG84" s="22"/>
      <c r="BH84" s="23"/>
      <c r="BI84" s="326" t="str">
        <f t="shared" si="6"/>
        <v/>
      </c>
      <c r="BJ84" s="95"/>
      <c r="BK84" s="95" t="str">
        <f t="shared" si="7"/>
        <v/>
      </c>
    </row>
    <row r="85" spans="1:63" ht="14.4" customHeight="1">
      <c r="A85" s="577"/>
      <c r="O85" s="580">
        <f>O83-2*FORM!$AM$24-66</f>
        <v>348</v>
      </c>
      <c r="P85" s="580"/>
      <c r="Q85" s="580">
        <f>Q83-2*FORM!$AM$24-66</f>
        <v>498</v>
      </c>
      <c r="R85" s="580"/>
      <c r="S85" s="580">
        <f>S83-2*FORM!$AM$24-66</f>
        <v>798</v>
      </c>
      <c r="T85" s="580"/>
      <c r="U85" s="580">
        <f>U83-2*FORM!$AM$24-66</f>
        <v>1098</v>
      </c>
      <c r="V85" s="580"/>
      <c r="W85" s="575"/>
      <c r="X85" s="575"/>
      <c r="Y85" s="575"/>
      <c r="Z85" s="575"/>
      <c r="AA85" s="575"/>
      <c r="AB85" s="575"/>
      <c r="AC85" s="580">
        <f>AC83-2*FORM!$AM$24-66</f>
        <v>348</v>
      </c>
      <c r="AD85" s="580"/>
      <c r="AE85" s="580">
        <f>AE83-2*FORM!$AM$24-66</f>
        <v>498</v>
      </c>
      <c r="AF85" s="580"/>
      <c r="AG85" s="580">
        <f>AG83-2*FORM!$AM$24-66</f>
        <v>798</v>
      </c>
      <c r="AH85" s="580"/>
      <c r="AI85" s="580">
        <f>AI83-2*FORM!$AM$24-66</f>
        <v>1098</v>
      </c>
      <c r="AJ85" s="580"/>
      <c r="AU85" s="319">
        <f>OBJ!B224</f>
        <v>9283228</v>
      </c>
      <c r="AV85" s="21" t="str">
        <f>VLOOKUP(AU85,CENY!$B$11:$G$1054,2,FALSE)</f>
        <v>AvanY-sklo pre vnút.čelo /v66/s450/hr18</v>
      </c>
      <c r="AW85" s="22">
        <f>VLOOKUP(AU85,CENY!$B$11:$G$1054,3,FALSE)</f>
        <v>1</v>
      </c>
      <c r="AX85" s="22"/>
      <c r="AY85" s="23">
        <f>O84</f>
        <v>0</v>
      </c>
      <c r="AZ85" s="326">
        <f t="shared" si="5"/>
        <v>0</v>
      </c>
      <c r="BA85" s="95">
        <f>VLOOKUP(AU85,CENY!$B$11:$M$2025,12,FALSE)</f>
        <v>0</v>
      </c>
      <c r="BB85" s="95">
        <f t="shared" ref="BB85:BB90" si="8">IF(BA85="","",BA85*AY85)</f>
        <v>0</v>
      </c>
      <c r="BD85" s="319">
        <f>OBJ!B312</f>
        <v>9256854</v>
      </c>
      <c r="BE85" s="21" t="str">
        <f>VLOOKUP(BD85,CENY!$B$11:$G$1054,2,FALSE)</f>
        <v>Quadro You(M) 270/SiSy 20kg; EB21; ľavý</v>
      </c>
      <c r="BF85" s="22">
        <f>VLOOKUP(BD85,CENY!$B$11:$G$1054,3,FALSE)</f>
        <v>20</v>
      </c>
      <c r="BG85" s="22"/>
      <c r="BH85" s="23">
        <f>AY54</f>
        <v>0</v>
      </c>
      <c r="BI85" s="326">
        <f t="shared" si="6"/>
        <v>0</v>
      </c>
      <c r="BJ85" s="95">
        <f>VLOOKUP(BD85,CENY!$B$11:$M$2025,12,FALSE)</f>
        <v>223.77942999999999</v>
      </c>
      <c r="BK85" s="95">
        <f t="shared" si="7"/>
        <v>0</v>
      </c>
    </row>
    <row r="86" spans="1:63" ht="14.4" customHeight="1">
      <c r="A86" s="577"/>
      <c r="AR86" s="157"/>
      <c r="AU86" s="319">
        <f>OBJ!B225</f>
        <v>9283229</v>
      </c>
      <c r="AV86" s="21" t="str">
        <f>VLOOKUP(AU86,CENY!$B$11:$G$1054,2,FALSE)</f>
        <v>AvanY-sklo pre vnút.čelo /v66/s600/hr18</v>
      </c>
      <c r="AW86" s="22">
        <f>VLOOKUP(AU86,CENY!$B$11:$G$1054,3,FALSE)</f>
        <v>1</v>
      </c>
      <c r="AX86" s="22"/>
      <c r="AY86" s="23">
        <f>Q84</f>
        <v>0</v>
      </c>
      <c r="AZ86" s="326">
        <f t="shared" si="5"/>
        <v>0</v>
      </c>
      <c r="BA86" s="95">
        <f>VLOOKUP(AU86,CENY!$B$11:$M$2025,12,FALSE)</f>
        <v>409.12</v>
      </c>
      <c r="BB86" s="95">
        <f t="shared" si="8"/>
        <v>0</v>
      </c>
      <c r="BD86" s="319">
        <f>OBJ!B313</f>
        <v>9256855</v>
      </c>
      <c r="BE86" s="21" t="str">
        <f>VLOOKUP(BD86,CENY!$B$11:$G$1054,2,FALSE)</f>
        <v>Quadro You(M) 270/SiSy 20kg; EB21; pravý</v>
      </c>
      <c r="BF86" s="22">
        <f>VLOOKUP(BD86,CENY!$B$11:$G$1054,3,FALSE)</f>
        <v>20</v>
      </c>
      <c r="BG86" s="22"/>
      <c r="BH86" s="23">
        <f>AY54</f>
        <v>0</v>
      </c>
      <c r="BI86" s="326">
        <f t="shared" si="6"/>
        <v>0</v>
      </c>
      <c r="BJ86" s="95">
        <f>VLOOKUP(BD86,CENY!$B$11:$M$2025,12,FALSE)</f>
        <v>223.77942999999999</v>
      </c>
      <c r="BK86" s="95">
        <f t="shared" si="7"/>
        <v>0</v>
      </c>
    </row>
    <row r="87" spans="1:63" ht="14.4" customHeight="1">
      <c r="A87" s="577"/>
      <c r="V87" s="593" t="str">
        <f>IF(AU97=0,AU103,AU104)</f>
        <v>Je potřebné vybrat 0 ks vnitřních čel.</v>
      </c>
      <c r="W87" s="593"/>
      <c r="X87" s="593"/>
      <c r="Y87" s="593"/>
      <c r="Z87" s="593"/>
      <c r="AA87" s="593"/>
      <c r="AB87" s="593"/>
      <c r="AC87" s="593"/>
      <c r="AR87" s="332"/>
      <c r="AU87" s="319">
        <f>OBJ!B226</f>
        <v>9283231</v>
      </c>
      <c r="AV87" s="21" t="str">
        <f>VLOOKUP(AU87,CENY!$B$11:$G$1054,2,FALSE)</f>
        <v>AvanY-sklo pre vnút.čelo /v66/s900/hr18</v>
      </c>
      <c r="AW87" s="22">
        <f>VLOOKUP(AU87,CENY!$B$11:$G$1054,3,FALSE)</f>
        <v>1</v>
      </c>
      <c r="AX87" s="22"/>
      <c r="AY87" s="23">
        <f>S84</f>
        <v>0</v>
      </c>
      <c r="AZ87" s="326">
        <f t="shared" si="5"/>
        <v>0</v>
      </c>
      <c r="BA87" s="95">
        <f>VLOOKUP(AU87,CENY!$B$11:$M$2025,12,FALSE)</f>
        <v>722.48258999999996</v>
      </c>
      <c r="BB87" s="95">
        <f t="shared" si="8"/>
        <v>0</v>
      </c>
      <c r="BD87" s="319">
        <f>OBJ!B314</f>
        <v>9256856</v>
      </c>
      <c r="BE87" s="21" t="str">
        <f>VLOOKUP(BD87,CENY!$B$11:$G$1054,2,FALSE)</f>
        <v>Quadro You(M) 300/SiSy 20kg; EB21; ľavý</v>
      </c>
      <c r="BF87" s="22">
        <f>VLOOKUP(BD87,CENY!$B$11:$G$1054,3,FALSE)</f>
        <v>20</v>
      </c>
      <c r="BG87" s="22"/>
      <c r="BH87" s="23">
        <f>AY55</f>
        <v>0</v>
      </c>
      <c r="BI87" s="326">
        <f t="shared" si="6"/>
        <v>0</v>
      </c>
      <c r="BJ87" s="95">
        <f>VLOOKUP(BD87,CENY!$B$11:$M$2025,12,FALSE)</f>
        <v>224.26065</v>
      </c>
      <c r="BK87" s="95">
        <f t="shared" si="7"/>
        <v>0</v>
      </c>
    </row>
    <row r="88" spans="1:63" ht="14.4" customHeight="1">
      <c r="A88" s="577"/>
      <c r="V88" s="593"/>
      <c r="W88" s="593"/>
      <c r="X88" s="593"/>
      <c r="Y88" s="593"/>
      <c r="Z88" s="593"/>
      <c r="AA88" s="593"/>
      <c r="AB88" s="593"/>
      <c r="AC88" s="593"/>
      <c r="AU88" s="319">
        <f>OBJ!B227</f>
        <v>9283232</v>
      </c>
      <c r="AV88" s="21" t="str">
        <f>VLOOKUP(AU88,CENY!$B$11:$G$1054,2,FALSE)</f>
        <v>AvanY-sklo pre vnút.čelo /v66/s1200/hr18</v>
      </c>
      <c r="AW88" s="22">
        <f>VLOOKUP(AU88,CENY!$B$11:$G$1054,3,FALSE)</f>
        <v>1</v>
      </c>
      <c r="AX88" s="22"/>
      <c r="AY88" s="23">
        <f>U84</f>
        <v>0</v>
      </c>
      <c r="AZ88" s="326">
        <f t="shared" si="5"/>
        <v>0</v>
      </c>
      <c r="BA88" s="95">
        <f>VLOOKUP(AU88,CENY!$B$11:$M$2025,12,FALSE)</f>
        <v>931.38562999999999</v>
      </c>
      <c r="BB88" s="95">
        <f t="shared" si="8"/>
        <v>0</v>
      </c>
      <c r="BD88" s="319">
        <f>OBJ!B315</f>
        <v>9256857</v>
      </c>
      <c r="BE88" s="21" t="str">
        <f>VLOOKUP(BD88,CENY!$B$11:$G$1054,2,FALSE)</f>
        <v>Quadro You(M) 300/SiSy 20kg; EB21; pravý</v>
      </c>
      <c r="BF88" s="22">
        <f>VLOOKUP(BD88,CENY!$B$11:$G$1054,3,FALSE)</f>
        <v>20</v>
      </c>
      <c r="BG88" s="22"/>
      <c r="BH88" s="23">
        <f>AY55</f>
        <v>0</v>
      </c>
      <c r="BI88" s="326">
        <f t="shared" si="6"/>
        <v>0</v>
      </c>
      <c r="BJ88" s="95">
        <f>VLOOKUP(BD88,CENY!$B$11:$M$2025,12,FALSE)</f>
        <v>224.26065</v>
      </c>
      <c r="BK88" s="95">
        <f t="shared" si="7"/>
        <v>0</v>
      </c>
    </row>
    <row r="89" spans="1:63" ht="14.4" customHeight="1">
      <c r="A89" s="577"/>
      <c r="V89" s="593"/>
      <c r="W89" s="593"/>
      <c r="X89" s="593"/>
      <c r="Y89" s="593"/>
      <c r="Z89" s="593"/>
      <c r="AA89" s="593"/>
      <c r="AB89" s="593"/>
      <c r="AC89" s="593"/>
      <c r="AU89" s="319">
        <f>OBJ!B228</f>
        <v>9283233</v>
      </c>
      <c r="AV89" s="21" t="str">
        <f>VLOOKUP(AU89,CENY!$B$11:$G$1054,2,FALSE)</f>
        <v>AvanY-sklo pre vnút.čelo /v130/s450/hr18</v>
      </c>
      <c r="AW89" s="22">
        <f>VLOOKUP(AU89,CENY!$B$11:$G$1054,3,FALSE)</f>
        <v>1</v>
      </c>
      <c r="AX89" s="22"/>
      <c r="AY89" s="23">
        <f>AC84</f>
        <v>0</v>
      </c>
      <c r="AZ89" s="326">
        <f t="shared" si="5"/>
        <v>0</v>
      </c>
      <c r="BA89" s="95">
        <f>VLOOKUP(AU89,CENY!$B$11:$M$2025,12,FALSE)</f>
        <v>564.20789000000002</v>
      </c>
      <c r="BB89" s="95">
        <f t="shared" si="8"/>
        <v>0</v>
      </c>
      <c r="BD89" s="319">
        <f>OBJ!B316</f>
        <v>9256860</v>
      </c>
      <c r="BE89" s="21" t="str">
        <f>VLOOKUP(BD89,CENY!$B$11:$G$1054,2,FALSE)</f>
        <v>Quadro You(M) 350/SiSy 25kg; EB21; ľavý</v>
      </c>
      <c r="BF89" s="22">
        <f>VLOOKUP(BD89,CENY!$B$11:$G$1054,3,FALSE)</f>
        <v>20</v>
      </c>
      <c r="BG89" s="22"/>
      <c r="BH89" s="23">
        <f>AY56</f>
        <v>0</v>
      </c>
      <c r="BI89" s="326">
        <f t="shared" si="6"/>
        <v>0</v>
      </c>
      <c r="BJ89" s="95">
        <f>VLOOKUP(BD89,CENY!$B$11:$M$2025,12,FALSE)</f>
        <v>229.11434</v>
      </c>
      <c r="BK89" s="95">
        <f t="shared" si="7"/>
        <v>0</v>
      </c>
    </row>
    <row r="90" spans="1:63" ht="14.4" customHeight="1">
      <c r="A90" s="577"/>
      <c r="V90" s="593"/>
      <c r="W90" s="593"/>
      <c r="X90" s="593"/>
      <c r="Y90" s="593"/>
      <c r="Z90" s="593"/>
      <c r="AA90" s="593"/>
      <c r="AB90" s="593"/>
      <c r="AC90" s="593"/>
      <c r="AU90" s="319">
        <f>OBJ!B229</f>
        <v>9283235</v>
      </c>
      <c r="AV90" s="21" t="str">
        <f>VLOOKUP(AU90,CENY!$B$11:$G$1054,2,FALSE)</f>
        <v>AvanY-sklo pre vnút.čelo /v130/s600/hr18</v>
      </c>
      <c r="AW90" s="22">
        <f>VLOOKUP(AU90,CENY!$B$11:$G$1054,3,FALSE)</f>
        <v>1</v>
      </c>
      <c r="AX90" s="22"/>
      <c r="AY90" s="23">
        <f>AE84</f>
        <v>0</v>
      </c>
      <c r="AZ90" s="326">
        <f t="shared" si="5"/>
        <v>0</v>
      </c>
      <c r="BA90" s="95">
        <f>VLOOKUP(AU90,CENY!$B$11:$M$2025,12,FALSE)</f>
        <v>641.17699000000005</v>
      </c>
      <c r="BB90" s="95">
        <f t="shared" si="8"/>
        <v>0</v>
      </c>
      <c r="BD90" s="319">
        <f>OBJ!B317</f>
        <v>9256861</v>
      </c>
      <c r="BE90" s="21" t="str">
        <f>VLOOKUP(BD90,CENY!$B$11:$G$1054,2,FALSE)</f>
        <v>Quadro You(M) 350/SiSy 25kg; EB21; pravý</v>
      </c>
      <c r="BF90" s="22">
        <f>VLOOKUP(BD90,CENY!$B$11:$G$1054,3,FALSE)</f>
        <v>20</v>
      </c>
      <c r="BG90" s="22"/>
      <c r="BH90" s="23">
        <f>AY56</f>
        <v>0</v>
      </c>
      <c r="BI90" s="326">
        <f t="shared" si="6"/>
        <v>0</v>
      </c>
      <c r="BJ90" s="95">
        <f>VLOOKUP(BD90,CENY!$B$11:$M$2025,12,FALSE)</f>
        <v>229.11434</v>
      </c>
      <c r="BK90" s="95">
        <f t="shared" si="7"/>
        <v>0</v>
      </c>
    </row>
    <row r="91" spans="1:63" ht="14.4" customHeight="1">
      <c r="A91" s="577"/>
      <c r="V91" s="593"/>
      <c r="W91" s="593"/>
      <c r="X91" s="593"/>
      <c r="Y91" s="593"/>
      <c r="Z91" s="593"/>
      <c r="AA91" s="593"/>
      <c r="AB91" s="593"/>
      <c r="AC91" s="593"/>
      <c r="AU91" s="319">
        <f>OBJ!B230</f>
        <v>9283237</v>
      </c>
      <c r="AV91" s="21" t="str">
        <f>VLOOKUP(AU91,CENY!$B$11:$G$1054,2,FALSE)</f>
        <v>AvanY-sklo pre vnút.čelo /v130/s900/hr18</v>
      </c>
      <c r="AW91" s="22">
        <f>VLOOKUP(AU91,CENY!$B$11:$G$1054,3,FALSE)</f>
        <v>1</v>
      </c>
      <c r="AX91" s="22"/>
      <c r="AY91" s="23">
        <f>AG84</f>
        <v>0</v>
      </c>
      <c r="AZ91" s="326">
        <f t="shared" si="5"/>
        <v>0</v>
      </c>
      <c r="BA91" s="95">
        <f>VLOOKUP(AU91,CENY!$B$11:$M$2025,12,FALSE)</f>
        <v>1068.6239</v>
      </c>
      <c r="BB91" s="95">
        <f>IF(BA91="","",BA91*AY91)</f>
        <v>0</v>
      </c>
      <c r="BD91" s="319">
        <f>OBJ!B318</f>
        <v>9256864</v>
      </c>
      <c r="BE91" s="21" t="str">
        <f>VLOOKUP(BD91,CENY!$B$11:$G$1054,2,FALSE)</f>
        <v>Quadro You(M) 400/SiSy 30kg; EB21; ľavý</v>
      </c>
      <c r="BF91" s="22">
        <f>VLOOKUP(BD91,CENY!$B$11:$G$1054,3,FALSE)</f>
        <v>20</v>
      </c>
      <c r="BG91" s="22"/>
      <c r="BH91" s="23">
        <f>AY57</f>
        <v>0</v>
      </c>
      <c r="BI91" s="326">
        <f t="shared" si="6"/>
        <v>0</v>
      </c>
      <c r="BJ91" s="95">
        <f>VLOOKUP(BD91,CENY!$B$11:$M$2025,12,FALSE)</f>
        <v>233.96566000000001</v>
      </c>
      <c r="BK91" s="95">
        <f t="shared" si="7"/>
        <v>0</v>
      </c>
    </row>
    <row r="92" spans="1:63" ht="14.4" customHeight="1">
      <c r="A92" s="577"/>
      <c r="V92" s="593"/>
      <c r="W92" s="593"/>
      <c r="X92" s="593"/>
      <c r="Y92" s="593"/>
      <c r="Z92" s="593"/>
      <c r="AA92" s="593"/>
      <c r="AB92" s="593"/>
      <c r="AC92" s="593"/>
      <c r="AU92" s="319">
        <f>OBJ!B231</f>
        <v>9283238</v>
      </c>
      <c r="AV92" s="21" t="str">
        <f>VLOOKUP(AU92,CENY!$B$11:$G$1054,2,FALSE)</f>
        <v>AvanY-sklo pre vnút.čelo /v130/s1200/hr18</v>
      </c>
      <c r="AW92" s="22">
        <f>VLOOKUP(AU92,CENY!$B$11:$G$1054,3,FALSE)</f>
        <v>1</v>
      </c>
      <c r="AX92" s="22"/>
      <c r="AY92" s="23">
        <f>AI84</f>
        <v>0</v>
      </c>
      <c r="AZ92" s="326">
        <f t="shared" si="5"/>
        <v>0</v>
      </c>
      <c r="BA92" s="95">
        <f>VLOOKUP(AU92,CENY!$B$11:$M$2025,12,FALSE)</f>
        <v>1376.3860500000001</v>
      </c>
      <c r="BB92" s="95">
        <f>IF(BA92="","",BA92*AY92)</f>
        <v>0</v>
      </c>
      <c r="BD92" s="319">
        <f>OBJ!B319</f>
        <v>9256865</v>
      </c>
      <c r="BE92" s="21" t="str">
        <f>VLOOKUP(BD92,CENY!$B$11:$G$1054,2,FALSE)</f>
        <v>Quadro You(M) 400/SiSy 30kg; EB21; pravý</v>
      </c>
      <c r="BF92" s="22">
        <f>VLOOKUP(BD92,CENY!$B$11:$G$1054,3,FALSE)</f>
        <v>20</v>
      </c>
      <c r="BG92" s="22"/>
      <c r="BH92" s="23">
        <f>AY57</f>
        <v>0</v>
      </c>
      <c r="BI92" s="326">
        <f t="shared" si="6"/>
        <v>0</v>
      </c>
      <c r="BJ92" s="95">
        <f>VLOOKUP(BD92,CENY!$B$11:$M$2025,12,FALSE)</f>
        <v>233.96566000000001</v>
      </c>
      <c r="BK92" s="95">
        <f t="shared" si="7"/>
        <v>0</v>
      </c>
    </row>
    <row r="93" spans="1:63" ht="14.4" customHeight="1">
      <c r="A93" s="577"/>
      <c r="AU93" s="319"/>
      <c r="AV93" s="21"/>
      <c r="AW93" s="22"/>
      <c r="AX93" s="22"/>
      <c r="AY93" s="23"/>
      <c r="AZ93" s="326" t="str">
        <f t="shared" si="5"/>
        <v/>
      </c>
      <c r="BA93" s="95"/>
      <c r="BB93" s="95"/>
      <c r="BD93" s="319">
        <f>OBJ!B320</f>
        <v>9256868</v>
      </c>
      <c r="BE93" s="21" t="str">
        <f>VLOOKUP(BD93,CENY!$B$11:$G$1054,2,FALSE)</f>
        <v>Quadro You(M) 450/SiSy 30kg; EB21; ľavý</v>
      </c>
      <c r="BF93" s="22">
        <f>VLOOKUP(BD93,CENY!$B$11:$G$1054,3,FALSE)</f>
        <v>20</v>
      </c>
      <c r="BG93" s="22"/>
      <c r="BH93" s="23">
        <f>AY58</f>
        <v>0</v>
      </c>
      <c r="BI93" s="326">
        <f t="shared" si="6"/>
        <v>0</v>
      </c>
      <c r="BJ93" s="95">
        <f>VLOOKUP(BD93,CENY!$B$11:$M$2025,12,FALSE)</f>
        <v>238.81201999999999</v>
      </c>
      <c r="BK93" s="95">
        <f t="shared" si="7"/>
        <v>0</v>
      </c>
    </row>
    <row r="94" spans="1:63" ht="14.4" customHeight="1">
      <c r="A94" s="577"/>
      <c r="AU94" s="319"/>
      <c r="AV94" s="21"/>
      <c r="AW94" s="22"/>
      <c r="AX94" s="22"/>
      <c r="AY94" s="23"/>
      <c r="AZ94" s="326" t="str">
        <f t="shared" si="5"/>
        <v/>
      </c>
      <c r="BA94" s="95"/>
      <c r="BB94" s="95" t="str">
        <f t="shared" si="4"/>
        <v/>
      </c>
      <c r="BD94" s="319">
        <f>OBJ!B321</f>
        <v>9256869</v>
      </c>
      <c r="BE94" s="21" t="str">
        <f>VLOOKUP(BD94,CENY!$B$11:$G$1054,2,FALSE)</f>
        <v>Quadro You(M) 450/SiSy 30kg; EB21; pravý</v>
      </c>
      <c r="BF94" s="22">
        <f>VLOOKUP(BD94,CENY!$B$11:$G$1054,3,FALSE)</f>
        <v>20</v>
      </c>
      <c r="BG94" s="22"/>
      <c r="BH94" s="23">
        <f>AY58</f>
        <v>0</v>
      </c>
      <c r="BI94" s="326">
        <f t="shared" si="6"/>
        <v>0</v>
      </c>
      <c r="BJ94" s="95">
        <f>VLOOKUP(BD94,CENY!$B$11:$M$2025,12,FALSE)</f>
        <v>238.81201999999999</v>
      </c>
      <c r="BK94" s="95">
        <f t="shared" si="7"/>
        <v>0</v>
      </c>
    </row>
    <row r="95" spans="1:63" ht="14.4" customHeight="1">
      <c r="A95" s="577"/>
      <c r="AU95" s="330">
        <f>1*(+SUM(O19:T19)+SUM(O20:AD20)+SUM(W22:AF22)+SUM(O27:T27)+SUM(O28:AD28)+SUM(O30:AD30))</f>
        <v>0</v>
      </c>
      <c r="AV95" s="329" t="s">
        <v>356</v>
      </c>
      <c r="AW95" s="22"/>
      <c r="AX95" s="22"/>
      <c r="AY95" s="23"/>
      <c r="AZ95" s="326" t="str">
        <f t="shared" si="5"/>
        <v/>
      </c>
      <c r="BA95" s="95"/>
      <c r="BB95" s="95" t="str">
        <f t="shared" si="4"/>
        <v/>
      </c>
      <c r="BD95" s="319">
        <f>OBJ!B322</f>
        <v>9256872</v>
      </c>
      <c r="BE95" s="21" t="str">
        <f>VLOOKUP(BD95,CENY!$B$11:$G$1054,2,FALSE)</f>
        <v>Quadro You(M) 500/SiSy 30kg; EB21; ľavý</v>
      </c>
      <c r="BF95" s="22">
        <f>VLOOKUP(BD95,CENY!$B$11:$G$1054,3,FALSE)</f>
        <v>20</v>
      </c>
      <c r="BG95" s="22"/>
      <c r="BH95" s="23">
        <f>AY59</f>
        <v>0</v>
      </c>
      <c r="BI95" s="326">
        <f t="shared" si="6"/>
        <v>0</v>
      </c>
      <c r="BJ95" s="95">
        <f>VLOOKUP(BD95,CENY!$B$11:$M$2025,12,FALSE)</f>
        <v>237.18776</v>
      </c>
      <c r="BK95" s="95">
        <f t="shared" si="7"/>
        <v>0</v>
      </c>
    </row>
    <row r="96" spans="1:63" ht="14.4" customHeight="1">
      <c r="A96" s="577"/>
      <c r="AU96" s="20"/>
      <c r="AV96" s="21"/>
      <c r="AW96" s="22"/>
      <c r="AX96" s="22"/>
      <c r="AY96" s="23"/>
      <c r="AZ96" s="326" t="str">
        <f t="shared" si="5"/>
        <v/>
      </c>
      <c r="BA96" s="95"/>
      <c r="BB96" s="95" t="str">
        <f t="shared" si="4"/>
        <v/>
      </c>
      <c r="BD96" s="319">
        <f>OBJ!B323</f>
        <v>9256873</v>
      </c>
      <c r="BE96" s="21" t="str">
        <f>VLOOKUP(BD96,CENY!$B$11:$G$1054,2,FALSE)</f>
        <v>Quadro You(M) 500/SiSy 30kg; EB21; pravý</v>
      </c>
      <c r="BF96" s="22">
        <f>VLOOKUP(BD96,CENY!$B$11:$G$1054,3,FALSE)</f>
        <v>20</v>
      </c>
      <c r="BG96" s="22"/>
      <c r="BH96" s="23">
        <f>AY59</f>
        <v>0</v>
      </c>
      <c r="BI96" s="326">
        <f t="shared" si="6"/>
        <v>0</v>
      </c>
      <c r="BJ96" s="95">
        <f>VLOOKUP(BD96,CENY!$B$11:$M$2025,12,FALSE)</f>
        <v>237.18776</v>
      </c>
      <c r="BK96" s="95">
        <f t="shared" si="7"/>
        <v>0</v>
      </c>
    </row>
    <row r="97" spans="1:63" ht="14.4" customHeight="1">
      <c r="A97" s="577"/>
      <c r="AU97" s="331">
        <f>SUM(O84:AJ84)</f>
        <v>0</v>
      </c>
      <c r="AV97" s="21" t="s">
        <v>357</v>
      </c>
      <c r="AW97" s="22"/>
      <c r="AX97" s="22"/>
      <c r="AY97" s="23"/>
      <c r="AZ97" s="326" t="str">
        <f t="shared" si="5"/>
        <v/>
      </c>
      <c r="BA97" s="95"/>
      <c r="BB97" s="95" t="str">
        <f t="shared" si="4"/>
        <v/>
      </c>
      <c r="BD97" s="319">
        <f>OBJ!B324</f>
        <v>9256876</v>
      </c>
      <c r="BE97" s="21" t="str">
        <f>VLOOKUP(BD97,CENY!$B$11:$G$1054,2,FALSE)</f>
        <v>Quadro You(M) 550/SiSy 30kg; EB21; ľavý</v>
      </c>
      <c r="BF97" s="22">
        <f>VLOOKUP(BD97,CENY!$B$11:$G$1054,3,FALSE)</f>
        <v>20</v>
      </c>
      <c r="BG97" s="22"/>
      <c r="BH97" s="23">
        <f>AY60</f>
        <v>0</v>
      </c>
      <c r="BI97" s="326">
        <f t="shared" si="6"/>
        <v>0</v>
      </c>
      <c r="BJ97" s="95">
        <f>VLOOKUP(BD97,CENY!$B$11:$M$2025,12,FALSE)</f>
        <v>241.90996999999999</v>
      </c>
      <c r="BK97" s="95">
        <f t="shared" si="7"/>
        <v>0</v>
      </c>
    </row>
    <row r="98" spans="1:63" ht="14.4" customHeight="1">
      <c r="A98" s="577"/>
      <c r="AU98" s="22">
        <f>AU95-AU97</f>
        <v>0</v>
      </c>
      <c r="AV98" s="21"/>
      <c r="AW98" s="22"/>
      <c r="AX98" s="22"/>
      <c r="AY98" s="23"/>
      <c r="AZ98" s="326" t="str">
        <f t="shared" si="5"/>
        <v/>
      </c>
      <c r="BA98" s="95"/>
      <c r="BB98" s="95" t="str">
        <f t="shared" si="4"/>
        <v/>
      </c>
      <c r="BD98" s="319">
        <f>OBJ!B325</f>
        <v>9256877</v>
      </c>
      <c r="BE98" s="21" t="str">
        <f>VLOOKUP(BD98,CENY!$B$11:$G$1054,2,FALSE)</f>
        <v>Quadro You(M) 550/SiSy 30kg; EB21; pravý</v>
      </c>
      <c r="BF98" s="22">
        <f>VLOOKUP(BD98,CENY!$B$11:$G$1054,3,FALSE)</f>
        <v>20</v>
      </c>
      <c r="BG98" s="22"/>
      <c r="BH98" s="23">
        <f>AY60</f>
        <v>0</v>
      </c>
      <c r="BI98" s="326">
        <f t="shared" si="6"/>
        <v>0</v>
      </c>
      <c r="BJ98" s="95">
        <f>VLOOKUP(BD98,CENY!$B$11:$M$2025,12,FALSE)</f>
        <v>248.51953</v>
      </c>
      <c r="BK98" s="95">
        <f t="shared" si="7"/>
        <v>0</v>
      </c>
    </row>
    <row r="99" spans="1:63" ht="14.4" customHeight="1">
      <c r="A99" s="577"/>
      <c r="AU99" s="22">
        <f>ABS(AU98)</f>
        <v>0</v>
      </c>
      <c r="AV99" s="21"/>
      <c r="AW99" s="22"/>
      <c r="AX99" s="22"/>
      <c r="AY99" s="23"/>
      <c r="AZ99" s="326" t="str">
        <f t="shared" si="5"/>
        <v/>
      </c>
      <c r="BA99" s="95"/>
      <c r="BB99" s="95" t="str">
        <f t="shared" si="4"/>
        <v/>
      </c>
      <c r="BD99" s="319">
        <f>OBJ!B326</f>
        <v>9256880</v>
      </c>
      <c r="BE99" s="21" t="str">
        <f>VLOOKUP(BD99,CENY!$B$11:$G$1054,2,FALSE)</f>
        <v>Quadro You(M) 600/SiSy 25kg; EB21; ľavý</v>
      </c>
      <c r="BF99" s="22">
        <f>VLOOKUP(BD99,CENY!$B$11:$G$1054,3,FALSE)</f>
        <v>20</v>
      </c>
      <c r="BG99" s="22"/>
      <c r="BH99" s="23">
        <f>AY61</f>
        <v>0</v>
      </c>
      <c r="BI99" s="326">
        <f t="shared" si="6"/>
        <v>0</v>
      </c>
      <c r="BJ99" s="95">
        <f>VLOOKUP(BD99,CENY!$B$11:$M$2025,12,FALSE)</f>
        <v>253.36837</v>
      </c>
      <c r="BK99" s="95">
        <f t="shared" si="7"/>
        <v>0</v>
      </c>
    </row>
    <row r="100" spans="1:63" ht="14.4" customHeight="1">
      <c r="A100" s="577"/>
      <c r="AU100" s="20"/>
      <c r="AV100" s="21"/>
      <c r="AW100" s="22"/>
      <c r="AX100" s="22"/>
      <c r="AY100" s="23"/>
      <c r="AZ100" s="326" t="str">
        <f t="shared" si="5"/>
        <v/>
      </c>
      <c r="BA100" s="95"/>
      <c r="BB100" s="95" t="str">
        <f t="shared" si="4"/>
        <v/>
      </c>
      <c r="BD100" s="319">
        <f>OBJ!B327</f>
        <v>9256881</v>
      </c>
      <c r="BE100" s="21" t="str">
        <f>VLOOKUP(BD100,CENY!$B$11:$G$1054,2,FALSE)</f>
        <v>Quadro You(M) 600/SiSy 25kg; EB21; pravý</v>
      </c>
      <c r="BF100" s="22">
        <f>VLOOKUP(BD100,CENY!$B$11:$G$1054,3,FALSE)</f>
        <v>20</v>
      </c>
      <c r="BG100" s="22"/>
      <c r="BH100" s="23">
        <f>AY61</f>
        <v>0</v>
      </c>
      <c r="BI100" s="326">
        <f t="shared" si="6"/>
        <v>0</v>
      </c>
      <c r="BJ100" s="95">
        <f>VLOOKUP(BD100,CENY!$B$11:$M$2025,12,FALSE)</f>
        <v>253.36837</v>
      </c>
      <c r="BK100" s="95">
        <f t="shared" si="7"/>
        <v>0</v>
      </c>
    </row>
    <row r="101" spans="1:63">
      <c r="A101" s="577"/>
      <c r="AU101" s="22">
        <f>(AU97-1)*4+SUM(O80:AJ80)</f>
        <v>-4</v>
      </c>
      <c r="AV101" s="21" t="s">
        <v>358</v>
      </c>
      <c r="AW101" s="22"/>
      <c r="AX101" s="22"/>
      <c r="AY101" s="23"/>
      <c r="AZ101" s="326" t="str">
        <f t="shared" si="5"/>
        <v/>
      </c>
      <c r="BA101" s="95"/>
      <c r="BB101" s="95" t="str">
        <f t="shared" si="4"/>
        <v/>
      </c>
      <c r="BD101" s="319"/>
      <c r="BE101" s="21"/>
      <c r="BF101" s="22"/>
      <c r="BG101" s="22"/>
      <c r="BH101" s="23"/>
      <c r="BI101" s="326" t="str">
        <f t="shared" si="6"/>
        <v/>
      </c>
      <c r="BJ101" s="95"/>
      <c r="BK101" s="95" t="str">
        <f t="shared" si="7"/>
        <v/>
      </c>
    </row>
    <row r="102" spans="1:63">
      <c r="A102" s="577"/>
      <c r="AU102" s="20"/>
      <c r="AV102" s="21"/>
      <c r="AW102" s="22"/>
      <c r="AX102" s="22"/>
      <c r="AY102" s="23"/>
      <c r="AZ102" s="326" t="str">
        <f t="shared" si="5"/>
        <v/>
      </c>
      <c r="BA102" s="95"/>
      <c r="BB102" s="95" t="str">
        <f t="shared" si="4"/>
        <v/>
      </c>
      <c r="BD102" s="319">
        <f>OBJ!B329</f>
        <v>9257894</v>
      </c>
      <c r="BE102" s="21" t="str">
        <f>VLOOKUP(BD102,CENY!$B$11:$G$1054,2,FALSE)</f>
        <v>Quadro You - Push to open Silent; &lt;10kg</v>
      </c>
      <c r="BF102" s="22">
        <f>VLOOKUP(BD102,CENY!$B$11:$G$1054,3,FALSE)</f>
        <v>1</v>
      </c>
      <c r="BG102" s="22"/>
      <c r="BH102" s="23">
        <f>AY63</f>
        <v>0</v>
      </c>
      <c r="BI102" s="326">
        <f t="shared" si="6"/>
        <v>0</v>
      </c>
      <c r="BJ102" s="95">
        <f>VLOOKUP(BD102,CENY!$B$11:$M$2025,12,FALSE)</f>
        <v>480.50922000000003</v>
      </c>
      <c r="BK102" s="95">
        <f t="shared" si="7"/>
        <v>0</v>
      </c>
    </row>
    <row r="103" spans="1:63">
      <c r="A103" s="577"/>
      <c r="AU103" s="335" t="str">
        <f>IF(AU97=0,verze!E169&amp;" "&amp;AU95&amp;" "&amp;verze!E170,"")</f>
        <v>Je potřebné vybrat 0 ks vnitřních čel.</v>
      </c>
      <c r="AV103" s="21"/>
      <c r="AW103" s="22"/>
      <c r="AX103" s="22"/>
      <c r="AY103" s="23"/>
      <c r="AZ103" s="326" t="str">
        <f t="shared" si="5"/>
        <v/>
      </c>
      <c r="BA103" s="95"/>
      <c r="BB103" s="95" t="str">
        <f t="shared" si="4"/>
        <v/>
      </c>
      <c r="BD103" s="319">
        <f>OBJ!B330</f>
        <v>9257895</v>
      </c>
      <c r="BE103" s="21" t="str">
        <f>VLOOKUP(BD103,CENY!$B$11:$G$1054,2,FALSE)</f>
        <v>Quadro You - Push to open Silent; 8-20kg</v>
      </c>
      <c r="BF103" s="22">
        <f>VLOOKUP(BD103,CENY!$B$11:$G$1054,3,FALSE)</f>
        <v>1</v>
      </c>
      <c r="BG103" s="22"/>
      <c r="BH103" s="23">
        <f>AY64</f>
        <v>0</v>
      </c>
      <c r="BI103" s="326">
        <f t="shared" si="6"/>
        <v>0</v>
      </c>
      <c r="BJ103" s="95">
        <f>VLOOKUP(BD103,CENY!$B$11:$M$2025,12,FALSE)</f>
        <v>480.50922000000003</v>
      </c>
      <c r="BK103" s="95">
        <f t="shared" si="7"/>
        <v>0</v>
      </c>
    </row>
    <row r="104" spans="1:63">
      <c r="A104" s="577"/>
      <c r="AU104" s="335" t="str">
        <f>IF(AU97=0,"",IF(AU95=AU97,verze!E174,IF(AU98&gt;0,verze!E171&amp;" "&amp;AU98&amp;" "&amp;verze!E170,verze!E172&amp;" "&amp;AU99&amp;" "&amp;verze!E173)))</f>
        <v/>
      </c>
      <c r="AV104" s="21"/>
      <c r="AW104" s="22"/>
      <c r="AX104" s="22"/>
      <c r="AY104" s="23"/>
      <c r="AZ104" s="326" t="str">
        <f t="shared" si="5"/>
        <v/>
      </c>
      <c r="BA104" s="95"/>
      <c r="BB104" s="95" t="str">
        <f t="shared" si="4"/>
        <v/>
      </c>
      <c r="BD104" s="319">
        <f>OBJ!B331</f>
        <v>9257896</v>
      </c>
      <c r="BE104" s="21" t="str">
        <f>VLOOKUP(BD104,CENY!$B$11:$G$1054,2,FALSE)</f>
        <v>Quadro You - Push to open Silent; 10-30kg</v>
      </c>
      <c r="BF104" s="22">
        <f>VLOOKUP(BD104,CENY!$B$11:$G$1054,3,FALSE)</f>
        <v>1</v>
      </c>
      <c r="BG104" s="22"/>
      <c r="BH104" s="23">
        <f>AY65</f>
        <v>0</v>
      </c>
      <c r="BI104" s="326">
        <f t="shared" si="6"/>
        <v>0</v>
      </c>
      <c r="BJ104" s="95">
        <f>VLOOKUP(BD104,CENY!$B$11:$M$2025,12,FALSE)</f>
        <v>480.50922000000003</v>
      </c>
      <c r="BK104" s="95">
        <f t="shared" si="7"/>
        <v>0</v>
      </c>
    </row>
    <row r="105" spans="1:63">
      <c r="A105" s="577"/>
      <c r="AU105" s="20"/>
      <c r="AV105" s="21"/>
      <c r="AW105" s="22"/>
      <c r="AX105" s="22"/>
      <c r="AY105" s="23"/>
      <c r="AZ105" s="326" t="str">
        <f t="shared" si="5"/>
        <v/>
      </c>
      <c r="BA105" s="95"/>
      <c r="BB105" s="95" t="str">
        <f t="shared" si="4"/>
        <v/>
      </c>
      <c r="BD105" s="319"/>
      <c r="BE105" s="21"/>
      <c r="BF105" s="22"/>
      <c r="BG105" s="22"/>
      <c r="BH105" s="23"/>
      <c r="BI105" s="326" t="str">
        <f t="shared" si="6"/>
        <v/>
      </c>
      <c r="BJ105" s="95"/>
      <c r="BK105" s="95" t="str">
        <f t="shared" si="7"/>
        <v/>
      </c>
    </row>
    <row r="106" spans="1:63">
      <c r="AU106" s="20"/>
      <c r="AV106" s="21"/>
      <c r="AW106" s="22"/>
      <c r="AX106" s="22"/>
      <c r="AY106" s="23"/>
      <c r="AZ106" s="326" t="str">
        <f t="shared" si="5"/>
        <v/>
      </c>
      <c r="BA106" s="95"/>
      <c r="BB106" s="95" t="str">
        <f t="shared" si="4"/>
        <v/>
      </c>
      <c r="BD106" s="319">
        <f>OBJ!B341</f>
        <v>9256899</v>
      </c>
      <c r="BE106" s="21" t="str">
        <f>VLOOKUP(BD106,CENY!$B$11:$G$1054,2,FALSE)</f>
        <v>Quadro You(M) 270/P2O 20kg; EB21; ľavý</v>
      </c>
      <c r="BF106" s="22">
        <f>VLOOKUP(BD106,CENY!$B$11:$G$1054,3,FALSE)</f>
        <v>20</v>
      </c>
      <c r="BG106" s="22"/>
      <c r="BH106" s="23">
        <f>AY67</f>
        <v>0</v>
      </c>
      <c r="BI106" s="326">
        <f t="shared" si="6"/>
        <v>0</v>
      </c>
      <c r="BJ106" s="95">
        <f>VLOOKUP(BD106,CENY!$B$11:$M$2025,12,FALSE)</f>
        <v>252.8922</v>
      </c>
      <c r="BK106" s="95">
        <f t="shared" si="7"/>
        <v>0</v>
      </c>
    </row>
    <row r="107" spans="1:63">
      <c r="AU107" s="20"/>
      <c r="AV107" s="21"/>
      <c r="AW107" s="22"/>
      <c r="AX107" s="22"/>
      <c r="AY107" s="23"/>
      <c r="AZ107" s="326" t="str">
        <f t="shared" si="5"/>
        <v/>
      </c>
      <c r="BA107" s="95"/>
      <c r="BB107" s="95" t="str">
        <f t="shared" si="4"/>
        <v/>
      </c>
      <c r="BD107" s="319">
        <f>OBJ!B342</f>
        <v>9256900</v>
      </c>
      <c r="BE107" s="21" t="str">
        <f>VLOOKUP(BD107,CENY!$B$11:$G$1054,2,FALSE)</f>
        <v>Quadro You(M) 270/P2O 20kg; EB21; pravý</v>
      </c>
      <c r="BF107" s="22">
        <f>VLOOKUP(BD107,CENY!$B$11:$G$1054,3,FALSE)</f>
        <v>20</v>
      </c>
      <c r="BG107" s="22"/>
      <c r="BH107" s="23">
        <f>AY67</f>
        <v>0</v>
      </c>
      <c r="BI107" s="326">
        <f t="shared" si="6"/>
        <v>0</v>
      </c>
      <c r="BJ107" s="95">
        <f>VLOOKUP(BD107,CENY!$B$11:$M$2025,12,FALSE)</f>
        <v>252.8922</v>
      </c>
      <c r="BK107" s="95">
        <f t="shared" si="7"/>
        <v>0</v>
      </c>
    </row>
    <row r="108" spans="1:63">
      <c r="AU108" s="20"/>
      <c r="AV108" s="21"/>
      <c r="AW108" s="22"/>
      <c r="AX108" s="22"/>
      <c r="AY108" s="23"/>
      <c r="AZ108" s="326" t="str">
        <f t="shared" si="5"/>
        <v/>
      </c>
      <c r="BA108" s="95"/>
      <c r="BB108" s="95" t="str">
        <f t="shared" si="4"/>
        <v/>
      </c>
      <c r="BD108" s="319">
        <f>OBJ!B343</f>
        <v>9256901</v>
      </c>
      <c r="BE108" s="21" t="str">
        <f>VLOOKUP(BD108,CENY!$B$11:$G$1054,2,FALSE)</f>
        <v>Quadro You(M) 300/P2O 20kg; EB21; ľavý</v>
      </c>
      <c r="BF108" s="22">
        <f>VLOOKUP(BD108,CENY!$B$11:$G$1054,3,FALSE)</f>
        <v>20</v>
      </c>
      <c r="BG108" s="22"/>
      <c r="BH108" s="23">
        <f>AY68</f>
        <v>0</v>
      </c>
      <c r="BI108" s="326">
        <f t="shared" si="6"/>
        <v>0</v>
      </c>
      <c r="BJ108" s="95">
        <f>VLOOKUP(BD108,CENY!$B$11:$M$2025,12,FALSE)</f>
        <v>253.36837</v>
      </c>
      <c r="BK108" s="95">
        <f t="shared" si="7"/>
        <v>0</v>
      </c>
    </row>
    <row r="109" spans="1:63">
      <c r="AU109" s="20"/>
      <c r="AV109" s="21"/>
      <c r="AW109" s="22"/>
      <c r="AX109" s="22"/>
      <c r="AY109" s="23"/>
      <c r="AZ109" s="326" t="str">
        <f t="shared" si="5"/>
        <v/>
      </c>
      <c r="BA109" s="95"/>
      <c r="BB109" s="95" t="str">
        <f t="shared" si="4"/>
        <v/>
      </c>
      <c r="BD109" s="319">
        <f>OBJ!B344</f>
        <v>9256902</v>
      </c>
      <c r="BE109" s="21" t="str">
        <f>VLOOKUP(BD109,CENY!$B$11:$G$1054,2,FALSE)</f>
        <v>Quadro You(M) 300/P2O 20kg; EB21; pravý</v>
      </c>
      <c r="BF109" s="22">
        <f>VLOOKUP(BD109,CENY!$B$11:$G$1054,3,FALSE)</f>
        <v>20</v>
      </c>
      <c r="BG109" s="22"/>
      <c r="BH109" s="23">
        <f>AY68</f>
        <v>0</v>
      </c>
      <c r="BI109" s="326">
        <f t="shared" si="6"/>
        <v>0</v>
      </c>
      <c r="BJ109" s="95">
        <f>VLOOKUP(BD109,CENY!$B$11:$M$2025,12,FALSE)</f>
        <v>253.36837</v>
      </c>
      <c r="BK109" s="95">
        <f t="shared" si="7"/>
        <v>0</v>
      </c>
    </row>
    <row r="110" spans="1:63">
      <c r="AU110" s="20"/>
      <c r="AV110" s="21"/>
      <c r="AW110" s="22"/>
      <c r="AX110" s="22"/>
      <c r="AY110" s="23"/>
      <c r="AZ110" s="326" t="str">
        <f t="shared" si="5"/>
        <v/>
      </c>
      <c r="BA110" s="95"/>
      <c r="BB110" s="95" t="str">
        <f t="shared" si="4"/>
        <v/>
      </c>
      <c r="BD110" s="319">
        <f>OBJ!B345</f>
        <v>9256905</v>
      </c>
      <c r="BE110" s="21" t="str">
        <f>VLOOKUP(BD110,CENY!$B$11:$G$1054,2,FALSE)</f>
        <v>Quadro You(M) 350/P2O 25kg; EB21; ľavý</v>
      </c>
      <c r="BF110" s="22">
        <f>VLOOKUP(BD110,CENY!$B$11:$G$1054,3,FALSE)</f>
        <v>20</v>
      </c>
      <c r="BG110" s="22"/>
      <c r="BH110" s="23">
        <f>AY69</f>
        <v>0</v>
      </c>
      <c r="BI110" s="326">
        <f t="shared" si="6"/>
        <v>0</v>
      </c>
      <c r="BJ110" s="95">
        <f>VLOOKUP(BD110,CENY!$B$11:$M$2025,12,FALSE)</f>
        <v>258.22465999999997</v>
      </c>
      <c r="BK110" s="95">
        <f t="shared" si="7"/>
        <v>0</v>
      </c>
    </row>
    <row r="111" spans="1:63">
      <c r="AU111" s="20"/>
      <c r="AV111" s="21"/>
      <c r="AW111" s="22"/>
      <c r="AX111" s="22"/>
      <c r="AY111" s="23"/>
      <c r="AZ111" s="326" t="str">
        <f t="shared" si="5"/>
        <v/>
      </c>
      <c r="BA111" s="95"/>
      <c r="BB111" s="95" t="str">
        <f t="shared" si="4"/>
        <v/>
      </c>
      <c r="BD111" s="319">
        <f>OBJ!B346</f>
        <v>9256906</v>
      </c>
      <c r="BE111" s="21" t="str">
        <f>VLOOKUP(BD111,CENY!$B$11:$G$1054,2,FALSE)</f>
        <v>Quadro You(M) 350/P2O 25kg; EB21; pravý</v>
      </c>
      <c r="BF111" s="22">
        <f>VLOOKUP(BD111,CENY!$B$11:$G$1054,3,FALSE)</f>
        <v>20</v>
      </c>
      <c r="BG111" s="22"/>
      <c r="BH111" s="23">
        <f>AY69</f>
        <v>0</v>
      </c>
      <c r="BI111" s="326">
        <f t="shared" si="6"/>
        <v>0</v>
      </c>
      <c r="BJ111" s="95">
        <f>VLOOKUP(BD111,CENY!$B$11:$M$2025,12,FALSE)</f>
        <v>258.22465999999997</v>
      </c>
      <c r="BK111" s="95">
        <f t="shared" si="7"/>
        <v>0</v>
      </c>
    </row>
    <row r="112" spans="1:63">
      <c r="AU112" s="20"/>
      <c r="AV112" s="21"/>
      <c r="AW112" s="22"/>
      <c r="AX112" s="22"/>
      <c r="AY112" s="23"/>
      <c r="AZ112" s="326" t="str">
        <f t="shared" si="5"/>
        <v/>
      </c>
      <c r="BA112" s="95"/>
      <c r="BB112" s="95" t="str">
        <f t="shared" si="4"/>
        <v/>
      </c>
      <c r="BD112" s="319">
        <f>OBJ!B347</f>
        <v>9256909</v>
      </c>
      <c r="BE112" s="21" t="str">
        <f>VLOOKUP(BD112,CENY!$B$11:$G$1054,2,FALSE)</f>
        <v>Quadro You(M) 400/P2O 30kg; EB21; ľavý</v>
      </c>
      <c r="BF112" s="22">
        <f>VLOOKUP(BD112,CENY!$B$11:$G$1054,3,FALSE)</f>
        <v>20</v>
      </c>
      <c r="BG112" s="22"/>
      <c r="BH112" s="23">
        <f>AY70</f>
        <v>0</v>
      </c>
      <c r="BI112" s="326">
        <f t="shared" si="6"/>
        <v>0</v>
      </c>
      <c r="BJ112" s="95">
        <f>VLOOKUP(BD112,CENY!$B$11:$M$2025,12,FALSE)</f>
        <v>263.07337999999999</v>
      </c>
      <c r="BK112" s="95">
        <f t="shared" si="7"/>
        <v>0</v>
      </c>
    </row>
    <row r="113" spans="47:63">
      <c r="AU113" s="20"/>
      <c r="AV113" s="21"/>
      <c r="AW113" s="22"/>
      <c r="AX113" s="22"/>
      <c r="AY113" s="23"/>
      <c r="AZ113" s="326" t="str">
        <f t="shared" si="5"/>
        <v/>
      </c>
      <c r="BA113" s="95"/>
      <c r="BB113" s="95" t="str">
        <f t="shared" si="4"/>
        <v/>
      </c>
      <c r="BD113" s="319">
        <f>OBJ!B348</f>
        <v>9256910</v>
      </c>
      <c r="BE113" s="21" t="str">
        <f>VLOOKUP(BD113,CENY!$B$11:$G$1054,2,FALSE)</f>
        <v>Quadro You(M) 400/P2O 30kg; EB21; pravý</v>
      </c>
      <c r="BF113" s="22">
        <f>VLOOKUP(BD113,CENY!$B$11:$G$1054,3,FALSE)</f>
        <v>20</v>
      </c>
      <c r="BG113" s="22"/>
      <c r="BH113" s="23">
        <f>AY70</f>
        <v>0</v>
      </c>
      <c r="BI113" s="326">
        <f t="shared" si="6"/>
        <v>0</v>
      </c>
      <c r="BJ113" s="95">
        <f>VLOOKUP(BD113,CENY!$B$11:$M$2025,12,FALSE)</f>
        <v>263.07337999999999</v>
      </c>
      <c r="BK113" s="95">
        <f t="shared" si="7"/>
        <v>0</v>
      </c>
    </row>
    <row r="114" spans="47:63">
      <c r="AU114" s="20"/>
      <c r="AV114" s="21"/>
      <c r="AW114" s="22"/>
      <c r="AX114" s="22"/>
      <c r="AY114" s="23"/>
      <c r="AZ114" s="326" t="str">
        <f t="shared" si="5"/>
        <v/>
      </c>
      <c r="BA114" s="95"/>
      <c r="BB114" s="95" t="str">
        <f t="shared" si="4"/>
        <v/>
      </c>
      <c r="BD114" s="319">
        <f>OBJ!B349</f>
        <v>9256913</v>
      </c>
      <c r="BE114" s="21" t="str">
        <f>VLOOKUP(BD114,CENY!$B$11:$G$1054,2,FALSE)</f>
        <v>Quadro You(M) 450/P2O 30kg; EB21; ľavý</v>
      </c>
      <c r="BF114" s="22">
        <f>VLOOKUP(BD114,CENY!$B$11:$G$1054,3,FALSE)</f>
        <v>20</v>
      </c>
      <c r="BG114" s="22"/>
      <c r="BH114" s="23">
        <f>AY71</f>
        <v>0</v>
      </c>
      <c r="BI114" s="326">
        <f t="shared" si="6"/>
        <v>0</v>
      </c>
      <c r="BJ114" s="95">
        <f>VLOOKUP(BD114,CENY!$B$11:$M$2025,12,FALSE)</f>
        <v>267.92221999999998</v>
      </c>
      <c r="BK114" s="95">
        <f t="shared" si="7"/>
        <v>0</v>
      </c>
    </row>
    <row r="115" spans="47:63">
      <c r="AU115" s="20"/>
      <c r="AV115" s="21"/>
      <c r="AW115" s="22"/>
      <c r="AX115" s="22"/>
      <c r="AY115" s="23"/>
      <c r="AZ115" s="326" t="str">
        <f t="shared" si="5"/>
        <v/>
      </c>
      <c r="BA115" s="95"/>
      <c r="BB115" s="95" t="str">
        <f t="shared" si="4"/>
        <v/>
      </c>
      <c r="BD115" s="319">
        <f>OBJ!B350</f>
        <v>9256914</v>
      </c>
      <c r="BE115" s="21" t="str">
        <f>VLOOKUP(BD115,CENY!$B$11:$G$1054,2,FALSE)</f>
        <v>Quadro You(M) 450/P2O 30kg; EB21; pravý</v>
      </c>
      <c r="BF115" s="22">
        <f>VLOOKUP(BD115,CENY!$B$11:$G$1054,3,FALSE)</f>
        <v>20</v>
      </c>
      <c r="BG115" s="22"/>
      <c r="BH115" s="23">
        <f>AY71</f>
        <v>0</v>
      </c>
      <c r="BI115" s="326">
        <f t="shared" si="6"/>
        <v>0</v>
      </c>
      <c r="BJ115" s="95">
        <f>VLOOKUP(BD115,CENY!$B$11:$M$2025,12,FALSE)</f>
        <v>267.92221999999998</v>
      </c>
      <c r="BK115" s="95">
        <f t="shared" si="7"/>
        <v>0</v>
      </c>
    </row>
    <row r="116" spans="47:63">
      <c r="AU116" s="20"/>
      <c r="AV116" s="21"/>
      <c r="AW116" s="22"/>
      <c r="AX116" s="22"/>
      <c r="AY116" s="23"/>
      <c r="AZ116" s="326" t="str">
        <f t="shared" si="5"/>
        <v/>
      </c>
      <c r="BA116" s="95"/>
      <c r="BB116" s="95" t="str">
        <f t="shared" si="4"/>
        <v/>
      </c>
      <c r="BD116" s="319">
        <f>OBJ!B351</f>
        <v>9256917</v>
      </c>
      <c r="BE116" s="21" t="str">
        <f>VLOOKUP(BD116,CENY!$B$11:$G$1054,2,FALSE)</f>
        <v>Quadro You(M) 500/P2O 30kg; EB21; ľavý</v>
      </c>
      <c r="BF116" s="22">
        <f>VLOOKUP(BD116,CENY!$B$11:$G$1054,3,FALSE)</f>
        <v>20</v>
      </c>
      <c r="BG116" s="22"/>
      <c r="BH116" s="23">
        <f>AY72</f>
        <v>0</v>
      </c>
      <c r="BI116" s="326">
        <f t="shared" si="6"/>
        <v>0</v>
      </c>
      <c r="BJ116" s="95">
        <f>VLOOKUP(BD116,CENY!$B$11:$M$2025,12,FALSE)</f>
        <v>265.52375999999998</v>
      </c>
      <c r="BK116" s="95">
        <f t="shared" si="7"/>
        <v>0</v>
      </c>
    </row>
    <row r="117" spans="47:63">
      <c r="AU117" s="20"/>
      <c r="AV117" s="21"/>
      <c r="AW117" s="22"/>
      <c r="AX117" s="22"/>
      <c r="AY117" s="23"/>
      <c r="AZ117" s="326" t="str">
        <f t="shared" si="5"/>
        <v/>
      </c>
      <c r="BA117" s="95"/>
      <c r="BB117" s="95" t="str">
        <f t="shared" si="4"/>
        <v/>
      </c>
      <c r="BD117" s="319">
        <f>OBJ!B352</f>
        <v>9256918</v>
      </c>
      <c r="BE117" s="21" t="str">
        <f>VLOOKUP(BD117,CENY!$B$11:$G$1054,2,FALSE)</f>
        <v>Quadro You(M) 500/P2O 30kg; EB21; pravý</v>
      </c>
      <c r="BF117" s="22">
        <f>VLOOKUP(BD117,CENY!$B$11:$G$1054,3,FALSE)</f>
        <v>20</v>
      </c>
      <c r="BG117" s="22"/>
      <c r="BH117" s="23">
        <f>AY72</f>
        <v>0</v>
      </c>
      <c r="BI117" s="326">
        <f t="shared" si="6"/>
        <v>0</v>
      </c>
      <c r="BJ117" s="95">
        <f>VLOOKUP(BD117,CENY!$B$11:$M$2025,12,FALSE)</f>
        <v>265.52375999999998</v>
      </c>
      <c r="BK117" s="95">
        <f t="shared" si="7"/>
        <v>0</v>
      </c>
    </row>
    <row r="118" spans="47:63">
      <c r="AU118" s="20"/>
      <c r="AV118" s="21"/>
      <c r="AW118" s="22"/>
      <c r="AX118" s="22"/>
      <c r="AY118" s="23"/>
      <c r="AZ118" s="326" t="str">
        <f t="shared" si="5"/>
        <v/>
      </c>
      <c r="BA118" s="95"/>
      <c r="BB118" s="95" t="str">
        <f t="shared" si="4"/>
        <v/>
      </c>
      <c r="BD118" s="319">
        <f>OBJ!B353</f>
        <v>9256921</v>
      </c>
      <c r="BE118" s="21" t="str">
        <f>VLOOKUP(BD118,CENY!$B$11:$G$1054,2,FALSE)</f>
        <v>Quadro You(M) 550/P2O 30kg; EB21; ľavý</v>
      </c>
      <c r="BF118" s="22">
        <f>VLOOKUP(BD118,CENY!$B$11:$G$1054,3,FALSE)</f>
        <v>20</v>
      </c>
      <c r="BG118" s="22"/>
      <c r="BH118" s="23">
        <f>AY73</f>
        <v>0</v>
      </c>
      <c r="BI118" s="326">
        <f t="shared" si="6"/>
        <v>0</v>
      </c>
      <c r="BJ118" s="95">
        <f>VLOOKUP(BD118,CENY!$B$11:$M$2025,12,FALSE)</f>
        <v>270.22431</v>
      </c>
      <c r="BK118" s="95">
        <f t="shared" si="7"/>
        <v>0</v>
      </c>
    </row>
    <row r="119" spans="47:63">
      <c r="AU119" s="20"/>
      <c r="AV119" s="21"/>
      <c r="AW119" s="22"/>
      <c r="AX119" s="22"/>
      <c r="AY119" s="23"/>
      <c r="AZ119" s="326" t="str">
        <f t="shared" si="5"/>
        <v/>
      </c>
      <c r="BA119" s="95"/>
      <c r="BB119" s="95" t="str">
        <f t="shared" si="4"/>
        <v/>
      </c>
      <c r="BD119" s="319">
        <f>OBJ!B354</f>
        <v>9256922</v>
      </c>
      <c r="BE119" s="21" t="str">
        <f>VLOOKUP(BD119,CENY!$B$11:$G$1054,2,FALSE)</f>
        <v>Quadro You(M) 550/P2O 30kg; EB21; pravý</v>
      </c>
      <c r="BF119" s="22">
        <f>VLOOKUP(BD119,CENY!$B$11:$G$1054,3,FALSE)</f>
        <v>20</v>
      </c>
      <c r="BG119" s="22"/>
      <c r="BH119" s="23">
        <f>AY73</f>
        <v>0</v>
      </c>
      <c r="BI119" s="326">
        <f t="shared" si="6"/>
        <v>0</v>
      </c>
      <c r="BJ119" s="95">
        <f>VLOOKUP(BD119,CENY!$B$11:$M$2025,12,FALSE)</f>
        <v>277.60748999999998</v>
      </c>
      <c r="BK119" s="95">
        <f t="shared" si="7"/>
        <v>0</v>
      </c>
    </row>
    <row r="120" spans="47:63">
      <c r="AU120" s="20"/>
      <c r="AV120" s="21"/>
      <c r="AW120" s="22"/>
      <c r="AX120" s="22"/>
      <c r="AY120" s="23"/>
      <c r="AZ120" s="326" t="str">
        <f t="shared" si="5"/>
        <v/>
      </c>
      <c r="BA120" s="95"/>
      <c r="BB120" s="95" t="str">
        <f t="shared" si="4"/>
        <v/>
      </c>
      <c r="BD120" s="319">
        <f>OBJ!B355</f>
        <v>9256925</v>
      </c>
      <c r="BE120" s="21" t="str">
        <f>VLOOKUP(BD120,CENY!$B$11:$G$1054,2,FALSE)</f>
        <v>Quadro You(M) 600/P2O 25kg; EB21; ľavý</v>
      </c>
      <c r="BF120" s="22">
        <f>VLOOKUP(BD120,CENY!$B$11:$G$1054,3,FALSE)</f>
        <v>20</v>
      </c>
      <c r="BG120" s="22"/>
      <c r="BH120" s="23">
        <f>AY74</f>
        <v>0</v>
      </c>
      <c r="BI120" s="326">
        <f t="shared" si="6"/>
        <v>0</v>
      </c>
      <c r="BJ120" s="95">
        <f>VLOOKUP(BD120,CENY!$B$11:$M$2025,12,FALSE)</f>
        <v>282.45375999999999</v>
      </c>
      <c r="BK120" s="95">
        <f t="shared" si="7"/>
        <v>0</v>
      </c>
    </row>
    <row r="121" spans="47:63">
      <c r="AU121" s="20"/>
      <c r="AV121" s="21"/>
      <c r="AW121" s="22"/>
      <c r="AX121" s="22"/>
      <c r="AY121" s="23"/>
      <c r="AZ121" s="326" t="str">
        <f t="shared" si="5"/>
        <v/>
      </c>
      <c r="BA121" s="95"/>
      <c r="BB121" s="95" t="str">
        <f t="shared" si="4"/>
        <v/>
      </c>
      <c r="BD121" s="319">
        <f>OBJ!B356</f>
        <v>9256926</v>
      </c>
      <c r="BE121" s="21" t="str">
        <f>VLOOKUP(BD121,CENY!$B$11:$G$1054,2,FALSE)</f>
        <v>Quadro You(M) 600/P2O 25kg; EB21; pravý</v>
      </c>
      <c r="BF121" s="22">
        <f>VLOOKUP(BD121,CENY!$B$11:$G$1054,3,FALSE)</f>
        <v>20</v>
      </c>
      <c r="BG121" s="22"/>
      <c r="BH121" s="23">
        <f>AY74</f>
        <v>0</v>
      </c>
      <c r="BI121" s="326">
        <f t="shared" si="6"/>
        <v>0</v>
      </c>
      <c r="BJ121" s="95">
        <f>VLOOKUP(BD121,CENY!$B$11:$M$2025,12,FALSE)</f>
        <v>282.45375999999999</v>
      </c>
      <c r="BK121" s="95">
        <f t="shared" si="7"/>
        <v>0</v>
      </c>
    </row>
    <row r="122" spans="47:63">
      <c r="AU122" s="20"/>
      <c r="AV122" s="21"/>
      <c r="AW122" s="22"/>
      <c r="AX122" s="22"/>
      <c r="AY122" s="23"/>
      <c r="AZ122" s="326" t="str">
        <f t="shared" si="5"/>
        <v/>
      </c>
      <c r="BA122" s="95"/>
      <c r="BB122" s="95" t="str">
        <f t="shared" si="4"/>
        <v/>
      </c>
      <c r="BD122" s="319"/>
      <c r="BE122" s="21"/>
      <c r="BF122" s="22"/>
      <c r="BG122" s="22"/>
      <c r="BH122" s="23"/>
      <c r="BI122" s="326" t="str">
        <f t="shared" si="6"/>
        <v/>
      </c>
      <c r="BJ122" s="95"/>
      <c r="BK122" s="95" t="str">
        <f t="shared" si="7"/>
        <v/>
      </c>
    </row>
    <row r="123" spans="47:63">
      <c r="AU123" s="20"/>
      <c r="AV123" s="21"/>
      <c r="AW123" s="22"/>
      <c r="AX123" s="22"/>
      <c r="AY123" s="23"/>
      <c r="AZ123" s="326" t="str">
        <f t="shared" si="5"/>
        <v/>
      </c>
      <c r="BA123" s="95"/>
      <c r="BB123" s="95" t="str">
        <f t="shared" si="4"/>
        <v/>
      </c>
      <c r="BD123" s="319">
        <f>OBJ!B358</f>
        <v>9219966</v>
      </c>
      <c r="BE123" s="21" t="str">
        <f>VLOOKUP(BD123,CENY!$B$11:$G$1054,2,FALSE)</f>
        <v>Push to open Synchro / adaptér typ A</v>
      </c>
      <c r="BF123" s="22">
        <f>VLOOKUP(BD123,CENY!$B$11:$G$1054,3,FALSE)</f>
        <v>200</v>
      </c>
      <c r="BG123" s="22"/>
      <c r="BH123" s="23">
        <f>AY76</f>
        <v>0</v>
      </c>
      <c r="BI123" s="326">
        <f t="shared" si="6"/>
        <v>0</v>
      </c>
      <c r="BJ123" s="95">
        <f>VLOOKUP(BD123,CENY!$B$11:$M$2025,12,FALSE)</f>
        <v>16.488900000000001</v>
      </c>
      <c r="BK123" s="95">
        <f t="shared" si="7"/>
        <v>0</v>
      </c>
    </row>
    <row r="124" spans="47:63">
      <c r="AU124" s="20"/>
      <c r="AV124" s="21"/>
      <c r="AW124" s="22"/>
      <c r="AX124" s="22"/>
      <c r="AY124" s="23"/>
      <c r="AZ124" s="326" t="str">
        <f t="shared" si="5"/>
        <v/>
      </c>
      <c r="BA124" s="95"/>
      <c r="BB124" s="95" t="str">
        <f t="shared" si="4"/>
        <v/>
      </c>
      <c r="BD124" s="319"/>
      <c r="BE124" s="21"/>
      <c r="BF124" s="22"/>
      <c r="BG124" s="22"/>
      <c r="BH124" s="23"/>
      <c r="BI124" s="326" t="str">
        <f t="shared" si="6"/>
        <v/>
      </c>
      <c r="BJ124" s="95"/>
      <c r="BK124" s="95" t="str">
        <f t="shared" si="7"/>
        <v/>
      </c>
    </row>
    <row r="125" spans="47:63">
      <c r="AU125" s="20"/>
      <c r="AV125" s="21"/>
      <c r="AW125" s="22"/>
      <c r="AX125" s="22"/>
      <c r="AY125" s="23"/>
      <c r="AZ125" s="326" t="str">
        <f t="shared" si="5"/>
        <v/>
      </c>
      <c r="BA125" s="95"/>
      <c r="BB125" s="95" t="str">
        <f t="shared" si="4"/>
        <v/>
      </c>
      <c r="BD125" s="319">
        <f>OBJ!B214</f>
        <v>0</v>
      </c>
      <c r="BE125" s="21" t="e">
        <f>VLOOKUP(BD125,CENY!$B$11:$G$1054,2,FALSE)</f>
        <v>#N/A</v>
      </c>
      <c r="BF125" s="22" t="e">
        <f>VLOOKUP(BD125,CENY!$B$11:$G$1054,3,FALSE)</f>
        <v>#N/A</v>
      </c>
      <c r="BG125" s="22"/>
      <c r="BH125" s="23">
        <f>AY80</f>
        <v>0</v>
      </c>
      <c r="BI125" s="326">
        <f t="shared" si="6"/>
        <v>0</v>
      </c>
      <c r="BJ125" s="324" t="str">
        <f>IF(BD125=0,"",VLOOKUP(BD125,CENY!$B$11:$M$2025,12,FALSE))</f>
        <v/>
      </c>
      <c r="BK125" s="95" t="str">
        <f t="shared" si="7"/>
        <v/>
      </c>
    </row>
    <row r="126" spans="47:63">
      <c r="AU126" s="20"/>
      <c r="AV126" s="21"/>
      <c r="AW126" s="22"/>
      <c r="AX126" s="22"/>
      <c r="AY126" s="23"/>
      <c r="AZ126" s="326" t="str">
        <f t="shared" si="5"/>
        <v/>
      </c>
      <c r="BA126" s="95"/>
      <c r="BB126" s="95" t="str">
        <f t="shared" si="4"/>
        <v/>
      </c>
      <c r="BD126" s="319"/>
      <c r="BE126" s="21"/>
      <c r="BF126" s="22"/>
      <c r="BG126" s="22"/>
      <c r="BH126" s="23"/>
      <c r="BI126" s="326" t="str">
        <f t="shared" si="6"/>
        <v/>
      </c>
      <c r="BJ126" s="95"/>
      <c r="BK126" s="95" t="str">
        <f t="shared" si="7"/>
        <v/>
      </c>
    </row>
    <row r="127" spans="47:63">
      <c r="AU127" s="20"/>
      <c r="AV127" s="21"/>
      <c r="AW127" s="22"/>
      <c r="AX127" s="22"/>
      <c r="AY127" s="23"/>
      <c r="AZ127" s="326" t="str">
        <f t="shared" si="5"/>
        <v/>
      </c>
      <c r="BA127" s="95"/>
      <c r="BB127" s="95" t="str">
        <f t="shared" si="4"/>
        <v/>
      </c>
      <c r="BD127" s="319"/>
      <c r="BE127" s="21"/>
      <c r="BF127" s="22"/>
      <c r="BG127" s="22"/>
      <c r="BH127" s="23"/>
      <c r="BI127" s="326" t="str">
        <f t="shared" si="6"/>
        <v/>
      </c>
      <c r="BJ127" s="95"/>
      <c r="BK127" s="95" t="str">
        <f t="shared" si="7"/>
        <v/>
      </c>
    </row>
    <row r="128" spans="47:63">
      <c r="AU128" s="20"/>
      <c r="AV128" s="21"/>
      <c r="AW128" s="22"/>
      <c r="AX128" s="22"/>
      <c r="AY128" s="23"/>
      <c r="AZ128" s="326" t="str">
        <f t="shared" si="5"/>
        <v/>
      </c>
      <c r="BA128" s="95"/>
      <c r="BB128" s="95" t="str">
        <f t="shared" si="4"/>
        <v/>
      </c>
      <c r="BD128" s="319">
        <f>OBJ!B210</f>
        <v>9257663</v>
      </c>
      <c r="BE128" s="21" t="str">
        <f>VLOOKUP(BD128,CENY!$B$11:$G$1054,2,FALSE)</f>
        <v>AvanY-indiv.čelo vnút.zásuv./d2000/strieb.</v>
      </c>
      <c r="BF128" s="22">
        <f>VLOOKUP(BD128,CENY!$B$11:$G$1054,3,FALSE)</f>
        <v>1</v>
      </c>
      <c r="BG128" s="22"/>
      <c r="BH128" s="23">
        <f>AY83</f>
        <v>0</v>
      </c>
      <c r="BI128" s="326">
        <f>IF(BH128="","",IF($AW$4=0,BH128,0))</f>
        <v>0</v>
      </c>
      <c r="BJ128" s="95">
        <f>VLOOKUP(BD128,CENY!$B$11:$M$2025,12,FALSE)</f>
        <v>741.56732999999997</v>
      </c>
      <c r="BK128" s="95">
        <f t="shared" si="7"/>
        <v>0</v>
      </c>
    </row>
    <row r="129" spans="47:63">
      <c r="AU129" s="20"/>
      <c r="AV129" s="21"/>
      <c r="AW129" s="22"/>
      <c r="AX129" s="22"/>
      <c r="AY129" s="23"/>
      <c r="AZ129" s="326" t="str">
        <f t="shared" si="5"/>
        <v/>
      </c>
      <c r="BA129" s="95"/>
      <c r="BB129" s="95" t="str">
        <f t="shared" si="4"/>
        <v/>
      </c>
      <c r="BD129" s="319">
        <f>OBJ!B211</f>
        <v>9257651</v>
      </c>
      <c r="BE129" s="21" t="str">
        <f>VLOOKUP(BD129,CENY!$B$11:$G$1054,2,FALSE)</f>
        <v>AvanY-spojky indiv.čela vnút./v187/strieb.</v>
      </c>
      <c r="BF129" s="22">
        <f>VLOOKUP(BD129,CENY!$B$11:$G$1054,3,FALSE)</f>
        <v>1</v>
      </c>
      <c r="BG129" s="22"/>
      <c r="BH129" s="23">
        <f t="shared" ref="BH129:BH137" si="9">AY84</f>
        <v>0</v>
      </c>
      <c r="BI129" s="326">
        <f>IF(BH129="","",IF($AW$4=0,BH129,0))</f>
        <v>0</v>
      </c>
      <c r="BJ129" s="95">
        <f>VLOOKUP(BD129,CENY!$B$11:$M$2025,12,FALSE)</f>
        <v>557.04454999999996</v>
      </c>
      <c r="BK129" s="95">
        <f t="shared" si="7"/>
        <v>0</v>
      </c>
    </row>
    <row r="130" spans="47:63">
      <c r="AU130" s="20"/>
      <c r="AV130" s="21"/>
      <c r="AW130" s="22"/>
      <c r="AX130" s="22"/>
      <c r="AY130" s="23"/>
      <c r="AZ130" s="326" t="str">
        <f t="shared" si="5"/>
        <v/>
      </c>
      <c r="BA130" s="95"/>
      <c r="BB130" s="95" t="str">
        <f t="shared" si="4"/>
        <v/>
      </c>
      <c r="BD130" s="319">
        <f>OBJ!B224</f>
        <v>9283228</v>
      </c>
      <c r="BE130" s="21" t="str">
        <f>VLOOKUP(BD130,CENY!$B$11:$G$1054,2,FALSE)</f>
        <v>AvanY-sklo pre vnút.čelo /v66/s450/hr18</v>
      </c>
      <c r="BF130" s="22">
        <f>VLOOKUP(BD130,CENY!$B$11:$G$1054,3,FALSE)</f>
        <v>1</v>
      </c>
      <c r="BG130" s="22"/>
      <c r="BH130" s="23">
        <f t="shared" si="9"/>
        <v>0</v>
      </c>
      <c r="BI130" s="326">
        <f>IF(BH130="","",IF($AW$4=0,BH130,0))</f>
        <v>0</v>
      </c>
      <c r="BJ130" s="95">
        <f>VLOOKUP(BD130,CENY!$B$11:$M$2025,12,FALSE)</f>
        <v>0</v>
      </c>
      <c r="BK130" s="95">
        <f t="shared" si="7"/>
        <v>0</v>
      </c>
    </row>
    <row r="131" spans="47:63">
      <c r="AU131" s="20"/>
      <c r="AV131" s="21"/>
      <c r="AW131" s="22"/>
      <c r="AX131" s="22"/>
      <c r="AY131" s="23"/>
      <c r="AZ131" s="326" t="str">
        <f t="shared" si="5"/>
        <v/>
      </c>
      <c r="BA131" s="95"/>
      <c r="BB131" s="95" t="str">
        <f t="shared" si="4"/>
        <v/>
      </c>
      <c r="BD131" s="319">
        <f>OBJ!B225</f>
        <v>9283229</v>
      </c>
      <c r="BE131" s="21" t="str">
        <f>VLOOKUP(BD131,CENY!$B$11:$G$1054,2,FALSE)</f>
        <v>AvanY-sklo pre vnút.čelo /v66/s600/hr18</v>
      </c>
      <c r="BF131" s="22">
        <f>VLOOKUP(BD131,CENY!$B$11:$G$1054,3,FALSE)</f>
        <v>1</v>
      </c>
      <c r="BG131" s="22"/>
      <c r="BH131" s="23">
        <f t="shared" si="9"/>
        <v>0</v>
      </c>
      <c r="BI131" s="326">
        <f>IF(BH131="","",IF($AW$4=0,BH131,0))</f>
        <v>0</v>
      </c>
      <c r="BJ131" s="95">
        <f>VLOOKUP(BD131,CENY!$B$11:$M$2025,12,FALSE)</f>
        <v>409.12</v>
      </c>
      <c r="BK131" s="95">
        <f t="shared" si="7"/>
        <v>0</v>
      </c>
    </row>
    <row r="132" spans="47:63">
      <c r="AU132" s="20"/>
      <c r="AV132" s="21"/>
      <c r="AW132" s="22"/>
      <c r="AX132" s="22"/>
      <c r="AY132" s="23"/>
      <c r="AZ132" s="326" t="str">
        <f t="shared" si="5"/>
        <v/>
      </c>
      <c r="BA132" s="95"/>
      <c r="BB132" s="95" t="str">
        <f t="shared" si="4"/>
        <v/>
      </c>
      <c r="BD132" s="319">
        <f>OBJ!B226</f>
        <v>9283231</v>
      </c>
      <c r="BE132" s="21" t="str">
        <f>VLOOKUP(BD132,CENY!$B$11:$G$1054,2,FALSE)</f>
        <v>AvanY-sklo pre vnút.čelo /v66/s900/hr18</v>
      </c>
      <c r="BF132" s="22">
        <f>VLOOKUP(BD132,CENY!$B$11:$G$1054,3,FALSE)</f>
        <v>1</v>
      </c>
      <c r="BG132" s="22"/>
      <c r="BH132" s="23">
        <f t="shared" si="9"/>
        <v>0</v>
      </c>
      <c r="BI132" s="326">
        <f t="shared" ref="BI132:BI137" si="10">IF(BH132="","",IF($AW$4=0,BH132,0))</f>
        <v>0</v>
      </c>
      <c r="BJ132" s="95">
        <f>VLOOKUP(BD132,CENY!$B$11:$M$2025,12,FALSE)</f>
        <v>722.48258999999996</v>
      </c>
      <c r="BK132" s="95">
        <f t="shared" si="7"/>
        <v>0</v>
      </c>
    </row>
    <row r="133" spans="47:63">
      <c r="AU133" s="20"/>
      <c r="AV133" s="21"/>
      <c r="AW133" s="22"/>
      <c r="AX133" s="22"/>
      <c r="AY133" s="23"/>
      <c r="AZ133" s="326" t="str">
        <f t="shared" si="5"/>
        <v/>
      </c>
      <c r="BA133" s="95"/>
      <c r="BB133" s="95" t="str">
        <f>IF(BA133="","",BA133*AY133)</f>
        <v/>
      </c>
      <c r="BD133" s="319">
        <f>OBJ!B227</f>
        <v>9283232</v>
      </c>
      <c r="BE133" s="21" t="str">
        <f>VLOOKUP(BD133,CENY!$B$11:$G$1054,2,FALSE)</f>
        <v>AvanY-sklo pre vnút.čelo /v66/s1200/hr18</v>
      </c>
      <c r="BF133" s="22">
        <f>VLOOKUP(BD133,CENY!$B$11:$G$1054,3,FALSE)</f>
        <v>1</v>
      </c>
      <c r="BG133" s="22"/>
      <c r="BH133" s="23">
        <f t="shared" si="9"/>
        <v>0</v>
      </c>
      <c r="BI133" s="326">
        <f t="shared" si="10"/>
        <v>0</v>
      </c>
      <c r="BJ133" s="95">
        <f>VLOOKUP(BD133,CENY!$B$11:$M$2025,12,FALSE)</f>
        <v>931.38562999999999</v>
      </c>
      <c r="BK133" s="95">
        <f t="shared" si="7"/>
        <v>0</v>
      </c>
    </row>
    <row r="134" spans="47:63">
      <c r="AU134" s="20"/>
      <c r="AV134" s="21"/>
      <c r="AW134" s="22"/>
      <c r="AX134" s="22"/>
      <c r="AY134" s="23"/>
      <c r="AZ134" s="326" t="str">
        <f>IF(AY134="","",IF($AW$4=1,AY134,0))</f>
        <v/>
      </c>
      <c r="BA134" s="95"/>
      <c r="BB134" s="95"/>
      <c r="BD134" s="319">
        <f>OBJ!B228</f>
        <v>9283233</v>
      </c>
      <c r="BE134" s="21" t="str">
        <f>VLOOKUP(BD134,CENY!$B$11:$G$1054,2,FALSE)</f>
        <v>AvanY-sklo pre vnút.čelo /v130/s450/hr18</v>
      </c>
      <c r="BF134" s="22">
        <f>VLOOKUP(BD134,CENY!$B$11:$G$1054,3,FALSE)</f>
        <v>1</v>
      </c>
      <c r="BG134" s="22"/>
      <c r="BH134" s="23">
        <f t="shared" si="9"/>
        <v>0</v>
      </c>
      <c r="BI134" s="326">
        <f t="shared" si="10"/>
        <v>0</v>
      </c>
      <c r="BJ134" s="95">
        <f>VLOOKUP(BD134,CENY!$B$11:$M$2025,12,FALSE)</f>
        <v>564.20789000000002</v>
      </c>
      <c r="BK134" s="95">
        <f>IF(BJ134="","",BJ134*BH134)</f>
        <v>0</v>
      </c>
    </row>
    <row r="135" spans="47:63">
      <c r="AU135" s="20"/>
      <c r="AV135" s="21"/>
      <c r="AW135" s="22"/>
      <c r="AX135" s="22"/>
      <c r="AY135" s="23"/>
      <c r="AZ135" s="326" t="str">
        <f>IF(AY135="","",IF($AW$4=1,AY135,0))</f>
        <v/>
      </c>
      <c r="BA135" s="95"/>
      <c r="BB135" s="95"/>
      <c r="BD135" s="319">
        <f>OBJ!B229</f>
        <v>9283235</v>
      </c>
      <c r="BE135" s="21" t="str">
        <f>VLOOKUP(BD135,CENY!$B$11:$G$1054,2,FALSE)</f>
        <v>AvanY-sklo pre vnút.čelo /v130/s600/hr18</v>
      </c>
      <c r="BF135" s="22">
        <f>VLOOKUP(BD135,CENY!$B$11:$G$1054,3,FALSE)</f>
        <v>1</v>
      </c>
      <c r="BG135" s="22"/>
      <c r="BH135" s="23">
        <f t="shared" si="9"/>
        <v>0</v>
      </c>
      <c r="BI135" s="326">
        <f t="shared" si="10"/>
        <v>0</v>
      </c>
      <c r="BJ135" s="95">
        <f>VLOOKUP(BD135,CENY!$B$11:$M$2025,12,FALSE)</f>
        <v>641.17699000000005</v>
      </c>
      <c r="BK135" s="95">
        <f>IF(BJ135="","",BJ135*BH135)</f>
        <v>0</v>
      </c>
    </row>
    <row r="136" spans="47:63">
      <c r="AU136" s="20"/>
      <c r="AV136" s="21"/>
      <c r="AW136" s="22"/>
      <c r="AX136" s="22"/>
      <c r="AY136" s="23"/>
      <c r="AZ136" s="326" t="str">
        <f>IF(AY136="","",IF($AW$4=1,AY136,0))</f>
        <v/>
      </c>
      <c r="BA136" s="95"/>
      <c r="BB136" s="95"/>
      <c r="BD136" s="319">
        <f>OBJ!B230</f>
        <v>9283237</v>
      </c>
      <c r="BE136" s="21" t="str">
        <f>VLOOKUP(BD136,CENY!$B$11:$G$1054,2,FALSE)</f>
        <v>AvanY-sklo pre vnút.čelo /v130/s900/hr18</v>
      </c>
      <c r="BF136" s="22">
        <f>VLOOKUP(BD136,CENY!$B$11:$G$1054,3,FALSE)</f>
        <v>1</v>
      </c>
      <c r="BG136" s="22"/>
      <c r="BH136" s="23">
        <f t="shared" si="9"/>
        <v>0</v>
      </c>
      <c r="BI136" s="326">
        <f t="shared" si="10"/>
        <v>0</v>
      </c>
      <c r="BJ136" s="95">
        <f>VLOOKUP(BD136,CENY!$B$11:$M$2025,12,FALSE)</f>
        <v>1068.6239</v>
      </c>
      <c r="BK136" s="95">
        <f>IF(BJ136="","",BJ136*BH136)</f>
        <v>0</v>
      </c>
    </row>
    <row r="137" spans="47:63">
      <c r="AU137" s="20"/>
      <c r="AV137" s="21"/>
      <c r="AW137" s="22"/>
      <c r="AX137" s="22"/>
      <c r="AY137" s="23"/>
      <c r="AZ137" s="326" t="str">
        <f>IF(AY137="","",IF($AW$4=1,AY137,0))</f>
        <v/>
      </c>
      <c r="BA137" s="95"/>
      <c r="BB137" s="95" t="str">
        <f>IF(BA137="","",BA137*AY137)</f>
        <v/>
      </c>
      <c r="BD137" s="319">
        <f>OBJ!B231</f>
        <v>9283238</v>
      </c>
      <c r="BE137" s="21" t="str">
        <f>VLOOKUP(BD137,CENY!$B$11:$G$1054,2,FALSE)</f>
        <v>AvanY-sklo pre vnút.čelo /v130/s1200/hr18</v>
      </c>
      <c r="BF137" s="22">
        <f>VLOOKUP(BD137,CENY!$B$11:$G$1054,3,FALSE)</f>
        <v>1</v>
      </c>
      <c r="BG137" s="22"/>
      <c r="BH137" s="23">
        <f t="shared" si="9"/>
        <v>0</v>
      </c>
      <c r="BI137" s="326">
        <f t="shared" si="10"/>
        <v>0</v>
      </c>
      <c r="BJ137" s="95">
        <f>VLOOKUP(BD137,CENY!$B$11:$M$2025,12,FALSE)</f>
        <v>1376.3860500000001</v>
      </c>
      <c r="BK137" s="95">
        <f>IF(BJ137="","",BJ137*BH137)</f>
        <v>0</v>
      </c>
    </row>
    <row r="138" spans="47:63">
      <c r="AU138" s="20"/>
      <c r="AV138" s="21"/>
      <c r="AW138" s="22"/>
      <c r="AX138" s="22"/>
      <c r="AY138" s="23"/>
      <c r="AZ138" s="326"/>
      <c r="BA138" s="95"/>
      <c r="BB138" s="95"/>
      <c r="BD138" s="319"/>
      <c r="BE138" s="21"/>
      <c r="BF138" s="22"/>
      <c r="BG138" s="22"/>
      <c r="BH138" s="23"/>
      <c r="BI138" s="326"/>
      <c r="BJ138" s="95"/>
      <c r="BK138" s="95"/>
    </row>
    <row r="139" spans="47:63">
      <c r="AU139" s="319">
        <f>OBJ!B361</f>
        <v>45167</v>
      </c>
      <c r="AV139" s="21" t="str">
        <f>VLOOKUP(AU139,CENY!$B$11:$G$1054,2,FALSE)</f>
        <v>Skrutka s polgul.hlavou 3,5x12mm</v>
      </c>
      <c r="AW139" s="22">
        <f>VLOOKUP(AU139,CENY!$B$11:$G$1054,3,FALSE)</f>
        <v>200</v>
      </c>
      <c r="AX139" s="22"/>
      <c r="AY139" s="23">
        <f>SUMPRODUCT(AX5:AX13,AY5:AY13)</f>
        <v>0</v>
      </c>
      <c r="AZ139" s="326">
        <f>IF(AY139="","",IF($AW$4=1,AY139,0))</f>
        <v>0</v>
      </c>
      <c r="BA139" s="95">
        <f>VLOOKUP(AU139,CENY!$B$11:$M$2025,12,FALSE)</f>
        <v>0.84719999999999995</v>
      </c>
      <c r="BB139" s="95">
        <f>IF(BA139="","",BA139*AY139)</f>
        <v>0</v>
      </c>
      <c r="BC139" s="86" t="s">
        <v>396</v>
      </c>
      <c r="BD139" s="319">
        <f>OBJ!B361</f>
        <v>45167</v>
      </c>
      <c r="BE139" s="21" t="str">
        <f>VLOOKUP(BD139,CENY!$B$11:$G$1054,2,FALSE)</f>
        <v>Skrutka s polgul.hlavou 3,5x12mm</v>
      </c>
      <c r="BF139" s="22">
        <f>VLOOKUP(BD139,CENY!$B$11:$G$1054,3,FALSE)</f>
        <v>200</v>
      </c>
      <c r="BG139" s="22"/>
      <c r="BH139" s="23">
        <f>AY139+BH25*2</f>
        <v>0</v>
      </c>
      <c r="BI139" s="326">
        <f>IF(BH139="","",IF($AW$4=0,BH139,0))</f>
        <v>0</v>
      </c>
      <c r="BJ139" s="95">
        <f>VLOOKUP(BD139,CENY!$B$11:$M$2025,12,FALSE)</f>
        <v>0.84719999999999995</v>
      </c>
      <c r="BK139" s="95">
        <f>IF(BJ139="","",BJ139*BH139)</f>
        <v>0</v>
      </c>
    </row>
    <row r="140" spans="47:63">
      <c r="AU140" s="319">
        <f>OBJ!B362</f>
        <v>45168</v>
      </c>
      <c r="AV140" s="21" t="str">
        <f>VLOOKUP(AU140,CENY!$B$11:$G$1054,2,FALSE)</f>
        <v>Skrutka s polgul.hlavou 3,5x20mm</v>
      </c>
      <c r="AW140" s="22">
        <f>VLOOKUP(AU140,CENY!$B$11:$G$1054,3,FALSE)</f>
        <v>200</v>
      </c>
      <c r="AX140" s="22"/>
      <c r="AY140" s="360">
        <v>0</v>
      </c>
      <c r="AZ140" s="326">
        <f>IF(AY140="","",IF($AW$4=1,AY140,0))</f>
        <v>0</v>
      </c>
      <c r="BA140" s="95">
        <f>VLOOKUP(AU140,CENY!$B$11:$M$2025,12,FALSE)</f>
        <v>1.2154199999999999</v>
      </c>
      <c r="BB140" s="95">
        <f>IF(BA140="","",BA140*AY140)</f>
        <v>0</v>
      </c>
      <c r="BC140" s="86" t="s">
        <v>397</v>
      </c>
      <c r="BD140" s="319">
        <f>OBJ!B362</f>
        <v>45168</v>
      </c>
      <c r="BE140" s="21" t="str">
        <f>VLOOKUP(BD140,CENY!$B$11:$G$1054,2,FALSE)</f>
        <v>Skrutka s polgul.hlavou 3,5x20mm</v>
      </c>
      <c r="BF140" s="22">
        <f>VLOOKUP(BD140,CENY!$B$11:$G$1054,3,FALSE)</f>
        <v>200</v>
      </c>
      <c r="BG140" s="22"/>
      <c r="BH140" s="360">
        <v>0</v>
      </c>
      <c r="BI140" s="326">
        <f>IF(BH140="","",IF($AW$4=0,BH140,0))</f>
        <v>0</v>
      </c>
      <c r="BJ140" s="95">
        <f>VLOOKUP(BD140,CENY!$B$11:$M$2025,12,FALSE)</f>
        <v>1.2154199999999999</v>
      </c>
      <c r="BK140" s="95">
        <f>IF(BJ140="","",BJ140*BH140)</f>
        <v>0</v>
      </c>
    </row>
    <row r="141" spans="47:63">
      <c r="AU141" s="319">
        <f>OBJ!B363</f>
        <v>9278224</v>
      </c>
      <c r="AV141" s="21" t="str">
        <f>VLOOKUP(AU141,CENY!$B$11:$G$1054,2,FALSE)</f>
        <v>Skrutka s polgul.hlavou 3,5x30mm</v>
      </c>
      <c r="AW141" s="22">
        <f>VLOOKUP(AU141,CENY!$B$11:$G$1054,3,FALSE)</f>
        <v>200</v>
      </c>
      <c r="AX141" s="22"/>
      <c r="AY141" s="360">
        <v>0</v>
      </c>
      <c r="AZ141" s="326">
        <f>IF(AY141="","",IF($AW$4=1,AY141,0))</f>
        <v>0</v>
      </c>
      <c r="BA141" s="95">
        <f>VLOOKUP(AU141,CENY!$B$11:$M$2025,12,FALSE)</f>
        <v>0.89337999999999995</v>
      </c>
      <c r="BB141" s="95">
        <f>IF(BA141="","",BA141*AY141)</f>
        <v>0</v>
      </c>
      <c r="BC141" s="86" t="s">
        <v>398</v>
      </c>
      <c r="BD141" s="319">
        <f>OBJ!B363</f>
        <v>9278224</v>
      </c>
      <c r="BE141" s="21" t="str">
        <f>VLOOKUP(BD141,CENY!$B$11:$G$1054,2,FALSE)</f>
        <v>Skrutka s polgul.hlavou 3,5x30mm</v>
      </c>
      <c r="BF141" s="22">
        <f>VLOOKUP(BD141,CENY!$B$11:$G$1054,3,FALSE)</f>
        <v>200</v>
      </c>
      <c r="BG141" s="22"/>
      <c r="BH141" s="360">
        <f>2*SUM(BH5:BH22)</f>
        <v>0</v>
      </c>
      <c r="BI141" s="326">
        <f>IF(BH141="","",IF($AW$4=0,BH141,0))</f>
        <v>0</v>
      </c>
      <c r="BJ141" s="95">
        <f>VLOOKUP(BD141,CENY!$B$11:$M$2025,12,FALSE)</f>
        <v>0.89337999999999995</v>
      </c>
      <c r="BK141" s="95">
        <f>IF(BJ141="","",BJ141*BH141)</f>
        <v>0</v>
      </c>
    </row>
    <row r="142" spans="47:63">
      <c r="AU142" s="319">
        <f>OBJ!B364</f>
        <v>9279197</v>
      </c>
      <c r="AV142" s="21" t="str">
        <f>VLOOKUP(AU142,CENY!$B$11:$G$1054,2,FALSE)</f>
        <v>Skrutka s polgul.hlavou M3,5x12mm</v>
      </c>
      <c r="AW142" s="22">
        <f>VLOOKUP(AU142,CENY!$B$11:$G$1054,3,FALSE)</f>
        <v>1000</v>
      </c>
      <c r="AX142" s="22"/>
      <c r="AY142" s="68">
        <v>0</v>
      </c>
      <c r="AZ142" s="326">
        <f>IF(AY142="","",IF($AW$4=1,AY142,0))</f>
        <v>0</v>
      </c>
      <c r="BA142" s="95">
        <f>VLOOKUP(AU142,CENY!$B$11:$M$2025,12,FALSE)</f>
        <v>0</v>
      </c>
      <c r="BB142" s="95">
        <f>IF(BA142="","",BA142*AY142)</f>
        <v>0</v>
      </c>
      <c r="BC142" s="86" t="s">
        <v>399</v>
      </c>
      <c r="BD142" s="319">
        <f>OBJ!B364</f>
        <v>9279197</v>
      </c>
      <c r="BE142" s="21" t="str">
        <f>VLOOKUP(BD142,CENY!$B$11:$G$1054,2,FALSE)</f>
        <v>Skrutka s polgul.hlavou M3,5x12mm</v>
      </c>
      <c r="BF142" s="22">
        <f>VLOOKUP(BD142,CENY!$B$11:$G$1054,3,FALSE)</f>
        <v>1000</v>
      </c>
      <c r="BG142" s="22"/>
      <c r="BH142" s="68">
        <v>0</v>
      </c>
      <c r="BI142" s="326">
        <f>IF(BH142="","",IF($AW$4=0,BH142,0))</f>
        <v>0</v>
      </c>
      <c r="BJ142" s="95">
        <f>VLOOKUP(BD142,CENY!$B$11:$M$2025,12,FALSE)</f>
        <v>0</v>
      </c>
      <c r="BK142" s="95">
        <f>IF(BJ142="","",BJ142*BH142)</f>
        <v>0</v>
      </c>
    </row>
    <row r="143" spans="47:63">
      <c r="AU143" s="319">
        <f>OBJ!B365</f>
        <v>9137114</v>
      </c>
      <c r="AV143" s="21" t="str">
        <f>VLOOKUP(AU143,CENY!$B$11:$G$1054,2,FALSE)</f>
        <v>EURO-skrutka  6,0x14mm / niklovaná</v>
      </c>
      <c r="AW143" s="22">
        <f>VLOOKUP(AU143,CENY!$B$11:$G$1054,3,FALSE)</f>
        <v>200</v>
      </c>
      <c r="AX143" s="22"/>
      <c r="AY143" s="23">
        <f>SUMPRODUCT(AX25:AX74,AY25:AY74)</f>
        <v>0</v>
      </c>
      <c r="AZ143" s="326">
        <f>IF(AY143="","",IF($AW$4=1,AY143,0))</f>
        <v>0</v>
      </c>
      <c r="BA143" s="95">
        <f>VLOOKUP(AU143,CENY!$B$11:$M$2025,12,FALSE)</f>
        <v>1.8839300000000001</v>
      </c>
      <c r="BB143" s="95">
        <f>IF(BA143="","",BA143*AY143)</f>
        <v>0</v>
      </c>
      <c r="BC143" s="86" t="s">
        <v>400</v>
      </c>
      <c r="BD143" s="319">
        <f>OBJ!B365</f>
        <v>9137114</v>
      </c>
      <c r="BE143" s="21" t="str">
        <f>VLOOKUP(BD143,CENY!$B$11:$G$1054,2,FALSE)</f>
        <v>EURO-skrutka  6,0x14mm / niklovaná</v>
      </c>
      <c r="BF143" s="22">
        <f>VLOOKUP(BD143,CENY!$B$11:$G$1054,3,FALSE)</f>
        <v>200</v>
      </c>
      <c r="BG143" s="22"/>
      <c r="BH143" s="23">
        <f>AY143</f>
        <v>0</v>
      </c>
      <c r="BI143" s="326">
        <f>IF(BH143="","",IF($AW$4=0,BH143,0))</f>
        <v>0</v>
      </c>
      <c r="BJ143" s="95">
        <f>VLOOKUP(BD143,CENY!$B$11:$M$2025,12,FALSE)</f>
        <v>1.8839300000000001</v>
      </c>
      <c r="BK143" s="95">
        <f>IF(BJ143="","",BJ143*BH143)</f>
        <v>0</v>
      </c>
    </row>
    <row r="144" spans="47:63">
      <c r="AU144" s="20"/>
      <c r="AV144" s="21"/>
      <c r="AW144" s="22"/>
      <c r="AX144" s="22"/>
      <c r="AY144" s="23"/>
      <c r="AZ144" s="326"/>
      <c r="BA144" s="95"/>
      <c r="BB144" s="95"/>
      <c r="BD144" s="319"/>
      <c r="BE144" s="21"/>
      <c r="BF144" s="22"/>
      <c r="BG144" s="22"/>
      <c r="BH144" s="23"/>
      <c r="BI144" s="326"/>
      <c r="BJ144" s="95"/>
      <c r="BK144" s="95"/>
    </row>
    <row r="145" spans="47:63">
      <c r="AU145" s="20"/>
      <c r="AV145" s="21"/>
      <c r="AW145" s="22"/>
      <c r="AX145" s="22"/>
      <c r="AY145" s="23"/>
      <c r="AZ145" s="326"/>
      <c r="BA145" s="95"/>
      <c r="BB145" s="95"/>
      <c r="BD145" s="319"/>
      <c r="BE145" s="21"/>
      <c r="BF145" s="22"/>
      <c r="BG145" s="22"/>
      <c r="BH145" s="23"/>
      <c r="BI145" s="326"/>
      <c r="BJ145" s="95"/>
      <c r="BK145" s="95"/>
    </row>
    <row r="146" spans="47:63">
      <c r="AU146" s="20"/>
      <c r="AV146" s="21"/>
      <c r="AW146" s="22"/>
      <c r="AX146" s="22"/>
      <c r="AY146" s="23"/>
      <c r="AZ146" s="326" t="str">
        <f>IF(AY146="","",IF($AW$4=1,AY146,0))</f>
        <v/>
      </c>
      <c r="BA146" s="95"/>
      <c r="BB146" s="95" t="str">
        <f>IF(BA146="","",BA146*AY146)</f>
        <v/>
      </c>
      <c r="BD146" s="319"/>
      <c r="BE146" s="21"/>
      <c r="BF146" s="22"/>
      <c r="BG146" s="22"/>
      <c r="BH146" s="23"/>
      <c r="BI146" s="326" t="str">
        <f>IF(BH146="","",IF($AW$4=0,BH146,0))</f>
        <v/>
      </c>
      <c r="BJ146" s="95"/>
      <c r="BK146" s="95" t="str">
        <f>IF(BJ146="","",BJ146*BH146)</f>
        <v/>
      </c>
    </row>
  </sheetData>
  <sheetProtection algorithmName="SHA-512" hashValue="XVDGc9bnlrMxkyDt/iCqNj3/xFRAXKq+iNEl0QgBWleAnI84WvHrour9bHbRvIjQNOOmxSzXLBVeqcak5rA3vA==" saltValue="3BCI1c6OeuqPxx972cv7LQ==" spinCount="100000" sheet="1" objects="1" scenarios="1"/>
  <mergeCells count="177">
    <mergeCell ref="AO2:AR2"/>
    <mergeCell ref="B6:E6"/>
    <mergeCell ref="F6:K6"/>
    <mergeCell ref="O2:S2"/>
    <mergeCell ref="B7:E7"/>
    <mergeCell ref="F7:K7"/>
    <mergeCell ref="B8:E8"/>
    <mergeCell ref="F8:K8"/>
    <mergeCell ref="B2:E2"/>
    <mergeCell ref="G2:K2"/>
    <mergeCell ref="U2:Y2"/>
    <mergeCell ref="AA2:AE2"/>
    <mergeCell ref="AI2:AM2"/>
    <mergeCell ref="B12:E12"/>
    <mergeCell ref="F12:I12"/>
    <mergeCell ref="J12:K12"/>
    <mergeCell ref="B13:E13"/>
    <mergeCell ref="F13:I13"/>
    <mergeCell ref="J13:K13"/>
    <mergeCell ref="B9:E9"/>
    <mergeCell ref="F9:K9"/>
    <mergeCell ref="AK9:AP10"/>
    <mergeCell ref="B10:E10"/>
    <mergeCell ref="F10:K10"/>
    <mergeCell ref="B11:E11"/>
    <mergeCell ref="F11:K11"/>
    <mergeCell ref="O17:AF17"/>
    <mergeCell ref="AI17:AO17"/>
    <mergeCell ref="O18:P18"/>
    <mergeCell ref="Q18:R18"/>
    <mergeCell ref="S18:T18"/>
    <mergeCell ref="U18:V18"/>
    <mergeCell ref="W18:X18"/>
    <mergeCell ref="Y18:Z18"/>
    <mergeCell ref="AA18:AB18"/>
    <mergeCell ref="AC18:AD18"/>
    <mergeCell ref="M20:N20"/>
    <mergeCell ref="O20:P20"/>
    <mergeCell ref="Q20:R20"/>
    <mergeCell ref="S20:T20"/>
    <mergeCell ref="AE18:AF18"/>
    <mergeCell ref="AI18:AO18"/>
    <mergeCell ref="B19:G19"/>
    <mergeCell ref="H19:L19"/>
    <mergeCell ref="M19:N19"/>
    <mergeCell ref="O19:P19"/>
    <mergeCell ref="Q19:R19"/>
    <mergeCell ref="S19:T19"/>
    <mergeCell ref="AN19:AO19"/>
    <mergeCell ref="Y22:Z22"/>
    <mergeCell ref="AA22:AB22"/>
    <mergeCell ref="AC22:AD22"/>
    <mergeCell ref="AE22:AF22"/>
    <mergeCell ref="AN22:AO22"/>
    <mergeCell ref="AI25:AO25"/>
    <mergeCell ref="AN20:AO20"/>
    <mergeCell ref="AN21:AO21"/>
    <mergeCell ref="B22:G22"/>
    <mergeCell ref="H22:L22"/>
    <mergeCell ref="M22:N22"/>
    <mergeCell ref="O22:P22"/>
    <mergeCell ref="Q22:R22"/>
    <mergeCell ref="S22:T22"/>
    <mergeCell ref="U22:V22"/>
    <mergeCell ref="W22:X22"/>
    <mergeCell ref="U20:V20"/>
    <mergeCell ref="W20:X20"/>
    <mergeCell ref="Y20:Z20"/>
    <mergeCell ref="AA20:AB20"/>
    <mergeCell ref="AC20:AD20"/>
    <mergeCell ref="AE20:AF20"/>
    <mergeCell ref="B20:G20"/>
    <mergeCell ref="H20:L20"/>
    <mergeCell ref="AA26:AB26"/>
    <mergeCell ref="AC26:AD26"/>
    <mergeCell ref="AI26:AO26"/>
    <mergeCell ref="B27:G27"/>
    <mergeCell ref="H27:L27"/>
    <mergeCell ref="M27:N27"/>
    <mergeCell ref="O27:P27"/>
    <mergeCell ref="Q27:R27"/>
    <mergeCell ref="S27:T27"/>
    <mergeCell ref="AN27:AO27"/>
    <mergeCell ref="O26:P26"/>
    <mergeCell ref="Q26:R26"/>
    <mergeCell ref="S26:T26"/>
    <mergeCell ref="U26:V26"/>
    <mergeCell ref="W26:X26"/>
    <mergeCell ref="Y26:Z26"/>
    <mergeCell ref="U28:V28"/>
    <mergeCell ref="W28:X28"/>
    <mergeCell ref="Y28:Z28"/>
    <mergeCell ref="AA28:AB28"/>
    <mergeCell ref="AC28:AD28"/>
    <mergeCell ref="AN28:AO28"/>
    <mergeCell ref="B28:G28"/>
    <mergeCell ref="H28:L28"/>
    <mergeCell ref="M28:N28"/>
    <mergeCell ref="O28:P28"/>
    <mergeCell ref="Q28:R28"/>
    <mergeCell ref="S28:T28"/>
    <mergeCell ref="AN29:AO29"/>
    <mergeCell ref="B30:G30"/>
    <mergeCell ref="H30:L30"/>
    <mergeCell ref="M30:N30"/>
    <mergeCell ref="O30:P30"/>
    <mergeCell ref="Q30:R30"/>
    <mergeCell ref="S30:T30"/>
    <mergeCell ref="U30:V30"/>
    <mergeCell ref="W30:X30"/>
    <mergeCell ref="Y30:Z30"/>
    <mergeCell ref="AI67:AM67"/>
    <mergeCell ref="AO67:AR67"/>
    <mergeCell ref="AC80:AD80"/>
    <mergeCell ref="AE80:AF80"/>
    <mergeCell ref="AG80:AH80"/>
    <mergeCell ref="AI80:AJ80"/>
    <mergeCell ref="AA30:AB30"/>
    <mergeCell ref="AC30:AD30"/>
    <mergeCell ref="A66:A105"/>
    <mergeCell ref="B67:E67"/>
    <mergeCell ref="G67:K67"/>
    <mergeCell ref="O67:S67"/>
    <mergeCell ref="U67:Y67"/>
    <mergeCell ref="AA67:AE67"/>
    <mergeCell ref="AA80:AB80"/>
    <mergeCell ref="O80:P80"/>
    <mergeCell ref="AI79:AJ79"/>
    <mergeCell ref="AA79:AB79"/>
    <mergeCell ref="AA83:AB83"/>
    <mergeCell ref="Q80:R80"/>
    <mergeCell ref="S80:T80"/>
    <mergeCell ref="U80:V80"/>
    <mergeCell ref="W80:X80"/>
    <mergeCell ref="Y80:Z80"/>
    <mergeCell ref="M84:N84"/>
    <mergeCell ref="O84:P84"/>
    <mergeCell ref="Q84:R84"/>
    <mergeCell ref="S84:T84"/>
    <mergeCell ref="U84:V84"/>
    <mergeCell ref="O83:P83"/>
    <mergeCell ref="Q83:R83"/>
    <mergeCell ref="S83:T83"/>
    <mergeCell ref="U83:V83"/>
    <mergeCell ref="O79:P79"/>
    <mergeCell ref="Q79:R79"/>
    <mergeCell ref="S79:T79"/>
    <mergeCell ref="U79:V79"/>
    <mergeCell ref="W79:X79"/>
    <mergeCell ref="Y79:Z79"/>
    <mergeCell ref="AC83:AD83"/>
    <mergeCell ref="AE83:AF83"/>
    <mergeCell ref="AG83:AH83"/>
    <mergeCell ref="AC79:AD79"/>
    <mergeCell ref="AE79:AF79"/>
    <mergeCell ref="AG79:AH79"/>
    <mergeCell ref="AG85:AH85"/>
    <mergeCell ref="AI85:AJ85"/>
    <mergeCell ref="V87:AC92"/>
    <mergeCell ref="O81:AJ81"/>
    <mergeCell ref="AA82:AB82"/>
    <mergeCell ref="O82:V82"/>
    <mergeCell ref="AC82:AJ82"/>
    <mergeCell ref="AI84:AJ84"/>
    <mergeCell ref="O85:P85"/>
    <mergeCell ref="Q85:R85"/>
    <mergeCell ref="S85:T85"/>
    <mergeCell ref="U85:V85"/>
    <mergeCell ref="W85:X85"/>
    <mergeCell ref="Y85:Z85"/>
    <mergeCell ref="AA85:AB85"/>
    <mergeCell ref="AC85:AD85"/>
    <mergeCell ref="AE85:AF85"/>
    <mergeCell ref="AC84:AD84"/>
    <mergeCell ref="AE84:AF84"/>
    <mergeCell ref="AG84:AH84"/>
    <mergeCell ref="AI83:AJ83"/>
  </mergeCells>
  <conditionalFormatting sqref="BH26:BH85 AY5:AY42 BH5:BH24 AY93:AY95 AY106:AY138 BH146:BI146 AY144:AY146">
    <cfRule type="cellIs" dxfId="502" priority="56" stopIfTrue="1" operator="equal">
      <formula>0</formula>
    </cfRule>
  </conditionalFormatting>
  <conditionalFormatting sqref="AY53:AY56 AY66:AY69 AY43:AY50">
    <cfRule type="cellIs" dxfId="501" priority="54" stopIfTrue="1" operator="equal">
      <formula>0</formula>
    </cfRule>
  </conditionalFormatting>
  <conditionalFormatting sqref="O17:AF17 O19:T19 O20:AD20 W22:AF22 O27:T27 O28:AD28 O30:AD30">
    <cfRule type="expression" dxfId="500" priority="55" stopIfTrue="1">
      <formula>$AW$4=0</formula>
    </cfRule>
  </conditionalFormatting>
  <conditionalFormatting sqref="AY76:AY77 AY79 AY81:AY82">
    <cfRule type="cellIs" dxfId="499" priority="53" stopIfTrue="1" operator="equal">
      <formula>0</formula>
    </cfRule>
  </conditionalFormatting>
  <conditionalFormatting sqref="AY103:AY105">
    <cfRule type="cellIs" dxfId="498" priority="52" stopIfTrue="1" operator="equal">
      <formula>0</formula>
    </cfRule>
  </conditionalFormatting>
  <conditionalFormatting sqref="BH25">
    <cfRule type="cellIs" dxfId="497" priority="51" stopIfTrue="1" operator="equal">
      <formula>0</formula>
    </cfRule>
  </conditionalFormatting>
  <conditionalFormatting sqref="AY51:AY52">
    <cfRule type="cellIs" dxfId="496" priority="50" stopIfTrue="1" operator="equal">
      <formula>0</formula>
    </cfRule>
  </conditionalFormatting>
  <conditionalFormatting sqref="AY57:AY63">
    <cfRule type="cellIs" dxfId="495" priority="49" stopIfTrue="1" operator="equal">
      <formula>0</formula>
    </cfRule>
  </conditionalFormatting>
  <conditionalFormatting sqref="AY70:AY73">
    <cfRule type="cellIs" dxfId="494" priority="48" stopIfTrue="1" operator="equal">
      <formula>0</formula>
    </cfRule>
  </conditionalFormatting>
  <conditionalFormatting sqref="AY74">
    <cfRule type="cellIs" dxfId="493" priority="47" stopIfTrue="1" operator="equal">
      <formula>0</formula>
    </cfRule>
  </conditionalFormatting>
  <conditionalFormatting sqref="AY75">
    <cfRule type="cellIs" dxfId="492" priority="46" stopIfTrue="1" operator="equal">
      <formula>0</formula>
    </cfRule>
  </conditionalFormatting>
  <conditionalFormatting sqref="AY78">
    <cfRule type="cellIs" dxfId="491" priority="45" stopIfTrue="1" operator="equal">
      <formula>0</formula>
    </cfRule>
  </conditionalFormatting>
  <conditionalFormatting sqref="BH101:BH106">
    <cfRule type="cellIs" dxfId="490" priority="44" stopIfTrue="1" operator="equal">
      <formula>0</formula>
    </cfRule>
  </conditionalFormatting>
  <conditionalFormatting sqref="BH122:BH124 BH126:BH127">
    <cfRule type="cellIs" dxfId="489" priority="43" stopIfTrue="1" operator="equal">
      <formula>0</formula>
    </cfRule>
  </conditionalFormatting>
  <conditionalFormatting sqref="AY64:AY65">
    <cfRule type="cellIs" dxfId="488" priority="41" stopIfTrue="1" operator="equal">
      <formula>0</formula>
    </cfRule>
  </conditionalFormatting>
  <conditionalFormatting sqref="BH86:BH100">
    <cfRule type="cellIs" dxfId="487" priority="40" stopIfTrue="1" operator="equal">
      <formula>0</formula>
    </cfRule>
  </conditionalFormatting>
  <conditionalFormatting sqref="BH107:BH121">
    <cfRule type="cellIs" dxfId="486" priority="39" stopIfTrue="1" operator="equal">
      <formula>0</formula>
    </cfRule>
  </conditionalFormatting>
  <conditionalFormatting sqref="AY80">
    <cfRule type="cellIs" dxfId="485" priority="38" stopIfTrue="1" operator="equal">
      <formula>0</formula>
    </cfRule>
  </conditionalFormatting>
  <conditionalFormatting sqref="BH125">
    <cfRule type="cellIs" dxfId="484" priority="37" stopIfTrue="1" operator="equal">
      <formula>0</formula>
    </cfRule>
  </conditionalFormatting>
  <conditionalFormatting sqref="F13:K13">
    <cfRule type="expression" dxfId="483" priority="36" stopIfTrue="1">
      <formula>$AW$4=1</formula>
    </cfRule>
  </conditionalFormatting>
  <conditionalFormatting sqref="AZ5">
    <cfRule type="cellIs" dxfId="482" priority="35" stopIfTrue="1" operator="equal">
      <formula>0</formula>
    </cfRule>
  </conditionalFormatting>
  <conditionalFormatting sqref="BI5">
    <cfRule type="cellIs" dxfId="481" priority="34" stopIfTrue="1" operator="equal">
      <formula>0</formula>
    </cfRule>
  </conditionalFormatting>
  <conditionalFormatting sqref="BI6:BI127">
    <cfRule type="cellIs" dxfId="480" priority="33" stopIfTrue="1" operator="equal">
      <formula>0</formula>
    </cfRule>
  </conditionalFormatting>
  <conditionalFormatting sqref="AR87">
    <cfRule type="expression" dxfId="479" priority="32" stopIfTrue="1">
      <formula>$AU$95=AU97</formula>
    </cfRule>
  </conditionalFormatting>
  <conditionalFormatting sqref="AY102">
    <cfRule type="cellIs" dxfId="478" priority="30" stopIfTrue="1" operator="equal">
      <formula>0</formula>
    </cfRule>
  </conditionalFormatting>
  <conditionalFormatting sqref="AY96:AY101">
    <cfRule type="cellIs" dxfId="477" priority="28" stopIfTrue="1" operator="equal">
      <formula>0</formula>
    </cfRule>
  </conditionalFormatting>
  <conditionalFormatting sqref="AY83:AY84">
    <cfRule type="cellIs" dxfId="476" priority="25" stopIfTrue="1" operator="equal">
      <formula>0</formula>
    </cfRule>
  </conditionalFormatting>
  <conditionalFormatting sqref="BH128">
    <cfRule type="cellIs" dxfId="475" priority="24" stopIfTrue="1" operator="equal">
      <formula>0</formula>
    </cfRule>
  </conditionalFormatting>
  <conditionalFormatting sqref="BI128">
    <cfRule type="cellIs" dxfId="474" priority="23" stopIfTrue="1" operator="equal">
      <formula>0</formula>
    </cfRule>
  </conditionalFormatting>
  <conditionalFormatting sqref="BI130:BI131">
    <cfRule type="cellIs" dxfId="473" priority="21" stopIfTrue="1" operator="equal">
      <formula>0</formula>
    </cfRule>
  </conditionalFormatting>
  <conditionalFormatting sqref="AY85:AY89">
    <cfRule type="cellIs" dxfId="472" priority="17" stopIfTrue="1" operator="equal">
      <formula>0</formula>
    </cfRule>
  </conditionalFormatting>
  <conditionalFormatting sqref="V87:AC92">
    <cfRule type="expression" dxfId="471" priority="19" stopIfTrue="1">
      <formula>OR($AU$97=0,$AU$97=$AU$95)</formula>
    </cfRule>
  </conditionalFormatting>
  <conditionalFormatting sqref="AY90:AY92">
    <cfRule type="cellIs" dxfId="470" priority="14" stopIfTrue="1" operator="equal">
      <formula>0</formula>
    </cfRule>
  </conditionalFormatting>
  <conditionalFormatting sqref="BI132:BI138 BI144:BI145">
    <cfRule type="cellIs" dxfId="469" priority="12" stopIfTrue="1" operator="equal">
      <formula>0</formula>
    </cfRule>
  </conditionalFormatting>
  <conditionalFormatting sqref="AZ6:AZ138 AZ144:AZ146">
    <cfRule type="cellIs" dxfId="468" priority="11" stopIfTrue="1" operator="equal">
      <formula>0</formula>
    </cfRule>
  </conditionalFormatting>
  <conditionalFormatting sqref="BI129">
    <cfRule type="cellIs" dxfId="467" priority="9" stopIfTrue="1" operator="equal">
      <formula>0</formula>
    </cfRule>
  </conditionalFormatting>
  <conditionalFormatting sqref="BH129:BH138 BH144:BH145">
    <cfRule type="cellIs" dxfId="466" priority="8" stopIfTrue="1" operator="equal">
      <formula>0</formula>
    </cfRule>
  </conditionalFormatting>
  <conditionalFormatting sqref="AZ139:AZ143">
    <cfRule type="cellIs" dxfId="465" priority="7" stopIfTrue="1" operator="equal">
      <formula>0</formula>
    </cfRule>
  </conditionalFormatting>
  <conditionalFormatting sqref="AY139:AY143">
    <cfRule type="cellIs" dxfId="464" priority="6" stopIfTrue="1" operator="equal">
      <formula>0</formula>
    </cfRule>
  </conditionalFormatting>
  <conditionalFormatting sqref="BH139 BH142:BH143">
    <cfRule type="cellIs" dxfId="463" priority="5" stopIfTrue="1" operator="equal">
      <formula>0</formula>
    </cfRule>
  </conditionalFormatting>
  <conditionalFormatting sqref="BI139:BI143">
    <cfRule type="cellIs" dxfId="462" priority="4" stopIfTrue="1" operator="equal">
      <formula>0</formula>
    </cfRule>
  </conditionalFormatting>
  <conditionalFormatting sqref="BH140:BH141">
    <cfRule type="cellIs" dxfId="461" priority="3" stopIfTrue="1" operator="equal">
      <formula>0</formula>
    </cfRule>
  </conditionalFormatting>
  <conditionalFormatting sqref="AI17:AO17">
    <cfRule type="expression" dxfId="460" priority="2" stopIfTrue="1">
      <formula>$AW$4=0</formula>
    </cfRule>
  </conditionalFormatting>
  <conditionalFormatting sqref="AI25:AO25">
    <cfRule type="expression" dxfId="459" priority="1" stopIfTrue="1">
      <formula>$AW$4=0</formula>
    </cfRule>
  </conditionalFormatting>
  <hyperlinks>
    <hyperlink ref="M4" location="MENU!A1" display="MENU!A1" xr:uid="{00000000-0004-0000-0E00-000000000000}"/>
    <hyperlink ref="M10" location="OBJ!A1" display="OBJ!A1" xr:uid="{00000000-0004-0000-0E00-000001000000}"/>
    <hyperlink ref="M9" location="suhrn!A1" display="suhrn!A1" xr:uid="{00000000-0004-0000-0E00-000002000000}"/>
    <hyperlink ref="O2:S2" location="MENU!A5" display="MENU!A5" xr:uid="{00000000-0004-0000-0E00-000003000000}"/>
    <hyperlink ref="M69" location="MENU!A1" display="MENU!A1" xr:uid="{00000000-0004-0000-0E00-000004000000}"/>
    <hyperlink ref="B67:E67" location="'AVT187(vn-S)'!A1" display="'AVT187(vn-S)'!A1" xr:uid="{00000000-0004-0000-0E00-000005000000}"/>
    <hyperlink ref="AK9:AO10" location="'IT70(vn100)'!A66" display="'IT70(vn100)'!A66" xr:uid="{00000000-0004-0000-0E00-000006000000}"/>
    <hyperlink ref="AK9:AP10" location="'AVT187(vn-S)'!A66" display="'AVT187(vn-S)'!A66" xr:uid="{00000000-0004-0000-0E00-000007000000}"/>
  </hyperlinks>
  <printOptions horizontalCentered="1"/>
  <pageMargins left="0.19685039370078741" right="0.19685039370078741" top="0.19685039370078741" bottom="0.19685039370078741" header="0.31496062992125984" footer="0.31496062992125984"/>
  <pageSetup paperSize="9" orientation="landscape" r:id="rId1"/>
  <headerFooter>
    <oddHeader>&amp;R&amp;"Aptos"&amp;10&amp;K000000 Restricted&amp;1#_x000D_</oddHeader>
  </headerFooter>
  <drawing r:id="rId2"/>
  <legacy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List55">
    <tabColor rgb="FF00B050"/>
  </sheetPr>
  <dimension ref="A1:BK122"/>
  <sheetViews>
    <sheetView showGridLines="0" showRowColHeaders="0" zoomScale="95" zoomScaleNormal="95" workbookViewId="0"/>
  </sheetViews>
  <sheetFormatPr defaultColWidth="9" defaultRowHeight="13.8"/>
  <cols>
    <col min="1" max="1" width="3.59765625" style="86" customWidth="1"/>
    <col min="2" max="4" width="3.09765625" style="86" customWidth="1"/>
    <col min="5" max="5" width="7.59765625" style="86" customWidth="1"/>
    <col min="6" max="44" width="3.09765625" style="86" customWidth="1"/>
    <col min="45" max="45" width="3.59765625" style="86" customWidth="1"/>
    <col min="46" max="46" width="9" style="86" customWidth="1"/>
    <col min="47" max="47" width="9" style="86" hidden="1" customWidth="1"/>
    <col min="48" max="48" width="32.5" style="86" hidden="1" customWidth="1"/>
    <col min="49" max="49" width="4.3984375" style="86" hidden="1" customWidth="1"/>
    <col min="50" max="50" width="2" style="86" hidden="1" customWidth="1"/>
    <col min="51" max="52" width="4.59765625" style="86" hidden="1" customWidth="1"/>
    <col min="53" max="54" width="9" style="86" hidden="1" customWidth="1"/>
    <col min="55" max="55" width="2.59765625" style="86" hidden="1" customWidth="1"/>
    <col min="56" max="56" width="9" style="86" hidden="1" customWidth="1"/>
    <col min="57" max="57" width="33.8984375" style="86" hidden="1" customWidth="1"/>
    <col min="58" max="58" width="4.3984375" style="86" hidden="1" customWidth="1"/>
    <col min="59" max="59" width="2" style="86" hidden="1" customWidth="1"/>
    <col min="60" max="61" width="4.59765625" style="86" hidden="1" customWidth="1"/>
    <col min="62" max="63" width="9" style="86" hidden="1" customWidth="1"/>
    <col min="64" max="75" width="9" style="86" customWidth="1"/>
    <col min="76" max="16384" width="9" style="86"/>
  </cols>
  <sheetData>
    <row r="1" spans="1:63" ht="12.9" customHeight="1" thickBot="1">
      <c r="AU1" s="140"/>
      <c r="AV1" s="279"/>
      <c r="AW1" s="279"/>
      <c r="AX1" s="140"/>
      <c r="AY1" s="140"/>
      <c r="AZ1" s="140"/>
      <c r="BA1" s="140"/>
      <c r="BB1" s="140"/>
      <c r="BC1" s="140"/>
      <c r="BD1" s="140"/>
      <c r="BE1" s="140"/>
      <c r="BF1" s="140"/>
      <c r="BG1" s="140"/>
      <c r="BH1" s="140"/>
      <c r="BI1" s="140"/>
      <c r="BJ1" s="140"/>
      <c r="BK1" s="140"/>
    </row>
    <row r="2" spans="1:63" ht="23.1" customHeight="1" thickBot="1">
      <c r="B2" s="475" t="str">
        <f>verze!E13</f>
        <v>&lt;&lt;  zpět</v>
      </c>
      <c r="C2" s="476"/>
      <c r="D2" s="476"/>
      <c r="E2" s="477"/>
      <c r="G2" s="513" t="str">
        <f>verze!E6</f>
        <v xml:space="preserve"> Úvod</v>
      </c>
      <c r="H2" s="514"/>
      <c r="I2" s="514"/>
      <c r="J2" s="514"/>
      <c r="K2" s="515"/>
      <c r="O2" s="500" t="str">
        <f>verze!E7</f>
        <v xml:space="preserve"> Výběr zásuvek</v>
      </c>
      <c r="P2" s="501"/>
      <c r="Q2" s="501"/>
      <c r="R2" s="501"/>
      <c r="S2" s="502"/>
      <c r="U2" s="513" t="str">
        <f>verze!E8</f>
        <v xml:space="preserve"> </v>
      </c>
      <c r="V2" s="514"/>
      <c r="W2" s="514"/>
      <c r="X2" s="514"/>
      <c r="Y2" s="515"/>
      <c r="AA2" s="513" t="str">
        <f>verze!E9</f>
        <v xml:space="preserve"> </v>
      </c>
      <c r="AB2" s="514"/>
      <c r="AC2" s="514"/>
      <c r="AD2" s="514"/>
      <c r="AE2" s="515"/>
      <c r="AI2" s="513" t="str">
        <f>verze!E10</f>
        <v xml:space="preserve"> Objednávka</v>
      </c>
      <c r="AJ2" s="514"/>
      <c r="AK2" s="514"/>
      <c r="AL2" s="514"/>
      <c r="AM2" s="515"/>
      <c r="AO2" s="475" t="str">
        <f>verze!E14</f>
        <v>vpřed  &gt;&gt;</v>
      </c>
      <c r="AP2" s="476"/>
      <c r="AQ2" s="476"/>
      <c r="AR2" s="477"/>
      <c r="AV2" s="143"/>
      <c r="AW2" s="143"/>
    </row>
    <row r="3" spans="1:63" ht="12.9" customHeight="1">
      <c r="AV3" s="143"/>
      <c r="AW3" s="143"/>
    </row>
    <row r="4" spans="1:63" ht="23.1" customHeight="1">
      <c r="A4" s="89"/>
      <c r="B4" s="93" t="str">
        <f>verze!E206&amp;" AVANTECH YOU  187 Inlay"</f>
        <v>Zásuvka AVANTECH YOU  187 Inlay</v>
      </c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U4" s="94" t="s">
        <v>33</v>
      </c>
      <c r="AW4" s="285">
        <f>IF(FORM!AU13=FORM!U18,1,0)</f>
        <v>1</v>
      </c>
      <c r="BB4" s="322">
        <f>SUM(BB5:BB979)</f>
        <v>0</v>
      </c>
      <c r="BD4" s="94" t="s">
        <v>34</v>
      </c>
      <c r="BK4" s="322">
        <f>SUM(BK5:BK968)</f>
        <v>0</v>
      </c>
    </row>
    <row r="5" spans="1:63" ht="14.4" customHeight="1">
      <c r="AU5" s="319">
        <f>OBJ!B168</f>
        <v>9353283</v>
      </c>
      <c r="AV5" s="21" t="str">
        <f>VLOOKUP(AU5,CENY!$B$11:$G$1054,2,FALSE)</f>
        <v>AvanY-sólo boky Inlay-NW 187/350mm/strieb.</v>
      </c>
      <c r="AW5" s="22">
        <f>VLOOKUP(AU5,CENY!$B$11:$G$1054,3,FALSE)</f>
        <v>1</v>
      </c>
      <c r="AX5" s="362">
        <v>6</v>
      </c>
      <c r="AY5" s="23">
        <f>S19+S20+S27+S28+S30</f>
        <v>0</v>
      </c>
      <c r="AZ5" s="326">
        <f>IF(AY5="","",IF($AW$4=1,AY5,0))</f>
        <v>0</v>
      </c>
      <c r="BA5" s="95">
        <f>VLOOKUP(AU5,CENY!$B$11:$M$2025,12,FALSE)</f>
        <v>840.18591000000004</v>
      </c>
      <c r="BB5" s="95">
        <f t="shared" ref="BB5:BB68" si="0">IF(BA5="","",BA5*AY5)</f>
        <v>0</v>
      </c>
      <c r="BD5" s="319">
        <f>OBJ!B176</f>
        <v>9257131</v>
      </c>
      <c r="BE5" s="21" t="str">
        <f>VLOOKUP(BD5,CENY!$B$11:$G$1054,2,FALSE)</f>
        <v>AvanY-bok Inlay ľavý /v187/h350/ strieb.</v>
      </c>
      <c r="BF5" s="22">
        <f>VLOOKUP(BD5,CENY!$B$11:$G$1054,3,FALSE)</f>
        <v>10</v>
      </c>
      <c r="BG5" s="22"/>
      <c r="BH5" s="23">
        <f>AY5</f>
        <v>0</v>
      </c>
      <c r="BI5" s="326">
        <f>IF(BH5="","",IF($AW$4=0,BH5,0))</f>
        <v>0</v>
      </c>
      <c r="BJ5" s="95">
        <f>VLOOKUP(BD5,CENY!$B$11:$M$2025,12,FALSE)</f>
        <v>380.11588</v>
      </c>
      <c r="BK5" s="95">
        <f>IF(BJ5="","",BJ5*BH5)</f>
        <v>0</v>
      </c>
    </row>
    <row r="6" spans="1:63" ht="14.4" customHeight="1">
      <c r="B6" s="549" t="str">
        <f>" "&amp;verze!E90</f>
        <v xml:space="preserve"> bočnice:</v>
      </c>
      <c r="C6" s="549"/>
      <c r="D6" s="549"/>
      <c r="E6" s="549"/>
      <c r="F6" s="564" t="s">
        <v>343</v>
      </c>
      <c r="G6" s="564"/>
      <c r="H6" s="564"/>
      <c r="I6" s="564"/>
      <c r="J6" s="564"/>
      <c r="K6" s="564"/>
      <c r="AU6" s="319">
        <f>OBJ!B169</f>
        <v>9353284</v>
      </c>
      <c r="AV6" s="21" t="str">
        <f>VLOOKUP(AU6,CENY!$B$11:$G$1054,2,FALSE)</f>
        <v>AvanY-sólo boky Inlay-NW 187/400mm/strieb.</v>
      </c>
      <c r="AW6" s="22">
        <f>VLOOKUP(AU6,CENY!$B$11:$G$1054,3,FALSE)</f>
        <v>1</v>
      </c>
      <c r="AX6" s="362">
        <v>6</v>
      </c>
      <c r="AY6" s="23">
        <f>U20+U28+U30</f>
        <v>0</v>
      </c>
      <c r="AZ6" s="326">
        <f t="shared" ref="AZ6:AZ69" si="1">IF(AY6="","",IF($AW$4=1,AY6,0))</f>
        <v>0</v>
      </c>
      <c r="BA6" s="95">
        <f>VLOOKUP(AU6,CENY!$B$11:$M$2025,12,FALSE)</f>
        <v>852.13201000000004</v>
      </c>
      <c r="BB6" s="95">
        <f t="shared" si="0"/>
        <v>0</v>
      </c>
      <c r="BD6" s="319">
        <f>OBJ!B177</f>
        <v>9257132</v>
      </c>
      <c r="BE6" s="21" t="str">
        <f>VLOOKUP(BD6,CENY!$B$11:$G$1054,2,FALSE)</f>
        <v>AvanY-bok Inlay pravý /v187/h350/ strieb.</v>
      </c>
      <c r="BF6" s="22">
        <f>VLOOKUP(BD6,CENY!$B$11:$G$1054,3,FALSE)</f>
        <v>10</v>
      </c>
      <c r="BG6" s="22"/>
      <c r="BH6" s="23">
        <f>AY5</f>
        <v>0</v>
      </c>
      <c r="BI6" s="326">
        <f t="shared" ref="BI6:BI69" si="2">IF(BH6="","",IF($AW$4=0,BH6,0))</f>
        <v>0</v>
      </c>
      <c r="BJ6" s="95">
        <f>VLOOKUP(BD6,CENY!$B$11:$M$2025,12,FALSE)</f>
        <v>380.11588</v>
      </c>
      <c r="BK6" s="95">
        <f t="shared" ref="BK6:BK69" si="3">IF(BJ6="","",BJ6*BH6)</f>
        <v>0</v>
      </c>
    </row>
    <row r="7" spans="1:63" ht="14.4" customHeight="1">
      <c r="B7" s="549" t="str">
        <f>" "&amp;verze!E56</f>
        <v xml:space="preserve"> barva:</v>
      </c>
      <c r="C7" s="549"/>
      <c r="D7" s="549"/>
      <c r="E7" s="549"/>
      <c r="F7" s="564" t="str">
        <f>" "&amp;FORM!U8</f>
        <v xml:space="preserve"> stříbrná</v>
      </c>
      <c r="G7" s="564"/>
      <c r="H7" s="564"/>
      <c r="I7" s="564"/>
      <c r="J7" s="564"/>
      <c r="K7" s="564"/>
      <c r="AU7" s="319">
        <f>OBJ!B170</f>
        <v>9353285</v>
      </c>
      <c r="AV7" s="21" t="str">
        <f>VLOOKUP(AU7,CENY!$B$11:$G$1054,2,FALSE)</f>
        <v>AvanY-sólo boky Inlay-NW 187/450mm/strieb.</v>
      </c>
      <c r="AW7" s="22">
        <f>VLOOKUP(AU7,CENY!$B$11:$G$1054,3,FALSE)</f>
        <v>1</v>
      </c>
      <c r="AX7" s="362">
        <v>6</v>
      </c>
      <c r="AY7" s="23">
        <f>W20+W22+W28+W30</f>
        <v>0</v>
      </c>
      <c r="AZ7" s="326">
        <f t="shared" si="1"/>
        <v>0</v>
      </c>
      <c r="BA7" s="95">
        <f>VLOOKUP(AU7,CENY!$B$11:$M$2025,12,FALSE)</f>
        <v>841.09733000000006</v>
      </c>
      <c r="BB7" s="95">
        <f t="shared" si="0"/>
        <v>0</v>
      </c>
      <c r="BD7" s="319">
        <f>OBJ!B178</f>
        <v>9257133</v>
      </c>
      <c r="BE7" s="21" t="str">
        <f>VLOOKUP(BD7,CENY!$B$11:$G$1054,2,FALSE)</f>
        <v>AvanY-bok Inlay ľavý /v187/h400/ strieb.</v>
      </c>
      <c r="BF7" s="22">
        <f>VLOOKUP(BD7,CENY!$B$11:$G$1054,3,FALSE)</f>
        <v>10</v>
      </c>
      <c r="BG7" s="22"/>
      <c r="BH7" s="23">
        <f>AY6</f>
        <v>0</v>
      </c>
      <c r="BI7" s="326">
        <f t="shared" si="2"/>
        <v>0</v>
      </c>
      <c r="BJ7" s="95">
        <f>VLOOKUP(BD7,CENY!$B$11:$M$2025,12,FALSE)</f>
        <v>386.98174</v>
      </c>
      <c r="BK7" s="95">
        <f t="shared" si="3"/>
        <v>0</v>
      </c>
    </row>
    <row r="8" spans="1:63" ht="14.4" customHeight="1" thickBot="1">
      <c r="B8" s="549" t="str">
        <f>" "&amp;verze!E70</f>
        <v xml:space="preserve"> dekorativní profil:</v>
      </c>
      <c r="C8" s="549"/>
      <c r="D8" s="549"/>
      <c r="E8" s="549"/>
      <c r="F8" s="564" t="str">
        <f>" "&amp;FORM!AM18</f>
        <v xml:space="preserve"> v barvě bočnice</v>
      </c>
      <c r="G8" s="564"/>
      <c r="H8" s="564"/>
      <c r="I8" s="564"/>
      <c r="J8" s="564"/>
      <c r="K8" s="564"/>
      <c r="AU8" s="319">
        <f>OBJ!B171</f>
        <v>9353286</v>
      </c>
      <c r="AV8" s="21" t="str">
        <f>VLOOKUP(AU8,CENY!$B$11:$G$1054,2,FALSE)</f>
        <v>AvanY-sólo boky Inlay-NW 187/500mm/strieb.</v>
      </c>
      <c r="AW8" s="22">
        <f>VLOOKUP(AU8,CENY!$B$11:$G$1054,3,FALSE)</f>
        <v>1</v>
      </c>
      <c r="AX8" s="362">
        <v>8</v>
      </c>
      <c r="AY8" s="23">
        <f>Y20+Y22+Y28+Y30</f>
        <v>0</v>
      </c>
      <c r="AZ8" s="326">
        <f t="shared" si="1"/>
        <v>0</v>
      </c>
      <c r="BA8" s="95">
        <f>VLOOKUP(AU8,CENY!$B$11:$M$2025,12,FALSE)</f>
        <v>852.72563000000002</v>
      </c>
      <c r="BB8" s="95">
        <f t="shared" si="0"/>
        <v>0</v>
      </c>
      <c r="BD8" s="319">
        <f>OBJ!B179</f>
        <v>9257134</v>
      </c>
      <c r="BE8" s="21" t="str">
        <f>VLOOKUP(BD8,CENY!$B$11:$G$1054,2,FALSE)</f>
        <v>AvanY-bok Inlay pravý /v187/h400/ strieb.</v>
      </c>
      <c r="BF8" s="22">
        <f>VLOOKUP(BD8,CENY!$B$11:$G$1054,3,FALSE)</f>
        <v>10</v>
      </c>
      <c r="BG8" s="22"/>
      <c r="BH8" s="23">
        <f>AY6</f>
        <v>0</v>
      </c>
      <c r="BI8" s="326">
        <f t="shared" si="2"/>
        <v>0</v>
      </c>
      <c r="BJ8" s="95">
        <f>VLOOKUP(BD8,CENY!$B$11:$M$2025,12,FALSE)</f>
        <v>386.98174</v>
      </c>
      <c r="BK8" s="95">
        <f t="shared" si="3"/>
        <v>0</v>
      </c>
    </row>
    <row r="9" spans="1:63" ht="14.4" customHeight="1" thickTop="1">
      <c r="B9" s="549"/>
      <c r="C9" s="549"/>
      <c r="D9" s="549"/>
      <c r="E9" s="549"/>
      <c r="F9" s="564"/>
      <c r="G9" s="564"/>
      <c r="H9" s="564"/>
      <c r="I9" s="564"/>
      <c r="J9" s="564"/>
      <c r="K9" s="564"/>
      <c r="AK9" s="585" t="str">
        <f>verze!E160</f>
        <v>Je nutné natypovat šířky čel ?</v>
      </c>
      <c r="AL9" s="586"/>
      <c r="AM9" s="586"/>
      <c r="AN9" s="586"/>
      <c r="AO9" s="586"/>
      <c r="AP9" s="587"/>
      <c r="AU9" s="319">
        <f>OBJ!B172</f>
        <v>9353287</v>
      </c>
      <c r="AV9" s="21" t="str">
        <f>VLOOKUP(AU9,CENY!$B$11:$G$1054,2,FALSE)</f>
        <v>AvanY-sólo boky Inlay-NW 187/550mm/strieb.</v>
      </c>
      <c r="AW9" s="22">
        <f>VLOOKUP(AU9,CENY!$B$11:$G$1054,3,FALSE)</f>
        <v>1</v>
      </c>
      <c r="AX9" s="362">
        <v>8</v>
      </c>
      <c r="AY9" s="23">
        <f>AA20+AA22+AA28+AA30</f>
        <v>0</v>
      </c>
      <c r="AZ9" s="326">
        <f t="shared" si="1"/>
        <v>0</v>
      </c>
      <c r="BA9" s="95">
        <f>VLOOKUP(AU9,CENY!$B$11:$M$2025,12,FALSE)</f>
        <v>887.97243000000003</v>
      </c>
      <c r="BB9" s="95">
        <f t="shared" si="0"/>
        <v>0</v>
      </c>
      <c r="BD9" s="319">
        <f>OBJ!B180</f>
        <v>9257135</v>
      </c>
      <c r="BE9" s="21" t="str">
        <f>VLOOKUP(BD9,CENY!$B$11:$G$1054,2,FALSE)</f>
        <v>AvanY-bok Inlay ľavý /v187/h450/ strieb.</v>
      </c>
      <c r="BF9" s="22">
        <f>VLOOKUP(BD9,CENY!$B$11:$G$1054,3,FALSE)</f>
        <v>10</v>
      </c>
      <c r="BG9" s="22"/>
      <c r="BH9" s="23">
        <f>AY7</f>
        <v>0</v>
      </c>
      <c r="BI9" s="326">
        <f t="shared" si="2"/>
        <v>0</v>
      </c>
      <c r="BJ9" s="95">
        <f>VLOOKUP(BD9,CENY!$B$11:$M$2025,12,FALSE)</f>
        <v>393.85784000000001</v>
      </c>
      <c r="BK9" s="95">
        <f t="shared" si="3"/>
        <v>0</v>
      </c>
    </row>
    <row r="10" spans="1:63" ht="14.4" customHeight="1">
      <c r="B10" s="549" t="str">
        <f>" "&amp;verze!E57</f>
        <v xml:space="preserve"> čelní kování:</v>
      </c>
      <c r="C10" s="549"/>
      <c r="D10" s="549"/>
      <c r="E10" s="549"/>
      <c r="F10" s="563" t="str">
        <f>" "&amp;FORM!AM8</f>
        <v xml:space="preserve"> na vruty</v>
      </c>
      <c r="G10" s="563"/>
      <c r="H10" s="563"/>
      <c r="I10" s="563"/>
      <c r="J10" s="563"/>
      <c r="K10" s="563"/>
      <c r="AK10" s="588"/>
      <c r="AL10" s="589"/>
      <c r="AM10" s="589"/>
      <c r="AN10" s="589"/>
      <c r="AO10" s="589"/>
      <c r="AP10" s="590"/>
      <c r="AU10" s="319">
        <f>OBJ!B173</f>
        <v>9353288</v>
      </c>
      <c r="AV10" s="21" t="str">
        <f>VLOOKUP(AU10,CENY!$B$11:$G$1054,2,FALSE)</f>
        <v>AvanY-sólo boky Inlay-NW 187/600mm/strieb.</v>
      </c>
      <c r="AW10" s="22">
        <f>VLOOKUP(AU10,CENY!$B$11:$G$1054,3,FALSE)</f>
        <v>1</v>
      </c>
      <c r="AX10" s="362">
        <v>8</v>
      </c>
      <c r="AY10" s="23">
        <f>AC20+AC22+AC28+AC30</f>
        <v>0</v>
      </c>
      <c r="AZ10" s="326">
        <f t="shared" si="1"/>
        <v>0</v>
      </c>
      <c r="BA10" s="95">
        <f>VLOOKUP(AU10,CENY!$B$11:$M$2025,12,FALSE)</f>
        <v>905.98955999999998</v>
      </c>
      <c r="BB10" s="95">
        <f t="shared" si="0"/>
        <v>0</v>
      </c>
      <c r="BD10" s="319">
        <f>OBJ!B181</f>
        <v>9257136</v>
      </c>
      <c r="BE10" s="21" t="str">
        <f>VLOOKUP(BD10,CENY!$B$11:$G$1054,2,FALSE)</f>
        <v>AvanY-bok Inlay pravý /v187/h450/ strieb.</v>
      </c>
      <c r="BF10" s="22">
        <f>VLOOKUP(BD10,CENY!$B$11:$G$1054,3,FALSE)</f>
        <v>10</v>
      </c>
      <c r="BG10" s="22"/>
      <c r="BH10" s="23">
        <f>AY7</f>
        <v>0</v>
      </c>
      <c r="BI10" s="326">
        <f t="shared" si="2"/>
        <v>0</v>
      </c>
      <c r="BJ10" s="95">
        <f>VLOOKUP(BD10,CENY!$B$11:$M$2025,12,FALSE)</f>
        <v>393.85784000000001</v>
      </c>
      <c r="BK10" s="95">
        <f t="shared" si="3"/>
        <v>0</v>
      </c>
    </row>
    <row r="11" spans="1:63" ht="14.4" customHeight="1">
      <c r="B11" s="549" t="str">
        <f>" "&amp;verze!E76</f>
        <v xml:space="preserve"> krytka:</v>
      </c>
      <c r="C11" s="549"/>
      <c r="D11" s="549"/>
      <c r="E11" s="549"/>
      <c r="F11" s="563" t="str">
        <f>" "&amp;FORM!AM21</f>
        <v xml:space="preserve"> žádná</v>
      </c>
      <c r="G11" s="563"/>
      <c r="H11" s="563"/>
      <c r="I11" s="563"/>
      <c r="J11" s="563"/>
      <c r="K11" s="563"/>
      <c r="AU11" s="319">
        <f>OBJ!B174</f>
        <v>9353289</v>
      </c>
      <c r="AV11" s="21" t="str">
        <f>VLOOKUP(AU11,CENY!$B$11:$G$1054,2,FALSE)</f>
        <v>AvanY-sólo boky Inlay-NW 187/650mm/strieb.</v>
      </c>
      <c r="AW11" s="22">
        <f>VLOOKUP(AU11,CENY!$B$11:$G$1054,3,FALSE)</f>
        <v>1</v>
      </c>
      <c r="AX11" s="362">
        <v>10</v>
      </c>
      <c r="AY11" s="23">
        <f>AE22</f>
        <v>0</v>
      </c>
      <c r="AZ11" s="326">
        <f t="shared" si="1"/>
        <v>0</v>
      </c>
      <c r="BA11" s="95">
        <f>VLOOKUP(AU11,CENY!$B$11:$M$2025,12,FALSE)</f>
        <v>930.49195999999995</v>
      </c>
      <c r="BB11" s="95">
        <f t="shared" si="0"/>
        <v>0</v>
      </c>
      <c r="BD11" s="319">
        <f>OBJ!B182</f>
        <v>9257137</v>
      </c>
      <c r="BE11" s="21" t="str">
        <f>VLOOKUP(BD11,CENY!$B$11:$G$1054,2,FALSE)</f>
        <v>AvanY-bok Inlay ľavý /v187/h500/ strieb.</v>
      </c>
      <c r="BF11" s="22">
        <f>VLOOKUP(BD11,CENY!$B$11:$G$1054,3,FALSE)</f>
        <v>10</v>
      </c>
      <c r="BG11" s="22"/>
      <c r="BH11" s="23">
        <f>AY8</f>
        <v>0</v>
      </c>
      <c r="BI11" s="326">
        <f t="shared" si="2"/>
        <v>0</v>
      </c>
      <c r="BJ11" s="95">
        <f>VLOOKUP(BD11,CENY!$B$11:$M$2025,12,FALSE)</f>
        <v>390.06617</v>
      </c>
      <c r="BK11" s="95">
        <f t="shared" si="3"/>
        <v>0</v>
      </c>
    </row>
    <row r="12" spans="1:63" ht="14.4" customHeight="1" thickBot="1">
      <c r="B12" s="549"/>
      <c r="C12" s="549"/>
      <c r="D12" s="549"/>
      <c r="E12" s="550"/>
      <c r="F12" s="564"/>
      <c r="G12" s="564"/>
      <c r="H12" s="564"/>
      <c r="I12" s="564"/>
      <c r="J12" s="564"/>
      <c r="K12" s="564"/>
      <c r="AU12" s="319"/>
      <c r="AV12" s="21"/>
      <c r="AW12" s="22"/>
      <c r="AX12" s="22"/>
      <c r="AY12" s="23"/>
      <c r="AZ12" s="326" t="str">
        <f t="shared" si="1"/>
        <v/>
      </c>
      <c r="BA12" s="95"/>
      <c r="BB12" s="95" t="str">
        <f t="shared" si="0"/>
        <v/>
      </c>
      <c r="BD12" s="319">
        <f>OBJ!B183</f>
        <v>9257138</v>
      </c>
      <c r="BE12" s="21" t="str">
        <f>VLOOKUP(BD12,CENY!$B$11:$G$1054,2,FALSE)</f>
        <v>AvanY-bok Inlay pravý /v187/h500/ strieb.</v>
      </c>
      <c r="BF12" s="22">
        <f>VLOOKUP(BD12,CENY!$B$11:$G$1054,3,FALSE)</f>
        <v>10</v>
      </c>
      <c r="BG12" s="22"/>
      <c r="BH12" s="23">
        <f>AY8</f>
        <v>0</v>
      </c>
      <c r="BI12" s="326">
        <f t="shared" si="2"/>
        <v>0</v>
      </c>
      <c r="BJ12" s="95">
        <f>VLOOKUP(BD12,CENY!$B$11:$M$2025,12,FALSE)</f>
        <v>390.06617</v>
      </c>
      <c r="BK12" s="95">
        <f t="shared" si="3"/>
        <v>0</v>
      </c>
    </row>
    <row r="13" spans="1:63" ht="14.4" customHeight="1">
      <c r="B13" s="549" t="str">
        <f>" "&amp;verze!E92</f>
        <v xml:space="preserve"> cena kování:</v>
      </c>
      <c r="C13" s="549"/>
      <c r="D13" s="549"/>
      <c r="E13" s="550"/>
      <c r="F13" s="555">
        <f>IF(AW4=1,BB4,BK4)</f>
        <v>0</v>
      </c>
      <c r="G13" s="555"/>
      <c r="H13" s="555"/>
      <c r="I13" s="555"/>
      <c r="J13" s="556" t="str">
        <f>IF(verze!E1="CZK","CZK","EUR")</f>
        <v>CZK</v>
      </c>
      <c r="K13" s="557"/>
      <c r="AU13" s="319">
        <f>OBJ!B216</f>
        <v>9283178</v>
      </c>
      <c r="AV13" s="21" t="str">
        <f>VLOOKUP(AU13,CENY!$B$11:$G$1054,2,FALSE)</f>
        <v>AvanY-Inlay sklenené boky 350mm; 2 x sklo</v>
      </c>
      <c r="AW13" s="22">
        <f>VLOOKUP(AU13,CENY!$B$11:$G$1054,3,FALSE)</f>
        <v>1</v>
      </c>
      <c r="AX13" s="22"/>
      <c r="AY13" s="23">
        <f>1*(S19+S20+S27+S28+S30)</f>
        <v>0</v>
      </c>
      <c r="AZ13" s="326">
        <f t="shared" si="1"/>
        <v>0</v>
      </c>
      <c r="BA13" s="95">
        <f>VLOOKUP(AU13,CENY!$B$11:$M$2025,12,FALSE)</f>
        <v>825.32597999999996</v>
      </c>
      <c r="BB13" s="95">
        <f t="shared" si="0"/>
        <v>0</v>
      </c>
      <c r="BD13" s="319">
        <f>OBJ!B184</f>
        <v>9257139</v>
      </c>
      <c r="BE13" s="21" t="str">
        <f>VLOOKUP(BD13,CENY!$B$11:$G$1054,2,FALSE)</f>
        <v>AvanY-bok Inlay ľavý /v187/h550/ strieb.</v>
      </c>
      <c r="BF13" s="22">
        <f>VLOOKUP(BD13,CENY!$B$11:$G$1054,3,FALSE)</f>
        <v>10</v>
      </c>
      <c r="BG13" s="22"/>
      <c r="BH13" s="23">
        <f>AY9</f>
        <v>0</v>
      </c>
      <c r="BI13" s="326">
        <f t="shared" si="2"/>
        <v>0</v>
      </c>
      <c r="BJ13" s="95">
        <f>VLOOKUP(BD13,CENY!$B$11:$M$2025,12,FALSE)</f>
        <v>407.58967999999999</v>
      </c>
      <c r="BK13" s="95">
        <f t="shared" si="3"/>
        <v>0</v>
      </c>
    </row>
    <row r="14" spans="1:63" ht="14.4" customHeight="1">
      <c r="AU14" s="319">
        <f>OBJ!B217</f>
        <v>9283179</v>
      </c>
      <c r="AV14" s="21" t="str">
        <f>VLOOKUP(AU14,CENY!$B$11:$G$1054,2,FALSE)</f>
        <v>AvanY-Inlay sklenené boky 400mm; 2 x sklo</v>
      </c>
      <c r="AW14" s="22">
        <f>VLOOKUP(AU14,CENY!$B$11:$G$1054,3,FALSE)</f>
        <v>1</v>
      </c>
      <c r="AX14" s="22"/>
      <c r="AY14" s="23">
        <f>1*(U20+U28+U30)</f>
        <v>0</v>
      </c>
      <c r="AZ14" s="326">
        <f t="shared" si="1"/>
        <v>0</v>
      </c>
      <c r="BA14" s="95">
        <f>VLOOKUP(AU14,CENY!$B$11:$M$2025,12,FALSE)</f>
        <v>872.05524000000003</v>
      </c>
      <c r="BB14" s="95">
        <f t="shared" si="0"/>
        <v>0</v>
      </c>
      <c r="BD14" s="319">
        <f>OBJ!B185</f>
        <v>9257140</v>
      </c>
      <c r="BE14" s="21" t="str">
        <f>VLOOKUP(BD14,CENY!$B$11:$G$1054,2,FALSE)</f>
        <v>AvanY-bok Inlay pravý /v187/h550/ strieb.</v>
      </c>
      <c r="BF14" s="22">
        <f>VLOOKUP(BD14,CENY!$B$11:$G$1054,3,FALSE)</f>
        <v>10</v>
      </c>
      <c r="BG14" s="22"/>
      <c r="BH14" s="23">
        <f>AY9</f>
        <v>0</v>
      </c>
      <c r="BI14" s="326">
        <f t="shared" si="2"/>
        <v>0</v>
      </c>
      <c r="BJ14" s="95">
        <f>VLOOKUP(BD14,CENY!$B$11:$M$2025,12,FALSE)</f>
        <v>407.58967999999999</v>
      </c>
      <c r="BK14" s="95">
        <f t="shared" si="3"/>
        <v>0</v>
      </c>
    </row>
    <row r="15" spans="1:63" ht="14.4" customHeight="1">
      <c r="AU15" s="319">
        <f>OBJ!B218</f>
        <v>9283180</v>
      </c>
      <c r="AV15" s="21" t="str">
        <f>VLOOKUP(AU15,CENY!$B$11:$G$1054,2,FALSE)</f>
        <v>AvanY-Inlay sklenené boky 450mm; 2 x sklo</v>
      </c>
      <c r="AW15" s="22">
        <f>VLOOKUP(AU15,CENY!$B$11:$G$1054,3,FALSE)</f>
        <v>1</v>
      </c>
      <c r="AX15" s="22"/>
      <c r="AY15" s="23">
        <f>1*(W20+W22+W28+W30)</f>
        <v>0</v>
      </c>
      <c r="AZ15" s="326">
        <f t="shared" si="1"/>
        <v>0</v>
      </c>
      <c r="BA15" s="95">
        <f>VLOOKUP(AU15,CENY!$B$11:$M$2025,12,FALSE)</f>
        <v>918.78985999999998</v>
      </c>
      <c r="BB15" s="95">
        <f t="shared" si="0"/>
        <v>0</v>
      </c>
      <c r="BD15" s="319">
        <f>OBJ!B186</f>
        <v>9257141</v>
      </c>
      <c r="BE15" s="21" t="str">
        <f>VLOOKUP(BD15,CENY!$B$11:$G$1054,2,FALSE)</f>
        <v>AvanY-bok Inlay ľavý /v187/h600/ strieb.</v>
      </c>
      <c r="BF15" s="22">
        <f>VLOOKUP(BD15,CENY!$B$11:$G$1054,3,FALSE)</f>
        <v>10</v>
      </c>
      <c r="BG15" s="22"/>
      <c r="BH15" s="23">
        <f>AY10</f>
        <v>0</v>
      </c>
      <c r="BI15" s="326">
        <f t="shared" si="2"/>
        <v>0</v>
      </c>
      <c r="BJ15" s="95">
        <f>VLOOKUP(BD15,CENY!$B$11:$M$2025,12,FALSE)</f>
        <v>417.95686000000001</v>
      </c>
      <c r="BK15" s="95">
        <f t="shared" si="3"/>
        <v>0</v>
      </c>
    </row>
    <row r="16" spans="1:63" ht="14.4" customHeight="1">
      <c r="AU16" s="319">
        <f>OBJ!B219</f>
        <v>9283181</v>
      </c>
      <c r="AV16" s="21" t="str">
        <f>VLOOKUP(AU16,CENY!$B$11:$G$1054,2,FALSE)</f>
        <v>AvanY-Inlay sklenené boky 500mm; 2 x sklo</v>
      </c>
      <c r="AW16" s="22">
        <f>VLOOKUP(AU16,CENY!$B$11:$G$1054,3,FALSE)</f>
        <v>1</v>
      </c>
      <c r="AX16" s="22"/>
      <c r="AY16" s="23">
        <f>1*(Y20+Y22+Y28+Y30)</f>
        <v>0</v>
      </c>
      <c r="AZ16" s="326">
        <f t="shared" si="1"/>
        <v>0</v>
      </c>
      <c r="BA16" s="95">
        <f>VLOOKUP(AU16,CENY!$B$11:$M$2025,12,FALSE)</f>
        <v>965.52719000000002</v>
      </c>
      <c r="BB16" s="95">
        <f t="shared" si="0"/>
        <v>0</v>
      </c>
      <c r="BD16" s="319">
        <f>OBJ!B187</f>
        <v>9257142</v>
      </c>
      <c r="BE16" s="21" t="str">
        <f>VLOOKUP(BD16,CENY!$B$11:$G$1054,2,FALSE)</f>
        <v>AvanY-bok Inlay pravý /v187/h600/ strieb.</v>
      </c>
      <c r="BF16" s="22">
        <f>VLOOKUP(BD16,CENY!$B$11:$G$1054,3,FALSE)</f>
        <v>10</v>
      </c>
      <c r="BG16" s="22"/>
      <c r="BH16" s="23">
        <f>AY10</f>
        <v>0</v>
      </c>
      <c r="BI16" s="326">
        <f t="shared" si="2"/>
        <v>0</v>
      </c>
      <c r="BJ16" s="95">
        <f>VLOOKUP(BD16,CENY!$B$11:$M$2025,12,FALSE)</f>
        <v>417.95686000000001</v>
      </c>
      <c r="BK16" s="95">
        <f t="shared" si="3"/>
        <v>0</v>
      </c>
    </row>
    <row r="17" spans="2:63" ht="14.4" customHeight="1" thickBot="1">
      <c r="B17" s="1" t="s">
        <v>284</v>
      </c>
      <c r="O17" s="547" t="str">
        <f>FORM!U18</f>
        <v>flexibilní sety</v>
      </c>
      <c r="P17" s="548"/>
      <c r="Q17" s="548"/>
      <c r="R17" s="548"/>
      <c r="S17" s="548"/>
      <c r="T17" s="548"/>
      <c r="U17" s="548"/>
      <c r="V17" s="548"/>
      <c r="W17" s="548"/>
      <c r="X17" s="548"/>
      <c r="Y17" s="548"/>
      <c r="Z17" s="548"/>
      <c r="AA17" s="548"/>
      <c r="AB17" s="548"/>
      <c r="AC17" s="548"/>
      <c r="AD17" s="548"/>
      <c r="AE17" s="548"/>
      <c r="AF17" s="548"/>
      <c r="AI17" s="540" t="str">
        <f>verze!E198</f>
        <v>P2O Silent pro Actro</v>
      </c>
      <c r="AJ17" s="541"/>
      <c r="AK17" s="541"/>
      <c r="AL17" s="541"/>
      <c r="AM17" s="541"/>
      <c r="AN17" s="541"/>
      <c r="AO17" s="541"/>
      <c r="AU17" s="319">
        <f>OBJ!B220</f>
        <v>9283182</v>
      </c>
      <c r="AV17" s="21" t="str">
        <f>VLOOKUP(AU17,CENY!$B$11:$G$1054,2,FALSE)</f>
        <v>AvanY-Inlay sklenené boky 550mm; 2 x sklo</v>
      </c>
      <c r="AW17" s="22">
        <f>VLOOKUP(AU17,CENY!$B$11:$G$1054,3,FALSE)</f>
        <v>1</v>
      </c>
      <c r="AX17" s="22"/>
      <c r="AY17" s="23">
        <f>1*(AA20+AA22+AA28+AA30)</f>
        <v>0</v>
      </c>
      <c r="AZ17" s="326">
        <f t="shared" si="1"/>
        <v>0</v>
      </c>
      <c r="BA17" s="95">
        <f>VLOOKUP(AU17,CENY!$B$11:$M$2025,12,FALSE)</f>
        <v>1058.9617900000001</v>
      </c>
      <c r="BB17" s="95">
        <f t="shared" si="0"/>
        <v>0</v>
      </c>
      <c r="BD17" s="319">
        <f>OBJ!B188</f>
        <v>9257143</v>
      </c>
      <c r="BE17" s="21" t="str">
        <f>VLOOKUP(BD17,CENY!$B$11:$G$1054,2,FALSE)</f>
        <v>AvanY-bok Inlay ľavý /v187/h650/ strieb.</v>
      </c>
      <c r="BF17" s="22">
        <f>VLOOKUP(BD17,CENY!$B$11:$G$1054,3,FALSE)</f>
        <v>10</v>
      </c>
      <c r="BG17" s="22"/>
      <c r="BH17" s="23">
        <f>AY11</f>
        <v>0</v>
      </c>
      <c r="BI17" s="326">
        <f t="shared" si="2"/>
        <v>0</v>
      </c>
      <c r="BJ17" s="95">
        <f>VLOOKUP(BD17,CENY!$B$11:$M$2025,12,FALSE)</f>
        <v>432.04088000000002</v>
      </c>
      <c r="BK17" s="95">
        <f t="shared" si="3"/>
        <v>0</v>
      </c>
    </row>
    <row r="18" spans="2:63" ht="14.4" customHeight="1" thickBot="1">
      <c r="B18" s="96"/>
      <c r="C18" s="96"/>
      <c r="D18" s="96"/>
      <c r="E18" s="96"/>
      <c r="F18" s="96"/>
      <c r="G18" s="96"/>
      <c r="H18" s="72"/>
      <c r="I18" s="72"/>
      <c r="J18" s="72"/>
      <c r="K18" s="72"/>
      <c r="L18" s="72"/>
      <c r="M18" s="72"/>
      <c r="N18" s="72" t="str">
        <f>verze!$E$20&amp;" "</f>
        <v xml:space="preserve">Jmenovitá délka: </v>
      </c>
      <c r="O18" s="535">
        <v>270</v>
      </c>
      <c r="P18" s="536"/>
      <c r="Q18" s="535">
        <v>300</v>
      </c>
      <c r="R18" s="536"/>
      <c r="S18" s="535">
        <v>350</v>
      </c>
      <c r="T18" s="536"/>
      <c r="U18" s="535">
        <v>400</v>
      </c>
      <c r="V18" s="536"/>
      <c r="W18" s="535">
        <v>450</v>
      </c>
      <c r="X18" s="536"/>
      <c r="Y18" s="537">
        <v>500</v>
      </c>
      <c r="Z18" s="538"/>
      <c r="AA18" s="535">
        <v>550</v>
      </c>
      <c r="AB18" s="536"/>
      <c r="AC18" s="535">
        <v>600</v>
      </c>
      <c r="AD18" s="536"/>
      <c r="AE18" s="535">
        <v>650</v>
      </c>
      <c r="AF18" s="536"/>
      <c r="AI18" s="543" t="s">
        <v>299</v>
      </c>
      <c r="AJ18" s="543"/>
      <c r="AK18" s="543"/>
      <c r="AL18" s="543"/>
      <c r="AM18" s="543"/>
      <c r="AN18" s="543"/>
      <c r="AO18" s="543"/>
      <c r="AU18" s="319">
        <f>OBJ!B221</f>
        <v>9283183</v>
      </c>
      <c r="AV18" s="21" t="str">
        <f>VLOOKUP(AU18,CENY!$B$11:$G$1054,2,FALSE)</f>
        <v>AvanY-Inlay sklenené boky 600mm; 2 x sklo</v>
      </c>
      <c r="AW18" s="22">
        <f>VLOOKUP(AU18,CENY!$B$11:$G$1054,3,FALSE)</f>
        <v>1</v>
      </c>
      <c r="AX18" s="22"/>
      <c r="AY18" s="23">
        <f>1*(AC20+AC22+AC28+AC30)</f>
        <v>0</v>
      </c>
      <c r="AZ18" s="326">
        <f t="shared" si="1"/>
        <v>0</v>
      </c>
      <c r="BA18" s="95">
        <f>VLOOKUP(AU18,CENY!$B$11:$M$2025,12,FALSE)</f>
        <v>1152.39642</v>
      </c>
      <c r="BB18" s="95">
        <f t="shared" si="0"/>
        <v>0</v>
      </c>
      <c r="BD18" s="319">
        <f>OBJ!B189</f>
        <v>9257144</v>
      </c>
      <c r="BE18" s="21" t="str">
        <f>VLOOKUP(BD18,CENY!$B$11:$G$1054,2,FALSE)</f>
        <v>AvanY-bok Inlay pravý /v187/h650/ strieb.</v>
      </c>
      <c r="BF18" s="22">
        <f>VLOOKUP(BD18,CENY!$B$11:$G$1054,3,FALSE)</f>
        <v>10</v>
      </c>
      <c r="BG18" s="22"/>
      <c r="BH18" s="23">
        <f>AY11</f>
        <v>0</v>
      </c>
      <c r="BI18" s="326">
        <f t="shared" si="2"/>
        <v>0</v>
      </c>
      <c r="BJ18" s="95">
        <f>VLOOKUP(BD18,CENY!$B$11:$M$2025,12,FALSE)</f>
        <v>432.04088000000002</v>
      </c>
      <c r="BK18" s="95">
        <f t="shared" si="3"/>
        <v>0</v>
      </c>
    </row>
    <row r="19" spans="2:63" ht="14.4" customHeight="1" thickBot="1">
      <c r="B19" s="530" t="s">
        <v>289</v>
      </c>
      <c r="C19" s="530"/>
      <c r="D19" s="530"/>
      <c r="E19" s="530"/>
      <c r="F19" s="530"/>
      <c r="G19" s="530"/>
      <c r="H19" s="531" t="str">
        <f>verze!E18</f>
        <v>plnovýsuv</v>
      </c>
      <c r="I19" s="531"/>
      <c r="J19" s="531"/>
      <c r="K19" s="531"/>
      <c r="L19" s="531"/>
      <c r="M19" s="532" t="s">
        <v>286</v>
      </c>
      <c r="N19" s="533"/>
      <c r="O19" s="569"/>
      <c r="P19" s="570"/>
      <c r="Q19" s="569"/>
      <c r="R19" s="570"/>
      <c r="S19" s="567"/>
      <c r="T19" s="568"/>
      <c r="U19" s="283"/>
      <c r="V19" s="284"/>
      <c r="W19" s="283"/>
      <c r="X19" s="284"/>
      <c r="Y19" s="283"/>
      <c r="Z19" s="284"/>
      <c r="AA19" s="283"/>
      <c r="AB19" s="284"/>
      <c r="AC19" s="283"/>
      <c r="AD19" s="284"/>
      <c r="AE19" s="280"/>
      <c r="AF19" s="281"/>
      <c r="AI19" s="289"/>
      <c r="AJ19" s="290"/>
      <c r="AK19" s="289"/>
      <c r="AL19" s="290"/>
      <c r="AM19" s="291" t="s">
        <v>295</v>
      </c>
      <c r="AN19" s="534"/>
      <c r="AO19" s="534"/>
      <c r="AU19" s="319">
        <f>OBJ!B222</f>
        <v>9283184</v>
      </c>
      <c r="AV19" s="21" t="str">
        <f>VLOOKUP(AU19,CENY!$B$11:$G$1054,2,FALSE)</f>
        <v>AvanY-Inlay sklenené boky 650mm; 2 x sklo</v>
      </c>
      <c r="AW19" s="22">
        <f>VLOOKUP(AU19,CENY!$B$11:$G$1054,3,FALSE)</f>
        <v>1</v>
      </c>
      <c r="AX19" s="22"/>
      <c r="AY19" s="23">
        <f>1*(AE22)</f>
        <v>0</v>
      </c>
      <c r="AZ19" s="326">
        <f t="shared" si="1"/>
        <v>0</v>
      </c>
      <c r="BA19" s="95">
        <f>VLOOKUP(AU19,CENY!$B$11:$M$2025,12,FALSE)</f>
        <v>1245.8336200000001</v>
      </c>
      <c r="BB19" s="95">
        <f t="shared" si="0"/>
        <v>0</v>
      </c>
      <c r="BD19" s="319"/>
      <c r="BE19" s="21"/>
      <c r="BF19" s="22"/>
      <c r="BG19" s="22"/>
      <c r="BH19" s="23"/>
      <c r="BI19" s="326" t="str">
        <f t="shared" si="2"/>
        <v/>
      </c>
      <c r="BJ19" s="95"/>
      <c r="BK19" s="95" t="str">
        <f t="shared" si="3"/>
        <v/>
      </c>
    </row>
    <row r="20" spans="2:63" ht="14.4" customHeight="1" thickBot="1">
      <c r="B20" s="521" t="s">
        <v>290</v>
      </c>
      <c r="C20" s="521"/>
      <c r="D20" s="521"/>
      <c r="E20" s="521"/>
      <c r="F20" s="521"/>
      <c r="G20" s="521"/>
      <c r="H20" s="522" t="str">
        <f>verze!E18</f>
        <v>plnovýsuv</v>
      </c>
      <c r="I20" s="522"/>
      <c r="J20" s="522"/>
      <c r="K20" s="522"/>
      <c r="L20" s="522"/>
      <c r="M20" s="523" t="s">
        <v>287</v>
      </c>
      <c r="N20" s="546"/>
      <c r="O20" s="518"/>
      <c r="P20" s="519"/>
      <c r="Q20" s="518"/>
      <c r="R20" s="519"/>
      <c r="S20" s="516"/>
      <c r="T20" s="517"/>
      <c r="U20" s="516"/>
      <c r="V20" s="517"/>
      <c r="W20" s="516"/>
      <c r="X20" s="517"/>
      <c r="Y20" s="516"/>
      <c r="Z20" s="517"/>
      <c r="AA20" s="516"/>
      <c r="AB20" s="517"/>
      <c r="AC20" s="565"/>
      <c r="AD20" s="566"/>
      <c r="AE20" s="518"/>
      <c r="AF20" s="519"/>
      <c r="AI20" s="287"/>
      <c r="AJ20" s="288"/>
      <c r="AK20" s="287"/>
      <c r="AL20" s="288"/>
      <c r="AM20" s="286" t="s">
        <v>294</v>
      </c>
      <c r="AN20" s="520"/>
      <c r="AO20" s="520"/>
      <c r="AU20" s="319"/>
      <c r="AV20" s="21"/>
      <c r="AW20" s="22"/>
      <c r="AX20" s="22"/>
      <c r="AY20" s="23"/>
      <c r="AZ20" s="326" t="str">
        <f t="shared" si="1"/>
        <v/>
      </c>
      <c r="BA20" s="95"/>
      <c r="BB20" s="95" t="str">
        <f t="shared" si="0"/>
        <v/>
      </c>
      <c r="BD20" s="320">
        <v>9257258</v>
      </c>
      <c r="BE20" s="321" t="str">
        <f>VLOOKUP(BD20,CENY!$B$11:$G$1054,2,FALSE)</f>
        <v>AvanY-prích.čela Inlay s rozp.púzdrom/ v187</v>
      </c>
      <c r="BF20" s="22">
        <f>VLOOKUP(BD20,CENY!$B$11:$G$1054,3,FALSE)</f>
        <v>100</v>
      </c>
      <c r="BG20" s="22"/>
      <c r="BH20" s="23">
        <f>AY64</f>
        <v>0</v>
      </c>
      <c r="BI20" s="326">
        <f t="shared" si="2"/>
        <v>0</v>
      </c>
      <c r="BJ20" s="95">
        <f>VLOOKUP(BD20,CENY!$B$11:$M$2025,12,FALSE)</f>
        <v>51.356920000000002</v>
      </c>
      <c r="BK20" s="95">
        <f t="shared" si="3"/>
        <v>0</v>
      </c>
    </row>
    <row r="21" spans="2:63" ht="14.4" customHeight="1" thickBot="1">
      <c r="O21" s="283"/>
      <c r="P21" s="284"/>
      <c r="Q21" s="283"/>
      <c r="R21" s="284"/>
      <c r="S21" s="283"/>
      <c r="T21" s="284"/>
      <c r="U21" s="283"/>
      <c r="V21" s="284"/>
      <c r="W21" s="283"/>
      <c r="X21" s="284"/>
      <c r="Y21" s="283"/>
      <c r="Z21" s="284"/>
      <c r="AA21" s="283"/>
      <c r="AB21" s="284"/>
      <c r="AC21" s="283"/>
      <c r="AD21" s="284"/>
      <c r="AE21" s="283"/>
      <c r="AF21" s="284"/>
      <c r="AI21" s="287"/>
      <c r="AJ21" s="288"/>
      <c r="AK21" s="287"/>
      <c r="AL21" s="288"/>
      <c r="AM21" s="286" t="s">
        <v>296</v>
      </c>
      <c r="AN21" s="542"/>
      <c r="AO21" s="542"/>
      <c r="AU21" s="319">
        <f>OBJ!B235</f>
        <v>9318160</v>
      </c>
      <c r="AV21" s="21" t="str">
        <f>VLOOKUP(AU21,CENY!$B$11:$G$1054,2,FALSE)</f>
        <v>Actro You(S) 350/SiSy 10kg; EB21</v>
      </c>
      <c r="AW21" s="22">
        <f>VLOOKUP(AU21,CENY!$B$11:$G$1054,3,FALSE)</f>
        <v>1</v>
      </c>
      <c r="AX21" s="362">
        <v>4</v>
      </c>
      <c r="AY21" s="23">
        <f>S19</f>
        <v>0</v>
      </c>
      <c r="AZ21" s="326">
        <f t="shared" si="1"/>
        <v>0</v>
      </c>
      <c r="BA21" s="95">
        <f>VLOOKUP(AU21,CENY!$B$11:$M$2025,12,FALSE)</f>
        <v>657.45060999999998</v>
      </c>
      <c r="BB21" s="95">
        <f t="shared" si="0"/>
        <v>0</v>
      </c>
      <c r="BD21" s="319">
        <f>OBJ!B48</f>
        <v>9257702</v>
      </c>
      <c r="BE21" s="21" t="str">
        <f>VLOOKUP(BD21,CENY!$B$11:$G$1054,2,FALSE)</f>
        <v>AvanY-stabilizátor chrbáta</v>
      </c>
      <c r="BF21" s="22">
        <f>VLOOKUP(BD21,CENY!$B$11:$G$1054,3,FALSE)</f>
        <v>200</v>
      </c>
      <c r="BG21" s="22"/>
      <c r="BH21" s="23">
        <f>2*(SUM(S19)+SUM(S20:AD20)+SUM(W22:AF22)+SUM(S27)+SUM(S28:AD28)+SUM(S30:AD30))</f>
        <v>0</v>
      </c>
      <c r="BI21" s="326">
        <f t="shared" si="2"/>
        <v>0</v>
      </c>
      <c r="BJ21" s="95">
        <f>VLOOKUP(BD21,CENY!$B$11:$M$2025,12,FALSE)</f>
        <v>15.54837</v>
      </c>
      <c r="BK21" s="95">
        <f t="shared" si="3"/>
        <v>0</v>
      </c>
    </row>
    <row r="22" spans="2:63" ht="14.4" customHeight="1" thickBot="1">
      <c r="B22" s="544" t="s">
        <v>291</v>
      </c>
      <c r="C22" s="544"/>
      <c r="D22" s="544"/>
      <c r="E22" s="544"/>
      <c r="F22" s="544"/>
      <c r="G22" s="544"/>
      <c r="H22" s="545" t="str">
        <f>verze!E18</f>
        <v>plnovýsuv</v>
      </c>
      <c r="I22" s="545"/>
      <c r="J22" s="545"/>
      <c r="K22" s="545"/>
      <c r="L22" s="545"/>
      <c r="M22" s="523" t="s">
        <v>288</v>
      </c>
      <c r="N22" s="524"/>
      <c r="O22" s="518"/>
      <c r="P22" s="519"/>
      <c r="Q22" s="518"/>
      <c r="R22" s="519"/>
      <c r="S22" s="518"/>
      <c r="T22" s="519"/>
      <c r="U22" s="518"/>
      <c r="V22" s="519"/>
      <c r="W22" s="516"/>
      <c r="X22" s="517"/>
      <c r="Y22" s="516"/>
      <c r="Z22" s="517"/>
      <c r="AA22" s="516"/>
      <c r="AB22" s="517"/>
      <c r="AC22" s="516"/>
      <c r="AD22" s="517"/>
      <c r="AE22" s="516"/>
      <c r="AF22" s="517"/>
      <c r="AI22" s="287"/>
      <c r="AJ22" s="288"/>
      <c r="AK22" s="287"/>
      <c r="AL22" s="288"/>
      <c r="AM22" s="286" t="s">
        <v>297</v>
      </c>
      <c r="AN22" s="539"/>
      <c r="AO22" s="539"/>
      <c r="AU22" s="319"/>
      <c r="AV22" s="21"/>
      <c r="AW22" s="22"/>
      <c r="AX22" s="22"/>
      <c r="AY22" s="23"/>
      <c r="AZ22" s="326" t="str">
        <f t="shared" si="1"/>
        <v/>
      </c>
      <c r="BA22" s="95"/>
      <c r="BB22" s="95" t="str">
        <f t="shared" si="0"/>
        <v/>
      </c>
      <c r="BD22" s="319"/>
      <c r="BE22" s="21"/>
      <c r="BF22" s="22"/>
      <c r="BG22" s="22"/>
      <c r="BH22" s="23"/>
      <c r="BI22" s="326" t="str">
        <f t="shared" si="2"/>
        <v/>
      </c>
      <c r="BJ22" s="95"/>
      <c r="BK22" s="95" t="str">
        <f t="shared" si="3"/>
        <v/>
      </c>
    </row>
    <row r="23" spans="2:63" ht="14.4" customHeight="1">
      <c r="O23" s="4"/>
      <c r="P23" s="4"/>
      <c r="AU23" s="319">
        <f>OBJ!B245</f>
        <v>9318188</v>
      </c>
      <c r="AV23" s="21" t="str">
        <f>VLOOKUP(AU23,CENY!$B$11:$G$1054,2,FALSE)</f>
        <v>Actro You(L) 350/SiSy 40kg; EB21</v>
      </c>
      <c r="AW23" s="22">
        <f>VLOOKUP(AU23,CENY!$B$11:$G$1054,3,FALSE)</f>
        <v>1</v>
      </c>
      <c r="AX23" s="362">
        <v>8</v>
      </c>
      <c r="AY23" s="23">
        <f>S20</f>
        <v>0</v>
      </c>
      <c r="AZ23" s="326">
        <f t="shared" si="1"/>
        <v>0</v>
      </c>
      <c r="BA23" s="95">
        <f>VLOOKUP(AU23,CENY!$B$11:$M$2025,12,FALSE)</f>
        <v>657.45060999999998</v>
      </c>
      <c r="BB23" s="95">
        <f t="shared" si="0"/>
        <v>0</v>
      </c>
      <c r="BD23" s="319">
        <f>OBJ!B216</f>
        <v>9283178</v>
      </c>
      <c r="BE23" s="21" t="str">
        <f>VLOOKUP(BD23,CENY!$B$11:$G$1054,2,FALSE)</f>
        <v>AvanY-Inlay sklenené boky 350mm; 2 x sklo</v>
      </c>
      <c r="BF23" s="22">
        <f>VLOOKUP(BD23,CENY!$B$11:$G$1054,3,FALSE)</f>
        <v>1</v>
      </c>
      <c r="BG23" s="22"/>
      <c r="BH23" s="23">
        <f>1*(S19+S20+S27+S28+S30)</f>
        <v>0</v>
      </c>
      <c r="BI23" s="326">
        <f t="shared" si="2"/>
        <v>0</v>
      </c>
      <c r="BJ23" s="95">
        <f>VLOOKUP(BD23,CENY!$B$11:$M$2025,12,FALSE)</f>
        <v>825.32597999999996</v>
      </c>
      <c r="BK23" s="95">
        <f t="shared" si="3"/>
        <v>0</v>
      </c>
    </row>
    <row r="24" spans="2:63" ht="14.4" customHeight="1">
      <c r="AU24" s="319">
        <f>OBJ!B246</f>
        <v>9318190</v>
      </c>
      <c r="AV24" s="21" t="str">
        <f>VLOOKUP(AU24,CENY!$B$11:$G$1054,2,FALSE)</f>
        <v>Actro You(L) 400/SiSy 40kg; EB21</v>
      </c>
      <c r="AW24" s="22">
        <f>VLOOKUP(AU24,CENY!$B$11:$G$1054,3,FALSE)</f>
        <v>1</v>
      </c>
      <c r="AX24" s="362">
        <v>8</v>
      </c>
      <c r="AY24" s="23">
        <f>U20</f>
        <v>0</v>
      </c>
      <c r="AZ24" s="326">
        <f t="shared" si="1"/>
        <v>0</v>
      </c>
      <c r="BA24" s="95">
        <f>VLOOKUP(AU24,CENY!$B$11:$M$2025,12,FALSE)</f>
        <v>664.73978</v>
      </c>
      <c r="BB24" s="95">
        <f t="shared" si="0"/>
        <v>0</v>
      </c>
      <c r="BD24" s="319">
        <f>OBJ!B217</f>
        <v>9283179</v>
      </c>
      <c r="BE24" s="21" t="str">
        <f>VLOOKUP(BD24,CENY!$B$11:$G$1054,2,FALSE)</f>
        <v>AvanY-Inlay sklenené boky 400mm; 2 x sklo</v>
      </c>
      <c r="BF24" s="22">
        <f>VLOOKUP(BD24,CENY!$B$11:$G$1054,3,FALSE)</f>
        <v>1</v>
      </c>
      <c r="BG24" s="22"/>
      <c r="BH24" s="23">
        <f>1*(U20+U28+U30)</f>
        <v>0</v>
      </c>
      <c r="BI24" s="326">
        <f t="shared" si="2"/>
        <v>0</v>
      </c>
      <c r="BJ24" s="95">
        <f>VLOOKUP(BD24,CENY!$B$11:$M$2025,12,FALSE)</f>
        <v>872.05524000000003</v>
      </c>
      <c r="BK24" s="95">
        <f t="shared" si="3"/>
        <v>0</v>
      </c>
    </row>
    <row r="25" spans="2:63" ht="14.4" customHeight="1" thickBot="1">
      <c r="B25" s="2" t="s">
        <v>285</v>
      </c>
      <c r="AI25" s="540" t="str">
        <f>verze!E199</f>
        <v>P2O Silent pro Quadro</v>
      </c>
      <c r="AJ25" s="541"/>
      <c r="AK25" s="541"/>
      <c r="AL25" s="541"/>
      <c r="AM25" s="541"/>
      <c r="AN25" s="541"/>
      <c r="AO25" s="541"/>
      <c r="AU25" s="319">
        <f>OBJ!B247</f>
        <v>9318191</v>
      </c>
      <c r="AV25" s="21" t="str">
        <f>VLOOKUP(AU25,CENY!$B$11:$G$1054,2,FALSE)</f>
        <v>Actro You(L) 450/SiSy 40kg; EB21</v>
      </c>
      <c r="AW25" s="22">
        <f>VLOOKUP(AU25,CENY!$B$11:$G$1054,3,FALSE)</f>
        <v>1</v>
      </c>
      <c r="AX25" s="362">
        <v>10</v>
      </c>
      <c r="AY25" s="23">
        <f>W20</f>
        <v>0</v>
      </c>
      <c r="AZ25" s="326">
        <f t="shared" si="1"/>
        <v>0</v>
      </c>
      <c r="BA25" s="95">
        <f>VLOOKUP(AU25,CENY!$B$11:$M$2025,12,FALSE)</f>
        <v>671.97520999999995</v>
      </c>
      <c r="BB25" s="95">
        <f t="shared" si="0"/>
        <v>0</v>
      </c>
      <c r="BD25" s="319">
        <f>OBJ!B218</f>
        <v>9283180</v>
      </c>
      <c r="BE25" s="21" t="str">
        <f>VLOOKUP(BD25,CENY!$B$11:$G$1054,2,FALSE)</f>
        <v>AvanY-Inlay sklenené boky 450mm; 2 x sklo</v>
      </c>
      <c r="BF25" s="22">
        <f>VLOOKUP(BD25,CENY!$B$11:$G$1054,3,FALSE)</f>
        <v>1</v>
      </c>
      <c r="BG25" s="22"/>
      <c r="BH25" s="23">
        <f>1*(W20+W22+W28+W30)</f>
        <v>0</v>
      </c>
      <c r="BI25" s="326">
        <f t="shared" si="2"/>
        <v>0</v>
      </c>
      <c r="BJ25" s="95">
        <f>VLOOKUP(BD25,CENY!$B$11:$M$2025,12,FALSE)</f>
        <v>918.78985999999998</v>
      </c>
      <c r="BK25" s="95">
        <f t="shared" si="3"/>
        <v>0</v>
      </c>
    </row>
    <row r="26" spans="2:63" ht="14.4" customHeight="1" thickBot="1">
      <c r="B26" s="96"/>
      <c r="C26" s="96"/>
      <c r="D26" s="96"/>
      <c r="E26" s="96"/>
      <c r="F26" s="96"/>
      <c r="G26" s="96"/>
      <c r="H26" s="72"/>
      <c r="I26" s="72"/>
      <c r="J26" s="72"/>
      <c r="K26" s="72"/>
      <c r="L26" s="72"/>
      <c r="M26" s="72"/>
      <c r="N26" s="72" t="str">
        <f>verze!$E$20&amp;" "</f>
        <v xml:space="preserve">Jmenovitá délka: </v>
      </c>
      <c r="O26" s="535">
        <v>270</v>
      </c>
      <c r="P26" s="536"/>
      <c r="Q26" s="535">
        <v>300</v>
      </c>
      <c r="R26" s="536"/>
      <c r="S26" s="535">
        <v>350</v>
      </c>
      <c r="T26" s="536"/>
      <c r="U26" s="535">
        <v>400</v>
      </c>
      <c r="V26" s="536"/>
      <c r="W26" s="535">
        <v>450</v>
      </c>
      <c r="X26" s="536"/>
      <c r="Y26" s="537">
        <v>500</v>
      </c>
      <c r="Z26" s="538"/>
      <c r="AA26" s="535">
        <v>550</v>
      </c>
      <c r="AB26" s="536"/>
      <c r="AC26" s="535">
        <v>600</v>
      </c>
      <c r="AD26" s="536"/>
      <c r="AI26" s="543" t="s">
        <v>299</v>
      </c>
      <c r="AJ26" s="543"/>
      <c r="AK26" s="543"/>
      <c r="AL26" s="543"/>
      <c r="AM26" s="543"/>
      <c r="AN26" s="543"/>
      <c r="AO26" s="543"/>
      <c r="AU26" s="319">
        <f>OBJ!B248</f>
        <v>9318192</v>
      </c>
      <c r="AV26" s="21" t="str">
        <f>VLOOKUP(AU26,CENY!$B$11:$G$1054,2,FALSE)</f>
        <v>Actro You(L) 500/SiSy 40kg; EB21</v>
      </c>
      <c r="AW26" s="22">
        <f>VLOOKUP(AU26,CENY!$B$11:$G$1054,3,FALSE)</f>
        <v>1</v>
      </c>
      <c r="AX26" s="362">
        <v>10</v>
      </c>
      <c r="AY26" s="23">
        <f>Y20</f>
        <v>0</v>
      </c>
      <c r="AZ26" s="326">
        <f t="shared" si="1"/>
        <v>0</v>
      </c>
      <c r="BA26" s="95">
        <f>VLOOKUP(AU26,CENY!$B$11:$M$2025,12,FALSE)</f>
        <v>164.23333</v>
      </c>
      <c r="BB26" s="95">
        <f t="shared" si="0"/>
        <v>0</v>
      </c>
      <c r="BD26" s="319">
        <f>OBJ!B219</f>
        <v>9283181</v>
      </c>
      <c r="BE26" s="21" t="str">
        <f>VLOOKUP(BD26,CENY!$B$11:$G$1054,2,FALSE)</f>
        <v>AvanY-Inlay sklenené boky 500mm; 2 x sklo</v>
      </c>
      <c r="BF26" s="22">
        <f>VLOOKUP(BD26,CENY!$B$11:$G$1054,3,FALSE)</f>
        <v>1</v>
      </c>
      <c r="BG26" s="22"/>
      <c r="BH26" s="23">
        <f>1*(Y20+Y22+Y28+Y30)</f>
        <v>0</v>
      </c>
      <c r="BI26" s="326">
        <f t="shared" si="2"/>
        <v>0</v>
      </c>
      <c r="BJ26" s="95">
        <f>VLOOKUP(BD26,CENY!$B$11:$M$2025,12,FALSE)</f>
        <v>965.52719000000002</v>
      </c>
      <c r="BK26" s="95">
        <f t="shared" si="3"/>
        <v>0</v>
      </c>
    </row>
    <row r="27" spans="2:63" ht="14.4" customHeight="1" thickBot="1">
      <c r="B27" s="530" t="s">
        <v>292</v>
      </c>
      <c r="C27" s="530"/>
      <c r="D27" s="530"/>
      <c r="E27" s="530"/>
      <c r="F27" s="530"/>
      <c r="G27" s="530"/>
      <c r="H27" s="531" t="str">
        <f>verze!E18</f>
        <v>plnovýsuv</v>
      </c>
      <c r="I27" s="531"/>
      <c r="J27" s="531"/>
      <c r="K27" s="531"/>
      <c r="L27" s="531"/>
      <c r="M27" s="532" t="s">
        <v>286</v>
      </c>
      <c r="N27" s="533"/>
      <c r="O27" s="573"/>
      <c r="P27" s="574"/>
      <c r="Q27" s="573"/>
      <c r="R27" s="574"/>
      <c r="S27" s="567"/>
      <c r="T27" s="568"/>
      <c r="U27" s="283"/>
      <c r="V27" s="284"/>
      <c r="W27" s="283"/>
      <c r="X27" s="284"/>
      <c r="Y27" s="283"/>
      <c r="Z27" s="284"/>
      <c r="AA27" s="283"/>
      <c r="AB27" s="284"/>
      <c r="AC27" s="283"/>
      <c r="AD27" s="284"/>
      <c r="AI27" s="289"/>
      <c r="AJ27" s="290"/>
      <c r="AK27" s="289"/>
      <c r="AL27" s="290"/>
      <c r="AM27" s="291" t="s">
        <v>295</v>
      </c>
      <c r="AN27" s="534"/>
      <c r="AO27" s="534"/>
      <c r="AU27" s="319">
        <f>OBJ!B249</f>
        <v>9318194</v>
      </c>
      <c r="AV27" s="21" t="str">
        <f>VLOOKUP(AU27,CENY!$B$11:$G$1054,2,FALSE)</f>
        <v>Actro You(L) 550/SiSy 40kg; EB21</v>
      </c>
      <c r="AW27" s="22">
        <f>VLOOKUP(AU27,CENY!$B$11:$G$1054,3,FALSE)</f>
        <v>1</v>
      </c>
      <c r="AX27" s="362">
        <v>10</v>
      </c>
      <c r="AY27" s="23">
        <f>AA20</f>
        <v>0</v>
      </c>
      <c r="AZ27" s="326">
        <f t="shared" si="1"/>
        <v>0</v>
      </c>
      <c r="BA27" s="95">
        <f>VLOOKUP(AU27,CENY!$B$11:$M$2025,12,FALSE)</f>
        <v>173.62268</v>
      </c>
      <c r="BB27" s="95">
        <f t="shared" si="0"/>
        <v>0</v>
      </c>
      <c r="BD27" s="319">
        <f>OBJ!B220</f>
        <v>9283182</v>
      </c>
      <c r="BE27" s="21" t="str">
        <f>VLOOKUP(BD27,CENY!$B$11:$G$1054,2,FALSE)</f>
        <v>AvanY-Inlay sklenené boky 550mm; 2 x sklo</v>
      </c>
      <c r="BF27" s="22">
        <f>VLOOKUP(BD27,CENY!$B$11:$G$1054,3,FALSE)</f>
        <v>1</v>
      </c>
      <c r="BG27" s="22"/>
      <c r="BH27" s="23">
        <f>1*(AA20+AA22+AA28+AA30)</f>
        <v>0</v>
      </c>
      <c r="BI27" s="326">
        <f t="shared" si="2"/>
        <v>0</v>
      </c>
      <c r="BJ27" s="95">
        <f>VLOOKUP(BD27,CENY!$B$11:$M$2025,12,FALSE)</f>
        <v>1058.9617900000001</v>
      </c>
      <c r="BK27" s="95">
        <f t="shared" si="3"/>
        <v>0</v>
      </c>
    </row>
    <row r="28" spans="2:63" ht="14.4" customHeight="1" thickBot="1">
      <c r="B28" s="521" t="s">
        <v>372</v>
      </c>
      <c r="C28" s="521"/>
      <c r="D28" s="521"/>
      <c r="E28" s="521"/>
      <c r="F28" s="521"/>
      <c r="G28" s="521"/>
      <c r="H28" s="522" t="str">
        <f>verze!E18</f>
        <v>plnovýsuv</v>
      </c>
      <c r="I28" s="522"/>
      <c r="J28" s="522"/>
      <c r="K28" s="522"/>
      <c r="L28" s="522"/>
      <c r="M28" s="523" t="s">
        <v>1</v>
      </c>
      <c r="N28" s="524"/>
      <c r="O28" s="571"/>
      <c r="P28" s="572"/>
      <c r="Q28" s="571"/>
      <c r="R28" s="572"/>
      <c r="S28" s="516"/>
      <c r="T28" s="517"/>
      <c r="U28" s="516"/>
      <c r="V28" s="517"/>
      <c r="W28" s="516"/>
      <c r="X28" s="517"/>
      <c r="Y28" s="516"/>
      <c r="Z28" s="517"/>
      <c r="AA28" s="516"/>
      <c r="AB28" s="517"/>
      <c r="AC28" s="516"/>
      <c r="AD28" s="517"/>
      <c r="AI28" s="287"/>
      <c r="AJ28" s="288"/>
      <c r="AK28" s="287"/>
      <c r="AL28" s="288"/>
      <c r="AM28" s="286" t="s">
        <v>294</v>
      </c>
      <c r="AN28" s="520"/>
      <c r="AO28" s="520"/>
      <c r="AU28" s="319">
        <f>OBJ!B250</f>
        <v>9318196</v>
      </c>
      <c r="AV28" s="21" t="str">
        <f>VLOOKUP(AU28,CENY!$B$11:$G$1054,2,FALSE)</f>
        <v>Actro You(L) 600/SiSy 40kg; EB21</v>
      </c>
      <c r="AW28" s="22">
        <f>VLOOKUP(AU28,CENY!$B$11:$G$1054,3,FALSE)</f>
        <v>1</v>
      </c>
      <c r="AX28" s="362">
        <v>10</v>
      </c>
      <c r="AY28" s="23">
        <f>AC20</f>
        <v>0</v>
      </c>
      <c r="AZ28" s="326">
        <f t="shared" si="1"/>
        <v>0</v>
      </c>
      <c r="BA28" s="95">
        <f>VLOOKUP(AU28,CENY!$B$11:$M$2025,12,FALSE)</f>
        <v>726.70140000000004</v>
      </c>
      <c r="BB28" s="95">
        <f t="shared" si="0"/>
        <v>0</v>
      </c>
      <c r="BD28" s="319">
        <f>OBJ!B221</f>
        <v>9283183</v>
      </c>
      <c r="BE28" s="21" t="str">
        <f>VLOOKUP(BD28,CENY!$B$11:$G$1054,2,FALSE)</f>
        <v>AvanY-Inlay sklenené boky 600mm; 2 x sklo</v>
      </c>
      <c r="BF28" s="22">
        <f>VLOOKUP(BD28,CENY!$B$11:$G$1054,3,FALSE)</f>
        <v>1</v>
      </c>
      <c r="BG28" s="22"/>
      <c r="BH28" s="23">
        <f>1*(AC20+AC22+AC28+AC30)</f>
        <v>0</v>
      </c>
      <c r="BI28" s="326">
        <f t="shared" si="2"/>
        <v>0</v>
      </c>
      <c r="BJ28" s="95">
        <f>VLOOKUP(BD28,CENY!$B$11:$M$2025,12,FALSE)</f>
        <v>1152.39642</v>
      </c>
      <c r="BK28" s="95">
        <f t="shared" si="3"/>
        <v>0</v>
      </c>
    </row>
    <row r="29" spans="2:63" ht="14.4" customHeight="1" thickBot="1">
      <c r="O29" s="283"/>
      <c r="P29" s="284"/>
      <c r="Q29" s="283"/>
      <c r="R29" s="284"/>
      <c r="S29" s="283"/>
      <c r="T29" s="284"/>
      <c r="U29" s="283"/>
      <c r="V29" s="284"/>
      <c r="W29" s="283"/>
      <c r="X29" s="284"/>
      <c r="Y29" s="283"/>
      <c r="Z29" s="284"/>
      <c r="AA29" s="283"/>
      <c r="AB29" s="284"/>
      <c r="AC29" s="283"/>
      <c r="AD29" s="284"/>
      <c r="AI29" s="287"/>
      <c r="AJ29" s="288"/>
      <c r="AK29" s="287"/>
      <c r="AL29" s="288"/>
      <c r="AM29" s="286" t="s">
        <v>298</v>
      </c>
      <c r="AN29" s="527"/>
      <c r="AO29" s="527"/>
      <c r="AU29" s="319"/>
      <c r="AV29" s="21"/>
      <c r="AW29" s="22"/>
      <c r="AX29" s="22"/>
      <c r="AY29" s="23"/>
      <c r="AZ29" s="326" t="str">
        <f t="shared" si="1"/>
        <v/>
      </c>
      <c r="BA29" s="95"/>
      <c r="BB29" s="95" t="str">
        <f t="shared" si="0"/>
        <v/>
      </c>
      <c r="BD29" s="319">
        <f>OBJ!B222</f>
        <v>9283184</v>
      </c>
      <c r="BE29" s="21" t="str">
        <f>VLOOKUP(BD29,CENY!$B$11:$G$1054,2,FALSE)</f>
        <v>AvanY-Inlay sklenené boky 650mm; 2 x sklo</v>
      </c>
      <c r="BF29" s="22">
        <f>VLOOKUP(BD29,CENY!$B$11:$G$1054,3,FALSE)</f>
        <v>1</v>
      </c>
      <c r="BG29" s="22"/>
      <c r="BH29" s="23">
        <f>1*(AE22)</f>
        <v>0</v>
      </c>
      <c r="BI29" s="326">
        <f t="shared" si="2"/>
        <v>0</v>
      </c>
      <c r="BJ29" s="95">
        <f>VLOOKUP(BD29,CENY!$B$11:$M$2025,12,FALSE)</f>
        <v>1245.8336200000001</v>
      </c>
      <c r="BK29" s="95">
        <f t="shared" si="3"/>
        <v>0</v>
      </c>
    </row>
    <row r="30" spans="2:63" ht="14.4" customHeight="1" thickBot="1">
      <c r="B30" s="528" t="s">
        <v>373</v>
      </c>
      <c r="C30" s="528"/>
      <c r="D30" s="528"/>
      <c r="E30" s="528"/>
      <c r="F30" s="528"/>
      <c r="G30" s="528"/>
      <c r="H30" s="529" t="str">
        <f>verze!E18</f>
        <v>plnovýsuv</v>
      </c>
      <c r="I30" s="529"/>
      <c r="J30" s="529"/>
      <c r="K30" s="529"/>
      <c r="L30" s="529"/>
      <c r="M30" s="523" t="s">
        <v>1</v>
      </c>
      <c r="N30" s="524"/>
      <c r="O30" s="283"/>
      <c r="P30" s="284"/>
      <c r="Q30" s="283"/>
      <c r="R30" s="284"/>
      <c r="S30" s="516"/>
      <c r="T30" s="517"/>
      <c r="U30" s="516"/>
      <c r="V30" s="517"/>
      <c r="W30" s="516"/>
      <c r="X30" s="517"/>
      <c r="Y30" s="516"/>
      <c r="Z30" s="517"/>
      <c r="AA30" s="516"/>
      <c r="AB30" s="517"/>
      <c r="AC30" s="565"/>
      <c r="AD30" s="566"/>
      <c r="AU30" s="319">
        <f>OBJ!B268</f>
        <v>9318215</v>
      </c>
      <c r="AV30" s="21" t="str">
        <f>VLOOKUP(AU30,CENY!$B$11:$G$1054,2,FALSE)</f>
        <v>Actro You(XL) 450/SiSy 70kg; EB21</v>
      </c>
      <c r="AW30" s="22">
        <f>VLOOKUP(AU30,CENY!$B$11:$G$1054,3,FALSE)</f>
        <v>1</v>
      </c>
      <c r="AX30" s="362">
        <v>10</v>
      </c>
      <c r="AY30" s="23">
        <f>W22</f>
        <v>0</v>
      </c>
      <c r="AZ30" s="326">
        <f t="shared" si="1"/>
        <v>0</v>
      </c>
      <c r="BA30" s="95">
        <f>VLOOKUP(AU30,CENY!$B$11:$M$2025,12,FALSE)</f>
        <v>197.37184999999999</v>
      </c>
      <c r="BB30" s="95">
        <f t="shared" si="0"/>
        <v>0</v>
      </c>
      <c r="BD30" s="319"/>
      <c r="BE30" s="21"/>
      <c r="BF30" s="22"/>
      <c r="BG30" s="22"/>
      <c r="BH30" s="23"/>
      <c r="BI30" s="326" t="str">
        <f t="shared" si="2"/>
        <v/>
      </c>
      <c r="BJ30" s="95"/>
      <c r="BK30" s="95" t="str">
        <f t="shared" si="3"/>
        <v/>
      </c>
    </row>
    <row r="31" spans="2:63" ht="14.4" customHeight="1">
      <c r="AU31" s="319">
        <f>OBJ!B269</f>
        <v>9318216</v>
      </c>
      <c r="AV31" s="21" t="str">
        <f>VLOOKUP(AU31,CENY!$B$11:$G$1054,2,FALSE)</f>
        <v>Actro You(XL) 500/SiSy 70kg; EB21</v>
      </c>
      <c r="AW31" s="22">
        <f>VLOOKUP(AU31,CENY!$B$11:$G$1054,3,FALSE)</f>
        <v>1</v>
      </c>
      <c r="AX31" s="362">
        <v>10</v>
      </c>
      <c r="AY31" s="23">
        <f>Y22</f>
        <v>0</v>
      </c>
      <c r="AZ31" s="326">
        <f t="shared" si="1"/>
        <v>0</v>
      </c>
      <c r="BA31" s="95">
        <f>VLOOKUP(AU31,CENY!$B$11:$M$2025,12,FALSE)</f>
        <v>823.68502000000001</v>
      </c>
      <c r="BB31" s="95">
        <f t="shared" si="0"/>
        <v>0</v>
      </c>
      <c r="BD31" s="319">
        <f>OBJ!B240</f>
        <v>9318149</v>
      </c>
      <c r="BE31" s="21" t="str">
        <f>VLOOKUP(BD31,CENY!$B$11:$G$1054,2,FALSE)</f>
        <v>Actro You(S) 350/SiSy 10kg; EB21; ľavý</v>
      </c>
      <c r="BF31" s="22">
        <f>VLOOKUP(BD31,CENY!$B$11:$G$1054,3,FALSE)</f>
        <v>10</v>
      </c>
      <c r="BG31" s="22"/>
      <c r="BH31" s="23">
        <f>AY21</f>
        <v>0</v>
      </c>
      <c r="BI31" s="326">
        <f t="shared" si="2"/>
        <v>0</v>
      </c>
      <c r="BJ31" s="95">
        <f>VLOOKUP(BD31,CENY!$B$11:$M$2025,12,FALSE)</f>
        <v>298.88173999999998</v>
      </c>
      <c r="BK31" s="95">
        <f t="shared" si="3"/>
        <v>0</v>
      </c>
    </row>
    <row r="32" spans="2:63" ht="14.4" customHeight="1">
      <c r="B32" s="366" t="str">
        <f>verze!E201</f>
        <v>SiSy = tlumení Silent System</v>
      </c>
      <c r="AU32" s="319">
        <f>OBJ!B270</f>
        <v>9318217</v>
      </c>
      <c r="AV32" s="21" t="str">
        <f>VLOOKUP(AU32,CENY!$B$11:$G$1054,2,FALSE)</f>
        <v>Actro You(XL) 550/SiSy 70kg; EB21</v>
      </c>
      <c r="AW32" s="22">
        <f>VLOOKUP(AU32,CENY!$B$11:$G$1054,3,FALSE)</f>
        <v>1</v>
      </c>
      <c r="AX32" s="362">
        <v>10</v>
      </c>
      <c r="AY32" s="23">
        <f>AA22</f>
        <v>0</v>
      </c>
      <c r="AZ32" s="326">
        <f t="shared" si="1"/>
        <v>0</v>
      </c>
      <c r="BA32" s="95">
        <f>VLOOKUP(AU32,CENY!$B$11:$M$2025,12,FALSE)</f>
        <v>862.82307000000003</v>
      </c>
      <c r="BB32" s="95">
        <f t="shared" si="0"/>
        <v>0</v>
      </c>
      <c r="BD32" s="319">
        <f>OBJ!B241</f>
        <v>9318150</v>
      </c>
      <c r="BE32" s="21" t="str">
        <f>VLOOKUP(BD32,CENY!$B$11:$G$1054,2,FALSE)</f>
        <v>Actro You(S) 350/SiSy 10kg; EB21; pravý</v>
      </c>
      <c r="BF32" s="22">
        <f>VLOOKUP(BD32,CENY!$B$11:$G$1054,3,FALSE)</f>
        <v>10</v>
      </c>
      <c r="BG32" s="22"/>
      <c r="BH32" s="23">
        <f>AY21</f>
        <v>0</v>
      </c>
      <c r="BI32" s="326">
        <f t="shared" si="2"/>
        <v>0</v>
      </c>
      <c r="BJ32" s="95">
        <f>VLOOKUP(BD32,CENY!$B$11:$M$2025,12,FALSE)</f>
        <v>298.88173999999998</v>
      </c>
      <c r="BK32" s="95">
        <f t="shared" si="3"/>
        <v>0</v>
      </c>
    </row>
    <row r="33" spans="2:63" ht="14.4" customHeight="1">
      <c r="B33" s="366" t="str">
        <f>verze!E204</f>
        <v>P2O = otvírání bez úchytky Push to open</v>
      </c>
      <c r="AU33" s="319">
        <f>OBJ!B271</f>
        <v>9318218</v>
      </c>
      <c r="AV33" s="21" t="str">
        <f>VLOOKUP(AU33,CENY!$B$11:$G$1054,2,FALSE)</f>
        <v>Actro You(XL) 600/SiSy 70kg; EB21</v>
      </c>
      <c r="AW33" s="22">
        <f>VLOOKUP(AU33,CENY!$B$11:$G$1054,3,FALSE)</f>
        <v>1</v>
      </c>
      <c r="AX33" s="362">
        <v>10</v>
      </c>
      <c r="AY33" s="23">
        <f>AC22</f>
        <v>0</v>
      </c>
      <c r="AZ33" s="326">
        <f t="shared" si="1"/>
        <v>0</v>
      </c>
      <c r="BA33" s="95">
        <f>VLOOKUP(AU33,CENY!$B$11:$M$2025,12,FALSE)</f>
        <v>941.88580999999999</v>
      </c>
      <c r="BB33" s="95">
        <f t="shared" si="0"/>
        <v>0</v>
      </c>
      <c r="BD33" s="319"/>
      <c r="BE33" s="21"/>
      <c r="BF33" s="22"/>
      <c r="BG33" s="22"/>
      <c r="BH33" s="23"/>
      <c r="BI33" s="326" t="str">
        <f t="shared" si="2"/>
        <v/>
      </c>
      <c r="BJ33" s="95"/>
      <c r="BK33" s="95" t="str">
        <f t="shared" si="3"/>
        <v/>
      </c>
    </row>
    <row r="34" spans="2:63" ht="14.4" customHeight="1">
      <c r="B34" s="366" t="str">
        <f>verze!E203</f>
        <v>P2O Silent = tlumení s otvíráním bez úchytky Push to open Silent</v>
      </c>
      <c r="AU34" s="319">
        <f>OBJ!B272</f>
        <v>9318219</v>
      </c>
      <c r="AV34" s="21" t="str">
        <f>VLOOKUP(AU34,CENY!$B$11:$G$1054,2,FALSE)</f>
        <v>Actro You(XL) 650/SiSy 70kg; EB21</v>
      </c>
      <c r="AW34" s="22">
        <f>VLOOKUP(AU34,CENY!$B$11:$G$1054,3,FALSE)</f>
        <v>1</v>
      </c>
      <c r="AX34" s="362">
        <v>10</v>
      </c>
      <c r="AY34" s="23">
        <f>AE22</f>
        <v>0</v>
      </c>
      <c r="AZ34" s="326">
        <f t="shared" si="1"/>
        <v>0</v>
      </c>
      <c r="BA34" s="95">
        <f>VLOOKUP(AU34,CENY!$B$11:$M$2025,12,FALSE)</f>
        <v>977.56314999999995</v>
      </c>
      <c r="BB34" s="95">
        <f t="shared" si="0"/>
        <v>0</v>
      </c>
      <c r="BD34" s="319">
        <f>OBJ!B255</f>
        <v>9318173</v>
      </c>
      <c r="BE34" s="21" t="str">
        <f>VLOOKUP(BD34,CENY!$B$11:$G$1054,2,FALSE)</f>
        <v>Actro You(L) 350/SiSy 40kg; EB21; ľavý</v>
      </c>
      <c r="BF34" s="22">
        <f>VLOOKUP(BD34,CENY!$B$11:$G$1054,3,FALSE)</f>
        <v>10</v>
      </c>
      <c r="BG34" s="22"/>
      <c r="BH34" s="23">
        <f>AY23</f>
        <v>0</v>
      </c>
      <c r="BI34" s="326">
        <f t="shared" si="2"/>
        <v>0</v>
      </c>
      <c r="BJ34" s="95">
        <f>VLOOKUP(BD34,CENY!$B$11:$M$2025,12,FALSE)</f>
        <v>298.88173999999998</v>
      </c>
      <c r="BK34" s="95">
        <f t="shared" si="3"/>
        <v>0</v>
      </c>
    </row>
    <row r="35" spans="2:63" ht="14.4" customHeight="1">
      <c r="AU35" s="319"/>
      <c r="AV35" s="21"/>
      <c r="AW35" s="22"/>
      <c r="AX35" s="22"/>
      <c r="AY35" s="23"/>
      <c r="AZ35" s="326" t="str">
        <f t="shared" si="1"/>
        <v/>
      </c>
      <c r="BA35" s="95"/>
      <c r="BB35" s="95" t="str">
        <f t="shared" si="0"/>
        <v/>
      </c>
      <c r="BD35" s="319">
        <f>OBJ!B256</f>
        <v>9318174</v>
      </c>
      <c r="BE35" s="21" t="str">
        <f>VLOOKUP(BD35,CENY!$B$11:$G$1054,2,FALSE)</f>
        <v>Actro You(L) 350/SiSy 40kg; EB21; pravý</v>
      </c>
      <c r="BF35" s="22">
        <f>VLOOKUP(BD35,CENY!$B$11:$G$1054,3,FALSE)</f>
        <v>10</v>
      </c>
      <c r="BG35" s="22"/>
      <c r="BH35" s="23">
        <f>AY23</f>
        <v>0</v>
      </c>
      <c r="BI35" s="326">
        <f t="shared" si="2"/>
        <v>0</v>
      </c>
      <c r="BJ35" s="95">
        <f>VLOOKUP(BD35,CENY!$B$11:$M$2025,12,FALSE)</f>
        <v>298.88173999999998</v>
      </c>
      <c r="BK35" s="95">
        <f t="shared" si="3"/>
        <v>0</v>
      </c>
    </row>
    <row r="36" spans="2:63" ht="14.4" customHeight="1">
      <c r="AU36" s="319">
        <f>OBJ!B284</f>
        <v>9257890</v>
      </c>
      <c r="AV36" s="21" t="str">
        <f>VLOOKUP(AU36,CENY!$B$11:$G$1054,2,FALSE)</f>
        <v>Actro You - Push to open Silent; &lt;10kg</v>
      </c>
      <c r="AW36" s="22">
        <f>VLOOKUP(AU36,CENY!$B$11:$G$1054,3,FALSE)</f>
        <v>1</v>
      </c>
      <c r="AX36" s="22"/>
      <c r="AY36" s="23">
        <f>AN19</f>
        <v>0</v>
      </c>
      <c r="AZ36" s="326">
        <f t="shared" si="1"/>
        <v>0</v>
      </c>
      <c r="BA36" s="95">
        <f>VLOOKUP(AU36,CENY!$B$11:$M$2025,12,FALSE)</f>
        <v>481.81412999999998</v>
      </c>
      <c r="BB36" s="95">
        <f t="shared" si="0"/>
        <v>0</v>
      </c>
      <c r="BD36" s="319">
        <f>OBJ!B257</f>
        <v>9318175</v>
      </c>
      <c r="BE36" s="21" t="str">
        <f>VLOOKUP(BD36,CENY!$B$11:$G$1054,2,FALSE)</f>
        <v>Actro You(L) 400/SiSy 40kg; EB21; ľavý</v>
      </c>
      <c r="BF36" s="22">
        <f>VLOOKUP(BD36,CENY!$B$11:$G$1054,3,FALSE)</f>
        <v>10</v>
      </c>
      <c r="BG36" s="22"/>
      <c r="BH36" s="23">
        <f>AY24</f>
        <v>0</v>
      </c>
      <c r="BI36" s="326">
        <f t="shared" si="2"/>
        <v>0</v>
      </c>
      <c r="BJ36" s="95">
        <f>VLOOKUP(BD36,CENY!$B$11:$M$2025,12,FALSE)</f>
        <v>302.69770999999997</v>
      </c>
      <c r="BK36" s="95">
        <f t="shared" si="3"/>
        <v>0</v>
      </c>
    </row>
    <row r="37" spans="2:63" ht="14.4" customHeight="1">
      <c r="AU37" s="319">
        <f>OBJ!B285</f>
        <v>9257891</v>
      </c>
      <c r="AV37" s="21" t="str">
        <f>VLOOKUP(AU37,CENY!$B$11:$G$1054,2,FALSE)</f>
        <v>Actro You - Push to open Silent; 8-20kg</v>
      </c>
      <c r="AW37" s="22">
        <f>VLOOKUP(AU37,CENY!$B$11:$G$1054,3,FALSE)</f>
        <v>1</v>
      </c>
      <c r="AX37" s="22"/>
      <c r="AY37" s="23">
        <f>AN20</f>
        <v>0</v>
      </c>
      <c r="AZ37" s="326">
        <f t="shared" si="1"/>
        <v>0</v>
      </c>
      <c r="BA37" s="95">
        <f>VLOOKUP(AU37,CENY!$B$11:$M$2025,12,FALSE)</f>
        <v>481.81412999999998</v>
      </c>
      <c r="BB37" s="95">
        <f t="shared" si="0"/>
        <v>0</v>
      </c>
      <c r="BD37" s="319">
        <f>OBJ!B258</f>
        <v>9318176</v>
      </c>
      <c r="BE37" s="21" t="str">
        <f>VLOOKUP(BD37,CENY!$B$11:$G$1054,2,FALSE)</f>
        <v>Actro You(L) 400/SiSy 40kg; EB21; pravý</v>
      </c>
      <c r="BF37" s="22">
        <f>VLOOKUP(BD37,CENY!$B$11:$G$1054,3,FALSE)</f>
        <v>10</v>
      </c>
      <c r="BG37" s="22"/>
      <c r="BH37" s="23">
        <f>AY24</f>
        <v>0</v>
      </c>
      <c r="BI37" s="326">
        <f t="shared" si="2"/>
        <v>0</v>
      </c>
      <c r="BJ37" s="95">
        <f>VLOOKUP(BD37,CENY!$B$11:$M$2025,12,FALSE)</f>
        <v>302.69770999999997</v>
      </c>
      <c r="BK37" s="95">
        <f t="shared" si="3"/>
        <v>0</v>
      </c>
    </row>
    <row r="38" spans="2:63" ht="14.4" customHeight="1">
      <c r="AU38" s="319">
        <f>OBJ!B286</f>
        <v>9257892</v>
      </c>
      <c r="AV38" s="21" t="str">
        <f>VLOOKUP(AU38,CENY!$B$11:$G$1054,2,FALSE)</f>
        <v>Actro You - Push to open Silent; 10-40kg</v>
      </c>
      <c r="AW38" s="22">
        <f>VLOOKUP(AU38,CENY!$B$11:$G$1054,3,FALSE)</f>
        <v>1</v>
      </c>
      <c r="AX38" s="22"/>
      <c r="AY38" s="23">
        <f>AN21</f>
        <v>0</v>
      </c>
      <c r="AZ38" s="326">
        <f t="shared" si="1"/>
        <v>0</v>
      </c>
      <c r="BA38" s="95">
        <f>VLOOKUP(AU38,CENY!$B$11:$M$2025,12,FALSE)</f>
        <v>481.81412999999998</v>
      </c>
      <c r="BB38" s="95">
        <f t="shared" si="0"/>
        <v>0</v>
      </c>
      <c r="BD38" s="319">
        <f>OBJ!B259</f>
        <v>9318177</v>
      </c>
      <c r="BE38" s="21" t="str">
        <f>VLOOKUP(BD38,CENY!$B$11:$G$1054,2,FALSE)</f>
        <v>Actro You(L) 450/SiSy 40kg; EB21; ľavý</v>
      </c>
      <c r="BF38" s="22">
        <f>VLOOKUP(BD38,CENY!$B$11:$G$1054,3,FALSE)</f>
        <v>10</v>
      </c>
      <c r="BG38" s="22"/>
      <c r="BH38" s="23">
        <f>AY25</f>
        <v>0</v>
      </c>
      <c r="BI38" s="326">
        <f t="shared" si="2"/>
        <v>0</v>
      </c>
      <c r="BJ38" s="95">
        <f>VLOOKUP(BD38,CENY!$B$11:$M$2025,12,FALSE)</f>
        <v>298.33073999999999</v>
      </c>
      <c r="BK38" s="95">
        <f t="shared" si="3"/>
        <v>0</v>
      </c>
    </row>
    <row r="39" spans="2:63" ht="14.4" customHeight="1">
      <c r="AU39" s="319">
        <f>OBJ!B287</f>
        <v>9257893</v>
      </c>
      <c r="AV39" s="21" t="str">
        <f>VLOOKUP(AU39,CENY!$B$11:$G$1054,2,FALSE)</f>
        <v>Actro You - Push to open Silent; 20-70kg</v>
      </c>
      <c r="AW39" s="22">
        <f>VLOOKUP(AU39,CENY!$B$11:$G$1054,3,FALSE)</f>
        <v>1</v>
      </c>
      <c r="AX39" s="22"/>
      <c r="AY39" s="23">
        <f>AN22</f>
        <v>0</v>
      </c>
      <c r="AZ39" s="326">
        <f t="shared" si="1"/>
        <v>0</v>
      </c>
      <c r="BA39" s="95">
        <f>VLOOKUP(AU39,CENY!$B$11:$M$2025,12,FALSE)</f>
        <v>481.81412999999998</v>
      </c>
      <c r="BB39" s="95">
        <f t="shared" si="0"/>
        <v>0</v>
      </c>
      <c r="BD39" s="319">
        <f>OBJ!B260</f>
        <v>9318178</v>
      </c>
      <c r="BE39" s="21" t="str">
        <f>VLOOKUP(BD39,CENY!$B$11:$G$1054,2,FALSE)</f>
        <v>Actro You(L) 450/SiSy 40kg; EB21; pravý</v>
      </c>
      <c r="BF39" s="22">
        <f>VLOOKUP(BD39,CENY!$B$11:$G$1054,3,FALSE)</f>
        <v>10</v>
      </c>
      <c r="BG39" s="22"/>
      <c r="BH39" s="23">
        <f>AY25</f>
        <v>0</v>
      </c>
      <c r="BI39" s="326">
        <f t="shared" si="2"/>
        <v>0</v>
      </c>
      <c r="BJ39" s="95">
        <f>VLOOKUP(BD39,CENY!$B$11:$M$2025,12,FALSE)</f>
        <v>298.33073999999999</v>
      </c>
      <c r="BK39" s="95">
        <f t="shared" si="3"/>
        <v>0</v>
      </c>
    </row>
    <row r="40" spans="2:63" ht="14.4" customHeight="1">
      <c r="AU40" s="319">
        <f>OBJ!B288</f>
        <v>9236718</v>
      </c>
      <c r="AV40" s="21" t="str">
        <f>VLOOKUP(AU40,CENY!$B$11:$G$1054,2,FALSE)</f>
        <v>Push to open Synchro / tyč 2.000 mm</v>
      </c>
      <c r="AW40" s="22">
        <f>VLOOKUP(AU40,CENY!$B$11:$G$1054,3,FALSE)</f>
        <v>100</v>
      </c>
      <c r="AX40" s="22"/>
      <c r="AY40" s="23">
        <f>IF(SUM(AN19:AO22)+SUM(AN27:AO29)+SUM(S30:AD30)=0,0,AY83)</f>
        <v>0</v>
      </c>
      <c r="AZ40" s="326">
        <f t="shared" si="1"/>
        <v>0</v>
      </c>
      <c r="BA40" s="95">
        <f>VLOOKUP(AU40,CENY!$B$11:$M$2025,12,FALSE)</f>
        <v>182.03933000000001</v>
      </c>
      <c r="BB40" s="95">
        <f t="shared" si="0"/>
        <v>0</v>
      </c>
      <c r="BD40" s="319">
        <f>OBJ!B261</f>
        <v>9318179</v>
      </c>
      <c r="BE40" s="21" t="str">
        <f>VLOOKUP(BD40,CENY!$B$11:$G$1054,2,FALSE)</f>
        <v>Actro You(L) 500/SiSy 40kg; EB21; ľavý</v>
      </c>
      <c r="BF40" s="22">
        <f>VLOOKUP(BD40,CENY!$B$11:$G$1054,3,FALSE)</f>
        <v>10</v>
      </c>
      <c r="BG40" s="22"/>
      <c r="BH40" s="23">
        <f>AY26</f>
        <v>0</v>
      </c>
      <c r="BI40" s="326">
        <f t="shared" si="2"/>
        <v>0</v>
      </c>
      <c r="BJ40" s="95">
        <f>VLOOKUP(BD40,CENY!$B$11:$M$2025,12,FALSE)</f>
        <v>296.00905</v>
      </c>
      <c r="BK40" s="95">
        <f t="shared" si="3"/>
        <v>0</v>
      </c>
    </row>
    <row r="41" spans="2:63" ht="14.4" customHeight="1">
      <c r="AU41" s="319"/>
      <c r="AV41" s="21"/>
      <c r="AW41" s="22"/>
      <c r="AX41" s="22"/>
      <c r="AY41" s="23"/>
      <c r="AZ41" s="326" t="str">
        <f t="shared" si="1"/>
        <v/>
      </c>
      <c r="BA41" s="95"/>
      <c r="BB41" s="95" t="str">
        <f t="shared" si="0"/>
        <v/>
      </c>
      <c r="BD41" s="319">
        <f>OBJ!B262</f>
        <v>9318180</v>
      </c>
      <c r="BE41" s="21" t="str">
        <f>VLOOKUP(BD41,CENY!$B$11:$G$1054,2,FALSE)</f>
        <v>Actro You(L) 500/SiSy 40kg; EB21; pravý</v>
      </c>
      <c r="BF41" s="22">
        <f>VLOOKUP(BD41,CENY!$B$11:$G$1054,3,FALSE)</f>
        <v>10</v>
      </c>
      <c r="BG41" s="22"/>
      <c r="BH41" s="23">
        <f>AY26</f>
        <v>0</v>
      </c>
      <c r="BI41" s="326">
        <f t="shared" si="2"/>
        <v>0</v>
      </c>
      <c r="BJ41" s="95">
        <f>VLOOKUP(BD41,CENY!$B$11:$M$2025,12,FALSE)</f>
        <v>296.00905</v>
      </c>
      <c r="BK41" s="95">
        <f t="shared" si="3"/>
        <v>0</v>
      </c>
    </row>
    <row r="42" spans="2:63" ht="14.4" customHeight="1">
      <c r="AU42" s="319">
        <f>OBJ!B296</f>
        <v>9256956</v>
      </c>
      <c r="AV42" s="21" t="str">
        <f>VLOOKUP(AU42,CENY!$B$11:$G$1054,2,FALSE)</f>
        <v>Quadro You(S) 350/SiSy 10kg; EB21</v>
      </c>
      <c r="AW42" s="22">
        <f>VLOOKUP(AU42,CENY!$B$11:$G$1054,3,FALSE)</f>
        <v>1</v>
      </c>
      <c r="AX42" s="362">
        <v>4</v>
      </c>
      <c r="AY42" s="23">
        <f>S27</f>
        <v>0</v>
      </c>
      <c r="AZ42" s="326">
        <f t="shared" si="1"/>
        <v>0</v>
      </c>
      <c r="BA42" s="95">
        <f>VLOOKUP(AU42,CENY!$B$11:$M$2025,12,FALSE)</f>
        <v>489.27857</v>
      </c>
      <c r="BB42" s="95">
        <f t="shared" si="0"/>
        <v>0</v>
      </c>
      <c r="BD42" s="319">
        <f>OBJ!B263</f>
        <v>9318181</v>
      </c>
      <c r="BE42" s="21" t="str">
        <f>VLOOKUP(BD42,CENY!$B$11:$G$1054,2,FALSE)</f>
        <v>Actro You(L) 550/SiSy 40kg; EB21; ľavý</v>
      </c>
      <c r="BF42" s="22">
        <f>VLOOKUP(BD42,CENY!$B$11:$G$1054,3,FALSE)</f>
        <v>10</v>
      </c>
      <c r="BG42" s="22"/>
      <c r="BH42" s="23">
        <f>AY27</f>
        <v>0</v>
      </c>
      <c r="BI42" s="326">
        <f t="shared" si="2"/>
        <v>0</v>
      </c>
      <c r="BJ42" s="95">
        <f>VLOOKUP(BD42,CENY!$B$11:$M$2025,12,FALSE)</f>
        <v>321.83461999999997</v>
      </c>
      <c r="BK42" s="95">
        <f t="shared" si="3"/>
        <v>0</v>
      </c>
    </row>
    <row r="43" spans="2:63" ht="14.4" customHeight="1">
      <c r="AU43" s="319"/>
      <c r="AV43" s="21"/>
      <c r="AW43" s="22"/>
      <c r="AX43" s="22"/>
      <c r="AY43" s="23"/>
      <c r="AZ43" s="326" t="str">
        <f t="shared" si="1"/>
        <v/>
      </c>
      <c r="BA43" s="95"/>
      <c r="BB43" s="95" t="str">
        <f t="shared" si="0"/>
        <v/>
      </c>
      <c r="BD43" s="319">
        <f>OBJ!B264</f>
        <v>9318182</v>
      </c>
      <c r="BE43" s="21" t="str">
        <f>VLOOKUP(BD43,CENY!$B$11:$G$1054,2,FALSE)</f>
        <v>Actro You(L) 550/SiSy 40kg; EB21; pravý</v>
      </c>
      <c r="BF43" s="22">
        <f>VLOOKUP(BD43,CENY!$B$11:$G$1054,3,FALSE)</f>
        <v>10</v>
      </c>
      <c r="BG43" s="22"/>
      <c r="BH43" s="23">
        <f>AY27</f>
        <v>0</v>
      </c>
      <c r="BI43" s="326">
        <f t="shared" si="2"/>
        <v>0</v>
      </c>
      <c r="BJ43" s="95">
        <f>VLOOKUP(BD43,CENY!$B$11:$M$2025,12,FALSE)</f>
        <v>321.83461999999997</v>
      </c>
      <c r="BK43" s="95">
        <f t="shared" si="3"/>
        <v>0</v>
      </c>
    </row>
    <row r="44" spans="2:63" ht="14.4" customHeight="1">
      <c r="AU44" s="319">
        <f>OBJ!B306</f>
        <v>9256886</v>
      </c>
      <c r="AV44" s="21" t="str">
        <f>VLOOKUP(AU44,CENY!$B$11:$G$1054,2,FALSE)</f>
        <v>Quadro You(M) 350/SiSy 25kg; EB21</v>
      </c>
      <c r="AW44" s="22">
        <f>VLOOKUP(AU44,CENY!$B$11:$G$1054,3,FALSE)</f>
        <v>1</v>
      </c>
      <c r="AX44" s="362">
        <v>8</v>
      </c>
      <c r="AY44" s="23">
        <f>S28</f>
        <v>0</v>
      </c>
      <c r="AZ44" s="326">
        <f t="shared" si="1"/>
        <v>0</v>
      </c>
      <c r="BA44" s="95">
        <f>VLOOKUP(AU44,CENY!$B$11:$M$2025,12,FALSE)</f>
        <v>489.27857</v>
      </c>
      <c r="BB44" s="95">
        <f t="shared" si="0"/>
        <v>0</v>
      </c>
      <c r="BD44" s="319">
        <f>OBJ!B265</f>
        <v>9318183</v>
      </c>
      <c r="BE44" s="21" t="str">
        <f>VLOOKUP(BD44,CENY!$B$11:$G$1054,2,FALSE)</f>
        <v>Actro You(L) 600/SiSy 40kg; EB21; ľavý</v>
      </c>
      <c r="BF44" s="22">
        <f>VLOOKUP(BD44,CENY!$B$11:$G$1054,3,FALSE)</f>
        <v>10</v>
      </c>
      <c r="BG44" s="22"/>
      <c r="BH44" s="23">
        <f>AY28</f>
        <v>0</v>
      </c>
      <c r="BI44" s="326">
        <f t="shared" si="2"/>
        <v>0</v>
      </c>
      <c r="BJ44" s="95">
        <f>VLOOKUP(BD44,CENY!$B$11:$M$2025,12,FALSE)</f>
        <v>326.21229</v>
      </c>
      <c r="BK44" s="95">
        <f t="shared" si="3"/>
        <v>0</v>
      </c>
    </row>
    <row r="45" spans="2:63" ht="14.4" customHeight="1">
      <c r="AU45" s="319">
        <f>OBJ!B307</f>
        <v>9256888</v>
      </c>
      <c r="AV45" s="21" t="str">
        <f>VLOOKUP(AU45,CENY!$B$11:$G$1054,2,FALSE)</f>
        <v>Quadro You(M) 400/SiSy 30kg; EB21</v>
      </c>
      <c r="AW45" s="22">
        <f>VLOOKUP(AU45,CENY!$B$11:$G$1054,3,FALSE)</f>
        <v>1</v>
      </c>
      <c r="AX45" s="362">
        <v>8</v>
      </c>
      <c r="AY45" s="23">
        <f>U28</f>
        <v>0</v>
      </c>
      <c r="AZ45" s="326">
        <f t="shared" si="1"/>
        <v>0</v>
      </c>
      <c r="BA45" s="95">
        <f>VLOOKUP(AU45,CENY!$B$11:$M$2025,12,FALSE)</f>
        <v>498.97861999999998</v>
      </c>
      <c r="BB45" s="95">
        <f t="shared" si="0"/>
        <v>0</v>
      </c>
      <c r="BD45" s="319">
        <f>OBJ!B266</f>
        <v>9318184</v>
      </c>
      <c r="BE45" s="21" t="str">
        <f>VLOOKUP(BD45,CENY!$B$11:$G$1054,2,FALSE)</f>
        <v>Actro You(L) 600/SiSy 40kg; EB21; pravý</v>
      </c>
      <c r="BF45" s="22">
        <f>VLOOKUP(BD45,CENY!$B$11:$G$1054,3,FALSE)</f>
        <v>10</v>
      </c>
      <c r="BG45" s="22"/>
      <c r="BH45" s="23">
        <f>AY28</f>
        <v>0</v>
      </c>
      <c r="BI45" s="326">
        <f t="shared" si="2"/>
        <v>0</v>
      </c>
      <c r="BJ45" s="95">
        <f>VLOOKUP(BD45,CENY!$B$11:$M$2025,12,FALSE)</f>
        <v>326.21229</v>
      </c>
      <c r="BK45" s="95">
        <f t="shared" si="3"/>
        <v>0</v>
      </c>
    </row>
    <row r="46" spans="2:63" ht="14.4" customHeight="1">
      <c r="AU46" s="319">
        <f>OBJ!B308</f>
        <v>9256890</v>
      </c>
      <c r="AV46" s="21" t="str">
        <f>VLOOKUP(AU46,CENY!$B$11:$G$1054,2,FALSE)</f>
        <v>Quadro You(M) 450/SiSy 30kg; EB21</v>
      </c>
      <c r="AW46" s="22">
        <f>VLOOKUP(AU46,CENY!$B$11:$G$1054,3,FALSE)</f>
        <v>1</v>
      </c>
      <c r="AX46" s="362">
        <v>8</v>
      </c>
      <c r="AY46" s="23">
        <f>W28</f>
        <v>0</v>
      </c>
      <c r="AZ46" s="326">
        <f t="shared" si="1"/>
        <v>0</v>
      </c>
      <c r="BA46" s="95">
        <f>VLOOKUP(AU46,CENY!$B$11:$M$2025,12,FALSE)</f>
        <v>122.98869999999999</v>
      </c>
      <c r="BB46" s="95">
        <f t="shared" si="0"/>
        <v>0</v>
      </c>
      <c r="BD46" s="319"/>
      <c r="BE46" s="21"/>
      <c r="BF46" s="22"/>
      <c r="BG46" s="22"/>
      <c r="BH46" s="23"/>
      <c r="BI46" s="326" t="str">
        <f t="shared" si="2"/>
        <v/>
      </c>
      <c r="BJ46" s="95"/>
      <c r="BK46" s="95" t="str">
        <f t="shared" si="3"/>
        <v/>
      </c>
    </row>
    <row r="47" spans="2:63" ht="14.4" customHeight="1">
      <c r="AU47" s="319">
        <f>OBJ!B309</f>
        <v>9256892</v>
      </c>
      <c r="AV47" s="21" t="str">
        <f>VLOOKUP(AU47,CENY!$B$11:$G$1054,2,FALSE)</f>
        <v>Quadro You(M) 500/SiSy 30kg; EB21</v>
      </c>
      <c r="AW47" s="22">
        <f>VLOOKUP(AU47,CENY!$B$11:$G$1054,3,FALSE)</f>
        <v>1</v>
      </c>
      <c r="AX47" s="362">
        <v>8</v>
      </c>
      <c r="AY47" s="23">
        <f>Y28</f>
        <v>0</v>
      </c>
      <c r="AZ47" s="326">
        <f t="shared" si="1"/>
        <v>0</v>
      </c>
      <c r="BA47" s="95">
        <f>VLOOKUP(AU47,CENY!$B$11:$M$2025,12,FALSE)</f>
        <v>504.59701000000001</v>
      </c>
      <c r="BB47" s="95">
        <f t="shared" si="0"/>
        <v>0</v>
      </c>
      <c r="BD47" s="319">
        <f>OBJ!B273</f>
        <v>9318198</v>
      </c>
      <c r="BE47" s="21" t="str">
        <f>VLOOKUP(BD47,CENY!$B$11:$G$1054,2,FALSE)</f>
        <v>Actro You(XL) 450/SiSy 70kg; EB21; ľavý</v>
      </c>
      <c r="BF47" s="22">
        <f>VLOOKUP(BD47,CENY!$B$11:$G$1054,3,FALSE)</f>
        <v>10</v>
      </c>
      <c r="BG47" s="22"/>
      <c r="BH47" s="23">
        <f>AY30</f>
        <v>0</v>
      </c>
      <c r="BI47" s="326">
        <f t="shared" si="2"/>
        <v>0</v>
      </c>
      <c r="BJ47" s="95">
        <f>VLOOKUP(BD47,CENY!$B$11:$M$2025,12,FALSE)</f>
        <v>368.62277</v>
      </c>
      <c r="BK47" s="95">
        <f t="shared" si="3"/>
        <v>0</v>
      </c>
    </row>
    <row r="48" spans="2:63" ht="14.4" customHeight="1">
      <c r="AU48" s="319">
        <f>OBJ!B310</f>
        <v>9256894</v>
      </c>
      <c r="AV48" s="21" t="str">
        <f>VLOOKUP(AU48,CENY!$B$11:$G$1054,2,FALSE)</f>
        <v>Quadro You(M) 550/SiSy 30kg; EB21</v>
      </c>
      <c r="AW48" s="22">
        <f>VLOOKUP(AU48,CENY!$B$11:$G$1054,3,FALSE)</f>
        <v>1</v>
      </c>
      <c r="AX48" s="362">
        <v>8</v>
      </c>
      <c r="AY48" s="23">
        <f>AA28</f>
        <v>0</v>
      </c>
      <c r="AZ48" s="326">
        <f t="shared" si="1"/>
        <v>0</v>
      </c>
      <c r="BA48" s="95">
        <f>VLOOKUP(AU48,CENY!$B$11:$M$2025,12,FALSE)</f>
        <v>127.68105</v>
      </c>
      <c r="BB48" s="95">
        <f t="shared" si="0"/>
        <v>0</v>
      </c>
      <c r="BD48" s="319">
        <f>OBJ!B274</f>
        <v>9318199</v>
      </c>
      <c r="BE48" s="21" t="str">
        <f>VLOOKUP(BD48,CENY!$B$11:$G$1054,2,FALSE)</f>
        <v>Actro You(XL) 450/SiSy 70kg; EB21; pravý</v>
      </c>
      <c r="BF48" s="22">
        <f>VLOOKUP(BD48,CENY!$B$11:$G$1054,3,FALSE)</f>
        <v>10</v>
      </c>
      <c r="BG48" s="22"/>
      <c r="BH48" s="23">
        <f>AY30</f>
        <v>0</v>
      </c>
      <c r="BI48" s="326">
        <f t="shared" si="2"/>
        <v>0</v>
      </c>
      <c r="BJ48" s="95">
        <f>VLOOKUP(BD48,CENY!$B$11:$M$2025,12,FALSE)</f>
        <v>368.62277</v>
      </c>
      <c r="BK48" s="95">
        <f t="shared" si="3"/>
        <v>0</v>
      </c>
    </row>
    <row r="49" spans="47:63" ht="14.4" customHeight="1">
      <c r="AU49" s="319">
        <f>OBJ!B311</f>
        <v>9256896</v>
      </c>
      <c r="AV49" s="21" t="str">
        <f>VLOOKUP(AU49,CENY!$B$11:$G$1054,2,FALSE)</f>
        <v>Quadro You(M) 600/SiSy 25kg; EB21</v>
      </c>
      <c r="AW49" s="22">
        <f>VLOOKUP(AU49,CENY!$B$11:$G$1054,3,FALSE)</f>
        <v>1</v>
      </c>
      <c r="AX49" s="362">
        <v>8</v>
      </c>
      <c r="AY49" s="23">
        <f>AC28</f>
        <v>0</v>
      </c>
      <c r="AZ49" s="326">
        <f t="shared" si="1"/>
        <v>0</v>
      </c>
      <c r="BA49" s="95">
        <f>VLOOKUP(AU49,CENY!$B$11:$M$2025,12,FALSE)</f>
        <v>537.79395</v>
      </c>
      <c r="BB49" s="95">
        <f t="shared" si="0"/>
        <v>0</v>
      </c>
      <c r="BD49" s="319">
        <f>OBJ!B275</f>
        <v>9318201</v>
      </c>
      <c r="BE49" s="21" t="str">
        <f>VLOOKUP(BD49,CENY!$B$11:$G$1054,2,FALSE)</f>
        <v>Actro You(XL) 500/SiSy 70kg; EB21; ľavý</v>
      </c>
      <c r="BF49" s="22">
        <f>VLOOKUP(BD49,CENY!$B$11:$G$1054,3,FALSE)</f>
        <v>10</v>
      </c>
      <c r="BG49" s="22"/>
      <c r="BH49" s="23">
        <f>AY31</f>
        <v>0</v>
      </c>
      <c r="BI49" s="326">
        <f t="shared" si="2"/>
        <v>0</v>
      </c>
      <c r="BJ49" s="95">
        <f>VLOOKUP(BD49,CENY!$B$11:$M$2025,12,FALSE)</f>
        <v>372.33726999999999</v>
      </c>
      <c r="BK49" s="95">
        <f t="shared" si="3"/>
        <v>0</v>
      </c>
    </row>
    <row r="50" spans="47:63" ht="14.4" customHeight="1">
      <c r="AU50" s="319"/>
      <c r="AV50" s="21"/>
      <c r="AW50" s="22"/>
      <c r="AX50" s="22"/>
      <c r="AY50" s="23"/>
      <c r="AZ50" s="326" t="str">
        <f t="shared" si="1"/>
        <v/>
      </c>
      <c r="BA50" s="95"/>
      <c r="BB50" s="95" t="str">
        <f t="shared" si="0"/>
        <v/>
      </c>
      <c r="BD50" s="319">
        <f>OBJ!B276</f>
        <v>9318203</v>
      </c>
      <c r="BE50" s="21" t="str">
        <f>VLOOKUP(BD50,CENY!$B$11:$G$1054,2,FALSE)</f>
        <v>Actro You(XL) 500/SiSy 70kg; EB21; pravý</v>
      </c>
      <c r="BF50" s="22">
        <f>VLOOKUP(BD50,CENY!$B$11:$G$1054,3,FALSE)</f>
        <v>10</v>
      </c>
      <c r="BG50" s="22"/>
      <c r="BH50" s="23">
        <f>AY31</f>
        <v>0</v>
      </c>
      <c r="BI50" s="326">
        <f t="shared" si="2"/>
        <v>0</v>
      </c>
      <c r="BJ50" s="95">
        <f>VLOOKUP(BD50,CENY!$B$11:$M$2025,12,FALSE)</f>
        <v>372.33726999999999</v>
      </c>
      <c r="BK50" s="95">
        <f t="shared" si="3"/>
        <v>0</v>
      </c>
    </row>
    <row r="51" spans="47:63" ht="14.4" customHeight="1">
      <c r="AU51" s="319">
        <f>OBJ!B329</f>
        <v>9257894</v>
      </c>
      <c r="AV51" s="21" t="str">
        <f>VLOOKUP(AU51,CENY!$B$11:$G$1054,2,FALSE)</f>
        <v>Quadro You - Push to open Silent; &lt;10kg</v>
      </c>
      <c r="AW51" s="22">
        <f>VLOOKUP(AU51,CENY!$B$11:$G$1054,3,FALSE)</f>
        <v>1</v>
      </c>
      <c r="AX51" s="22"/>
      <c r="AY51" s="23">
        <f>AN27</f>
        <v>0</v>
      </c>
      <c r="AZ51" s="326">
        <f t="shared" si="1"/>
        <v>0</v>
      </c>
      <c r="BA51" s="95">
        <f>VLOOKUP(AU51,CENY!$B$11:$M$2025,12,FALSE)</f>
        <v>480.50922000000003</v>
      </c>
      <c r="BB51" s="95">
        <f t="shared" si="0"/>
        <v>0</v>
      </c>
      <c r="BD51" s="319">
        <f>OBJ!B277</f>
        <v>9318208</v>
      </c>
      <c r="BE51" s="21" t="str">
        <f>VLOOKUP(BD51,CENY!$B$11:$G$1054,2,FALSE)</f>
        <v>Actro You(XL) 550/SiSy 70kg; EB21; ľavý</v>
      </c>
      <c r="BF51" s="22">
        <f>VLOOKUP(BD51,CENY!$B$11:$G$1054,3,FALSE)</f>
        <v>10</v>
      </c>
      <c r="BG51" s="22"/>
      <c r="BH51" s="23">
        <f>AY32</f>
        <v>0</v>
      </c>
      <c r="BI51" s="326">
        <f t="shared" si="2"/>
        <v>0</v>
      </c>
      <c r="BJ51" s="95">
        <f>VLOOKUP(BD51,CENY!$B$11:$M$2025,12,FALSE)</f>
        <v>392.11943000000002</v>
      </c>
      <c r="BK51" s="95">
        <f t="shared" si="3"/>
        <v>0</v>
      </c>
    </row>
    <row r="52" spans="47:63" ht="14.4" customHeight="1">
      <c r="AU52" s="319">
        <f>OBJ!B330</f>
        <v>9257895</v>
      </c>
      <c r="AV52" s="21" t="str">
        <f>VLOOKUP(AU52,CENY!$B$11:$G$1054,2,FALSE)</f>
        <v>Quadro You - Push to open Silent; 8-20kg</v>
      </c>
      <c r="AW52" s="22">
        <f>VLOOKUP(AU52,CENY!$B$11:$G$1054,3,FALSE)</f>
        <v>1</v>
      </c>
      <c r="AX52" s="22"/>
      <c r="AY52" s="23">
        <f>AN28</f>
        <v>0</v>
      </c>
      <c r="AZ52" s="326">
        <f t="shared" si="1"/>
        <v>0</v>
      </c>
      <c r="BA52" s="95">
        <f>VLOOKUP(AU52,CENY!$B$11:$M$2025,12,FALSE)</f>
        <v>480.50922000000003</v>
      </c>
      <c r="BB52" s="95">
        <f t="shared" si="0"/>
        <v>0</v>
      </c>
      <c r="BD52" s="319">
        <f>OBJ!B278</f>
        <v>9318209</v>
      </c>
      <c r="BE52" s="21" t="str">
        <f>VLOOKUP(BD52,CENY!$B$11:$G$1054,2,FALSE)</f>
        <v>Actro You(XL) 550/SiSy 70kg; EB21; pravý</v>
      </c>
      <c r="BF52" s="22">
        <f>VLOOKUP(BD52,CENY!$B$11:$G$1054,3,FALSE)</f>
        <v>10</v>
      </c>
      <c r="BG52" s="22"/>
      <c r="BH52" s="23">
        <f>AY32</f>
        <v>0</v>
      </c>
      <c r="BI52" s="326">
        <f t="shared" si="2"/>
        <v>0</v>
      </c>
      <c r="BJ52" s="95">
        <f>VLOOKUP(BD52,CENY!$B$11:$M$2025,12,FALSE)</f>
        <v>392.11943000000002</v>
      </c>
      <c r="BK52" s="95">
        <f t="shared" si="3"/>
        <v>0</v>
      </c>
    </row>
    <row r="53" spans="47:63" ht="14.4" customHeight="1">
      <c r="AU53" s="319">
        <f>OBJ!B331</f>
        <v>9257896</v>
      </c>
      <c r="AV53" s="21" t="str">
        <f>VLOOKUP(AU53,CENY!$B$11:$G$1054,2,FALSE)</f>
        <v>Quadro You - Push to open Silent; 10-30kg</v>
      </c>
      <c r="AW53" s="22">
        <f>VLOOKUP(AU53,CENY!$B$11:$G$1054,3,FALSE)</f>
        <v>1</v>
      </c>
      <c r="AX53" s="22"/>
      <c r="AY53" s="23">
        <f>AN29</f>
        <v>0</v>
      </c>
      <c r="AZ53" s="326">
        <f t="shared" si="1"/>
        <v>0</v>
      </c>
      <c r="BA53" s="95">
        <f>VLOOKUP(AU53,CENY!$B$11:$M$2025,12,FALSE)</f>
        <v>480.50922000000003</v>
      </c>
      <c r="BB53" s="95">
        <f t="shared" si="0"/>
        <v>0</v>
      </c>
      <c r="BD53" s="319">
        <f>OBJ!B279</f>
        <v>9318211</v>
      </c>
      <c r="BE53" s="21" t="str">
        <f>VLOOKUP(BD53,CENY!$B$11:$G$1054,2,FALSE)</f>
        <v>Actro You(XL) 600/SiSy 70kg; EB21; ľavý</v>
      </c>
      <c r="BF53" s="22">
        <f>VLOOKUP(BD53,CENY!$B$11:$G$1054,3,FALSE)</f>
        <v>10</v>
      </c>
      <c r="BG53" s="22"/>
      <c r="BH53" s="23">
        <f>AY33</f>
        <v>0</v>
      </c>
      <c r="BI53" s="326">
        <f t="shared" si="2"/>
        <v>0</v>
      </c>
      <c r="BJ53" s="95">
        <f>VLOOKUP(BD53,CENY!$B$11:$M$2025,12,FALSE)</f>
        <v>443.89010999999999</v>
      </c>
      <c r="BK53" s="95">
        <f t="shared" si="3"/>
        <v>0</v>
      </c>
    </row>
    <row r="54" spans="47:63" ht="14.4" customHeight="1">
      <c r="AU54" s="319"/>
      <c r="AV54" s="21"/>
      <c r="AW54" s="22"/>
      <c r="AX54" s="22"/>
      <c r="AY54" s="23"/>
      <c r="AZ54" s="326" t="str">
        <f t="shared" si="1"/>
        <v/>
      </c>
      <c r="BA54" s="95"/>
      <c r="BB54" s="95" t="str">
        <f t="shared" si="0"/>
        <v/>
      </c>
      <c r="BD54" s="319">
        <f>OBJ!B280</f>
        <v>9318212</v>
      </c>
      <c r="BE54" s="21" t="str">
        <f>VLOOKUP(BD54,CENY!$B$11:$G$1054,2,FALSE)</f>
        <v>Actro You(XL) 600/SiSy 70kg; EB21; pravý</v>
      </c>
      <c r="BF54" s="22">
        <f>VLOOKUP(BD54,CENY!$B$11:$G$1054,3,FALSE)</f>
        <v>10</v>
      </c>
      <c r="BG54" s="22"/>
      <c r="BH54" s="23">
        <f>AY33</f>
        <v>0</v>
      </c>
      <c r="BI54" s="326">
        <f t="shared" si="2"/>
        <v>0</v>
      </c>
      <c r="BJ54" s="95">
        <f>VLOOKUP(BD54,CENY!$B$11:$M$2025,12,FALSE)</f>
        <v>443.89010999999999</v>
      </c>
      <c r="BK54" s="95">
        <f t="shared" si="3"/>
        <v>0</v>
      </c>
    </row>
    <row r="55" spans="47:63" ht="14.4" customHeight="1">
      <c r="AU55" s="319">
        <f>OBJ!B335</f>
        <v>9256931</v>
      </c>
      <c r="AV55" s="21" t="str">
        <f>VLOOKUP(AU55,CENY!$B$11:$G$1054,2,FALSE)</f>
        <v>Quadro You(M) 350/P2O 25kg; EB21</v>
      </c>
      <c r="AW55" s="22">
        <f>VLOOKUP(AU55,CENY!$B$11:$G$1054,3,FALSE)</f>
        <v>1</v>
      </c>
      <c r="AX55" s="362">
        <v>8</v>
      </c>
      <c r="AY55" s="23">
        <f>S30</f>
        <v>0</v>
      </c>
      <c r="AZ55" s="326">
        <f t="shared" si="1"/>
        <v>0</v>
      </c>
      <c r="BA55" s="95">
        <f>VLOOKUP(AU55,CENY!$B$11:$M$2025,12,FALSE)</f>
        <v>547.49897999999996</v>
      </c>
      <c r="BB55" s="95">
        <f t="shared" si="0"/>
        <v>0</v>
      </c>
      <c r="BD55" s="319">
        <f>OBJ!B281</f>
        <v>9318213</v>
      </c>
      <c r="BE55" s="21" t="str">
        <f>VLOOKUP(BD55,CENY!$B$11:$G$1054,2,FALSE)</f>
        <v>Actro You(XL) 650/SiSy 70kg; EB21; ľavý</v>
      </c>
      <c r="BF55" s="22">
        <f>VLOOKUP(BD55,CENY!$B$11:$G$1054,3,FALSE)</f>
        <v>5</v>
      </c>
      <c r="BG55" s="22"/>
      <c r="BH55" s="23">
        <f>AY34</f>
        <v>0</v>
      </c>
      <c r="BI55" s="326">
        <f t="shared" si="2"/>
        <v>0</v>
      </c>
      <c r="BJ55" s="95">
        <f>VLOOKUP(BD55,CENY!$B$11:$M$2025,12,FALSE)</f>
        <v>462.41142000000002</v>
      </c>
      <c r="BK55" s="95">
        <f t="shared" si="3"/>
        <v>0</v>
      </c>
    </row>
    <row r="56" spans="47:63" ht="14.4" customHeight="1">
      <c r="AU56" s="319">
        <f>OBJ!B336</f>
        <v>9256933</v>
      </c>
      <c r="AV56" s="21" t="str">
        <f>VLOOKUP(AU56,CENY!$B$11:$G$1054,2,FALSE)</f>
        <v>Quadro You(M) 400/P2O 30kg; EB21</v>
      </c>
      <c r="AW56" s="22">
        <f>VLOOKUP(AU56,CENY!$B$11:$G$1054,3,FALSE)</f>
        <v>1</v>
      </c>
      <c r="AX56" s="362">
        <v>8</v>
      </c>
      <c r="AY56" s="23">
        <f>U30</f>
        <v>0</v>
      </c>
      <c r="AZ56" s="326">
        <f t="shared" si="1"/>
        <v>0</v>
      </c>
      <c r="BA56" s="95">
        <f>VLOOKUP(AU56,CENY!$B$11:$M$2025,12,FALSE)</f>
        <v>557.20162000000005</v>
      </c>
      <c r="BB56" s="95">
        <f t="shared" si="0"/>
        <v>0</v>
      </c>
      <c r="BD56" s="319">
        <f>OBJ!B282</f>
        <v>9318214</v>
      </c>
      <c r="BE56" s="21" t="str">
        <f>VLOOKUP(BD56,CENY!$B$11:$G$1054,2,FALSE)</f>
        <v>Actro You(XL) 650/SiSy 70kg; EB21; pravý</v>
      </c>
      <c r="BF56" s="22">
        <f>VLOOKUP(BD56,CENY!$B$11:$G$1054,3,FALSE)</f>
        <v>5</v>
      </c>
      <c r="BG56" s="22"/>
      <c r="BH56" s="23">
        <f>AY34</f>
        <v>0</v>
      </c>
      <c r="BI56" s="326">
        <f t="shared" si="2"/>
        <v>0</v>
      </c>
      <c r="BJ56" s="95">
        <f>VLOOKUP(BD56,CENY!$B$11:$M$2025,12,FALSE)</f>
        <v>462.41142000000002</v>
      </c>
      <c r="BK56" s="95">
        <f t="shared" si="3"/>
        <v>0</v>
      </c>
    </row>
    <row r="57" spans="47:63" ht="14.4" customHeight="1">
      <c r="AU57" s="319">
        <f>OBJ!B337</f>
        <v>9256935</v>
      </c>
      <c r="AV57" s="21" t="str">
        <f>VLOOKUP(AU57,CENY!$B$11:$G$1054,2,FALSE)</f>
        <v>Quadro You(M) 450/P2O 30kg; EB21</v>
      </c>
      <c r="AW57" s="22">
        <f>VLOOKUP(AU57,CENY!$B$11:$G$1054,3,FALSE)</f>
        <v>1</v>
      </c>
      <c r="AX57" s="362">
        <v>8</v>
      </c>
      <c r="AY57" s="23">
        <f>W30</f>
        <v>0</v>
      </c>
      <c r="AZ57" s="326">
        <f t="shared" si="1"/>
        <v>0</v>
      </c>
      <c r="BA57" s="95">
        <f>VLOOKUP(AU57,CENY!$B$11:$M$2025,12,FALSE)</f>
        <v>566.90911000000006</v>
      </c>
      <c r="BB57" s="95">
        <f t="shared" si="0"/>
        <v>0</v>
      </c>
      <c r="BD57" s="319"/>
      <c r="BE57" s="21"/>
      <c r="BF57" s="22"/>
      <c r="BG57" s="22"/>
      <c r="BH57" s="23"/>
      <c r="BI57" s="326" t="str">
        <f t="shared" si="2"/>
        <v/>
      </c>
      <c r="BJ57" s="95"/>
      <c r="BK57" s="95" t="str">
        <f t="shared" si="3"/>
        <v/>
      </c>
    </row>
    <row r="58" spans="47:63" ht="14.4" customHeight="1">
      <c r="AU58" s="319">
        <f>OBJ!B338</f>
        <v>9256937</v>
      </c>
      <c r="AV58" s="21" t="str">
        <f>VLOOKUP(AU58,CENY!$B$11:$G$1054,2,FALSE)</f>
        <v>Quadro You(M) 500/P2O 30kg; EB21</v>
      </c>
      <c r="AW58" s="22">
        <f>VLOOKUP(AU58,CENY!$B$11:$G$1054,3,FALSE)</f>
        <v>1</v>
      </c>
      <c r="AX58" s="362">
        <v>8</v>
      </c>
      <c r="AY58" s="23">
        <f>Y30</f>
        <v>0</v>
      </c>
      <c r="AZ58" s="326">
        <f t="shared" si="1"/>
        <v>0</v>
      </c>
      <c r="BA58" s="95">
        <f>VLOOKUP(AU58,CENY!$B$11:$M$2025,12,FALSE)</f>
        <v>139.41228000000001</v>
      </c>
      <c r="BB58" s="95">
        <f t="shared" si="0"/>
        <v>0</v>
      </c>
      <c r="BD58" s="319">
        <f>OBJ!B284</f>
        <v>9257890</v>
      </c>
      <c r="BE58" s="21" t="str">
        <f>VLOOKUP(BD58,CENY!$B$11:$G$1054,2,FALSE)</f>
        <v>Actro You - Push to open Silent; &lt;10kg</v>
      </c>
      <c r="BF58" s="22">
        <f>VLOOKUP(BD58,CENY!$B$11:$G$1054,3,FALSE)</f>
        <v>1</v>
      </c>
      <c r="BG58" s="22"/>
      <c r="BH58" s="23">
        <f>AY36</f>
        <v>0</v>
      </c>
      <c r="BI58" s="326">
        <f t="shared" si="2"/>
        <v>0</v>
      </c>
      <c r="BJ58" s="95">
        <f>VLOOKUP(BD58,CENY!$B$11:$M$2025,12,FALSE)</f>
        <v>481.81412999999998</v>
      </c>
      <c r="BK58" s="95">
        <f t="shared" si="3"/>
        <v>0</v>
      </c>
    </row>
    <row r="59" spans="47:63" ht="14.4" customHeight="1">
      <c r="AU59" s="319">
        <f>OBJ!B339</f>
        <v>9256939</v>
      </c>
      <c r="AV59" s="21" t="str">
        <f>VLOOKUP(AU59,CENY!$B$11:$G$1054,2,FALSE)</f>
        <v>Quadro You(M) 550/P2O 30kg; EB21</v>
      </c>
      <c r="AW59" s="22">
        <f>VLOOKUP(AU59,CENY!$B$11:$G$1054,3,FALSE)</f>
        <v>1</v>
      </c>
      <c r="AX59" s="362">
        <v>8</v>
      </c>
      <c r="AY59" s="23">
        <f>AA30</f>
        <v>0</v>
      </c>
      <c r="AZ59" s="326">
        <f t="shared" si="1"/>
        <v>0</v>
      </c>
      <c r="BA59" s="95">
        <f>VLOOKUP(AU59,CENY!$B$11:$M$2025,12,FALSE)</f>
        <v>586.3143</v>
      </c>
      <c r="BB59" s="95">
        <f t="shared" si="0"/>
        <v>0</v>
      </c>
      <c r="BD59" s="319">
        <f>OBJ!B285</f>
        <v>9257891</v>
      </c>
      <c r="BE59" s="21" t="str">
        <f>VLOOKUP(BD59,CENY!$B$11:$G$1054,2,FALSE)</f>
        <v>Actro You - Push to open Silent; 8-20kg</v>
      </c>
      <c r="BF59" s="22">
        <f>VLOOKUP(BD59,CENY!$B$11:$G$1054,3,FALSE)</f>
        <v>1</v>
      </c>
      <c r="BG59" s="22"/>
      <c r="BH59" s="23">
        <f>AY37</f>
        <v>0</v>
      </c>
      <c r="BI59" s="326">
        <f t="shared" si="2"/>
        <v>0</v>
      </c>
      <c r="BJ59" s="95">
        <f>VLOOKUP(BD59,CENY!$B$11:$M$2025,12,FALSE)</f>
        <v>481.81412999999998</v>
      </c>
      <c r="BK59" s="95">
        <f t="shared" si="3"/>
        <v>0</v>
      </c>
    </row>
    <row r="60" spans="47:63" ht="14.4" customHeight="1">
      <c r="AU60" s="319">
        <f>OBJ!B340</f>
        <v>9256941</v>
      </c>
      <c r="AV60" s="21" t="str">
        <f>VLOOKUP(AU60,CENY!$B$11:$G$1054,2,FALSE)</f>
        <v>Quadro You(M) 600/P2O 25kg; EB21</v>
      </c>
      <c r="AW60" s="22">
        <f>VLOOKUP(AU60,CENY!$B$11:$G$1054,3,FALSE)</f>
        <v>1</v>
      </c>
      <c r="AX60" s="362">
        <v>8</v>
      </c>
      <c r="AY60" s="23">
        <f>AC30</f>
        <v>0</v>
      </c>
      <c r="AZ60" s="326">
        <f t="shared" si="1"/>
        <v>0</v>
      </c>
      <c r="BA60" s="95">
        <f>VLOOKUP(AU60,CENY!$B$11:$M$2025,12,FALSE)</f>
        <v>596.01683000000003</v>
      </c>
      <c r="BB60" s="95">
        <f t="shared" si="0"/>
        <v>0</v>
      </c>
      <c r="BD60" s="319">
        <f>OBJ!B286</f>
        <v>9257892</v>
      </c>
      <c r="BE60" s="21" t="str">
        <f>VLOOKUP(BD60,CENY!$B$11:$G$1054,2,FALSE)</f>
        <v>Actro You - Push to open Silent; 10-40kg</v>
      </c>
      <c r="BF60" s="22">
        <f>VLOOKUP(BD60,CENY!$B$11:$G$1054,3,FALSE)</f>
        <v>1</v>
      </c>
      <c r="BG60" s="22"/>
      <c r="BH60" s="23">
        <f>AY38</f>
        <v>0</v>
      </c>
      <c r="BI60" s="326">
        <f t="shared" si="2"/>
        <v>0</v>
      </c>
      <c r="BJ60" s="95">
        <f>VLOOKUP(BD60,CENY!$B$11:$M$2025,12,FALSE)</f>
        <v>481.81412999999998</v>
      </c>
      <c r="BK60" s="95">
        <f t="shared" si="3"/>
        <v>0</v>
      </c>
    </row>
    <row r="61" spans="47:63" ht="14.4" customHeight="1">
      <c r="AU61" s="319"/>
      <c r="AV61" s="21"/>
      <c r="AW61" s="22"/>
      <c r="AX61" s="22"/>
      <c r="AY61" s="23"/>
      <c r="AZ61" s="326" t="str">
        <f t="shared" si="1"/>
        <v/>
      </c>
      <c r="BA61" s="95"/>
      <c r="BB61" s="95" t="str">
        <f t="shared" si="0"/>
        <v/>
      </c>
      <c r="BD61" s="319">
        <f>OBJ!B287</f>
        <v>9257893</v>
      </c>
      <c r="BE61" s="21" t="str">
        <f>VLOOKUP(BD61,CENY!$B$11:$G$1054,2,FALSE)</f>
        <v>Actro You - Push to open Silent; 20-70kg</v>
      </c>
      <c r="BF61" s="22">
        <f>VLOOKUP(BD61,CENY!$B$11:$G$1054,3,FALSE)</f>
        <v>1</v>
      </c>
      <c r="BG61" s="22"/>
      <c r="BH61" s="23">
        <f>AY39</f>
        <v>0</v>
      </c>
      <c r="BI61" s="326">
        <f t="shared" si="2"/>
        <v>0</v>
      </c>
      <c r="BJ61" s="95">
        <f>VLOOKUP(BD61,CENY!$B$11:$M$2025,12,FALSE)</f>
        <v>481.81412999999998</v>
      </c>
      <c r="BK61" s="95">
        <f t="shared" si="3"/>
        <v>0</v>
      </c>
    </row>
    <row r="62" spans="47:63" ht="14.4" customHeight="1">
      <c r="AU62" s="319">
        <f>OBJ!B358</f>
        <v>9219966</v>
      </c>
      <c r="AV62" s="21" t="str">
        <f>VLOOKUP(AU62,CENY!$B$11:$G$1054,2,FALSE)</f>
        <v>Push to open Synchro / adaptér typ A</v>
      </c>
      <c r="AW62" s="22">
        <f>VLOOKUP(AU62,CENY!$B$11:$G$1054,3,FALSE)</f>
        <v>200</v>
      </c>
      <c r="AX62" s="22"/>
      <c r="AY62" s="23">
        <f>2*SUM(Q30:AD30)</f>
        <v>0</v>
      </c>
      <c r="AZ62" s="326">
        <f t="shared" si="1"/>
        <v>0</v>
      </c>
      <c r="BA62" s="95">
        <f>VLOOKUP(AU62,CENY!$B$11:$M$2025,12,FALSE)</f>
        <v>16.488900000000001</v>
      </c>
      <c r="BB62" s="95">
        <f t="shared" si="0"/>
        <v>0</v>
      </c>
      <c r="BD62" s="319">
        <f>OBJ!B288</f>
        <v>9236718</v>
      </c>
      <c r="BE62" s="21" t="str">
        <f>VLOOKUP(BD62,CENY!$B$11:$G$1054,2,FALSE)</f>
        <v>Push to open Synchro / tyč 2.000 mm</v>
      </c>
      <c r="BF62" s="22">
        <f>VLOOKUP(BD62,CENY!$B$11:$G$1054,3,FALSE)</f>
        <v>100</v>
      </c>
      <c r="BG62" s="22"/>
      <c r="BH62" s="23">
        <f>AY40</f>
        <v>0</v>
      </c>
      <c r="BI62" s="326">
        <f t="shared" si="2"/>
        <v>0</v>
      </c>
      <c r="BJ62" s="95">
        <f>VLOOKUP(BD62,CENY!$B$11:$M$2025,12,FALSE)</f>
        <v>182.03933000000001</v>
      </c>
      <c r="BK62" s="95">
        <f t="shared" si="3"/>
        <v>0</v>
      </c>
    </row>
    <row r="63" spans="47:63" ht="14.4" customHeight="1">
      <c r="AU63" s="319"/>
      <c r="AV63" s="21"/>
      <c r="AW63" s="22"/>
      <c r="AX63" s="22"/>
      <c r="AY63" s="23"/>
      <c r="AZ63" s="326" t="str">
        <f t="shared" si="1"/>
        <v/>
      </c>
      <c r="BA63" s="95"/>
      <c r="BB63" s="95" t="str">
        <f t="shared" si="0"/>
        <v/>
      </c>
      <c r="BD63" s="319"/>
      <c r="BE63" s="21"/>
      <c r="BF63" s="22"/>
      <c r="BG63" s="22"/>
      <c r="BH63" s="23"/>
      <c r="BI63" s="326" t="str">
        <f t="shared" si="2"/>
        <v/>
      </c>
      <c r="BJ63" s="95"/>
      <c r="BK63" s="95" t="str">
        <f t="shared" si="3"/>
        <v/>
      </c>
    </row>
    <row r="64" spans="47:63" ht="14.4" customHeight="1">
      <c r="AU64" s="320">
        <v>9257258</v>
      </c>
      <c r="AV64" s="321" t="str">
        <f>VLOOKUP(AU64,CENY!$B$11:$G$1054,2,FALSE)</f>
        <v>AvanY-prích.čela Inlay s rozp.púzdrom/ v187</v>
      </c>
      <c r="AW64" s="22">
        <f>VLOOKUP(AU64,CENY!$B$11:$G$1054,3,FALSE)</f>
        <v>100</v>
      </c>
      <c r="AX64" s="22"/>
      <c r="AY64" s="68">
        <v>0</v>
      </c>
      <c r="AZ64" s="326">
        <f t="shared" si="1"/>
        <v>0</v>
      </c>
      <c r="BA64" s="95">
        <f>VLOOKUP(AU64,CENY!$B$11:$M$2025,12,FALSE)</f>
        <v>51.356920000000002</v>
      </c>
      <c r="BB64" s="95">
        <f t="shared" si="0"/>
        <v>0</v>
      </c>
      <c r="BD64" s="319">
        <f>OBJ!B301</f>
        <v>9256950</v>
      </c>
      <c r="BE64" s="21" t="str">
        <f>VLOOKUP(BD64,CENY!$B$11:$G$1054,2,FALSE)</f>
        <v>Quadro You(S) 350/SiSy 10kg; EB21; ľavý</v>
      </c>
      <c r="BF64" s="22">
        <f>VLOOKUP(BD64,CENY!$B$11:$G$1054,3,FALSE)</f>
        <v>20</v>
      </c>
      <c r="BG64" s="22"/>
      <c r="BH64" s="23">
        <f>AY42</f>
        <v>0</v>
      </c>
      <c r="BI64" s="326">
        <f t="shared" si="2"/>
        <v>0</v>
      </c>
      <c r="BJ64" s="95">
        <f>VLOOKUP(BD64,CENY!$B$11:$M$2025,12,FALSE)</f>
        <v>229.11434</v>
      </c>
      <c r="BK64" s="95">
        <f t="shared" si="3"/>
        <v>0</v>
      </c>
    </row>
    <row r="65" spans="1:63" ht="14.4" customHeight="1">
      <c r="AU65" s="319"/>
      <c r="AV65" s="21"/>
      <c r="AW65" s="22"/>
      <c r="AX65" s="22"/>
      <c r="AY65" s="23"/>
      <c r="AZ65" s="326" t="str">
        <f t="shared" si="1"/>
        <v/>
      </c>
      <c r="BA65" s="95"/>
      <c r="BB65" s="95" t="str">
        <f t="shared" si="0"/>
        <v/>
      </c>
      <c r="BD65" s="319">
        <f>OBJ!B302</f>
        <v>9256951</v>
      </c>
      <c r="BE65" s="21" t="str">
        <f>VLOOKUP(BD65,CENY!$B$11:$G$1054,2,FALSE)</f>
        <v>Quadro You(S) 350/SiSy 10kg; EB21; pravý</v>
      </c>
      <c r="BF65" s="22">
        <f>VLOOKUP(BD65,CENY!$B$11:$G$1054,3,FALSE)</f>
        <v>20</v>
      </c>
      <c r="BG65" s="22"/>
      <c r="BH65" s="23">
        <f>AY42</f>
        <v>0</v>
      </c>
      <c r="BI65" s="326">
        <f t="shared" si="2"/>
        <v>0</v>
      </c>
      <c r="BJ65" s="95">
        <f>VLOOKUP(BD65,CENY!$B$11:$M$2025,12,FALSE)</f>
        <v>229.11434</v>
      </c>
      <c r="BK65" s="95">
        <f t="shared" si="3"/>
        <v>0</v>
      </c>
    </row>
    <row r="66" spans="1:63" ht="12.9" customHeight="1" thickBot="1">
      <c r="A66" s="577"/>
      <c r="AU66" s="319">
        <f>OBJ!B214</f>
        <v>0</v>
      </c>
      <c r="AV66" s="21" t="e">
        <f>VLOOKUP(AU66,CENY!$B$11:$G$1054,2,FALSE)</f>
        <v>#N/A</v>
      </c>
      <c r="AW66" s="22" t="e">
        <f>VLOOKUP(AU66,CENY!$B$11:$G$1054,3,FALSE)</f>
        <v>#N/A</v>
      </c>
      <c r="AX66" s="22"/>
      <c r="AY66" s="68">
        <f>IF(FORM!AM21&lt;&gt;FORM!AW16,(2*(+SUM(O19:T19)+SUM(O20:AD20)+SUM(W22:AF22)+SUM(O27:T27)+SUM(O28:AD28)+SUM(O30:AD30))),0)</f>
        <v>0</v>
      </c>
      <c r="AZ66" s="326">
        <f t="shared" si="1"/>
        <v>0</v>
      </c>
      <c r="BA66" s="324" t="str">
        <f>IF(AU66=0,"",VLOOKUP(AU66,CENY!$B$11:$M$2025,12,FALSE))</f>
        <v/>
      </c>
      <c r="BB66" s="95" t="str">
        <f t="shared" si="0"/>
        <v/>
      </c>
      <c r="BD66" s="319"/>
      <c r="BE66" s="21"/>
      <c r="BF66" s="22"/>
      <c r="BG66" s="22"/>
      <c r="BH66" s="23"/>
      <c r="BI66" s="326" t="str">
        <f t="shared" si="2"/>
        <v/>
      </c>
      <c r="BJ66" s="95"/>
      <c r="BK66" s="95" t="str">
        <f t="shared" si="3"/>
        <v/>
      </c>
    </row>
    <row r="67" spans="1:63" ht="23.1" customHeight="1" thickBot="1">
      <c r="A67" s="577"/>
      <c r="B67" s="484" t="str">
        <f>verze!E13</f>
        <v>&lt;&lt;  zpět</v>
      </c>
      <c r="C67" s="485"/>
      <c r="D67" s="485"/>
      <c r="E67" s="486"/>
      <c r="G67" s="513" t="str">
        <f>verze!E6</f>
        <v xml:space="preserve"> Úvod</v>
      </c>
      <c r="H67" s="514"/>
      <c r="I67" s="514"/>
      <c r="J67" s="514"/>
      <c r="K67" s="515"/>
      <c r="O67" s="513" t="str">
        <f>verze!E7</f>
        <v xml:space="preserve"> Výběr zásuvek</v>
      </c>
      <c r="P67" s="514"/>
      <c r="Q67" s="514"/>
      <c r="R67" s="514"/>
      <c r="S67" s="515"/>
      <c r="U67" s="513" t="str">
        <f>verze!E8</f>
        <v xml:space="preserve"> </v>
      </c>
      <c r="V67" s="514"/>
      <c r="W67" s="514"/>
      <c r="X67" s="514"/>
      <c r="Y67" s="515"/>
      <c r="AA67" s="513" t="str">
        <f>verze!E9</f>
        <v xml:space="preserve"> </v>
      </c>
      <c r="AB67" s="514"/>
      <c r="AC67" s="514"/>
      <c r="AD67" s="514"/>
      <c r="AE67" s="515"/>
      <c r="AI67" s="513" t="str">
        <f>verze!E10</f>
        <v xml:space="preserve"> Objednávka</v>
      </c>
      <c r="AJ67" s="514"/>
      <c r="AK67" s="514"/>
      <c r="AL67" s="514"/>
      <c r="AM67" s="515"/>
      <c r="AO67" s="475" t="str">
        <f>verze!E14</f>
        <v>vpřed  &gt;&gt;</v>
      </c>
      <c r="AP67" s="476"/>
      <c r="AQ67" s="476"/>
      <c r="AR67" s="477"/>
      <c r="AU67" s="319"/>
      <c r="AV67" s="21"/>
      <c r="AW67" s="22"/>
      <c r="AX67" s="22"/>
      <c r="AY67" s="23"/>
      <c r="AZ67" s="326" t="str">
        <f t="shared" si="1"/>
        <v/>
      </c>
      <c r="BA67" s="95"/>
      <c r="BB67" s="95" t="str">
        <f t="shared" si="0"/>
        <v/>
      </c>
      <c r="BD67" s="319">
        <f>OBJ!B316</f>
        <v>9256860</v>
      </c>
      <c r="BE67" s="21" t="str">
        <f>VLOOKUP(BD67,CENY!$B$11:$G$1054,2,FALSE)</f>
        <v>Quadro You(M) 350/SiSy 25kg; EB21; ľavý</v>
      </c>
      <c r="BF67" s="22">
        <f>VLOOKUP(BD67,CENY!$B$11:$G$1054,3,FALSE)</f>
        <v>20</v>
      </c>
      <c r="BG67" s="22"/>
      <c r="BH67" s="23">
        <f>AY44</f>
        <v>0</v>
      </c>
      <c r="BI67" s="326">
        <f t="shared" si="2"/>
        <v>0</v>
      </c>
      <c r="BJ67" s="95">
        <f>VLOOKUP(BD67,CENY!$B$11:$M$2025,12,FALSE)</f>
        <v>229.11434</v>
      </c>
      <c r="BK67" s="95">
        <f t="shared" si="3"/>
        <v>0</v>
      </c>
    </row>
    <row r="68" spans="1:63" ht="12.9" customHeight="1">
      <c r="A68" s="577"/>
      <c r="AU68" s="319"/>
      <c r="AV68" s="21"/>
      <c r="AW68" s="22"/>
      <c r="AX68" s="22"/>
      <c r="AY68" s="23"/>
      <c r="AZ68" s="326" t="str">
        <f t="shared" si="1"/>
        <v/>
      </c>
      <c r="BA68" s="95"/>
      <c r="BB68" s="95" t="str">
        <f t="shared" si="0"/>
        <v/>
      </c>
      <c r="BD68" s="319">
        <f>OBJ!B317</f>
        <v>9256861</v>
      </c>
      <c r="BE68" s="21" t="str">
        <f>VLOOKUP(BD68,CENY!$B$11:$G$1054,2,FALSE)</f>
        <v>Quadro You(M) 350/SiSy 25kg; EB21; pravý</v>
      </c>
      <c r="BF68" s="22">
        <f>VLOOKUP(BD68,CENY!$B$11:$G$1054,3,FALSE)</f>
        <v>20</v>
      </c>
      <c r="BG68" s="22"/>
      <c r="BH68" s="23">
        <f>AY44</f>
        <v>0</v>
      </c>
      <c r="BI68" s="326">
        <f t="shared" si="2"/>
        <v>0</v>
      </c>
      <c r="BJ68" s="95">
        <f>VLOOKUP(BD68,CENY!$B$11:$M$2025,12,FALSE)</f>
        <v>229.11434</v>
      </c>
      <c r="BK68" s="95">
        <f t="shared" si="3"/>
        <v>0</v>
      </c>
    </row>
    <row r="69" spans="1:63" ht="23.1" customHeight="1">
      <c r="A69" s="577"/>
      <c r="B69" s="93" t="str">
        <f>B4</f>
        <v>Zásuvka AVANTECH YOU  187 Inlay</v>
      </c>
      <c r="C69" s="89"/>
      <c r="D69" s="89"/>
      <c r="E69" s="89"/>
      <c r="F69" s="89"/>
      <c r="G69" s="89"/>
      <c r="H69" s="89"/>
      <c r="I69" s="89"/>
      <c r="J69" s="89"/>
      <c r="K69" s="89"/>
      <c r="L69" s="89"/>
      <c r="M69" s="89"/>
      <c r="N69" s="89"/>
      <c r="O69" s="89"/>
      <c r="P69" s="89"/>
      <c r="Q69" s="89"/>
      <c r="R69" s="89"/>
      <c r="S69" s="89"/>
      <c r="T69" s="89"/>
      <c r="U69" s="89"/>
      <c r="V69" s="89"/>
      <c r="W69" s="89"/>
      <c r="X69" s="89"/>
      <c r="Y69" s="89"/>
      <c r="Z69" s="89"/>
      <c r="AA69" s="89"/>
      <c r="AB69" s="89"/>
      <c r="AC69" s="89"/>
      <c r="AD69" s="89"/>
      <c r="AE69" s="89"/>
      <c r="AF69" s="89"/>
      <c r="AG69" s="89"/>
      <c r="AH69" s="89"/>
      <c r="AI69" s="89"/>
      <c r="AJ69" s="89"/>
      <c r="AK69" s="89"/>
      <c r="AL69" s="89"/>
      <c r="AM69" s="89"/>
      <c r="AN69" s="89"/>
      <c r="AO69" s="89"/>
      <c r="AP69" s="89"/>
      <c r="AQ69" s="89"/>
      <c r="AR69" s="89"/>
      <c r="AU69" s="319"/>
      <c r="AV69" s="21"/>
      <c r="AW69" s="22"/>
      <c r="AX69" s="22"/>
      <c r="AY69" s="23"/>
      <c r="AZ69" s="326" t="str">
        <f t="shared" si="1"/>
        <v/>
      </c>
      <c r="BA69" s="95"/>
      <c r="BB69" s="95" t="str">
        <f t="shared" ref="BB69:BB119" si="4">IF(BA69="","",BA69*AY69)</f>
        <v/>
      </c>
      <c r="BD69" s="319">
        <f>OBJ!B318</f>
        <v>9256864</v>
      </c>
      <c r="BE69" s="21" t="str">
        <f>VLOOKUP(BD69,CENY!$B$11:$G$1054,2,FALSE)</f>
        <v>Quadro You(M) 400/SiSy 30kg; EB21; ľavý</v>
      </c>
      <c r="BF69" s="22">
        <f>VLOOKUP(BD69,CENY!$B$11:$G$1054,3,FALSE)</f>
        <v>20</v>
      </c>
      <c r="BG69" s="22"/>
      <c r="BH69" s="23">
        <f>AY45</f>
        <v>0</v>
      </c>
      <c r="BI69" s="326">
        <f t="shared" si="2"/>
        <v>0</v>
      </c>
      <c r="BJ69" s="95">
        <f>VLOOKUP(BD69,CENY!$B$11:$M$2025,12,FALSE)</f>
        <v>233.96566000000001</v>
      </c>
      <c r="BK69" s="95">
        <f t="shared" si="3"/>
        <v>0</v>
      </c>
    </row>
    <row r="70" spans="1:63" ht="14.4" customHeight="1">
      <c r="A70" s="577"/>
      <c r="AU70" s="319"/>
      <c r="AV70" s="21"/>
      <c r="AW70" s="22"/>
      <c r="AX70" s="22"/>
      <c r="AY70" s="23"/>
      <c r="AZ70" s="326" t="str">
        <f t="shared" ref="AZ70:AZ122" si="5">IF(AY70="","",IF($AW$4=1,AY70,0))</f>
        <v/>
      </c>
      <c r="BA70" s="95"/>
      <c r="BB70" s="95" t="str">
        <f t="shared" si="4"/>
        <v/>
      </c>
      <c r="BD70" s="319">
        <f>OBJ!B319</f>
        <v>9256865</v>
      </c>
      <c r="BE70" s="21" t="str">
        <f>VLOOKUP(BD70,CENY!$B$11:$G$1054,2,FALSE)</f>
        <v>Quadro You(M) 400/SiSy 30kg; EB21; pravý</v>
      </c>
      <c r="BF70" s="22">
        <f>VLOOKUP(BD70,CENY!$B$11:$G$1054,3,FALSE)</f>
        <v>20</v>
      </c>
      <c r="BG70" s="22"/>
      <c r="BH70" s="23">
        <f>AY45</f>
        <v>0</v>
      </c>
      <c r="BI70" s="326">
        <f t="shared" ref="BI70:BI122" si="6">IF(BH70="","",IF($AW$4=0,BH70,0))</f>
        <v>0</v>
      </c>
      <c r="BJ70" s="95">
        <f>VLOOKUP(BD70,CENY!$B$11:$M$2025,12,FALSE)</f>
        <v>233.96566000000001</v>
      </c>
      <c r="BK70" s="95">
        <f t="shared" ref="BK70:BK122" si="7">IF(BJ70="","",BJ70*BH70)</f>
        <v>0</v>
      </c>
    </row>
    <row r="71" spans="1:63" ht="14.4" customHeight="1">
      <c r="A71" s="577"/>
      <c r="AU71" s="319"/>
      <c r="AV71" s="21"/>
      <c r="AW71" s="22"/>
      <c r="AX71" s="22"/>
      <c r="AY71" s="23"/>
      <c r="AZ71" s="326" t="str">
        <f t="shared" si="5"/>
        <v/>
      </c>
      <c r="BA71" s="95"/>
      <c r="BB71" s="95" t="str">
        <f t="shared" si="4"/>
        <v/>
      </c>
      <c r="BD71" s="319">
        <f>OBJ!B320</f>
        <v>9256868</v>
      </c>
      <c r="BE71" s="21" t="str">
        <f>VLOOKUP(BD71,CENY!$B$11:$G$1054,2,FALSE)</f>
        <v>Quadro You(M) 450/SiSy 30kg; EB21; ľavý</v>
      </c>
      <c r="BF71" s="22">
        <f>VLOOKUP(BD71,CENY!$B$11:$G$1054,3,FALSE)</f>
        <v>20</v>
      </c>
      <c r="BG71" s="22"/>
      <c r="BH71" s="23">
        <f>AY46</f>
        <v>0</v>
      </c>
      <c r="BI71" s="326">
        <f t="shared" si="6"/>
        <v>0</v>
      </c>
      <c r="BJ71" s="95">
        <f>VLOOKUP(BD71,CENY!$B$11:$M$2025,12,FALSE)</f>
        <v>238.81201999999999</v>
      </c>
      <c r="BK71" s="95">
        <f t="shared" si="7"/>
        <v>0</v>
      </c>
    </row>
    <row r="72" spans="1:63" ht="14.4" customHeight="1">
      <c r="A72" s="577"/>
      <c r="AU72" s="319"/>
      <c r="AV72" s="21"/>
      <c r="AW72" s="22"/>
      <c r="AX72" s="22"/>
      <c r="AY72" s="23"/>
      <c r="AZ72" s="326" t="str">
        <f t="shared" si="5"/>
        <v/>
      </c>
      <c r="BA72" s="95"/>
      <c r="BB72" s="95" t="str">
        <f t="shared" si="4"/>
        <v/>
      </c>
      <c r="BD72" s="319">
        <f>OBJ!B321</f>
        <v>9256869</v>
      </c>
      <c r="BE72" s="21" t="str">
        <f>VLOOKUP(BD72,CENY!$B$11:$G$1054,2,FALSE)</f>
        <v>Quadro You(M) 450/SiSy 30kg; EB21; pravý</v>
      </c>
      <c r="BF72" s="22">
        <f>VLOOKUP(BD72,CENY!$B$11:$G$1054,3,FALSE)</f>
        <v>20</v>
      </c>
      <c r="BG72" s="22"/>
      <c r="BH72" s="23">
        <f>AY46</f>
        <v>0</v>
      </c>
      <c r="BI72" s="326">
        <f t="shared" si="6"/>
        <v>0</v>
      </c>
      <c r="BJ72" s="95">
        <f>VLOOKUP(BD72,CENY!$B$11:$M$2025,12,FALSE)</f>
        <v>238.81201999999999</v>
      </c>
      <c r="BK72" s="95">
        <f t="shared" si="7"/>
        <v>0</v>
      </c>
    </row>
    <row r="73" spans="1:63" ht="14.4" customHeight="1">
      <c r="A73" s="577"/>
      <c r="AU73" s="319"/>
      <c r="AV73" s="21"/>
      <c r="AW73" s="22"/>
      <c r="AX73" s="22"/>
      <c r="AY73" s="23"/>
      <c r="AZ73" s="326" t="str">
        <f t="shared" si="5"/>
        <v/>
      </c>
      <c r="BA73" s="95"/>
      <c r="BB73" s="95" t="str">
        <f t="shared" si="4"/>
        <v/>
      </c>
      <c r="BD73" s="319">
        <f>OBJ!B322</f>
        <v>9256872</v>
      </c>
      <c r="BE73" s="21" t="str">
        <f>VLOOKUP(BD73,CENY!$B$11:$G$1054,2,FALSE)</f>
        <v>Quadro You(M) 500/SiSy 30kg; EB21; ľavý</v>
      </c>
      <c r="BF73" s="22">
        <f>VLOOKUP(BD73,CENY!$B$11:$G$1054,3,FALSE)</f>
        <v>20</v>
      </c>
      <c r="BG73" s="22"/>
      <c r="BH73" s="23">
        <f>AY47</f>
        <v>0</v>
      </c>
      <c r="BI73" s="326">
        <f t="shared" si="6"/>
        <v>0</v>
      </c>
      <c r="BJ73" s="95">
        <f>VLOOKUP(BD73,CENY!$B$11:$M$2025,12,FALSE)</f>
        <v>237.18776</v>
      </c>
      <c r="BK73" s="95">
        <f t="shared" si="7"/>
        <v>0</v>
      </c>
    </row>
    <row r="74" spans="1:63" ht="14.4" customHeight="1">
      <c r="A74" s="577"/>
      <c r="AU74" s="319"/>
      <c r="AV74" s="21"/>
      <c r="AW74" s="22"/>
      <c r="AX74" s="22"/>
      <c r="AY74" s="23"/>
      <c r="AZ74" s="326" t="str">
        <f t="shared" si="5"/>
        <v/>
      </c>
      <c r="BA74" s="95"/>
      <c r="BB74" s="95" t="str">
        <f t="shared" si="4"/>
        <v/>
      </c>
      <c r="BD74" s="319">
        <f>OBJ!B323</f>
        <v>9256873</v>
      </c>
      <c r="BE74" s="21" t="str">
        <f>VLOOKUP(BD74,CENY!$B$11:$G$1054,2,FALSE)</f>
        <v>Quadro You(M) 500/SiSy 30kg; EB21; pravý</v>
      </c>
      <c r="BF74" s="22">
        <f>VLOOKUP(BD74,CENY!$B$11:$G$1054,3,FALSE)</f>
        <v>20</v>
      </c>
      <c r="BG74" s="22"/>
      <c r="BH74" s="23">
        <f>AY47</f>
        <v>0</v>
      </c>
      <c r="BI74" s="326">
        <f t="shared" si="6"/>
        <v>0</v>
      </c>
      <c r="BJ74" s="95">
        <f>VLOOKUP(BD74,CENY!$B$11:$M$2025,12,FALSE)</f>
        <v>237.18776</v>
      </c>
      <c r="BK74" s="95">
        <f t="shared" si="7"/>
        <v>0</v>
      </c>
    </row>
    <row r="75" spans="1:63" ht="14.4" customHeight="1">
      <c r="A75" s="577"/>
      <c r="AU75" s="319"/>
      <c r="AV75" s="21"/>
      <c r="AW75" s="22"/>
      <c r="AX75" s="22"/>
      <c r="AY75" s="23"/>
      <c r="AZ75" s="326" t="str">
        <f t="shared" si="5"/>
        <v/>
      </c>
      <c r="BA75" s="95"/>
      <c r="BB75" s="95" t="str">
        <f t="shared" si="4"/>
        <v/>
      </c>
      <c r="BD75" s="319">
        <f>OBJ!B324</f>
        <v>9256876</v>
      </c>
      <c r="BE75" s="21" t="str">
        <f>VLOOKUP(BD75,CENY!$B$11:$G$1054,2,FALSE)</f>
        <v>Quadro You(M) 550/SiSy 30kg; EB21; ľavý</v>
      </c>
      <c r="BF75" s="22">
        <f>VLOOKUP(BD75,CENY!$B$11:$G$1054,3,FALSE)</f>
        <v>20</v>
      </c>
      <c r="BG75" s="22"/>
      <c r="BH75" s="23">
        <f>AY48</f>
        <v>0</v>
      </c>
      <c r="BI75" s="326">
        <f t="shared" si="6"/>
        <v>0</v>
      </c>
      <c r="BJ75" s="95">
        <f>VLOOKUP(BD75,CENY!$B$11:$M$2025,12,FALSE)</f>
        <v>241.90996999999999</v>
      </c>
      <c r="BK75" s="95">
        <f t="shared" si="7"/>
        <v>0</v>
      </c>
    </row>
    <row r="76" spans="1:63" ht="14.4" customHeight="1">
      <c r="A76" s="577"/>
      <c r="AU76" s="319"/>
      <c r="AV76" s="21"/>
      <c r="AW76" s="22"/>
      <c r="AX76" s="22"/>
      <c r="AY76" s="23"/>
      <c r="AZ76" s="326" t="str">
        <f t="shared" si="5"/>
        <v/>
      </c>
      <c r="BA76" s="95"/>
      <c r="BB76" s="95" t="str">
        <f t="shared" si="4"/>
        <v/>
      </c>
      <c r="BD76" s="319">
        <f>OBJ!B325</f>
        <v>9256877</v>
      </c>
      <c r="BE76" s="21" t="str">
        <f>VLOOKUP(BD76,CENY!$B$11:$G$1054,2,FALSE)</f>
        <v>Quadro You(M) 550/SiSy 30kg; EB21; pravý</v>
      </c>
      <c r="BF76" s="22">
        <f>VLOOKUP(BD76,CENY!$B$11:$G$1054,3,FALSE)</f>
        <v>20</v>
      </c>
      <c r="BG76" s="22"/>
      <c r="BH76" s="23">
        <f>AY48</f>
        <v>0</v>
      </c>
      <c r="BI76" s="326">
        <f t="shared" si="6"/>
        <v>0</v>
      </c>
      <c r="BJ76" s="95">
        <f>VLOOKUP(BD76,CENY!$B$11:$M$2025,12,FALSE)</f>
        <v>248.51953</v>
      </c>
      <c r="BK76" s="95">
        <f t="shared" si="7"/>
        <v>0</v>
      </c>
    </row>
    <row r="77" spans="1:63" ht="14.4" customHeight="1">
      <c r="A77" s="577"/>
      <c r="AU77" s="319"/>
      <c r="AV77" s="21"/>
      <c r="AW77" s="22"/>
      <c r="AX77" s="22"/>
      <c r="AY77" s="23"/>
      <c r="AZ77" s="326" t="str">
        <f t="shared" si="5"/>
        <v/>
      </c>
      <c r="BA77" s="95"/>
      <c r="BB77" s="95" t="str">
        <f t="shared" si="4"/>
        <v/>
      </c>
      <c r="BD77" s="319">
        <f>OBJ!B326</f>
        <v>9256880</v>
      </c>
      <c r="BE77" s="21" t="str">
        <f>VLOOKUP(BD77,CENY!$B$11:$G$1054,2,FALSE)</f>
        <v>Quadro You(M) 600/SiSy 25kg; EB21; ľavý</v>
      </c>
      <c r="BF77" s="22">
        <f>VLOOKUP(BD77,CENY!$B$11:$G$1054,3,FALSE)</f>
        <v>20</v>
      </c>
      <c r="BG77" s="22"/>
      <c r="BH77" s="23">
        <f>AY49</f>
        <v>0</v>
      </c>
      <c r="BI77" s="326">
        <f t="shared" si="6"/>
        <v>0</v>
      </c>
      <c r="BJ77" s="95">
        <f>VLOOKUP(BD77,CENY!$B$11:$M$2025,12,FALSE)</f>
        <v>253.36837</v>
      </c>
      <c r="BK77" s="95">
        <f t="shared" si="7"/>
        <v>0</v>
      </c>
    </row>
    <row r="78" spans="1:63" ht="14.4" customHeight="1">
      <c r="A78" s="577"/>
      <c r="AU78" s="319"/>
      <c r="AV78" s="21"/>
      <c r="AW78" s="22"/>
      <c r="AX78" s="22"/>
      <c r="AY78" s="23"/>
      <c r="AZ78" s="326" t="str">
        <f t="shared" si="5"/>
        <v/>
      </c>
      <c r="BA78" s="95"/>
      <c r="BB78" s="95" t="str">
        <f t="shared" si="4"/>
        <v/>
      </c>
      <c r="BD78" s="319">
        <f>OBJ!B327</f>
        <v>9256881</v>
      </c>
      <c r="BE78" s="21" t="str">
        <f>VLOOKUP(BD78,CENY!$B$11:$G$1054,2,FALSE)</f>
        <v>Quadro You(M) 600/SiSy 25kg; EB21; pravý</v>
      </c>
      <c r="BF78" s="22">
        <f>VLOOKUP(BD78,CENY!$B$11:$G$1054,3,FALSE)</f>
        <v>20</v>
      </c>
      <c r="BG78" s="22"/>
      <c r="BH78" s="23">
        <f>AY49</f>
        <v>0</v>
      </c>
      <c r="BI78" s="326">
        <f t="shared" si="6"/>
        <v>0</v>
      </c>
      <c r="BJ78" s="95">
        <f>VLOOKUP(BD78,CENY!$B$11:$M$2025,12,FALSE)</f>
        <v>253.36837</v>
      </c>
      <c r="BK78" s="95">
        <f t="shared" si="7"/>
        <v>0</v>
      </c>
    </row>
    <row r="79" spans="1:63" ht="14.4" customHeight="1">
      <c r="A79" s="577"/>
      <c r="O79" s="576">
        <f>CEILING(O84/FLOOR(2000/O85,1),1)</f>
        <v>0</v>
      </c>
      <c r="P79" s="576"/>
      <c r="Q79" s="576">
        <f>CEILING(Q84/FLOOR(2000/Q85,1),1)</f>
        <v>0</v>
      </c>
      <c r="R79" s="576"/>
      <c r="S79" s="576">
        <f>CEILING(S84/FLOOR(2000/S85,1),1)</f>
        <v>0</v>
      </c>
      <c r="T79" s="576"/>
      <c r="U79" s="576">
        <f>CEILING(U84/FLOOR(2000/U85,1),1)</f>
        <v>0</v>
      </c>
      <c r="V79" s="576"/>
      <c r="W79" s="576"/>
      <c r="X79" s="576"/>
      <c r="Y79" s="576"/>
      <c r="Z79" s="576"/>
      <c r="AA79" s="576"/>
      <c r="AB79" s="576"/>
      <c r="AC79" s="576">
        <f>CEILING(AC84/FLOOR(2000/AC85,1),1)</f>
        <v>0</v>
      </c>
      <c r="AD79" s="576"/>
      <c r="AE79" s="576">
        <f>CEILING(AE84/FLOOR(2000/AE85,1),1)</f>
        <v>0</v>
      </c>
      <c r="AF79" s="576"/>
      <c r="AG79" s="576">
        <f>CEILING(AG84/FLOOR(2000/AG85,1),1)</f>
        <v>0</v>
      </c>
      <c r="AH79" s="576"/>
      <c r="AI79" s="576">
        <f>CEILING(AI84/FLOOR(2000/AI85,1),1)</f>
        <v>0</v>
      </c>
      <c r="AJ79" s="576"/>
      <c r="AU79" s="319"/>
      <c r="AV79" s="21"/>
      <c r="AW79" s="22"/>
      <c r="AX79" s="22"/>
      <c r="AY79" s="23"/>
      <c r="AZ79" s="326" t="str">
        <f t="shared" si="5"/>
        <v/>
      </c>
      <c r="BA79" s="95"/>
      <c r="BB79" s="95" t="str">
        <f t="shared" si="4"/>
        <v/>
      </c>
      <c r="BD79" s="319"/>
      <c r="BE79" s="21"/>
      <c r="BF79" s="22"/>
      <c r="BG79" s="22"/>
      <c r="BH79" s="23"/>
      <c r="BI79" s="326" t="str">
        <f t="shared" si="6"/>
        <v/>
      </c>
      <c r="BJ79" s="95"/>
      <c r="BK79" s="95" t="str">
        <f t="shared" si="7"/>
        <v/>
      </c>
    </row>
    <row r="80" spans="1:63" ht="14.4" customHeight="1">
      <c r="A80" s="577"/>
      <c r="O80" s="575">
        <f>O85*O84</f>
        <v>0</v>
      </c>
      <c r="P80" s="575"/>
      <c r="Q80" s="575">
        <f>Q85*Q84</f>
        <v>0</v>
      </c>
      <c r="R80" s="575"/>
      <c r="S80" s="575">
        <f>S85*S84</f>
        <v>0</v>
      </c>
      <c r="T80" s="575"/>
      <c r="U80" s="575">
        <f>U85*U84</f>
        <v>0</v>
      </c>
      <c r="V80" s="575"/>
      <c r="W80" s="575"/>
      <c r="X80" s="575"/>
      <c r="Y80" s="575"/>
      <c r="Z80" s="575"/>
      <c r="AA80" s="575"/>
      <c r="AB80" s="575"/>
      <c r="AC80" s="575">
        <f>AC85*AC84</f>
        <v>0</v>
      </c>
      <c r="AD80" s="575"/>
      <c r="AE80" s="575">
        <f>AE85*AE84</f>
        <v>0</v>
      </c>
      <c r="AF80" s="575"/>
      <c r="AG80" s="575">
        <f>AG85*AG84</f>
        <v>0</v>
      </c>
      <c r="AH80" s="575"/>
      <c r="AI80" s="575">
        <f>AI85*AI84</f>
        <v>0</v>
      </c>
      <c r="AJ80" s="575"/>
      <c r="AU80" s="319"/>
      <c r="AV80" s="21"/>
      <c r="AW80" s="22"/>
      <c r="AX80" s="22"/>
      <c r="AY80" s="23"/>
      <c r="AZ80" s="326" t="str">
        <f t="shared" si="5"/>
        <v/>
      </c>
      <c r="BA80" s="95"/>
      <c r="BB80" s="95" t="str">
        <f t="shared" si="4"/>
        <v/>
      </c>
      <c r="BD80" s="319">
        <f>OBJ!B329</f>
        <v>9257894</v>
      </c>
      <c r="BE80" s="21" t="str">
        <f>VLOOKUP(BD80,CENY!$B$11:$G$1054,2,FALSE)</f>
        <v>Quadro You - Push to open Silent; &lt;10kg</v>
      </c>
      <c r="BF80" s="22">
        <f>VLOOKUP(BD80,CENY!$B$11:$G$1054,3,FALSE)</f>
        <v>1</v>
      </c>
      <c r="BG80" s="22"/>
      <c r="BH80" s="23">
        <f>AY51</f>
        <v>0</v>
      </c>
      <c r="BI80" s="326">
        <f t="shared" si="6"/>
        <v>0</v>
      </c>
      <c r="BJ80" s="95">
        <f>VLOOKUP(BD80,CENY!$B$11:$M$2025,12,FALSE)</f>
        <v>480.50922000000003</v>
      </c>
      <c r="BK80" s="95">
        <f t="shared" si="7"/>
        <v>0</v>
      </c>
    </row>
    <row r="81" spans="1:63" ht="14.4" customHeight="1" thickBot="1">
      <c r="A81" s="577"/>
      <c r="O81" s="581" t="str">
        <f>verze!E163</f>
        <v>vnější rozměry zásuvkové skřínky [mm]</v>
      </c>
      <c r="P81" s="582"/>
      <c r="Q81" s="582"/>
      <c r="R81" s="582"/>
      <c r="S81" s="582"/>
      <c r="T81" s="582"/>
      <c r="U81" s="582"/>
      <c r="V81" s="582"/>
      <c r="W81" s="582"/>
      <c r="X81" s="582"/>
      <c r="Y81" s="582"/>
      <c r="Z81" s="582"/>
      <c r="AA81" s="582"/>
      <c r="AB81" s="582"/>
      <c r="AC81" s="582"/>
      <c r="AD81" s="582"/>
      <c r="AE81" s="582"/>
      <c r="AF81" s="582"/>
      <c r="AG81" s="582"/>
      <c r="AH81" s="582"/>
      <c r="AI81" s="582"/>
      <c r="AJ81" s="582"/>
      <c r="AU81" s="319"/>
      <c r="AV81" s="21"/>
      <c r="AW81" s="22"/>
      <c r="AX81" s="22"/>
      <c r="AY81" s="23"/>
      <c r="AZ81" s="326" t="str">
        <f t="shared" si="5"/>
        <v/>
      </c>
      <c r="BA81" s="95"/>
      <c r="BB81" s="95" t="str">
        <f t="shared" si="4"/>
        <v/>
      </c>
      <c r="BD81" s="319">
        <f>OBJ!B330</f>
        <v>9257895</v>
      </c>
      <c r="BE81" s="21" t="str">
        <f>VLOOKUP(BD81,CENY!$B$11:$G$1054,2,FALSE)</f>
        <v>Quadro You - Push to open Silent; 8-20kg</v>
      </c>
      <c r="BF81" s="22">
        <f>VLOOKUP(BD81,CENY!$B$11:$G$1054,3,FALSE)</f>
        <v>1</v>
      </c>
      <c r="BG81" s="22"/>
      <c r="BH81" s="23">
        <f>AY52</f>
        <v>0</v>
      </c>
      <c r="BI81" s="326">
        <f t="shared" si="6"/>
        <v>0</v>
      </c>
      <c r="BJ81" s="95">
        <f>VLOOKUP(BD81,CENY!$B$11:$M$2025,12,FALSE)</f>
        <v>480.50922000000003</v>
      </c>
      <c r="BK81" s="95">
        <f t="shared" si="7"/>
        <v>0</v>
      </c>
    </row>
    <row r="82" spans="1:63" ht="14.4" customHeight="1" thickBot="1">
      <c r="A82" s="577"/>
      <c r="B82" s="1" t="str">
        <f>verze!E162</f>
        <v>Čelo na vnitřní zásuvku</v>
      </c>
      <c r="O82" s="595" t="str">
        <f>verze!E164</f>
        <v>nízke čelo = 66 mm</v>
      </c>
      <c r="P82" s="596"/>
      <c r="Q82" s="596"/>
      <c r="R82" s="596"/>
      <c r="S82" s="596"/>
      <c r="T82" s="596"/>
      <c r="U82" s="596"/>
      <c r="V82" s="596"/>
      <c r="W82" s="334"/>
      <c r="X82" s="334"/>
      <c r="Y82" s="334"/>
      <c r="Z82" s="334"/>
      <c r="AA82" s="594"/>
      <c r="AB82" s="594"/>
      <c r="AC82" s="596" t="str">
        <f>verze!E165</f>
        <v>vysoké čelo = 130 mm</v>
      </c>
      <c r="AD82" s="596"/>
      <c r="AE82" s="596"/>
      <c r="AF82" s="596"/>
      <c r="AG82" s="596"/>
      <c r="AH82" s="596"/>
      <c r="AI82" s="596"/>
      <c r="AJ82" s="596"/>
      <c r="AU82" s="319"/>
      <c r="AV82" s="21"/>
      <c r="AW82" s="22"/>
      <c r="AX82" s="22"/>
      <c r="AY82" s="23"/>
      <c r="AZ82" s="326" t="str">
        <f t="shared" si="5"/>
        <v/>
      </c>
      <c r="BA82" s="95"/>
      <c r="BB82" s="95" t="str">
        <f t="shared" si="4"/>
        <v/>
      </c>
      <c r="BD82" s="319">
        <f>OBJ!B331</f>
        <v>9257896</v>
      </c>
      <c r="BE82" s="21" t="str">
        <f>VLOOKUP(BD82,CENY!$B$11:$G$1054,2,FALSE)</f>
        <v>Quadro You - Push to open Silent; 10-30kg</v>
      </c>
      <c r="BF82" s="22">
        <f>VLOOKUP(BD82,CENY!$B$11:$G$1054,3,FALSE)</f>
        <v>1</v>
      </c>
      <c r="BG82" s="22"/>
      <c r="BH82" s="23">
        <f>AY53</f>
        <v>0</v>
      </c>
      <c r="BI82" s="326">
        <f t="shared" si="6"/>
        <v>0</v>
      </c>
      <c r="BJ82" s="95">
        <f>VLOOKUP(BD82,CENY!$B$11:$M$2025,12,FALSE)</f>
        <v>480.50922000000003</v>
      </c>
      <c r="BK82" s="95">
        <f t="shared" si="7"/>
        <v>0</v>
      </c>
    </row>
    <row r="83" spans="1:63" ht="14.4" customHeight="1" thickBot="1">
      <c r="A83" s="577"/>
      <c r="B83" s="96"/>
      <c r="C83" s="96"/>
      <c r="D83" s="96"/>
      <c r="E83" s="96"/>
      <c r="F83" s="96"/>
      <c r="G83" s="96"/>
      <c r="H83" s="72"/>
      <c r="I83" s="72"/>
      <c r="J83" s="72"/>
      <c r="K83" s="72"/>
      <c r="L83" s="72"/>
      <c r="M83" s="72"/>
      <c r="N83" s="72" t="str">
        <f>verze!E166&amp;" "</f>
        <v xml:space="preserve">Šířka korpusu: </v>
      </c>
      <c r="O83" s="598">
        <v>450</v>
      </c>
      <c r="P83" s="599"/>
      <c r="Q83" s="601">
        <v>600</v>
      </c>
      <c r="R83" s="601"/>
      <c r="S83" s="601">
        <v>900</v>
      </c>
      <c r="T83" s="601"/>
      <c r="U83" s="601">
        <v>1200</v>
      </c>
      <c r="V83" s="598"/>
      <c r="W83" s="334"/>
      <c r="X83" s="334"/>
      <c r="Y83" s="334"/>
      <c r="Z83" s="334"/>
      <c r="AA83" s="594"/>
      <c r="AB83" s="594"/>
      <c r="AC83" s="600">
        <v>450</v>
      </c>
      <c r="AD83" s="601"/>
      <c r="AE83" s="600">
        <v>600</v>
      </c>
      <c r="AF83" s="601"/>
      <c r="AG83" s="598">
        <v>900</v>
      </c>
      <c r="AH83" s="599"/>
      <c r="AI83" s="598">
        <v>1200</v>
      </c>
      <c r="AJ83" s="599"/>
      <c r="AU83" s="319">
        <f>OBJ!B210</f>
        <v>9257663</v>
      </c>
      <c r="AV83" s="21" t="str">
        <f>VLOOKUP(AU83,CENY!$B$11:$G$1054,2,FALSE)</f>
        <v>AvanY-indiv.čelo vnút.zásuv./d2000/strieb.</v>
      </c>
      <c r="AW83" s="22">
        <f>VLOOKUP(AU83,CENY!$B$11:$G$1054,3,FALSE)</f>
        <v>1</v>
      </c>
      <c r="AX83" s="22"/>
      <c r="AY83" s="23">
        <f>IF(AU95=0,0,IF(AU101&lt;2000,1,SUM(O79:AJ79)))</f>
        <v>0</v>
      </c>
      <c r="AZ83" s="326">
        <f t="shared" si="5"/>
        <v>0</v>
      </c>
      <c r="BA83" s="95">
        <f>VLOOKUP(AU83,CENY!$B$11:$M$2025,12,FALSE)</f>
        <v>741.56732999999997</v>
      </c>
      <c r="BB83" s="95">
        <f t="shared" si="4"/>
        <v>0</v>
      </c>
      <c r="BD83" s="319"/>
      <c r="BE83" s="21"/>
      <c r="BF83" s="22"/>
      <c r="BG83" s="22"/>
      <c r="BH83" s="23"/>
      <c r="BI83" s="326" t="str">
        <f t="shared" si="6"/>
        <v/>
      </c>
      <c r="BJ83" s="95"/>
      <c r="BK83" s="95" t="str">
        <f t="shared" si="7"/>
        <v/>
      </c>
    </row>
    <row r="84" spans="1:63" ht="14.4" customHeight="1" thickBot="1">
      <c r="A84" s="577"/>
      <c r="B84" s="158" t="str">
        <f>" "&amp;verze!E167</f>
        <v xml:space="preserve"> ALU čelo</v>
      </c>
      <c r="C84" s="158"/>
      <c r="D84" s="158"/>
      <c r="E84" s="158"/>
      <c r="F84" s="158"/>
      <c r="G84" s="158"/>
      <c r="H84" s="158"/>
      <c r="I84" s="158"/>
      <c r="J84" s="158"/>
      <c r="K84" s="158"/>
      <c r="L84" s="158"/>
      <c r="M84" s="523"/>
      <c r="N84" s="546"/>
      <c r="O84" s="578"/>
      <c r="P84" s="579"/>
      <c r="Q84" s="597"/>
      <c r="R84" s="597"/>
      <c r="S84" s="597"/>
      <c r="T84" s="597"/>
      <c r="U84" s="597"/>
      <c r="V84" s="578"/>
      <c r="W84" s="336"/>
      <c r="X84" s="336"/>
      <c r="Y84" s="336"/>
      <c r="Z84" s="336"/>
      <c r="AA84" s="336"/>
      <c r="AB84" s="336"/>
      <c r="AC84" s="579"/>
      <c r="AD84" s="597"/>
      <c r="AE84" s="579"/>
      <c r="AF84" s="597"/>
      <c r="AG84" s="583"/>
      <c r="AH84" s="579"/>
      <c r="AI84" s="578"/>
      <c r="AJ84" s="583"/>
      <c r="AU84" s="319">
        <f>OBJ!B212</f>
        <v>9257657</v>
      </c>
      <c r="AV84" s="21" t="str">
        <f>VLOOKUP(AU84,CENY!$B$11:$G$1054,2,FALSE)</f>
        <v>AvanY-spojky indiv.čela vn.Inlay/v187/strieb.</v>
      </c>
      <c r="AW84" s="22">
        <f>VLOOKUP(AU84,CENY!$B$11:$G$1054,3,FALSE)</f>
        <v>1</v>
      </c>
      <c r="AX84" s="22"/>
      <c r="AY84" s="23">
        <f>1*(+SUM(O19:T19)+SUM(O20:AD20)+SUM(W22:AF22)+SUM(O27:T27)+SUM(O28:AD28)+SUM(O30:AD30))</f>
        <v>0</v>
      </c>
      <c r="AZ84" s="326">
        <f t="shared" si="5"/>
        <v>0</v>
      </c>
      <c r="BA84" s="95">
        <f>VLOOKUP(AU84,CENY!$B$11:$M$2025,12,FALSE)</f>
        <v>557.04454999999996</v>
      </c>
      <c r="BB84" s="95">
        <f t="shared" si="4"/>
        <v>0</v>
      </c>
      <c r="BD84" s="319">
        <f>OBJ!B345</f>
        <v>9256905</v>
      </c>
      <c r="BE84" s="21" t="str">
        <f>VLOOKUP(BD84,CENY!$B$11:$G$1054,2,FALSE)</f>
        <v>Quadro You(M) 350/P2O 25kg; EB21; ľavý</v>
      </c>
      <c r="BF84" s="22">
        <f>VLOOKUP(BD84,CENY!$B$11:$G$1054,3,FALSE)</f>
        <v>20</v>
      </c>
      <c r="BG84" s="22"/>
      <c r="BH84" s="23">
        <f>AY55</f>
        <v>0</v>
      </c>
      <c r="BI84" s="326">
        <f t="shared" si="6"/>
        <v>0</v>
      </c>
      <c r="BJ84" s="95">
        <f>VLOOKUP(BD84,CENY!$B$11:$M$2025,12,FALSE)</f>
        <v>258.22465999999997</v>
      </c>
      <c r="BK84" s="95">
        <f t="shared" si="7"/>
        <v>0</v>
      </c>
    </row>
    <row r="85" spans="1:63" ht="14.4" customHeight="1">
      <c r="A85" s="577"/>
      <c r="O85" s="580">
        <f>O83-2*FORM!$AM$24-66</f>
        <v>348</v>
      </c>
      <c r="P85" s="580"/>
      <c r="Q85" s="580">
        <f>Q83-2*FORM!$AM$24-66</f>
        <v>498</v>
      </c>
      <c r="R85" s="580"/>
      <c r="S85" s="580">
        <f>S83-2*FORM!$AM$24-66</f>
        <v>798</v>
      </c>
      <c r="T85" s="580"/>
      <c r="U85" s="580">
        <f>U83-2*FORM!$AM$24-66</f>
        <v>1098</v>
      </c>
      <c r="V85" s="580"/>
      <c r="W85" s="575"/>
      <c r="X85" s="575"/>
      <c r="Y85" s="575"/>
      <c r="Z85" s="575"/>
      <c r="AA85" s="575"/>
      <c r="AB85" s="575"/>
      <c r="AC85" s="580">
        <f>AC83-2*FORM!$AM$24-66</f>
        <v>348</v>
      </c>
      <c r="AD85" s="580"/>
      <c r="AE85" s="580">
        <f>AE83-2*FORM!$AM$24-66</f>
        <v>498</v>
      </c>
      <c r="AF85" s="580"/>
      <c r="AG85" s="580">
        <f>AG83-2*FORM!$AM$24-66</f>
        <v>798</v>
      </c>
      <c r="AH85" s="580"/>
      <c r="AI85" s="580">
        <f>AI83-2*FORM!$AM$24-66</f>
        <v>1098</v>
      </c>
      <c r="AJ85" s="580"/>
      <c r="AU85" s="319">
        <f>OBJ!B224</f>
        <v>9283228</v>
      </c>
      <c r="AV85" s="21" t="str">
        <f>VLOOKUP(AU85,CENY!$B$11:$G$1054,2,FALSE)</f>
        <v>AvanY-sklo pre vnút.čelo /v66/s450/hr18</v>
      </c>
      <c r="AW85" s="22">
        <f>VLOOKUP(AU85,CENY!$B$11:$G$1054,3,FALSE)</f>
        <v>1</v>
      </c>
      <c r="AX85" s="22"/>
      <c r="AY85" s="23">
        <f>O84</f>
        <v>0</v>
      </c>
      <c r="AZ85" s="326">
        <f t="shared" si="5"/>
        <v>0</v>
      </c>
      <c r="BA85" s="95">
        <f>VLOOKUP(AU85,CENY!$B$11:$M$2025,12,FALSE)</f>
        <v>0</v>
      </c>
      <c r="BB85" s="95">
        <f t="shared" si="4"/>
        <v>0</v>
      </c>
      <c r="BD85" s="319">
        <f>OBJ!B346</f>
        <v>9256906</v>
      </c>
      <c r="BE85" s="21" t="str">
        <f>VLOOKUP(BD85,CENY!$B$11:$G$1054,2,FALSE)</f>
        <v>Quadro You(M) 350/P2O 25kg; EB21; pravý</v>
      </c>
      <c r="BF85" s="22">
        <f>VLOOKUP(BD85,CENY!$B$11:$G$1054,3,FALSE)</f>
        <v>20</v>
      </c>
      <c r="BG85" s="22"/>
      <c r="BH85" s="23">
        <f>AY55</f>
        <v>0</v>
      </c>
      <c r="BI85" s="326">
        <f t="shared" si="6"/>
        <v>0</v>
      </c>
      <c r="BJ85" s="95">
        <f>VLOOKUP(BD85,CENY!$B$11:$M$2025,12,FALSE)</f>
        <v>258.22465999999997</v>
      </c>
      <c r="BK85" s="95">
        <f t="shared" si="7"/>
        <v>0</v>
      </c>
    </row>
    <row r="86" spans="1:63" ht="14.4" customHeight="1">
      <c r="A86" s="577"/>
      <c r="AR86" s="157"/>
      <c r="AU86" s="319">
        <f>OBJ!B225</f>
        <v>9283229</v>
      </c>
      <c r="AV86" s="21" t="str">
        <f>VLOOKUP(AU86,CENY!$B$11:$G$1054,2,FALSE)</f>
        <v>AvanY-sklo pre vnút.čelo /v66/s600/hr18</v>
      </c>
      <c r="AW86" s="22">
        <f>VLOOKUP(AU86,CENY!$B$11:$G$1054,3,FALSE)</f>
        <v>1</v>
      </c>
      <c r="AX86" s="22"/>
      <c r="AY86" s="23">
        <f>Q84</f>
        <v>0</v>
      </c>
      <c r="AZ86" s="326">
        <f t="shared" si="5"/>
        <v>0</v>
      </c>
      <c r="BA86" s="95">
        <f>VLOOKUP(AU86,CENY!$B$11:$M$2025,12,FALSE)</f>
        <v>409.12</v>
      </c>
      <c r="BB86" s="95">
        <f t="shared" si="4"/>
        <v>0</v>
      </c>
      <c r="BD86" s="319">
        <f>OBJ!B347</f>
        <v>9256909</v>
      </c>
      <c r="BE86" s="21" t="str">
        <f>VLOOKUP(BD86,CENY!$B$11:$G$1054,2,FALSE)</f>
        <v>Quadro You(M) 400/P2O 30kg; EB21; ľavý</v>
      </c>
      <c r="BF86" s="22">
        <f>VLOOKUP(BD86,CENY!$B$11:$G$1054,3,FALSE)</f>
        <v>20</v>
      </c>
      <c r="BG86" s="22"/>
      <c r="BH86" s="23">
        <f>AY56</f>
        <v>0</v>
      </c>
      <c r="BI86" s="326">
        <f t="shared" si="6"/>
        <v>0</v>
      </c>
      <c r="BJ86" s="95">
        <f>VLOOKUP(BD86,CENY!$B$11:$M$2025,12,FALSE)</f>
        <v>263.07337999999999</v>
      </c>
      <c r="BK86" s="95">
        <f t="shared" si="7"/>
        <v>0</v>
      </c>
    </row>
    <row r="87" spans="1:63" ht="14.4" customHeight="1">
      <c r="A87" s="577"/>
      <c r="V87" s="593" t="str">
        <f>IF(AU97=0,AU103,AU104)</f>
        <v>Je potřebné vybrat 0 ks vnitřních čel.</v>
      </c>
      <c r="W87" s="593"/>
      <c r="X87" s="593"/>
      <c r="Y87" s="593"/>
      <c r="Z87" s="593"/>
      <c r="AA87" s="593"/>
      <c r="AB87" s="593"/>
      <c r="AC87" s="593"/>
      <c r="AR87" s="332"/>
      <c r="AU87" s="319">
        <f>OBJ!B226</f>
        <v>9283231</v>
      </c>
      <c r="AV87" s="21" t="str">
        <f>VLOOKUP(AU87,CENY!$B$11:$G$1054,2,FALSE)</f>
        <v>AvanY-sklo pre vnút.čelo /v66/s900/hr18</v>
      </c>
      <c r="AW87" s="22">
        <f>VLOOKUP(AU87,CENY!$B$11:$G$1054,3,FALSE)</f>
        <v>1</v>
      </c>
      <c r="AX87" s="22"/>
      <c r="AY87" s="23">
        <f>S84</f>
        <v>0</v>
      </c>
      <c r="AZ87" s="326">
        <f t="shared" si="5"/>
        <v>0</v>
      </c>
      <c r="BA87" s="95">
        <f>VLOOKUP(AU87,CENY!$B$11:$M$2025,12,FALSE)</f>
        <v>722.48258999999996</v>
      </c>
      <c r="BB87" s="95">
        <f t="shared" si="4"/>
        <v>0</v>
      </c>
      <c r="BD87" s="319">
        <f>OBJ!B348</f>
        <v>9256910</v>
      </c>
      <c r="BE87" s="21" t="str">
        <f>VLOOKUP(BD87,CENY!$B$11:$G$1054,2,FALSE)</f>
        <v>Quadro You(M) 400/P2O 30kg; EB21; pravý</v>
      </c>
      <c r="BF87" s="22">
        <f>VLOOKUP(BD87,CENY!$B$11:$G$1054,3,FALSE)</f>
        <v>20</v>
      </c>
      <c r="BG87" s="22"/>
      <c r="BH87" s="23">
        <f>AY56</f>
        <v>0</v>
      </c>
      <c r="BI87" s="326">
        <f t="shared" si="6"/>
        <v>0</v>
      </c>
      <c r="BJ87" s="95">
        <f>VLOOKUP(BD87,CENY!$B$11:$M$2025,12,FALSE)</f>
        <v>263.07337999999999</v>
      </c>
      <c r="BK87" s="95">
        <f t="shared" si="7"/>
        <v>0</v>
      </c>
    </row>
    <row r="88" spans="1:63" ht="14.4" customHeight="1">
      <c r="A88" s="577"/>
      <c r="V88" s="593"/>
      <c r="W88" s="593"/>
      <c r="X88" s="593"/>
      <c r="Y88" s="593"/>
      <c r="Z88" s="593"/>
      <c r="AA88" s="593"/>
      <c r="AB88" s="593"/>
      <c r="AC88" s="593"/>
      <c r="AU88" s="319">
        <f>OBJ!B227</f>
        <v>9283232</v>
      </c>
      <c r="AV88" s="21" t="str">
        <f>VLOOKUP(AU88,CENY!$B$11:$G$1054,2,FALSE)</f>
        <v>AvanY-sklo pre vnút.čelo /v66/s1200/hr18</v>
      </c>
      <c r="AW88" s="22">
        <f>VLOOKUP(AU88,CENY!$B$11:$G$1054,3,FALSE)</f>
        <v>1</v>
      </c>
      <c r="AX88" s="22"/>
      <c r="AY88" s="23">
        <f>U84</f>
        <v>0</v>
      </c>
      <c r="AZ88" s="326">
        <f t="shared" si="5"/>
        <v>0</v>
      </c>
      <c r="BA88" s="95">
        <f>VLOOKUP(AU88,CENY!$B$11:$M$2025,12,FALSE)</f>
        <v>931.38562999999999</v>
      </c>
      <c r="BB88" s="95">
        <f t="shared" si="4"/>
        <v>0</v>
      </c>
      <c r="BD88" s="319">
        <f>OBJ!B349</f>
        <v>9256913</v>
      </c>
      <c r="BE88" s="21" t="str">
        <f>VLOOKUP(BD88,CENY!$B$11:$G$1054,2,FALSE)</f>
        <v>Quadro You(M) 450/P2O 30kg; EB21; ľavý</v>
      </c>
      <c r="BF88" s="22">
        <f>VLOOKUP(BD88,CENY!$B$11:$G$1054,3,FALSE)</f>
        <v>20</v>
      </c>
      <c r="BG88" s="22"/>
      <c r="BH88" s="23">
        <f>AY57</f>
        <v>0</v>
      </c>
      <c r="BI88" s="326">
        <f t="shared" si="6"/>
        <v>0</v>
      </c>
      <c r="BJ88" s="95">
        <f>VLOOKUP(BD88,CENY!$B$11:$M$2025,12,FALSE)</f>
        <v>267.92221999999998</v>
      </c>
      <c r="BK88" s="95">
        <f t="shared" si="7"/>
        <v>0</v>
      </c>
    </row>
    <row r="89" spans="1:63" ht="14.4" customHeight="1">
      <c r="A89" s="577"/>
      <c r="V89" s="593"/>
      <c r="W89" s="593"/>
      <c r="X89" s="593"/>
      <c r="Y89" s="593"/>
      <c r="Z89" s="593"/>
      <c r="AA89" s="593"/>
      <c r="AB89" s="593"/>
      <c r="AC89" s="593"/>
      <c r="AU89" s="319">
        <f>OBJ!B228</f>
        <v>9283233</v>
      </c>
      <c r="AV89" s="21" t="str">
        <f>VLOOKUP(AU89,CENY!$B$11:$G$1054,2,FALSE)</f>
        <v>AvanY-sklo pre vnút.čelo /v130/s450/hr18</v>
      </c>
      <c r="AW89" s="22">
        <f>VLOOKUP(AU89,CENY!$B$11:$G$1054,3,FALSE)</f>
        <v>1</v>
      </c>
      <c r="AX89" s="22"/>
      <c r="AY89" s="23">
        <f>AC84</f>
        <v>0</v>
      </c>
      <c r="AZ89" s="326">
        <f t="shared" si="5"/>
        <v>0</v>
      </c>
      <c r="BA89" s="95">
        <f>VLOOKUP(AU89,CENY!$B$11:$M$2025,12,FALSE)</f>
        <v>564.20789000000002</v>
      </c>
      <c r="BB89" s="95">
        <f t="shared" si="4"/>
        <v>0</v>
      </c>
      <c r="BD89" s="319">
        <f>OBJ!B350</f>
        <v>9256914</v>
      </c>
      <c r="BE89" s="21" t="str">
        <f>VLOOKUP(BD89,CENY!$B$11:$G$1054,2,FALSE)</f>
        <v>Quadro You(M) 450/P2O 30kg; EB21; pravý</v>
      </c>
      <c r="BF89" s="22">
        <f>VLOOKUP(BD89,CENY!$B$11:$G$1054,3,FALSE)</f>
        <v>20</v>
      </c>
      <c r="BG89" s="22"/>
      <c r="BH89" s="23">
        <f>AY57</f>
        <v>0</v>
      </c>
      <c r="BI89" s="326">
        <f t="shared" si="6"/>
        <v>0</v>
      </c>
      <c r="BJ89" s="95">
        <f>VLOOKUP(BD89,CENY!$B$11:$M$2025,12,FALSE)</f>
        <v>267.92221999999998</v>
      </c>
      <c r="BK89" s="95">
        <f t="shared" si="7"/>
        <v>0</v>
      </c>
    </row>
    <row r="90" spans="1:63" ht="14.4" customHeight="1">
      <c r="A90" s="577"/>
      <c r="V90" s="593"/>
      <c r="W90" s="593"/>
      <c r="X90" s="593"/>
      <c r="Y90" s="593"/>
      <c r="Z90" s="593"/>
      <c r="AA90" s="593"/>
      <c r="AB90" s="593"/>
      <c r="AC90" s="593"/>
      <c r="AU90" s="319">
        <f>OBJ!B229</f>
        <v>9283235</v>
      </c>
      <c r="AV90" s="21" t="str">
        <f>VLOOKUP(AU90,CENY!$B$11:$G$1054,2,FALSE)</f>
        <v>AvanY-sklo pre vnút.čelo /v130/s600/hr18</v>
      </c>
      <c r="AW90" s="22">
        <f>VLOOKUP(AU90,CENY!$B$11:$G$1054,3,FALSE)</f>
        <v>1</v>
      </c>
      <c r="AX90" s="22"/>
      <c r="AY90" s="23">
        <f>AE84</f>
        <v>0</v>
      </c>
      <c r="AZ90" s="326">
        <f t="shared" si="5"/>
        <v>0</v>
      </c>
      <c r="BA90" s="95">
        <f>VLOOKUP(AU90,CENY!$B$11:$M$2025,12,FALSE)</f>
        <v>641.17699000000005</v>
      </c>
      <c r="BB90" s="95">
        <f t="shared" si="4"/>
        <v>0</v>
      </c>
      <c r="BD90" s="319">
        <f>OBJ!B351</f>
        <v>9256917</v>
      </c>
      <c r="BE90" s="21" t="str">
        <f>VLOOKUP(BD90,CENY!$B$11:$G$1054,2,FALSE)</f>
        <v>Quadro You(M) 500/P2O 30kg; EB21; ľavý</v>
      </c>
      <c r="BF90" s="22">
        <f>VLOOKUP(BD90,CENY!$B$11:$G$1054,3,FALSE)</f>
        <v>20</v>
      </c>
      <c r="BG90" s="22"/>
      <c r="BH90" s="23">
        <f>AY58</f>
        <v>0</v>
      </c>
      <c r="BI90" s="326">
        <f t="shared" si="6"/>
        <v>0</v>
      </c>
      <c r="BJ90" s="95">
        <f>VLOOKUP(BD90,CENY!$B$11:$M$2025,12,FALSE)</f>
        <v>265.52375999999998</v>
      </c>
      <c r="BK90" s="95">
        <f t="shared" si="7"/>
        <v>0</v>
      </c>
    </row>
    <row r="91" spans="1:63" ht="14.4" customHeight="1">
      <c r="A91" s="577"/>
      <c r="V91" s="593"/>
      <c r="W91" s="593"/>
      <c r="X91" s="593"/>
      <c r="Y91" s="593"/>
      <c r="Z91" s="593"/>
      <c r="AA91" s="593"/>
      <c r="AB91" s="593"/>
      <c r="AC91" s="593"/>
      <c r="AU91" s="319">
        <f>OBJ!B230</f>
        <v>9283237</v>
      </c>
      <c r="AV91" s="21" t="str">
        <f>VLOOKUP(AU91,CENY!$B$11:$G$1054,2,FALSE)</f>
        <v>AvanY-sklo pre vnút.čelo /v130/s900/hr18</v>
      </c>
      <c r="AW91" s="22">
        <f>VLOOKUP(AU91,CENY!$B$11:$G$1054,3,FALSE)</f>
        <v>1</v>
      </c>
      <c r="AX91" s="22"/>
      <c r="AY91" s="23">
        <f>AG84</f>
        <v>0</v>
      </c>
      <c r="AZ91" s="326">
        <f t="shared" si="5"/>
        <v>0</v>
      </c>
      <c r="BA91" s="95">
        <f>VLOOKUP(AU91,CENY!$B$11:$M$2025,12,FALSE)</f>
        <v>1068.6239</v>
      </c>
      <c r="BB91" s="95">
        <f t="shared" si="4"/>
        <v>0</v>
      </c>
      <c r="BD91" s="319">
        <f>OBJ!B352</f>
        <v>9256918</v>
      </c>
      <c r="BE91" s="21" t="str">
        <f>VLOOKUP(BD91,CENY!$B$11:$G$1054,2,FALSE)</f>
        <v>Quadro You(M) 500/P2O 30kg; EB21; pravý</v>
      </c>
      <c r="BF91" s="22">
        <f>VLOOKUP(BD91,CENY!$B$11:$G$1054,3,FALSE)</f>
        <v>20</v>
      </c>
      <c r="BG91" s="22"/>
      <c r="BH91" s="23">
        <f>AY58</f>
        <v>0</v>
      </c>
      <c r="BI91" s="326">
        <f t="shared" si="6"/>
        <v>0</v>
      </c>
      <c r="BJ91" s="95">
        <f>VLOOKUP(BD91,CENY!$B$11:$M$2025,12,FALSE)</f>
        <v>265.52375999999998</v>
      </c>
      <c r="BK91" s="95">
        <f t="shared" si="7"/>
        <v>0</v>
      </c>
    </row>
    <row r="92" spans="1:63" ht="14.4" customHeight="1">
      <c r="A92" s="577"/>
      <c r="V92" s="593"/>
      <c r="W92" s="593"/>
      <c r="X92" s="593"/>
      <c r="Y92" s="593"/>
      <c r="Z92" s="593"/>
      <c r="AA92" s="593"/>
      <c r="AB92" s="593"/>
      <c r="AC92" s="593"/>
      <c r="AU92" s="319">
        <f>OBJ!B231</f>
        <v>9283238</v>
      </c>
      <c r="AV92" s="21" t="str">
        <f>VLOOKUP(AU92,CENY!$B$11:$G$1054,2,FALSE)</f>
        <v>AvanY-sklo pre vnút.čelo /v130/s1200/hr18</v>
      </c>
      <c r="AW92" s="22">
        <f>VLOOKUP(AU92,CENY!$B$11:$G$1054,3,FALSE)</f>
        <v>1</v>
      </c>
      <c r="AX92" s="22"/>
      <c r="AY92" s="23">
        <f>AI84</f>
        <v>0</v>
      </c>
      <c r="AZ92" s="326">
        <f t="shared" si="5"/>
        <v>0</v>
      </c>
      <c r="BA92" s="95">
        <f>VLOOKUP(AU92,CENY!$B$11:$M$2025,12,FALSE)</f>
        <v>1376.3860500000001</v>
      </c>
      <c r="BB92" s="95">
        <f t="shared" si="4"/>
        <v>0</v>
      </c>
      <c r="BD92" s="319">
        <f>OBJ!B353</f>
        <v>9256921</v>
      </c>
      <c r="BE92" s="21" t="str">
        <f>VLOOKUP(BD92,CENY!$B$11:$G$1054,2,FALSE)</f>
        <v>Quadro You(M) 550/P2O 30kg; EB21; ľavý</v>
      </c>
      <c r="BF92" s="22">
        <f>VLOOKUP(BD92,CENY!$B$11:$G$1054,3,FALSE)</f>
        <v>20</v>
      </c>
      <c r="BG92" s="22"/>
      <c r="BH92" s="23">
        <f>AY59</f>
        <v>0</v>
      </c>
      <c r="BI92" s="326">
        <f t="shared" si="6"/>
        <v>0</v>
      </c>
      <c r="BJ92" s="95">
        <f>VLOOKUP(BD92,CENY!$B$11:$M$2025,12,FALSE)</f>
        <v>270.22431</v>
      </c>
      <c r="BK92" s="95">
        <f t="shared" si="7"/>
        <v>0</v>
      </c>
    </row>
    <row r="93" spans="1:63" ht="14.4" customHeight="1">
      <c r="A93" s="577"/>
      <c r="AU93" s="319"/>
      <c r="AV93" s="21"/>
      <c r="AW93" s="22"/>
      <c r="AX93" s="22"/>
      <c r="AY93" s="23"/>
      <c r="AZ93" s="326" t="str">
        <f t="shared" si="5"/>
        <v/>
      </c>
      <c r="BA93" s="95"/>
      <c r="BB93" s="95"/>
      <c r="BD93" s="319">
        <f>OBJ!B354</f>
        <v>9256922</v>
      </c>
      <c r="BE93" s="21" t="str">
        <f>VLOOKUP(BD93,CENY!$B$11:$G$1054,2,FALSE)</f>
        <v>Quadro You(M) 550/P2O 30kg; EB21; pravý</v>
      </c>
      <c r="BF93" s="22">
        <f>VLOOKUP(BD93,CENY!$B$11:$G$1054,3,FALSE)</f>
        <v>20</v>
      </c>
      <c r="BG93" s="22"/>
      <c r="BH93" s="23">
        <f>AY59</f>
        <v>0</v>
      </c>
      <c r="BI93" s="326">
        <f t="shared" si="6"/>
        <v>0</v>
      </c>
      <c r="BJ93" s="95">
        <f>VLOOKUP(BD93,CENY!$B$11:$M$2025,12,FALSE)</f>
        <v>277.60748999999998</v>
      </c>
      <c r="BK93" s="95">
        <f t="shared" si="7"/>
        <v>0</v>
      </c>
    </row>
    <row r="94" spans="1:63" ht="14.4" customHeight="1">
      <c r="A94" s="577"/>
      <c r="AU94" s="319"/>
      <c r="AV94" s="21"/>
      <c r="AW94" s="22"/>
      <c r="AX94" s="22"/>
      <c r="AY94" s="23"/>
      <c r="AZ94" s="326" t="str">
        <f t="shared" si="5"/>
        <v/>
      </c>
      <c r="BA94" s="95"/>
      <c r="BB94" s="95" t="str">
        <f t="shared" si="4"/>
        <v/>
      </c>
      <c r="BD94" s="319">
        <f>OBJ!B355</f>
        <v>9256925</v>
      </c>
      <c r="BE94" s="21" t="str">
        <f>VLOOKUP(BD94,CENY!$B$11:$G$1054,2,FALSE)</f>
        <v>Quadro You(M) 600/P2O 25kg; EB21; ľavý</v>
      </c>
      <c r="BF94" s="22">
        <f>VLOOKUP(BD94,CENY!$B$11:$G$1054,3,FALSE)</f>
        <v>20</v>
      </c>
      <c r="BG94" s="22"/>
      <c r="BH94" s="23">
        <f>AY60</f>
        <v>0</v>
      </c>
      <c r="BI94" s="326">
        <f t="shared" si="6"/>
        <v>0</v>
      </c>
      <c r="BJ94" s="95">
        <f>VLOOKUP(BD94,CENY!$B$11:$M$2025,12,FALSE)</f>
        <v>282.45375999999999</v>
      </c>
      <c r="BK94" s="95">
        <f t="shared" si="7"/>
        <v>0</v>
      </c>
    </row>
    <row r="95" spans="1:63" ht="14.4" customHeight="1">
      <c r="A95" s="577"/>
      <c r="AU95" s="330">
        <f>1*(+SUM(O19:T19)+SUM(O20:AD20)+SUM(W22:AF22)+SUM(O27:T27)+SUM(O28:AD28)+SUM(O30:AD30))</f>
        <v>0</v>
      </c>
      <c r="AV95" s="329" t="s">
        <v>356</v>
      </c>
      <c r="AW95" s="22"/>
      <c r="AX95" s="22"/>
      <c r="AY95" s="23"/>
      <c r="AZ95" s="326" t="str">
        <f t="shared" si="5"/>
        <v/>
      </c>
      <c r="BA95" s="95"/>
      <c r="BB95" s="95" t="str">
        <f t="shared" si="4"/>
        <v/>
      </c>
      <c r="BD95" s="319">
        <f>OBJ!B356</f>
        <v>9256926</v>
      </c>
      <c r="BE95" s="21" t="str">
        <f>VLOOKUP(BD95,CENY!$B$11:$G$1054,2,FALSE)</f>
        <v>Quadro You(M) 600/P2O 25kg; EB21; pravý</v>
      </c>
      <c r="BF95" s="22">
        <f>VLOOKUP(BD95,CENY!$B$11:$G$1054,3,FALSE)</f>
        <v>20</v>
      </c>
      <c r="BG95" s="22"/>
      <c r="BH95" s="23">
        <f>AY60</f>
        <v>0</v>
      </c>
      <c r="BI95" s="326">
        <f t="shared" si="6"/>
        <v>0</v>
      </c>
      <c r="BJ95" s="95">
        <f>VLOOKUP(BD95,CENY!$B$11:$M$2025,12,FALSE)</f>
        <v>282.45375999999999</v>
      </c>
      <c r="BK95" s="95">
        <f t="shared" si="7"/>
        <v>0</v>
      </c>
    </row>
    <row r="96" spans="1:63" ht="14.4" customHeight="1">
      <c r="A96" s="577"/>
      <c r="AU96" s="20"/>
      <c r="AV96" s="21"/>
      <c r="AW96" s="22"/>
      <c r="AX96" s="22"/>
      <c r="AY96" s="23"/>
      <c r="AZ96" s="326" t="str">
        <f t="shared" si="5"/>
        <v/>
      </c>
      <c r="BA96" s="95"/>
      <c r="BB96" s="95" t="str">
        <f t="shared" si="4"/>
        <v/>
      </c>
      <c r="BD96" s="319"/>
      <c r="BE96" s="21"/>
      <c r="BF96" s="22"/>
      <c r="BG96" s="22"/>
      <c r="BH96" s="23"/>
      <c r="BI96" s="326" t="str">
        <f t="shared" si="6"/>
        <v/>
      </c>
      <c r="BJ96" s="95"/>
      <c r="BK96" s="95" t="str">
        <f t="shared" si="7"/>
        <v/>
      </c>
    </row>
    <row r="97" spans="1:63" ht="14.4" customHeight="1">
      <c r="A97" s="577"/>
      <c r="AU97" s="331">
        <f>SUM(O84:AJ84)</f>
        <v>0</v>
      </c>
      <c r="AV97" s="21" t="s">
        <v>357</v>
      </c>
      <c r="AW97" s="22"/>
      <c r="AX97" s="22"/>
      <c r="AY97" s="23"/>
      <c r="AZ97" s="326" t="str">
        <f t="shared" si="5"/>
        <v/>
      </c>
      <c r="BA97" s="95"/>
      <c r="BB97" s="95" t="str">
        <f t="shared" si="4"/>
        <v/>
      </c>
      <c r="BD97" s="319">
        <f>OBJ!B358</f>
        <v>9219966</v>
      </c>
      <c r="BE97" s="21" t="str">
        <f>VLOOKUP(BD97,CENY!$B$11:$G$1054,2,FALSE)</f>
        <v>Push to open Synchro / adaptér typ A</v>
      </c>
      <c r="BF97" s="22">
        <f>VLOOKUP(BD97,CENY!$B$11:$G$1054,3,FALSE)</f>
        <v>200</v>
      </c>
      <c r="BG97" s="22"/>
      <c r="BH97" s="23">
        <f>AY62</f>
        <v>0</v>
      </c>
      <c r="BI97" s="326">
        <f t="shared" si="6"/>
        <v>0</v>
      </c>
      <c r="BJ97" s="95">
        <f>VLOOKUP(BD97,CENY!$B$11:$M$2025,12,FALSE)</f>
        <v>16.488900000000001</v>
      </c>
      <c r="BK97" s="95">
        <f t="shared" si="7"/>
        <v>0</v>
      </c>
    </row>
    <row r="98" spans="1:63" ht="14.4" customHeight="1">
      <c r="A98" s="577"/>
      <c r="AU98" s="22">
        <f>AU95-AU97</f>
        <v>0</v>
      </c>
      <c r="AV98" s="21"/>
      <c r="AW98" s="22"/>
      <c r="AX98" s="22"/>
      <c r="AY98" s="23"/>
      <c r="AZ98" s="326" t="str">
        <f t="shared" si="5"/>
        <v/>
      </c>
      <c r="BA98" s="95"/>
      <c r="BB98" s="95" t="str">
        <f t="shared" si="4"/>
        <v/>
      </c>
      <c r="BD98" s="319"/>
      <c r="BE98" s="21"/>
      <c r="BF98" s="22"/>
      <c r="BG98" s="22"/>
      <c r="BH98" s="23"/>
      <c r="BI98" s="326" t="str">
        <f t="shared" si="6"/>
        <v/>
      </c>
      <c r="BJ98" s="95"/>
      <c r="BK98" s="95" t="str">
        <f t="shared" si="7"/>
        <v/>
      </c>
    </row>
    <row r="99" spans="1:63" ht="14.4" customHeight="1">
      <c r="A99" s="577"/>
      <c r="AU99" s="22">
        <f>ABS(AU98)</f>
        <v>0</v>
      </c>
      <c r="AV99" s="21"/>
      <c r="AW99" s="22"/>
      <c r="AX99" s="22"/>
      <c r="AY99" s="23"/>
      <c r="AZ99" s="326" t="str">
        <f t="shared" si="5"/>
        <v/>
      </c>
      <c r="BA99" s="95"/>
      <c r="BB99" s="95" t="str">
        <f t="shared" si="4"/>
        <v/>
      </c>
      <c r="BD99" s="319">
        <f>OBJ!B214</f>
        <v>0</v>
      </c>
      <c r="BE99" s="21" t="e">
        <f>VLOOKUP(BD99,CENY!$B$11:$G$1054,2,FALSE)</f>
        <v>#N/A</v>
      </c>
      <c r="BF99" s="22" t="e">
        <f>VLOOKUP(BD99,CENY!$B$11:$G$1054,3,FALSE)</f>
        <v>#N/A</v>
      </c>
      <c r="BG99" s="22"/>
      <c r="BH99" s="23">
        <f>AY66</f>
        <v>0</v>
      </c>
      <c r="BI99" s="326">
        <f t="shared" si="6"/>
        <v>0</v>
      </c>
      <c r="BJ99" s="324" t="str">
        <f>IF(BD99=0,"",VLOOKUP(BD99,CENY!$B$11:$M$2025,12,FALSE))</f>
        <v/>
      </c>
      <c r="BK99" s="95" t="str">
        <f t="shared" si="7"/>
        <v/>
      </c>
    </row>
    <row r="100" spans="1:63" ht="14.4" customHeight="1">
      <c r="A100" s="577"/>
      <c r="AU100" s="20"/>
      <c r="AV100" s="21"/>
      <c r="AW100" s="22"/>
      <c r="AX100" s="22"/>
      <c r="AY100" s="23"/>
      <c r="AZ100" s="326" t="str">
        <f t="shared" si="5"/>
        <v/>
      </c>
      <c r="BA100" s="95"/>
      <c r="BB100" s="95" t="str">
        <f t="shared" si="4"/>
        <v/>
      </c>
      <c r="BD100" s="319"/>
      <c r="BE100" s="21"/>
      <c r="BF100" s="22"/>
      <c r="BG100" s="22"/>
      <c r="BH100" s="23"/>
      <c r="BI100" s="326" t="str">
        <f t="shared" si="6"/>
        <v/>
      </c>
      <c r="BJ100" s="95"/>
      <c r="BK100" s="95" t="str">
        <f t="shared" si="7"/>
        <v/>
      </c>
    </row>
    <row r="101" spans="1:63">
      <c r="A101" s="577"/>
      <c r="AU101" s="22">
        <f>(AU97-1)*4+SUM(O80:AJ80)</f>
        <v>-4</v>
      </c>
      <c r="AV101" s="21" t="s">
        <v>358</v>
      </c>
      <c r="AW101" s="22"/>
      <c r="AX101" s="22"/>
      <c r="AY101" s="23"/>
      <c r="AZ101" s="326" t="str">
        <f t="shared" si="5"/>
        <v/>
      </c>
      <c r="BA101" s="95"/>
      <c r="BB101" s="95" t="str">
        <f t="shared" si="4"/>
        <v/>
      </c>
      <c r="BD101" s="319"/>
      <c r="BE101" s="21"/>
      <c r="BF101" s="22"/>
      <c r="BG101" s="22"/>
      <c r="BH101" s="23"/>
      <c r="BI101" s="326" t="str">
        <f t="shared" si="6"/>
        <v/>
      </c>
      <c r="BJ101" s="95"/>
      <c r="BK101" s="95" t="str">
        <f t="shared" si="7"/>
        <v/>
      </c>
    </row>
    <row r="102" spans="1:63">
      <c r="A102" s="577"/>
      <c r="AU102" s="20"/>
      <c r="AV102" s="21"/>
      <c r="AW102" s="22"/>
      <c r="AX102" s="22"/>
      <c r="AY102" s="23"/>
      <c r="AZ102" s="326" t="str">
        <f t="shared" si="5"/>
        <v/>
      </c>
      <c r="BA102" s="95"/>
      <c r="BB102" s="95" t="str">
        <f t="shared" si="4"/>
        <v/>
      </c>
      <c r="BD102" s="319">
        <f>OBJ!B210</f>
        <v>9257663</v>
      </c>
      <c r="BE102" s="21" t="str">
        <f>VLOOKUP(BD102,CENY!$B$11:$G$1054,2,FALSE)</f>
        <v>AvanY-indiv.čelo vnút.zásuv./d2000/strieb.</v>
      </c>
      <c r="BF102" s="22">
        <f>VLOOKUP(BD102,CENY!$B$11:$G$1054,3,FALSE)</f>
        <v>1</v>
      </c>
      <c r="BG102" s="22"/>
      <c r="BH102" s="23">
        <f>AY83</f>
        <v>0</v>
      </c>
      <c r="BI102" s="326">
        <f t="shared" si="6"/>
        <v>0</v>
      </c>
      <c r="BJ102" s="95">
        <f>VLOOKUP(BD102,CENY!$B$11:$M$2025,12,FALSE)</f>
        <v>741.56732999999997</v>
      </c>
      <c r="BK102" s="95">
        <f t="shared" si="7"/>
        <v>0</v>
      </c>
    </row>
    <row r="103" spans="1:63">
      <c r="A103" s="577"/>
      <c r="AU103" s="335" t="str">
        <f>IF(AU97=0,verze!E169&amp;" "&amp;AU95&amp;" "&amp;verze!E170,"")</f>
        <v>Je potřebné vybrat 0 ks vnitřních čel.</v>
      </c>
      <c r="AV103" s="21"/>
      <c r="AW103" s="22"/>
      <c r="AX103" s="22"/>
      <c r="AY103" s="23"/>
      <c r="AZ103" s="326" t="str">
        <f t="shared" si="5"/>
        <v/>
      </c>
      <c r="BA103" s="95"/>
      <c r="BB103" s="95" t="str">
        <f t="shared" si="4"/>
        <v/>
      </c>
      <c r="BD103" s="319">
        <f>OBJ!B212</f>
        <v>9257657</v>
      </c>
      <c r="BE103" s="21" t="str">
        <f>VLOOKUP(BD103,CENY!$B$11:$G$1054,2,FALSE)</f>
        <v>AvanY-spojky indiv.čela vn.Inlay/v187/strieb.</v>
      </c>
      <c r="BF103" s="22">
        <f>VLOOKUP(BD103,CENY!$B$11:$G$1054,3,FALSE)</f>
        <v>1</v>
      </c>
      <c r="BG103" s="22"/>
      <c r="BH103" s="23">
        <f t="shared" ref="BH103:BH111" si="8">AY84</f>
        <v>0</v>
      </c>
      <c r="BI103" s="326">
        <f t="shared" si="6"/>
        <v>0</v>
      </c>
      <c r="BJ103" s="95">
        <f>VLOOKUP(BD103,CENY!$B$11:$M$2025,12,FALSE)</f>
        <v>557.04454999999996</v>
      </c>
      <c r="BK103" s="95">
        <f t="shared" si="7"/>
        <v>0</v>
      </c>
    </row>
    <row r="104" spans="1:63">
      <c r="A104" s="577"/>
      <c r="AU104" s="335" t="str">
        <f>IF(AU97=0,"",IF(AU95=AU97,verze!E174,IF(AU98&gt;0,verze!E171&amp;" "&amp;AU98&amp;" "&amp;verze!E170,verze!E172&amp;" "&amp;AU99&amp;" "&amp;verze!E173)))</f>
        <v/>
      </c>
      <c r="AV104" s="21"/>
      <c r="AW104" s="22"/>
      <c r="AX104" s="22"/>
      <c r="AY104" s="23"/>
      <c r="AZ104" s="326" t="str">
        <f t="shared" si="5"/>
        <v/>
      </c>
      <c r="BA104" s="95"/>
      <c r="BB104" s="95" t="str">
        <f t="shared" si="4"/>
        <v/>
      </c>
      <c r="BD104" s="319">
        <f>OBJ!B224</f>
        <v>9283228</v>
      </c>
      <c r="BE104" s="21" t="str">
        <f>VLOOKUP(BD104,CENY!$B$11:$G$1054,2,FALSE)</f>
        <v>AvanY-sklo pre vnút.čelo /v66/s450/hr18</v>
      </c>
      <c r="BF104" s="22">
        <f>VLOOKUP(BD104,CENY!$B$11:$G$1054,3,FALSE)</f>
        <v>1</v>
      </c>
      <c r="BG104" s="22"/>
      <c r="BH104" s="23">
        <f t="shared" si="8"/>
        <v>0</v>
      </c>
      <c r="BI104" s="326">
        <f t="shared" si="6"/>
        <v>0</v>
      </c>
      <c r="BJ104" s="95">
        <f>VLOOKUP(BD104,CENY!$B$11:$M$2025,12,FALSE)</f>
        <v>0</v>
      </c>
      <c r="BK104" s="95">
        <f t="shared" si="7"/>
        <v>0</v>
      </c>
    </row>
    <row r="105" spans="1:63">
      <c r="A105" s="577"/>
      <c r="AU105" s="20"/>
      <c r="AV105" s="21"/>
      <c r="AW105" s="22"/>
      <c r="AX105" s="22"/>
      <c r="AY105" s="23"/>
      <c r="AZ105" s="326" t="str">
        <f t="shared" si="5"/>
        <v/>
      </c>
      <c r="BA105" s="95"/>
      <c r="BB105" s="95" t="str">
        <f t="shared" si="4"/>
        <v/>
      </c>
      <c r="BD105" s="319">
        <f>OBJ!B225</f>
        <v>9283229</v>
      </c>
      <c r="BE105" s="21" t="str">
        <f>VLOOKUP(BD105,CENY!$B$11:$G$1054,2,FALSE)</f>
        <v>AvanY-sklo pre vnút.čelo /v66/s600/hr18</v>
      </c>
      <c r="BF105" s="22">
        <f>VLOOKUP(BD105,CENY!$B$11:$G$1054,3,FALSE)</f>
        <v>1</v>
      </c>
      <c r="BG105" s="22"/>
      <c r="BH105" s="23">
        <f t="shared" si="8"/>
        <v>0</v>
      </c>
      <c r="BI105" s="326">
        <f t="shared" si="6"/>
        <v>0</v>
      </c>
      <c r="BJ105" s="95">
        <f>VLOOKUP(BD105,CENY!$B$11:$M$2025,12,FALSE)</f>
        <v>409.12</v>
      </c>
      <c r="BK105" s="95">
        <f t="shared" si="7"/>
        <v>0</v>
      </c>
    </row>
    <row r="106" spans="1:63">
      <c r="AU106" s="20"/>
      <c r="AV106" s="21"/>
      <c r="AW106" s="22"/>
      <c r="AX106" s="22"/>
      <c r="AY106" s="23"/>
      <c r="AZ106" s="326" t="str">
        <f t="shared" si="5"/>
        <v/>
      </c>
      <c r="BA106" s="95"/>
      <c r="BB106" s="95" t="str">
        <f t="shared" si="4"/>
        <v/>
      </c>
      <c r="BD106" s="319">
        <f>OBJ!B226</f>
        <v>9283231</v>
      </c>
      <c r="BE106" s="21" t="str">
        <f>VLOOKUP(BD106,CENY!$B$11:$G$1054,2,FALSE)</f>
        <v>AvanY-sklo pre vnút.čelo /v66/s900/hr18</v>
      </c>
      <c r="BF106" s="22">
        <f>VLOOKUP(BD106,CENY!$B$11:$G$1054,3,FALSE)</f>
        <v>1</v>
      </c>
      <c r="BG106" s="22"/>
      <c r="BH106" s="23">
        <f t="shared" si="8"/>
        <v>0</v>
      </c>
      <c r="BI106" s="326">
        <f t="shared" si="6"/>
        <v>0</v>
      </c>
      <c r="BJ106" s="95">
        <f>VLOOKUP(BD106,CENY!$B$11:$M$2025,12,FALSE)</f>
        <v>722.48258999999996</v>
      </c>
      <c r="BK106" s="95">
        <f t="shared" si="7"/>
        <v>0</v>
      </c>
    </row>
    <row r="107" spans="1:63">
      <c r="AU107" s="20"/>
      <c r="AV107" s="21"/>
      <c r="AW107" s="22"/>
      <c r="AX107" s="22"/>
      <c r="AY107" s="23"/>
      <c r="AZ107" s="326" t="str">
        <f t="shared" si="5"/>
        <v/>
      </c>
      <c r="BA107" s="95"/>
      <c r="BB107" s="95" t="str">
        <f t="shared" si="4"/>
        <v/>
      </c>
      <c r="BD107" s="319">
        <f>OBJ!B227</f>
        <v>9283232</v>
      </c>
      <c r="BE107" s="21" t="str">
        <f>VLOOKUP(BD107,CENY!$B$11:$G$1054,2,FALSE)</f>
        <v>AvanY-sklo pre vnút.čelo /v66/s1200/hr18</v>
      </c>
      <c r="BF107" s="22">
        <f>VLOOKUP(BD107,CENY!$B$11:$G$1054,3,FALSE)</f>
        <v>1</v>
      </c>
      <c r="BG107" s="22"/>
      <c r="BH107" s="23">
        <f t="shared" si="8"/>
        <v>0</v>
      </c>
      <c r="BI107" s="326">
        <f t="shared" si="6"/>
        <v>0</v>
      </c>
      <c r="BJ107" s="95">
        <f>VLOOKUP(BD107,CENY!$B$11:$M$2025,12,FALSE)</f>
        <v>931.38562999999999</v>
      </c>
      <c r="BK107" s="95">
        <f t="shared" si="7"/>
        <v>0</v>
      </c>
    </row>
    <row r="108" spans="1:63">
      <c r="AU108" s="20"/>
      <c r="AV108" s="21"/>
      <c r="AW108" s="22"/>
      <c r="AX108" s="22"/>
      <c r="AY108" s="23"/>
      <c r="AZ108" s="326" t="str">
        <f t="shared" si="5"/>
        <v/>
      </c>
      <c r="BA108" s="95"/>
      <c r="BB108" s="95" t="str">
        <f t="shared" si="4"/>
        <v/>
      </c>
      <c r="BD108" s="319">
        <f>OBJ!B228</f>
        <v>9283233</v>
      </c>
      <c r="BE108" s="21" t="str">
        <f>VLOOKUP(BD108,CENY!$B$11:$G$1054,2,FALSE)</f>
        <v>AvanY-sklo pre vnút.čelo /v130/s450/hr18</v>
      </c>
      <c r="BF108" s="22">
        <f>VLOOKUP(BD108,CENY!$B$11:$G$1054,3,FALSE)</f>
        <v>1</v>
      </c>
      <c r="BG108" s="22"/>
      <c r="BH108" s="23">
        <f t="shared" si="8"/>
        <v>0</v>
      </c>
      <c r="BI108" s="326">
        <f t="shared" si="6"/>
        <v>0</v>
      </c>
      <c r="BJ108" s="95">
        <f>VLOOKUP(BD108,CENY!$B$11:$M$2025,12,FALSE)</f>
        <v>564.20789000000002</v>
      </c>
      <c r="BK108" s="95">
        <f t="shared" si="7"/>
        <v>0</v>
      </c>
    </row>
    <row r="109" spans="1:63">
      <c r="AU109" s="20"/>
      <c r="AV109" s="21"/>
      <c r="AW109" s="22"/>
      <c r="AX109" s="22"/>
      <c r="AY109" s="23"/>
      <c r="AZ109" s="326" t="str">
        <f t="shared" si="5"/>
        <v/>
      </c>
      <c r="BA109" s="95"/>
      <c r="BB109" s="95" t="str">
        <f t="shared" si="4"/>
        <v/>
      </c>
      <c r="BD109" s="319">
        <f>OBJ!B229</f>
        <v>9283235</v>
      </c>
      <c r="BE109" s="21" t="str">
        <f>VLOOKUP(BD109,CENY!$B$11:$G$1054,2,FALSE)</f>
        <v>AvanY-sklo pre vnút.čelo /v130/s600/hr18</v>
      </c>
      <c r="BF109" s="22">
        <f>VLOOKUP(BD109,CENY!$B$11:$G$1054,3,FALSE)</f>
        <v>1</v>
      </c>
      <c r="BG109" s="22"/>
      <c r="BH109" s="23">
        <f t="shared" si="8"/>
        <v>0</v>
      </c>
      <c r="BI109" s="326">
        <f t="shared" si="6"/>
        <v>0</v>
      </c>
      <c r="BJ109" s="95">
        <f>VLOOKUP(BD109,CENY!$B$11:$M$2025,12,FALSE)</f>
        <v>641.17699000000005</v>
      </c>
      <c r="BK109" s="95">
        <f t="shared" si="7"/>
        <v>0</v>
      </c>
    </row>
    <row r="110" spans="1:63">
      <c r="AU110" s="20"/>
      <c r="AV110" s="21"/>
      <c r="AW110" s="22"/>
      <c r="AX110" s="22"/>
      <c r="AY110" s="23"/>
      <c r="AZ110" s="326" t="str">
        <f t="shared" si="5"/>
        <v/>
      </c>
      <c r="BA110" s="95"/>
      <c r="BB110" s="95" t="str">
        <f t="shared" si="4"/>
        <v/>
      </c>
      <c r="BD110" s="319">
        <f>OBJ!B230</f>
        <v>9283237</v>
      </c>
      <c r="BE110" s="21" t="str">
        <f>VLOOKUP(BD110,CENY!$B$11:$G$1054,2,FALSE)</f>
        <v>AvanY-sklo pre vnút.čelo /v130/s900/hr18</v>
      </c>
      <c r="BF110" s="22">
        <f>VLOOKUP(BD110,CENY!$B$11:$G$1054,3,FALSE)</f>
        <v>1</v>
      </c>
      <c r="BG110" s="22"/>
      <c r="BH110" s="23">
        <f t="shared" si="8"/>
        <v>0</v>
      </c>
      <c r="BI110" s="326">
        <f t="shared" si="6"/>
        <v>0</v>
      </c>
      <c r="BJ110" s="95">
        <f>VLOOKUP(BD110,CENY!$B$11:$M$2025,12,FALSE)</f>
        <v>1068.6239</v>
      </c>
      <c r="BK110" s="95">
        <f t="shared" si="7"/>
        <v>0</v>
      </c>
    </row>
    <row r="111" spans="1:63">
      <c r="AU111" s="20"/>
      <c r="AV111" s="21"/>
      <c r="AW111" s="22"/>
      <c r="AX111" s="22"/>
      <c r="AY111" s="23"/>
      <c r="AZ111" s="326" t="str">
        <f t="shared" si="5"/>
        <v/>
      </c>
      <c r="BA111" s="95"/>
      <c r="BB111" s="95" t="str">
        <f t="shared" si="4"/>
        <v/>
      </c>
      <c r="BD111" s="319">
        <f>OBJ!B231</f>
        <v>9283238</v>
      </c>
      <c r="BE111" s="21" t="str">
        <f>VLOOKUP(BD111,CENY!$B$11:$G$1054,2,FALSE)</f>
        <v>AvanY-sklo pre vnút.čelo /v130/s1200/hr18</v>
      </c>
      <c r="BF111" s="22">
        <f>VLOOKUP(BD111,CENY!$B$11:$G$1054,3,FALSE)</f>
        <v>1</v>
      </c>
      <c r="BG111" s="22"/>
      <c r="BH111" s="23">
        <f t="shared" si="8"/>
        <v>0</v>
      </c>
      <c r="BI111" s="326">
        <f t="shared" si="6"/>
        <v>0</v>
      </c>
      <c r="BJ111" s="95">
        <f>VLOOKUP(BD111,CENY!$B$11:$M$2025,12,FALSE)</f>
        <v>1376.3860500000001</v>
      </c>
      <c r="BK111" s="95">
        <f t="shared" si="7"/>
        <v>0</v>
      </c>
    </row>
    <row r="112" spans="1:63">
      <c r="AU112" s="20"/>
      <c r="AV112" s="21"/>
      <c r="AW112" s="22"/>
      <c r="AX112" s="22"/>
      <c r="AY112" s="23"/>
      <c r="AZ112" s="326"/>
      <c r="BA112" s="95"/>
      <c r="BB112" s="95"/>
      <c r="BD112" s="319"/>
      <c r="BE112" s="21"/>
      <c r="BF112" s="22"/>
      <c r="BG112" s="22"/>
      <c r="BH112" s="23"/>
      <c r="BI112" s="326"/>
      <c r="BJ112" s="95"/>
      <c r="BK112" s="95"/>
    </row>
    <row r="113" spans="47:63">
      <c r="AU113" s="319">
        <f>OBJ!B361</f>
        <v>45167</v>
      </c>
      <c r="AV113" s="21" t="str">
        <f>VLOOKUP(AU113,CENY!$B$11:$G$1054,2,FALSE)</f>
        <v>Skrutka s polgul.hlavou 3,5x12mm</v>
      </c>
      <c r="AW113" s="22">
        <f>VLOOKUP(AU113,CENY!$B$11:$G$1054,3,FALSE)</f>
        <v>200</v>
      </c>
      <c r="AX113" s="22"/>
      <c r="AY113" s="23">
        <f>SUMPRODUCT(AX5:AX11,AY5:AY11)</f>
        <v>0</v>
      </c>
      <c r="AZ113" s="326">
        <f>IF(AY113="","",IF($AW$4=1,AY113,0))</f>
        <v>0</v>
      </c>
      <c r="BA113" s="95">
        <f>VLOOKUP(AU113,CENY!$B$11:$M$2025,12,FALSE)</f>
        <v>0.84719999999999995</v>
      </c>
      <c r="BB113" s="95">
        <f>IF(BA113="","",BA113*AY113)</f>
        <v>0</v>
      </c>
      <c r="BC113" s="86" t="s">
        <v>396</v>
      </c>
      <c r="BD113" s="319">
        <f>OBJ!B361</f>
        <v>45167</v>
      </c>
      <c r="BE113" s="21" t="str">
        <f>VLOOKUP(BD113,CENY!$B$11:$G$1054,2,FALSE)</f>
        <v>Skrutka s polgul.hlavou 3,5x12mm</v>
      </c>
      <c r="BF113" s="22">
        <f>VLOOKUP(BD113,CENY!$B$11:$G$1054,3,FALSE)</f>
        <v>200</v>
      </c>
      <c r="BG113" s="22"/>
      <c r="BH113" s="23">
        <f>AY113+BH21*2</f>
        <v>0</v>
      </c>
      <c r="BI113" s="326">
        <f>IF(BH113="","",IF($AW$4=0,BH113,0))</f>
        <v>0</v>
      </c>
      <c r="BJ113" s="95">
        <f>VLOOKUP(BD113,CENY!$B$11:$M$2025,12,FALSE)</f>
        <v>0.84719999999999995</v>
      </c>
      <c r="BK113" s="95">
        <f>IF(BJ113="","",BJ113*BH113)</f>
        <v>0</v>
      </c>
    </row>
    <row r="114" spans="47:63">
      <c r="AU114" s="319">
        <f>OBJ!B362</f>
        <v>45168</v>
      </c>
      <c r="AV114" s="21" t="str">
        <f>VLOOKUP(AU114,CENY!$B$11:$G$1054,2,FALSE)</f>
        <v>Skrutka s polgul.hlavou 3,5x20mm</v>
      </c>
      <c r="AW114" s="22">
        <f>VLOOKUP(AU114,CENY!$B$11:$G$1054,3,FALSE)</f>
        <v>200</v>
      </c>
      <c r="AX114" s="22"/>
      <c r="AY114" s="360">
        <v>0</v>
      </c>
      <c r="AZ114" s="326">
        <f>IF(AY114="","",IF($AW$4=1,AY114,0))</f>
        <v>0</v>
      </c>
      <c r="BA114" s="95">
        <f>VLOOKUP(AU114,CENY!$B$11:$M$2025,12,FALSE)</f>
        <v>1.2154199999999999</v>
      </c>
      <c r="BB114" s="95">
        <f>IF(BA114="","",BA114*AY114)</f>
        <v>0</v>
      </c>
      <c r="BC114" s="86" t="s">
        <v>397</v>
      </c>
      <c r="BD114" s="319">
        <f>OBJ!B362</f>
        <v>45168</v>
      </c>
      <c r="BE114" s="21" t="str">
        <f>VLOOKUP(BD114,CENY!$B$11:$G$1054,2,FALSE)</f>
        <v>Skrutka s polgul.hlavou 3,5x20mm</v>
      </c>
      <c r="BF114" s="22">
        <f>VLOOKUP(BD114,CENY!$B$11:$G$1054,3,FALSE)</f>
        <v>200</v>
      </c>
      <c r="BG114" s="22"/>
      <c r="BH114" s="360">
        <v>0</v>
      </c>
      <c r="BI114" s="326">
        <f>IF(BH114="","",IF($AW$4=0,BH114,0))</f>
        <v>0</v>
      </c>
      <c r="BJ114" s="95">
        <f>VLOOKUP(BD114,CENY!$B$11:$M$2025,12,FALSE)</f>
        <v>1.2154199999999999</v>
      </c>
      <c r="BK114" s="95">
        <f>IF(BJ114="","",BJ114*BH114)</f>
        <v>0</v>
      </c>
    </row>
    <row r="115" spans="47:63">
      <c r="AU115" s="319">
        <f>OBJ!B363</f>
        <v>9278224</v>
      </c>
      <c r="AV115" s="21" t="str">
        <f>VLOOKUP(AU115,CENY!$B$11:$G$1054,2,FALSE)</f>
        <v>Skrutka s polgul.hlavou 3,5x30mm</v>
      </c>
      <c r="AW115" s="22">
        <f>VLOOKUP(AU115,CENY!$B$11:$G$1054,3,FALSE)</f>
        <v>200</v>
      </c>
      <c r="AX115" s="22"/>
      <c r="AY115" s="360">
        <v>0</v>
      </c>
      <c r="AZ115" s="326">
        <f>IF(AY115="","",IF($AW$4=1,AY115,0))</f>
        <v>0</v>
      </c>
      <c r="BA115" s="95">
        <f>VLOOKUP(AU115,CENY!$B$11:$M$2025,12,FALSE)</f>
        <v>0.89337999999999995</v>
      </c>
      <c r="BB115" s="95">
        <f>IF(BA115="","",BA115*AY115)</f>
        <v>0</v>
      </c>
      <c r="BC115" s="86" t="s">
        <v>398</v>
      </c>
      <c r="BD115" s="319">
        <f>OBJ!B363</f>
        <v>9278224</v>
      </c>
      <c r="BE115" s="21" t="str">
        <f>VLOOKUP(BD115,CENY!$B$11:$G$1054,2,FALSE)</f>
        <v>Skrutka s polgul.hlavou 3,5x30mm</v>
      </c>
      <c r="BF115" s="22">
        <f>VLOOKUP(BD115,CENY!$B$11:$G$1054,3,FALSE)</f>
        <v>200</v>
      </c>
      <c r="BG115" s="22"/>
      <c r="BH115" s="360">
        <f>2*SUM(BH5:BH18)</f>
        <v>0</v>
      </c>
      <c r="BI115" s="326">
        <f>IF(BH115="","",IF($AW$4=0,BH115,0))</f>
        <v>0</v>
      </c>
      <c r="BJ115" s="95">
        <f>VLOOKUP(BD115,CENY!$B$11:$M$2025,12,FALSE)</f>
        <v>0.89337999999999995</v>
      </c>
      <c r="BK115" s="95">
        <f>IF(BJ115="","",BJ115*BH115)</f>
        <v>0</v>
      </c>
    </row>
    <row r="116" spans="47:63">
      <c r="AU116" s="319">
        <f>OBJ!B364</f>
        <v>9279197</v>
      </c>
      <c r="AV116" s="21" t="str">
        <f>VLOOKUP(AU116,CENY!$B$11:$G$1054,2,FALSE)</f>
        <v>Skrutka s polgul.hlavou M3,5x12mm</v>
      </c>
      <c r="AW116" s="22">
        <f>VLOOKUP(AU116,CENY!$B$11:$G$1054,3,FALSE)</f>
        <v>1000</v>
      </c>
      <c r="AX116" s="22"/>
      <c r="AY116" s="68">
        <v>0</v>
      </c>
      <c r="AZ116" s="326">
        <f>IF(AY116="","",IF($AW$4=1,AY116,0))</f>
        <v>0</v>
      </c>
      <c r="BA116" s="95">
        <f>VLOOKUP(AU116,CENY!$B$11:$M$2025,12,FALSE)</f>
        <v>0</v>
      </c>
      <c r="BB116" s="95">
        <f>IF(BA116="","",BA116*AY116)</f>
        <v>0</v>
      </c>
      <c r="BC116" s="86" t="s">
        <v>399</v>
      </c>
      <c r="BD116" s="319">
        <f>OBJ!B364</f>
        <v>9279197</v>
      </c>
      <c r="BE116" s="21" t="str">
        <f>VLOOKUP(BD116,CENY!$B$11:$G$1054,2,FALSE)</f>
        <v>Skrutka s polgul.hlavou M3,5x12mm</v>
      </c>
      <c r="BF116" s="22">
        <f>VLOOKUP(BD116,CENY!$B$11:$G$1054,3,FALSE)</f>
        <v>1000</v>
      </c>
      <c r="BG116" s="22"/>
      <c r="BH116" s="68">
        <v>0</v>
      </c>
      <c r="BI116" s="326">
        <f>IF(BH116="","",IF($AW$4=0,BH116,0))</f>
        <v>0</v>
      </c>
      <c r="BJ116" s="95">
        <f>VLOOKUP(BD116,CENY!$B$11:$M$2025,12,FALSE)</f>
        <v>0</v>
      </c>
      <c r="BK116" s="95">
        <f>IF(BJ116="","",BJ116*BH116)</f>
        <v>0</v>
      </c>
    </row>
    <row r="117" spans="47:63">
      <c r="AU117" s="319">
        <f>OBJ!B365</f>
        <v>9137114</v>
      </c>
      <c r="AV117" s="21" t="str">
        <f>VLOOKUP(AU117,CENY!$B$11:$G$1054,2,FALSE)</f>
        <v>EURO-skrutka  6,0x14mm / niklovaná</v>
      </c>
      <c r="AW117" s="22">
        <f>VLOOKUP(AU117,CENY!$B$11:$G$1054,3,FALSE)</f>
        <v>200</v>
      </c>
      <c r="AX117" s="22"/>
      <c r="AY117" s="23">
        <f>SUMPRODUCT(AX21:AX60,AY21:AY60)</f>
        <v>0</v>
      </c>
      <c r="AZ117" s="326">
        <f>IF(AY117="","",IF($AW$4=1,AY117,0))</f>
        <v>0</v>
      </c>
      <c r="BA117" s="95">
        <f>VLOOKUP(AU117,CENY!$B$11:$M$2025,12,FALSE)</f>
        <v>1.8839300000000001</v>
      </c>
      <c r="BB117" s="95">
        <f>IF(BA117="","",BA117*AY117)</f>
        <v>0</v>
      </c>
      <c r="BC117" s="86" t="s">
        <v>400</v>
      </c>
      <c r="BD117" s="319">
        <f>OBJ!B365</f>
        <v>9137114</v>
      </c>
      <c r="BE117" s="21" t="str">
        <f>VLOOKUP(BD117,CENY!$B$11:$G$1054,2,FALSE)</f>
        <v>EURO-skrutka  6,0x14mm / niklovaná</v>
      </c>
      <c r="BF117" s="22">
        <f>VLOOKUP(BD117,CENY!$B$11:$G$1054,3,FALSE)</f>
        <v>200</v>
      </c>
      <c r="BG117" s="22"/>
      <c r="BH117" s="23">
        <f>AY117</f>
        <v>0</v>
      </c>
      <c r="BI117" s="326">
        <f>IF(BH117="","",IF($AW$4=0,BH117,0))</f>
        <v>0</v>
      </c>
      <c r="BJ117" s="95">
        <f>VLOOKUP(BD117,CENY!$B$11:$M$2025,12,FALSE)</f>
        <v>1.8839300000000001</v>
      </c>
      <c r="BK117" s="95">
        <f>IF(BJ117="","",BJ117*BH117)</f>
        <v>0</v>
      </c>
    </row>
    <row r="118" spans="47:63">
      <c r="AU118" s="20"/>
      <c r="AV118" s="21"/>
      <c r="AW118" s="22"/>
      <c r="AX118" s="22"/>
      <c r="AY118" s="23"/>
      <c r="AZ118" s="326" t="str">
        <f t="shared" si="5"/>
        <v/>
      </c>
      <c r="BA118" s="95"/>
      <c r="BB118" s="95" t="str">
        <f t="shared" si="4"/>
        <v/>
      </c>
      <c r="BD118" s="319"/>
      <c r="BE118" s="21"/>
      <c r="BF118" s="22"/>
      <c r="BG118" s="22"/>
      <c r="BH118" s="23"/>
      <c r="BI118" s="326" t="str">
        <f t="shared" si="6"/>
        <v/>
      </c>
      <c r="BJ118" s="95"/>
      <c r="BK118" s="95" t="str">
        <f t="shared" si="7"/>
        <v/>
      </c>
    </row>
    <row r="119" spans="47:63">
      <c r="AU119" s="20"/>
      <c r="AV119" s="21"/>
      <c r="AW119" s="22"/>
      <c r="AX119" s="22"/>
      <c r="AY119" s="23"/>
      <c r="AZ119" s="326" t="str">
        <f t="shared" si="5"/>
        <v/>
      </c>
      <c r="BA119" s="95"/>
      <c r="BB119" s="95" t="str">
        <f t="shared" si="4"/>
        <v/>
      </c>
      <c r="BD119" s="319"/>
      <c r="BE119" s="21"/>
      <c r="BF119" s="22"/>
      <c r="BG119" s="22"/>
      <c r="BH119" s="23"/>
      <c r="BI119" s="326" t="str">
        <f t="shared" si="6"/>
        <v/>
      </c>
      <c r="BJ119" s="95"/>
      <c r="BK119" s="95" t="str">
        <f t="shared" si="7"/>
        <v/>
      </c>
    </row>
    <row r="120" spans="47:63">
      <c r="AU120" s="20"/>
      <c r="AV120" s="21"/>
      <c r="AW120" s="22"/>
      <c r="AX120" s="22"/>
      <c r="AY120" s="23"/>
      <c r="AZ120" s="326" t="str">
        <f t="shared" si="5"/>
        <v/>
      </c>
      <c r="BA120" s="95"/>
      <c r="BB120" s="95" t="str">
        <f>IF(BA120="","",BA120*AY120)</f>
        <v/>
      </c>
      <c r="BD120" s="319"/>
      <c r="BE120" s="21"/>
      <c r="BF120" s="22"/>
      <c r="BG120" s="22"/>
      <c r="BH120" s="23"/>
      <c r="BI120" s="326" t="str">
        <f t="shared" si="6"/>
        <v/>
      </c>
      <c r="BJ120" s="95"/>
      <c r="BK120" s="95" t="str">
        <f t="shared" si="7"/>
        <v/>
      </c>
    </row>
    <row r="121" spans="47:63">
      <c r="AU121" s="20"/>
      <c r="AV121" s="21"/>
      <c r="AW121" s="22"/>
      <c r="AX121" s="22"/>
      <c r="AY121" s="23"/>
      <c r="AZ121" s="326" t="str">
        <f t="shared" si="5"/>
        <v/>
      </c>
      <c r="BA121" s="95"/>
      <c r="BB121" s="95" t="str">
        <f>IF(BA121="","",BA121*AY121)</f>
        <v/>
      </c>
      <c r="BD121" s="319"/>
      <c r="BE121" s="21"/>
      <c r="BF121" s="22"/>
      <c r="BG121" s="22"/>
      <c r="BH121" s="23"/>
      <c r="BI121" s="326" t="str">
        <f t="shared" si="6"/>
        <v/>
      </c>
      <c r="BJ121" s="95"/>
      <c r="BK121" s="95" t="str">
        <f t="shared" si="7"/>
        <v/>
      </c>
    </row>
    <row r="122" spans="47:63">
      <c r="AU122" s="20"/>
      <c r="AV122" s="21"/>
      <c r="AW122" s="22"/>
      <c r="AX122" s="22"/>
      <c r="AY122" s="23"/>
      <c r="AZ122" s="326" t="str">
        <f t="shared" si="5"/>
        <v/>
      </c>
      <c r="BA122" s="95"/>
      <c r="BB122" s="95" t="str">
        <f>IF(BA122="","",BA122*AY122)</f>
        <v/>
      </c>
      <c r="BD122" s="319"/>
      <c r="BE122" s="21"/>
      <c r="BF122" s="22"/>
      <c r="BG122" s="22"/>
      <c r="BH122" s="23"/>
      <c r="BI122" s="326" t="str">
        <f t="shared" si="6"/>
        <v/>
      </c>
      <c r="BJ122" s="95"/>
      <c r="BK122" s="95" t="str">
        <f t="shared" si="7"/>
        <v/>
      </c>
    </row>
  </sheetData>
  <sheetProtection algorithmName="SHA-512" hashValue="uFLpJMtJlZ6Xmqf+iP8mVnZlSaVSSE30a75GGlW0nx1yqFfF4RYjCVZ4ezusMYi3PhVjuuYp/cT9NiFUqqgy3w==" saltValue="BwA1oQjfrR0G767dSWhbQg==" spinCount="100000" sheet="1" objects="1" scenarios="1"/>
  <mergeCells count="174">
    <mergeCell ref="AO2:AR2"/>
    <mergeCell ref="B6:E6"/>
    <mergeCell ref="F6:K6"/>
    <mergeCell ref="O2:S2"/>
    <mergeCell ref="B7:E7"/>
    <mergeCell ref="F7:K7"/>
    <mergeCell ref="B8:E8"/>
    <mergeCell ref="F8:K8"/>
    <mergeCell ref="B2:E2"/>
    <mergeCell ref="G2:K2"/>
    <mergeCell ref="U2:Y2"/>
    <mergeCell ref="AA2:AE2"/>
    <mergeCell ref="AI2:AM2"/>
    <mergeCell ref="B12:E12"/>
    <mergeCell ref="F12:K12"/>
    <mergeCell ref="B13:E13"/>
    <mergeCell ref="F13:I13"/>
    <mergeCell ref="J13:K13"/>
    <mergeCell ref="O17:AF17"/>
    <mergeCell ref="B9:E9"/>
    <mergeCell ref="F9:K9"/>
    <mergeCell ref="B10:E10"/>
    <mergeCell ref="F10:K10"/>
    <mergeCell ref="B11:E11"/>
    <mergeCell ref="F11:K11"/>
    <mergeCell ref="AI18:AO18"/>
    <mergeCell ref="B19:G19"/>
    <mergeCell ref="H19:L19"/>
    <mergeCell ref="M19:N19"/>
    <mergeCell ref="O19:P19"/>
    <mergeCell ref="Q19:R19"/>
    <mergeCell ref="S19:T19"/>
    <mergeCell ref="AN19:AO19"/>
    <mergeCell ref="AI17:AO17"/>
    <mergeCell ref="O18:P18"/>
    <mergeCell ref="Q18:R18"/>
    <mergeCell ref="S18:T18"/>
    <mergeCell ref="U18:V18"/>
    <mergeCell ref="W18:X18"/>
    <mergeCell ref="Y18:Z18"/>
    <mergeCell ref="AA18:AB18"/>
    <mergeCell ref="AC18:AD18"/>
    <mergeCell ref="AE18:AF18"/>
    <mergeCell ref="B22:G22"/>
    <mergeCell ref="H22:L22"/>
    <mergeCell ref="M22:N22"/>
    <mergeCell ref="O22:P22"/>
    <mergeCell ref="Q22:R22"/>
    <mergeCell ref="S22:T22"/>
    <mergeCell ref="U20:V20"/>
    <mergeCell ref="W20:X20"/>
    <mergeCell ref="Y20:Z20"/>
    <mergeCell ref="B20:G20"/>
    <mergeCell ref="H20:L20"/>
    <mergeCell ref="M20:N20"/>
    <mergeCell ref="O20:P20"/>
    <mergeCell ref="Q20:R20"/>
    <mergeCell ref="S20:T20"/>
    <mergeCell ref="U22:V22"/>
    <mergeCell ref="W22:X22"/>
    <mergeCell ref="B27:G27"/>
    <mergeCell ref="H27:L27"/>
    <mergeCell ref="M27:N27"/>
    <mergeCell ref="O27:P27"/>
    <mergeCell ref="Q27:R27"/>
    <mergeCell ref="S27:T27"/>
    <mergeCell ref="AN27:AO27"/>
    <mergeCell ref="O26:P26"/>
    <mergeCell ref="Q26:R26"/>
    <mergeCell ref="S26:T26"/>
    <mergeCell ref="U26:V26"/>
    <mergeCell ref="W26:X26"/>
    <mergeCell ref="Y26:Z26"/>
    <mergeCell ref="B30:G30"/>
    <mergeCell ref="H30:L30"/>
    <mergeCell ref="M30:N30"/>
    <mergeCell ref="S30:T30"/>
    <mergeCell ref="U30:V30"/>
    <mergeCell ref="W30:X30"/>
    <mergeCell ref="U28:V28"/>
    <mergeCell ref="W28:X28"/>
    <mergeCell ref="Y28:Z28"/>
    <mergeCell ref="B28:G28"/>
    <mergeCell ref="H28:L28"/>
    <mergeCell ref="M28:N28"/>
    <mergeCell ref="O28:P28"/>
    <mergeCell ref="Q28:R28"/>
    <mergeCell ref="S28:T28"/>
    <mergeCell ref="A66:A105"/>
    <mergeCell ref="B67:E67"/>
    <mergeCell ref="G67:K67"/>
    <mergeCell ref="O67:S67"/>
    <mergeCell ref="U67:Y67"/>
    <mergeCell ref="AA67:AE67"/>
    <mergeCell ref="O80:P80"/>
    <mergeCell ref="S80:T80"/>
    <mergeCell ref="U80:V80"/>
    <mergeCell ref="W80:X80"/>
    <mergeCell ref="O81:AJ81"/>
    <mergeCell ref="AC80:AD80"/>
    <mergeCell ref="AE80:AF80"/>
    <mergeCell ref="AG80:AH80"/>
    <mergeCell ref="AI80:AJ80"/>
    <mergeCell ref="Q80:R80"/>
    <mergeCell ref="Y80:Z80"/>
    <mergeCell ref="AA80:AB80"/>
    <mergeCell ref="AI83:AJ83"/>
    <mergeCell ref="M84:N84"/>
    <mergeCell ref="V87:AC92"/>
    <mergeCell ref="AA79:AB79"/>
    <mergeCell ref="AC79:AD79"/>
    <mergeCell ref="AE79:AF79"/>
    <mergeCell ref="AK9:AP10"/>
    <mergeCell ref="AI67:AM67"/>
    <mergeCell ref="AO67:AR67"/>
    <mergeCell ref="AN29:AO29"/>
    <mergeCell ref="Y30:Z30"/>
    <mergeCell ref="AA30:AB30"/>
    <mergeCell ref="AC30:AD30"/>
    <mergeCell ref="AA26:AB26"/>
    <mergeCell ref="AA28:AB28"/>
    <mergeCell ref="AC28:AD28"/>
    <mergeCell ref="AN28:AO28"/>
    <mergeCell ref="AC26:AD26"/>
    <mergeCell ref="AI26:AO26"/>
    <mergeCell ref="Y22:Z22"/>
    <mergeCell ref="AA22:AB22"/>
    <mergeCell ref="AC22:AD22"/>
    <mergeCell ref="AE22:AF22"/>
    <mergeCell ref="AN22:AO22"/>
    <mergeCell ref="AI25:AO25"/>
    <mergeCell ref="AN20:AO20"/>
    <mergeCell ref="AN21:AO21"/>
    <mergeCell ref="AA20:AB20"/>
    <mergeCell ref="AC20:AD20"/>
    <mergeCell ref="AE20:AF20"/>
    <mergeCell ref="W85:X85"/>
    <mergeCell ref="Y85:Z85"/>
    <mergeCell ref="AG83:AH83"/>
    <mergeCell ref="O84:P84"/>
    <mergeCell ref="Q84:R84"/>
    <mergeCell ref="S84:T84"/>
    <mergeCell ref="U84:V84"/>
    <mergeCell ref="O83:P83"/>
    <mergeCell ref="Q83:R83"/>
    <mergeCell ref="S83:T83"/>
    <mergeCell ref="U83:V83"/>
    <mergeCell ref="AA83:AB83"/>
    <mergeCell ref="AC83:AD83"/>
    <mergeCell ref="AE83:AF83"/>
    <mergeCell ref="O82:V82"/>
    <mergeCell ref="AA82:AB82"/>
    <mergeCell ref="AC82:AJ82"/>
    <mergeCell ref="Y79:Z79"/>
    <mergeCell ref="AG79:AH79"/>
    <mergeCell ref="AI79:AJ79"/>
    <mergeCell ref="AA85:AB85"/>
    <mergeCell ref="AC85:AD85"/>
    <mergeCell ref="AE85:AF85"/>
    <mergeCell ref="AG85:AH85"/>
    <mergeCell ref="AI85:AJ85"/>
    <mergeCell ref="O79:P79"/>
    <mergeCell ref="Q79:R79"/>
    <mergeCell ref="S79:T79"/>
    <mergeCell ref="U79:V79"/>
    <mergeCell ref="W79:X79"/>
    <mergeCell ref="AC84:AD84"/>
    <mergeCell ref="AE84:AF84"/>
    <mergeCell ref="AG84:AH84"/>
    <mergeCell ref="AI84:AJ84"/>
    <mergeCell ref="O85:P85"/>
    <mergeCell ref="Q85:R85"/>
    <mergeCell ref="S85:T85"/>
    <mergeCell ref="U85:V85"/>
  </mergeCells>
  <conditionalFormatting sqref="AY24:AY29 AY37:AY40 BH35:BH40 BH42:BH47 BH72:BH77 AY31:AY35 BH49:BH57 AY15:AY22 AY54:AY57 BH30:BH33 BH63:BH70 BH79:BH92 BH5:BH22 AY5:AY13 AZ6:AZ82 BH118:BI122 AZ118:AZ122 AY105:AZ112 BH112 BI6:BI112">
    <cfRule type="cellIs" dxfId="458" priority="85" stopIfTrue="1" operator="equal">
      <formula>0</formula>
    </cfRule>
  </conditionalFormatting>
  <conditionalFormatting sqref="AY50:AY53 AY63 AY42:AY43 AY47 AY65 AY45">
    <cfRule type="cellIs" dxfId="457" priority="83" stopIfTrue="1" operator="equal">
      <formula>0</formula>
    </cfRule>
  </conditionalFormatting>
  <conditionalFormatting sqref="O17:AF17 S19:T19 S20:AD20 W22:AD22 S27:T27 S28:AD28 S30:AD30">
    <cfRule type="expression" dxfId="456" priority="84" stopIfTrue="1">
      <formula>$AW$4=0</formula>
    </cfRule>
  </conditionalFormatting>
  <conditionalFormatting sqref="AY72 AY78:AY79">
    <cfRule type="cellIs" dxfId="455" priority="82" stopIfTrue="1" operator="equal">
      <formula>0</formula>
    </cfRule>
  </conditionalFormatting>
  <conditionalFormatting sqref="AY80">
    <cfRule type="cellIs" dxfId="454" priority="81" stopIfTrue="1" operator="equal">
      <formula>0</formula>
    </cfRule>
  </conditionalFormatting>
  <conditionalFormatting sqref="AY60:AY61">
    <cfRule type="cellIs" dxfId="453" priority="70" stopIfTrue="1" operator="equal">
      <formula>0</formula>
    </cfRule>
  </conditionalFormatting>
  <conditionalFormatting sqref="AY48:AY49">
    <cfRule type="cellIs" dxfId="452" priority="79" stopIfTrue="1" operator="equal">
      <formula>0</formula>
    </cfRule>
  </conditionalFormatting>
  <conditionalFormatting sqref="AY59">
    <cfRule type="cellIs" dxfId="451" priority="78" stopIfTrue="1" operator="equal">
      <formula>0</formula>
    </cfRule>
  </conditionalFormatting>
  <conditionalFormatting sqref="AY67:AY69">
    <cfRule type="cellIs" dxfId="450" priority="77" stopIfTrue="1" operator="equal">
      <formula>0</formula>
    </cfRule>
  </conditionalFormatting>
  <conditionalFormatting sqref="AY70">
    <cfRule type="cellIs" dxfId="449" priority="76" stopIfTrue="1" operator="equal">
      <formula>0</formula>
    </cfRule>
  </conditionalFormatting>
  <conditionalFormatting sqref="AY71">
    <cfRule type="cellIs" dxfId="448" priority="75" stopIfTrue="1" operator="equal">
      <formula>0</formula>
    </cfRule>
  </conditionalFormatting>
  <conditionalFormatting sqref="AY81:AY82">
    <cfRule type="cellIs" dxfId="447" priority="74" stopIfTrue="1" operator="equal">
      <formula>0</formula>
    </cfRule>
  </conditionalFormatting>
  <conditionalFormatting sqref="BH94:BH96 BH98">
    <cfRule type="cellIs" dxfId="446" priority="73" stopIfTrue="1" operator="equal">
      <formula>0</formula>
    </cfRule>
  </conditionalFormatting>
  <conditionalFormatting sqref="AY118:AY122">
    <cfRule type="cellIs" dxfId="445" priority="71" stopIfTrue="1" operator="equal">
      <formula>0</formula>
    </cfRule>
  </conditionalFormatting>
  <conditionalFormatting sqref="BH99:BH101">
    <cfRule type="cellIs" dxfId="444" priority="69" stopIfTrue="1" operator="equal">
      <formula>0</formula>
    </cfRule>
  </conditionalFormatting>
  <conditionalFormatting sqref="AY14">
    <cfRule type="cellIs" dxfId="443" priority="68" stopIfTrue="1" operator="equal">
      <formula>0</formula>
    </cfRule>
  </conditionalFormatting>
  <conditionalFormatting sqref="AY23">
    <cfRule type="cellIs" dxfId="442" priority="67" stopIfTrue="1" operator="equal">
      <formula>0</formula>
    </cfRule>
  </conditionalFormatting>
  <conditionalFormatting sqref="AY36">
    <cfRule type="cellIs" dxfId="441" priority="66" stopIfTrue="1" operator="equal">
      <formula>0</formula>
    </cfRule>
  </conditionalFormatting>
  <conditionalFormatting sqref="AY41">
    <cfRule type="cellIs" dxfId="440" priority="65" stopIfTrue="1" operator="equal">
      <formula>0</formula>
    </cfRule>
  </conditionalFormatting>
  <conditionalFormatting sqref="AY46">
    <cfRule type="cellIs" dxfId="439" priority="64" stopIfTrue="1" operator="equal">
      <formula>0</formula>
    </cfRule>
  </conditionalFormatting>
  <conditionalFormatting sqref="AY58">
    <cfRule type="cellIs" dxfId="438" priority="63" stopIfTrue="1" operator="equal">
      <formula>0</formula>
    </cfRule>
  </conditionalFormatting>
  <conditionalFormatting sqref="AY62">
    <cfRule type="cellIs" dxfId="437" priority="62" stopIfTrue="1" operator="equal">
      <formula>0</formula>
    </cfRule>
  </conditionalFormatting>
  <conditionalFormatting sqref="AY64">
    <cfRule type="cellIs" dxfId="436" priority="61" stopIfTrue="1" operator="equal">
      <formula>0</formula>
    </cfRule>
  </conditionalFormatting>
  <conditionalFormatting sqref="AY66">
    <cfRule type="cellIs" dxfId="435" priority="60" stopIfTrue="1" operator="equal">
      <formula>0</formula>
    </cfRule>
  </conditionalFormatting>
  <conditionalFormatting sqref="AY73:AY77">
    <cfRule type="cellIs" dxfId="434" priority="59" stopIfTrue="1" operator="equal">
      <formula>0</formula>
    </cfRule>
  </conditionalFormatting>
  <conditionalFormatting sqref="F13:K13">
    <cfRule type="expression" dxfId="433" priority="58" stopIfTrue="1">
      <formula>$AW$4=1</formula>
    </cfRule>
  </conditionalFormatting>
  <conditionalFormatting sqref="BH23:BH26">
    <cfRule type="cellIs" dxfId="432" priority="57" stopIfTrue="1" operator="equal">
      <formula>0</formula>
    </cfRule>
  </conditionalFormatting>
  <conditionalFormatting sqref="BH27">
    <cfRule type="cellIs" dxfId="431" priority="56" stopIfTrue="1" operator="equal">
      <formula>0</formula>
    </cfRule>
  </conditionalFormatting>
  <conditionalFormatting sqref="BH28">
    <cfRule type="cellIs" dxfId="430" priority="55" stopIfTrue="1" operator="equal">
      <formula>0</formula>
    </cfRule>
  </conditionalFormatting>
  <conditionalFormatting sqref="BH29">
    <cfRule type="cellIs" dxfId="429" priority="54" stopIfTrue="1" operator="equal">
      <formula>0</formula>
    </cfRule>
  </conditionalFormatting>
  <conditionalFormatting sqref="BH34">
    <cfRule type="cellIs" dxfId="428" priority="53" stopIfTrue="1" operator="equal">
      <formula>0</formula>
    </cfRule>
  </conditionalFormatting>
  <conditionalFormatting sqref="BH41">
    <cfRule type="cellIs" dxfId="427" priority="52" stopIfTrue="1" operator="equal">
      <formula>0</formula>
    </cfRule>
  </conditionalFormatting>
  <conditionalFormatting sqref="BH58">
    <cfRule type="cellIs" dxfId="426" priority="51" stopIfTrue="1" operator="equal">
      <formula>0</formula>
    </cfRule>
  </conditionalFormatting>
  <conditionalFormatting sqref="BH59:BH62">
    <cfRule type="cellIs" dxfId="425" priority="50" stopIfTrue="1" operator="equal">
      <formula>0</formula>
    </cfRule>
  </conditionalFormatting>
  <conditionalFormatting sqref="BH71">
    <cfRule type="cellIs" dxfId="424" priority="49" stopIfTrue="1" operator="equal">
      <formula>0</formula>
    </cfRule>
  </conditionalFormatting>
  <conditionalFormatting sqref="BH78">
    <cfRule type="cellIs" dxfId="423" priority="48" stopIfTrue="1" operator="equal">
      <formula>0</formula>
    </cfRule>
  </conditionalFormatting>
  <conditionalFormatting sqref="BH93">
    <cfRule type="cellIs" dxfId="422" priority="47" stopIfTrue="1" operator="equal">
      <formula>0</formula>
    </cfRule>
  </conditionalFormatting>
  <conditionalFormatting sqref="BH97">
    <cfRule type="cellIs" dxfId="421" priority="46" stopIfTrue="1" operator="equal">
      <formula>0</formula>
    </cfRule>
  </conditionalFormatting>
  <conditionalFormatting sqref="AE22:AF22">
    <cfRule type="expression" dxfId="420" priority="44" stopIfTrue="1">
      <formula>$AW$4=0</formula>
    </cfRule>
  </conditionalFormatting>
  <conditionalFormatting sqref="AY44">
    <cfRule type="cellIs" dxfId="419" priority="41" stopIfTrue="1" operator="equal">
      <formula>0</formula>
    </cfRule>
  </conditionalFormatting>
  <conditionalFormatting sqref="AY30">
    <cfRule type="cellIs" dxfId="418" priority="43" stopIfTrue="1" operator="equal">
      <formula>0</formula>
    </cfRule>
  </conditionalFormatting>
  <conditionalFormatting sqref="BH48">
    <cfRule type="cellIs" dxfId="417" priority="42" stopIfTrue="1" operator="equal">
      <formula>0</formula>
    </cfRule>
  </conditionalFormatting>
  <conditionalFormatting sqref="AZ5">
    <cfRule type="cellIs" dxfId="416" priority="40" stopIfTrue="1" operator="equal">
      <formula>0</formula>
    </cfRule>
  </conditionalFormatting>
  <conditionalFormatting sqref="BI5">
    <cfRule type="cellIs" dxfId="415" priority="39" stopIfTrue="1" operator="equal">
      <formula>0</formula>
    </cfRule>
  </conditionalFormatting>
  <conditionalFormatting sqref="AY83:AY84">
    <cfRule type="cellIs" dxfId="414" priority="19" stopIfTrue="1" operator="equal">
      <formula>0</formula>
    </cfRule>
  </conditionalFormatting>
  <conditionalFormatting sqref="AY85:AY89">
    <cfRule type="cellIs" dxfId="413" priority="18" stopIfTrue="1" operator="equal">
      <formula>0</formula>
    </cfRule>
  </conditionalFormatting>
  <conditionalFormatting sqref="AY90:AY92">
    <cfRule type="cellIs" dxfId="412" priority="17" stopIfTrue="1" operator="equal">
      <formula>0</formula>
    </cfRule>
  </conditionalFormatting>
  <conditionalFormatting sqref="AZ83:AZ104">
    <cfRule type="cellIs" dxfId="411" priority="16" stopIfTrue="1" operator="equal">
      <formula>0</formula>
    </cfRule>
  </conditionalFormatting>
  <conditionalFormatting sqref="BH102">
    <cfRule type="cellIs" dxfId="410" priority="15" stopIfTrue="1" operator="equal">
      <formula>0</formula>
    </cfRule>
  </conditionalFormatting>
  <conditionalFormatting sqref="AY103:AY104">
    <cfRule type="cellIs" dxfId="409" priority="22" stopIfTrue="1" operator="equal">
      <formula>0</formula>
    </cfRule>
  </conditionalFormatting>
  <conditionalFormatting sqref="AY102">
    <cfRule type="cellIs" dxfId="408" priority="21" stopIfTrue="1" operator="equal">
      <formula>0</formula>
    </cfRule>
  </conditionalFormatting>
  <conditionalFormatting sqref="AY96:AY101">
    <cfRule type="cellIs" dxfId="407" priority="20" stopIfTrue="1" operator="equal">
      <formula>0</formula>
    </cfRule>
  </conditionalFormatting>
  <conditionalFormatting sqref="AR87">
    <cfRule type="expression" dxfId="406" priority="25" stopIfTrue="1">
      <formula>$AU$95=AU97</formula>
    </cfRule>
  </conditionalFormatting>
  <conditionalFormatting sqref="V87:AC92">
    <cfRule type="expression" dxfId="405" priority="24" stopIfTrue="1">
      <formula>OR($AU$97=0,$AU$97=$AU$95)</formula>
    </cfRule>
  </conditionalFormatting>
  <conditionalFormatting sqref="AY93:AY95">
    <cfRule type="cellIs" dxfId="404" priority="23" stopIfTrue="1" operator="equal">
      <formula>0</formula>
    </cfRule>
  </conditionalFormatting>
  <conditionalFormatting sqref="BH103:BH111">
    <cfRule type="cellIs" dxfId="403" priority="9" stopIfTrue="1" operator="equal">
      <formula>0</formula>
    </cfRule>
  </conditionalFormatting>
  <conditionalFormatting sqref="AZ113:AZ117">
    <cfRule type="cellIs" dxfId="402" priority="7" stopIfTrue="1" operator="equal">
      <formula>0</formula>
    </cfRule>
  </conditionalFormatting>
  <conditionalFormatting sqref="AY113:AY117">
    <cfRule type="cellIs" dxfId="401" priority="6" stopIfTrue="1" operator="equal">
      <formula>0</formula>
    </cfRule>
  </conditionalFormatting>
  <conditionalFormatting sqref="BH113 BH116:BH117">
    <cfRule type="cellIs" dxfId="400" priority="5" stopIfTrue="1" operator="equal">
      <formula>0</formula>
    </cfRule>
  </conditionalFormatting>
  <conditionalFormatting sqref="BI113:BI117">
    <cfRule type="cellIs" dxfId="399" priority="4" stopIfTrue="1" operator="equal">
      <formula>0</formula>
    </cfRule>
  </conditionalFormatting>
  <conditionalFormatting sqref="BH114:BH115">
    <cfRule type="cellIs" dxfId="398" priority="3" stopIfTrue="1" operator="equal">
      <formula>0</formula>
    </cfRule>
  </conditionalFormatting>
  <conditionalFormatting sqref="AI17:AO17">
    <cfRule type="expression" dxfId="397" priority="2" stopIfTrue="1">
      <formula>$AW$4=0</formula>
    </cfRule>
  </conditionalFormatting>
  <conditionalFormatting sqref="AI25:AO25">
    <cfRule type="expression" dxfId="396" priority="1" stopIfTrue="1">
      <formula>$AW$4=0</formula>
    </cfRule>
  </conditionalFormatting>
  <hyperlinks>
    <hyperlink ref="M4" location="MENU!A1" display="MENU!A1" xr:uid="{00000000-0004-0000-0F00-000000000000}"/>
    <hyperlink ref="M10" location="OBJ!A1" display="OBJ!A1" xr:uid="{00000000-0004-0000-0F00-000001000000}"/>
    <hyperlink ref="M9" location="suhrn!A1" display="suhrn!A1" xr:uid="{00000000-0004-0000-0F00-000002000000}"/>
    <hyperlink ref="O2:S2" location="MENU!A5" display="MENU!A5" xr:uid="{00000000-0004-0000-0F00-000003000000}"/>
    <hyperlink ref="AK9:AO10" location="'IT70(vn100)'!A66" display="'IT70(vn100)'!A66" xr:uid="{00000000-0004-0000-0F00-000004000000}"/>
    <hyperlink ref="AK9:AP10" location="'AVT187In(vn-S)'!A66" display="'AVT187In(vn-S)'!A66" xr:uid="{00000000-0004-0000-0F00-000005000000}"/>
    <hyperlink ref="M69" location="MENU!A1" display="MENU!A1" xr:uid="{00000000-0004-0000-0F00-000006000000}"/>
    <hyperlink ref="B67:E67" location="'AVT187In(vn-S)'!A1" display="'AVT187In(vn-S)'!A1" xr:uid="{00000000-0004-0000-0F00-000007000000}"/>
  </hyperlinks>
  <printOptions horizontalCentered="1"/>
  <pageMargins left="0.19685039370078741" right="0.19685039370078741" top="0.19685039370078741" bottom="0.19685039370078741" header="0.31496062992125984" footer="0.31496062992125984"/>
  <pageSetup paperSize="9" orientation="landscape" r:id="rId1"/>
  <headerFooter>
    <oddHeader>&amp;R&amp;"Aptos"&amp;10&amp;K000000 Restricted&amp;1#_x000D_</oddHeader>
  </headerFooter>
  <drawing r:id="rId2"/>
  <legacyDrawing r:id="rId3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List7">
    <tabColor theme="9" tint="-0.249977111117893"/>
  </sheetPr>
  <dimension ref="A1:BK117"/>
  <sheetViews>
    <sheetView showGridLines="0" showRowColHeaders="0" zoomScale="95" zoomScaleNormal="95" workbookViewId="0"/>
  </sheetViews>
  <sheetFormatPr defaultColWidth="9" defaultRowHeight="13.8"/>
  <cols>
    <col min="1" max="1" width="3.59765625" style="86" customWidth="1"/>
    <col min="2" max="4" width="3.09765625" style="86" customWidth="1"/>
    <col min="5" max="5" width="7.59765625" style="86" customWidth="1"/>
    <col min="6" max="44" width="3.09765625" style="86" customWidth="1"/>
    <col min="45" max="45" width="3.59765625" style="86" customWidth="1"/>
    <col min="46" max="46" width="9" style="86" customWidth="1"/>
    <col min="47" max="47" width="9" style="86" hidden="1" customWidth="1"/>
    <col min="48" max="48" width="32.5" style="86" hidden="1" customWidth="1"/>
    <col min="49" max="49" width="4.3984375" style="86" hidden="1" customWidth="1"/>
    <col min="50" max="50" width="2" style="86" hidden="1" customWidth="1"/>
    <col min="51" max="52" width="4.59765625" style="86" hidden="1" customWidth="1"/>
    <col min="53" max="54" width="9" style="86" hidden="1" customWidth="1"/>
    <col min="55" max="55" width="2.59765625" style="86" hidden="1" customWidth="1"/>
    <col min="56" max="56" width="9" style="86" hidden="1" customWidth="1"/>
    <col min="57" max="57" width="33.8984375" style="86" hidden="1" customWidth="1"/>
    <col min="58" max="58" width="4.3984375" style="86" hidden="1" customWidth="1"/>
    <col min="59" max="59" width="2" style="86" hidden="1" customWidth="1"/>
    <col min="60" max="61" width="4.59765625" style="86" hidden="1" customWidth="1"/>
    <col min="62" max="63" width="9" style="86" hidden="1" customWidth="1"/>
    <col min="64" max="75" width="9" style="86" customWidth="1"/>
    <col min="76" max="16384" width="9" style="86"/>
  </cols>
  <sheetData>
    <row r="1" spans="1:63" ht="12.9" customHeight="1" thickBot="1">
      <c r="AU1" s="140"/>
      <c r="AV1" s="279"/>
      <c r="AW1" s="279"/>
      <c r="AX1" s="140"/>
      <c r="AY1" s="140"/>
      <c r="AZ1" s="140"/>
      <c r="BA1" s="140"/>
      <c r="BB1" s="140"/>
      <c r="BC1" s="140"/>
      <c r="BD1" s="140"/>
      <c r="BE1" s="140"/>
      <c r="BF1" s="140"/>
      <c r="BG1" s="140"/>
      <c r="BH1" s="140"/>
      <c r="BI1" s="140"/>
      <c r="BJ1" s="140"/>
      <c r="BK1" s="140"/>
    </row>
    <row r="2" spans="1:63" ht="23.1" customHeight="1" thickBot="1">
      <c r="B2" s="475" t="str">
        <f>verze!E13</f>
        <v>&lt;&lt;  zpět</v>
      </c>
      <c r="C2" s="476"/>
      <c r="D2" s="476"/>
      <c r="E2" s="477"/>
      <c r="G2" s="513" t="str">
        <f>verze!E6</f>
        <v xml:space="preserve"> Úvod</v>
      </c>
      <c r="H2" s="514"/>
      <c r="I2" s="514"/>
      <c r="J2" s="514"/>
      <c r="K2" s="515"/>
      <c r="O2" s="500" t="str">
        <f>verze!E7</f>
        <v xml:space="preserve"> Výběr zásuvek</v>
      </c>
      <c r="P2" s="501"/>
      <c r="Q2" s="501"/>
      <c r="R2" s="501"/>
      <c r="S2" s="502"/>
      <c r="U2" s="513" t="str">
        <f>verze!E8</f>
        <v xml:space="preserve"> </v>
      </c>
      <c r="V2" s="514"/>
      <c r="W2" s="514"/>
      <c r="X2" s="514"/>
      <c r="Y2" s="515"/>
      <c r="AA2" s="513" t="str">
        <f>verze!E9</f>
        <v xml:space="preserve"> </v>
      </c>
      <c r="AB2" s="514"/>
      <c r="AC2" s="514"/>
      <c r="AD2" s="514"/>
      <c r="AE2" s="515"/>
      <c r="AI2" s="513" t="str">
        <f>verze!E10</f>
        <v xml:space="preserve"> Objednávka</v>
      </c>
      <c r="AJ2" s="514"/>
      <c r="AK2" s="514"/>
      <c r="AL2" s="514"/>
      <c r="AM2" s="515"/>
      <c r="AO2" s="475" t="str">
        <f>verze!E14</f>
        <v>vpřed  &gt;&gt;</v>
      </c>
      <c r="AP2" s="476"/>
      <c r="AQ2" s="476"/>
      <c r="AR2" s="477"/>
      <c r="AV2" s="143"/>
      <c r="AW2" s="143"/>
    </row>
    <row r="3" spans="1:63" ht="12.9" customHeight="1">
      <c r="AV3" s="143"/>
      <c r="AW3" s="143"/>
    </row>
    <row r="4" spans="1:63" ht="23.1" customHeight="1">
      <c r="A4" s="89"/>
      <c r="B4" s="93" t="str">
        <f>verze!E206&amp;" AVANTECH YOU  101 / 187"</f>
        <v>Zásuvka AVANTECH YOU  101 / 187</v>
      </c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U4" s="94" t="s">
        <v>33</v>
      </c>
      <c r="AW4" s="285">
        <f>IF(FORM!AU13=FORM!U18,1,0)</f>
        <v>1</v>
      </c>
      <c r="BB4" s="322">
        <f>SUM(BB5:BB974)</f>
        <v>0</v>
      </c>
      <c r="BD4" s="94" t="s">
        <v>34</v>
      </c>
      <c r="BK4" s="322">
        <f>SUM(BK5:BK967)</f>
        <v>0</v>
      </c>
    </row>
    <row r="5" spans="1:63" ht="14.4" customHeight="1">
      <c r="AU5" s="319">
        <f>OBJ!B39</f>
        <v>9353335</v>
      </c>
      <c r="AV5" s="21" t="str">
        <f>VLOOKUP(AU5,CENY!$B$11:$G$1054,2,FALSE)</f>
        <v>AvanY-sólo oceľ.boky-NW 101/400mm/strieb.</v>
      </c>
      <c r="AW5" s="22">
        <f>VLOOKUP(AU5,CENY!$B$11:$G$1054,3,FALSE)</f>
        <v>1</v>
      </c>
      <c r="AX5" s="362">
        <v>4</v>
      </c>
      <c r="AY5" s="23">
        <f>O19+O25</f>
        <v>0</v>
      </c>
      <c r="AZ5" s="326">
        <f>IF(AY5="","",IF($AW$4=1,AY5,0))</f>
        <v>0</v>
      </c>
      <c r="BA5" s="95">
        <f>VLOOKUP(AU5,CENY!$B$11:$M$2025,12,FALSE)</f>
        <v>545.66444999999999</v>
      </c>
      <c r="BB5" s="95">
        <f t="shared" ref="BB5:BB58" si="0">IF(BA5="","",BA5*AY5)</f>
        <v>0</v>
      </c>
      <c r="BD5" s="319">
        <f>OBJ!B50</f>
        <v>9255008</v>
      </c>
      <c r="BE5" s="21" t="str">
        <f>VLOOKUP(BD5,CENY!$B$11:$G$1054,2,FALSE)</f>
        <v>AvanY-bok ľavý /v101/h270/ strieborná</v>
      </c>
      <c r="BF5" s="22">
        <f>VLOOKUP(BD5,CENY!$B$11:$G$1054,3,FALSE)</f>
        <v>20</v>
      </c>
      <c r="BG5" s="22"/>
      <c r="BH5" s="23">
        <f>AY5</f>
        <v>0</v>
      </c>
      <c r="BI5" s="326">
        <f>IF(BH5="","",IF($AW$4=0,BH5,0))</f>
        <v>0</v>
      </c>
      <c r="BJ5" s="95">
        <f>VLOOKUP(BD5,CENY!$B$11:$M$2025,12,FALSE)</f>
        <v>208.07782</v>
      </c>
      <c r="BK5" s="95">
        <f>IF(BJ5="","",BJ5*BH5)</f>
        <v>0</v>
      </c>
    </row>
    <row r="6" spans="1:63" ht="14.4" customHeight="1">
      <c r="B6" s="549" t="str">
        <f>" "&amp;verze!E90</f>
        <v xml:space="preserve"> bočnice:</v>
      </c>
      <c r="C6" s="549"/>
      <c r="D6" s="549"/>
      <c r="E6" s="549"/>
      <c r="F6" s="564" t="s">
        <v>387</v>
      </c>
      <c r="G6" s="564"/>
      <c r="H6" s="564"/>
      <c r="I6" s="564"/>
      <c r="J6" s="564"/>
      <c r="K6" s="564"/>
      <c r="AU6" s="319">
        <f>OBJ!B40</f>
        <v>9353336</v>
      </c>
      <c r="AV6" s="21" t="str">
        <f>VLOOKUP(AU6,CENY!$B$11:$G$1054,2,FALSE)</f>
        <v>AvanY-sólo oceľ.boky-NW 101/450mm/strieb.</v>
      </c>
      <c r="AW6" s="22">
        <f>VLOOKUP(AU6,CENY!$B$11:$G$1054,3,FALSE)</f>
        <v>1</v>
      </c>
      <c r="AX6" s="362">
        <v>4</v>
      </c>
      <c r="AY6" s="23">
        <f>Q19+Q25</f>
        <v>0</v>
      </c>
      <c r="AZ6" s="326">
        <f t="shared" ref="AZ6:AZ55" si="1">IF(AY6="","",IF($AW$4=1,AY6,0))</f>
        <v>0</v>
      </c>
      <c r="BA6" s="95">
        <f>VLOOKUP(AU6,CENY!$B$11:$M$2025,12,FALSE)</f>
        <v>550.21777999999995</v>
      </c>
      <c r="BB6" s="95">
        <f t="shared" si="0"/>
        <v>0</v>
      </c>
      <c r="BD6" s="319">
        <f>OBJ!B51</f>
        <v>9255009</v>
      </c>
      <c r="BE6" s="21" t="str">
        <f>VLOOKUP(BD6,CENY!$B$11:$G$1054,2,FALSE)</f>
        <v>AvanY-bok pravý /v101/h270/ strieborná</v>
      </c>
      <c r="BF6" s="22">
        <f>VLOOKUP(BD6,CENY!$B$11:$G$1054,3,FALSE)</f>
        <v>20</v>
      </c>
      <c r="BG6" s="22"/>
      <c r="BH6" s="23">
        <f>AY5</f>
        <v>0</v>
      </c>
      <c r="BI6" s="326">
        <f t="shared" ref="BI6:BI82" si="2">IF(BH6="","",IF($AW$4=0,BH6,0))</f>
        <v>0</v>
      </c>
      <c r="BJ6" s="95">
        <f>VLOOKUP(BD6,CENY!$B$11:$M$2025,12,FALSE)</f>
        <v>208.07782</v>
      </c>
      <c r="BK6" s="95">
        <f t="shared" ref="BK6:BK82" si="3">IF(BJ6="","",BJ6*BH6)</f>
        <v>0</v>
      </c>
    </row>
    <row r="7" spans="1:63" ht="14.4" customHeight="1">
      <c r="B7" s="549" t="str">
        <f>" "&amp;verze!E56</f>
        <v xml:space="preserve"> barva:</v>
      </c>
      <c r="C7" s="549"/>
      <c r="D7" s="549"/>
      <c r="E7" s="549"/>
      <c r="F7" s="564" t="str">
        <f>" "&amp;FORM!U8</f>
        <v xml:space="preserve"> stříbrná</v>
      </c>
      <c r="G7" s="564"/>
      <c r="H7" s="564"/>
      <c r="I7" s="564"/>
      <c r="J7" s="564"/>
      <c r="K7" s="564"/>
      <c r="AU7" s="319">
        <f>OBJ!B41</f>
        <v>9353337</v>
      </c>
      <c r="AV7" s="21" t="str">
        <f>VLOOKUP(AU7,CENY!$B$11:$G$1054,2,FALSE)</f>
        <v>AvanY-sólo oceľ.boky-NW 101/500mm/strieb.</v>
      </c>
      <c r="AW7" s="22">
        <f>VLOOKUP(AU7,CENY!$B$11:$G$1054,3,FALSE)</f>
        <v>1</v>
      </c>
      <c r="AX7" s="362">
        <v>6</v>
      </c>
      <c r="AY7" s="23">
        <f>S19+S25</f>
        <v>0</v>
      </c>
      <c r="AZ7" s="326">
        <f t="shared" si="1"/>
        <v>0</v>
      </c>
      <c r="BA7" s="95">
        <f>VLOOKUP(AU7,CENY!$B$11:$M$2025,12,FALSE)</f>
        <v>557.82863999999995</v>
      </c>
      <c r="BB7" s="95">
        <f t="shared" si="0"/>
        <v>0</v>
      </c>
      <c r="BD7" s="319">
        <f>OBJ!B52</f>
        <v>9255010</v>
      </c>
      <c r="BE7" s="21" t="str">
        <f>VLOOKUP(BD7,CENY!$B$11:$G$1054,2,FALSE)</f>
        <v>AvanY-bok ľavý /v101/h300/ strieborná</v>
      </c>
      <c r="BF7" s="22">
        <f>VLOOKUP(BD7,CENY!$B$11:$G$1054,3,FALSE)</f>
        <v>20</v>
      </c>
      <c r="BG7" s="22"/>
      <c r="BH7" s="23">
        <f>AY6</f>
        <v>0</v>
      </c>
      <c r="BI7" s="326">
        <f t="shared" si="2"/>
        <v>0</v>
      </c>
      <c r="BJ7" s="95">
        <f>VLOOKUP(BD7,CENY!$B$11:$M$2025,12,FALSE)</f>
        <v>210.40101000000001</v>
      </c>
      <c r="BK7" s="95">
        <f t="shared" si="3"/>
        <v>0</v>
      </c>
    </row>
    <row r="8" spans="1:63" ht="14.4" customHeight="1">
      <c r="B8" s="549" t="str">
        <f>" "&amp;verze!E70</f>
        <v xml:space="preserve"> dekorativní profil:</v>
      </c>
      <c r="C8" s="549"/>
      <c r="D8" s="549"/>
      <c r="E8" s="549"/>
      <c r="F8" s="564" t="str">
        <f>" "&amp;FORM!AM18</f>
        <v xml:space="preserve"> v barvě bočnice</v>
      </c>
      <c r="G8" s="564"/>
      <c r="H8" s="564"/>
      <c r="I8" s="564"/>
      <c r="J8" s="564"/>
      <c r="K8" s="564"/>
      <c r="AU8" s="319">
        <f>OBJ!B42</f>
        <v>9353338</v>
      </c>
      <c r="AV8" s="21" t="str">
        <f>VLOOKUP(AU8,CENY!$B$11:$G$1054,2,FALSE)</f>
        <v>AvanY-sólo oceľ.boky-NW 101/550mm/strieb.</v>
      </c>
      <c r="AW8" s="22">
        <f>VLOOKUP(AU8,CENY!$B$11:$G$1054,3,FALSE)</f>
        <v>1</v>
      </c>
      <c r="AX8" s="362">
        <v>6</v>
      </c>
      <c r="AY8" s="23">
        <f>U19+U25</f>
        <v>0</v>
      </c>
      <c r="AZ8" s="326">
        <f t="shared" si="1"/>
        <v>0</v>
      </c>
      <c r="BA8" s="95">
        <f>VLOOKUP(AU8,CENY!$B$11:$M$2025,12,FALSE)</f>
        <v>565.42625999999996</v>
      </c>
      <c r="BB8" s="95">
        <f t="shared" si="0"/>
        <v>0</v>
      </c>
      <c r="BD8" s="319">
        <f>OBJ!B53</f>
        <v>9255011</v>
      </c>
      <c r="BE8" s="21" t="str">
        <f>VLOOKUP(BD8,CENY!$B$11:$G$1054,2,FALSE)</f>
        <v>AvanY-bok pravý /v101/h300/ strieborná</v>
      </c>
      <c r="BF8" s="22">
        <f>VLOOKUP(BD8,CENY!$B$11:$G$1054,3,FALSE)</f>
        <v>20</v>
      </c>
      <c r="BG8" s="22"/>
      <c r="BH8" s="23">
        <f>AY6</f>
        <v>0</v>
      </c>
      <c r="BI8" s="326">
        <f t="shared" si="2"/>
        <v>0</v>
      </c>
      <c r="BJ8" s="95">
        <f>VLOOKUP(BD8,CENY!$B$11:$M$2025,12,FALSE)</f>
        <v>210.40101000000001</v>
      </c>
      <c r="BK8" s="95">
        <f t="shared" si="3"/>
        <v>0</v>
      </c>
    </row>
    <row r="9" spans="1:63" ht="14.4" customHeight="1">
      <c r="B9" s="550"/>
      <c r="C9" s="558"/>
      <c r="D9" s="558"/>
      <c r="E9" s="559"/>
      <c r="F9" s="560"/>
      <c r="G9" s="561"/>
      <c r="H9" s="561"/>
      <c r="I9" s="561"/>
      <c r="J9" s="561"/>
      <c r="K9" s="562"/>
      <c r="AU9" s="319">
        <f>OBJ!B43</f>
        <v>9353339</v>
      </c>
      <c r="AV9" s="21" t="str">
        <f>VLOOKUP(AU9,CENY!$B$11:$G$1054,2,FALSE)</f>
        <v>AvanY-sólo oceľ.boky-NW 101/600mm/strieb.</v>
      </c>
      <c r="AW9" s="22">
        <f>VLOOKUP(AU9,CENY!$B$11:$G$1054,3,FALSE)</f>
        <v>1</v>
      </c>
      <c r="AX9" s="362">
        <v>6</v>
      </c>
      <c r="AY9" s="23">
        <f>W19+W20+W25</f>
        <v>0</v>
      </c>
      <c r="AZ9" s="326">
        <f t="shared" si="1"/>
        <v>0</v>
      </c>
      <c r="BA9" s="95">
        <f>VLOOKUP(AU9,CENY!$B$11:$M$2025,12,FALSE)</f>
        <v>557.79244000000006</v>
      </c>
      <c r="BB9" s="95">
        <f t="shared" si="0"/>
        <v>0</v>
      </c>
      <c r="BD9" s="319">
        <f>OBJ!B54</f>
        <v>9255012</v>
      </c>
      <c r="BE9" s="21" t="str">
        <f>VLOOKUP(BD9,CENY!$B$11:$G$1054,2,FALSE)</f>
        <v>AvanY-bok ľavý /v101/h350/ strieborná</v>
      </c>
      <c r="BF9" s="22">
        <f>VLOOKUP(BD9,CENY!$B$11:$G$1054,3,FALSE)</f>
        <v>20</v>
      </c>
      <c r="BG9" s="22"/>
      <c r="BH9" s="23">
        <f>AY7</f>
        <v>0</v>
      </c>
      <c r="BI9" s="326">
        <f t="shared" si="2"/>
        <v>0</v>
      </c>
      <c r="BJ9" s="95">
        <f>VLOOKUP(BD9,CENY!$B$11:$M$2025,12,FALSE)</f>
        <v>214.27737999999999</v>
      </c>
      <c r="BK9" s="95">
        <f t="shared" si="3"/>
        <v>0</v>
      </c>
    </row>
    <row r="10" spans="1:63" ht="14.4" customHeight="1">
      <c r="B10" s="549" t="str">
        <f>" "&amp;verze!E57</f>
        <v xml:space="preserve"> čelní kování:</v>
      </c>
      <c r="C10" s="549"/>
      <c r="D10" s="549"/>
      <c r="E10" s="549"/>
      <c r="F10" s="563" t="str">
        <f>" "&amp;FORM!AM8</f>
        <v xml:space="preserve"> na vruty</v>
      </c>
      <c r="G10" s="563"/>
      <c r="H10" s="563"/>
      <c r="I10" s="563"/>
      <c r="J10" s="563"/>
      <c r="K10" s="563"/>
      <c r="AU10" s="319">
        <f>OBJ!B44</f>
        <v>9353340</v>
      </c>
      <c r="AV10" s="21" t="str">
        <f>VLOOKUP(AU10,CENY!$B$11:$G$1054,2,FALSE)</f>
        <v>AvanY-sólo oceľ.boky-NW 101/650mm/strieb.</v>
      </c>
      <c r="AW10" s="22">
        <f>VLOOKUP(AU10,CENY!$B$11:$G$1054,3,FALSE)</f>
        <v>1</v>
      </c>
      <c r="AX10" s="362">
        <v>8</v>
      </c>
      <c r="AY10" s="23">
        <f>Y19+Y20+Y25</f>
        <v>0</v>
      </c>
      <c r="AZ10" s="326">
        <f t="shared" si="1"/>
        <v>0</v>
      </c>
      <c r="BA10" s="95">
        <f>VLOOKUP(AU10,CENY!$B$11:$M$2025,12,FALSE)</f>
        <v>565.19020999999998</v>
      </c>
      <c r="BB10" s="95">
        <f t="shared" si="0"/>
        <v>0</v>
      </c>
      <c r="BD10" s="319">
        <f>OBJ!B55</f>
        <v>9255013</v>
      </c>
      <c r="BE10" s="21" t="str">
        <f>VLOOKUP(BD10,CENY!$B$11:$G$1054,2,FALSE)</f>
        <v>AvanY-bok pravý /v101/h350/ strieborná</v>
      </c>
      <c r="BF10" s="22">
        <f>VLOOKUP(BD10,CENY!$B$11:$G$1054,3,FALSE)</f>
        <v>20</v>
      </c>
      <c r="BG10" s="22"/>
      <c r="BH10" s="23">
        <f>AY7</f>
        <v>0</v>
      </c>
      <c r="BI10" s="326">
        <f t="shared" si="2"/>
        <v>0</v>
      </c>
      <c r="BJ10" s="95">
        <f>VLOOKUP(BD10,CENY!$B$11:$M$2025,12,FALSE)</f>
        <v>214.27737999999999</v>
      </c>
      <c r="BK10" s="95">
        <f t="shared" si="3"/>
        <v>0</v>
      </c>
    </row>
    <row r="11" spans="1:63" ht="14.4" customHeight="1">
      <c r="B11" s="549" t="str">
        <f>" "&amp;verze!E76</f>
        <v xml:space="preserve"> krytka:</v>
      </c>
      <c r="C11" s="549"/>
      <c r="D11" s="549"/>
      <c r="E11" s="549"/>
      <c r="F11" s="563" t="str">
        <f>" "&amp;FORM!AM21</f>
        <v xml:space="preserve"> žádná</v>
      </c>
      <c r="G11" s="563"/>
      <c r="H11" s="563"/>
      <c r="I11" s="563"/>
      <c r="J11" s="563"/>
      <c r="K11" s="563"/>
      <c r="AU11" s="319">
        <f>OBJ!B45</f>
        <v>9353341</v>
      </c>
      <c r="AV11" s="21" t="str">
        <f>VLOOKUP(AU11,CENY!$B$11:$G$1054,2,FALSE)</f>
        <v>AvanY-sólo oceľ.boky-NW 101/270mm/biela</v>
      </c>
      <c r="AW11" s="22">
        <f>VLOOKUP(AU11,CENY!$B$11:$G$1054,3,FALSE)</f>
        <v>1</v>
      </c>
      <c r="AX11" s="362">
        <v>8</v>
      </c>
      <c r="AY11" s="23">
        <f>AA19+AA20+AA25</f>
        <v>0</v>
      </c>
      <c r="AZ11" s="326">
        <f t="shared" si="1"/>
        <v>0</v>
      </c>
      <c r="BA11" s="95">
        <f>VLOOKUP(AU11,CENY!$B$11:$M$2025,12,FALSE)</f>
        <v>588.23680999999999</v>
      </c>
      <c r="BB11" s="95">
        <f t="shared" si="0"/>
        <v>0</v>
      </c>
      <c r="BD11" s="319">
        <f>OBJ!B56</f>
        <v>9255014</v>
      </c>
      <c r="BE11" s="21" t="str">
        <f>VLOOKUP(BD11,CENY!$B$11:$G$1054,2,FALSE)</f>
        <v>AvanY-bok ľavý /v101/h400/ strieborná</v>
      </c>
      <c r="BF11" s="22">
        <f>VLOOKUP(BD11,CENY!$B$11:$G$1054,3,FALSE)</f>
        <v>20</v>
      </c>
      <c r="BG11" s="22"/>
      <c r="BH11" s="23">
        <f>AY8</f>
        <v>0</v>
      </c>
      <c r="BI11" s="326">
        <f t="shared" si="2"/>
        <v>0</v>
      </c>
      <c r="BJ11" s="95">
        <f>VLOOKUP(BD11,CENY!$B$11:$M$2025,12,FALSE)</f>
        <v>218.14608000000001</v>
      </c>
      <c r="BK11" s="95">
        <f t="shared" si="3"/>
        <v>0</v>
      </c>
    </row>
    <row r="12" spans="1:63" ht="14.4" customHeight="1" thickBot="1">
      <c r="B12" s="549"/>
      <c r="C12" s="549"/>
      <c r="D12" s="549"/>
      <c r="E12" s="550"/>
      <c r="F12" s="551"/>
      <c r="G12" s="552"/>
      <c r="H12" s="552"/>
      <c r="I12" s="552"/>
      <c r="J12" s="553"/>
      <c r="K12" s="554"/>
      <c r="AU12" s="319">
        <f>OBJ!B46</f>
        <v>9353342</v>
      </c>
      <c r="AV12" s="21" t="str">
        <f>VLOOKUP(AU12,CENY!$B$11:$G$1054,2,FALSE)</f>
        <v>AvanY-sólo oceľ.boky-NW 101/300mm/biela</v>
      </c>
      <c r="AW12" s="22">
        <f>VLOOKUP(AU12,CENY!$B$11:$G$1054,3,FALSE)</f>
        <v>1</v>
      </c>
      <c r="AX12" s="362">
        <v>8</v>
      </c>
      <c r="AY12" s="23">
        <f>AC19+AC20+AC25</f>
        <v>0</v>
      </c>
      <c r="AZ12" s="326">
        <f t="shared" si="1"/>
        <v>0</v>
      </c>
      <c r="BA12" s="95">
        <f>VLOOKUP(AU12,CENY!$B$11:$M$2025,12,FALSE)</f>
        <v>600.62784999999997</v>
      </c>
      <c r="BB12" s="95">
        <f t="shared" si="0"/>
        <v>0</v>
      </c>
      <c r="BD12" s="319">
        <f>OBJ!B57</f>
        <v>9255015</v>
      </c>
      <c r="BE12" s="21" t="str">
        <f>VLOOKUP(BD12,CENY!$B$11:$G$1054,2,FALSE)</f>
        <v>AvanY-bok pravý /v101/h400/ strieborná</v>
      </c>
      <c r="BF12" s="22">
        <f>VLOOKUP(BD12,CENY!$B$11:$G$1054,3,FALSE)</f>
        <v>20</v>
      </c>
      <c r="BG12" s="22"/>
      <c r="BH12" s="23">
        <f>AY8</f>
        <v>0</v>
      </c>
      <c r="BI12" s="326">
        <f t="shared" si="2"/>
        <v>0</v>
      </c>
      <c r="BJ12" s="95">
        <f>VLOOKUP(BD12,CENY!$B$11:$M$2025,12,FALSE)</f>
        <v>218.14608000000001</v>
      </c>
      <c r="BK12" s="95">
        <f t="shared" si="3"/>
        <v>0</v>
      </c>
    </row>
    <row r="13" spans="1:63" ht="14.4" customHeight="1">
      <c r="B13" s="549" t="str">
        <f>" "&amp;verze!E92</f>
        <v xml:space="preserve"> cena kování:</v>
      </c>
      <c r="C13" s="549"/>
      <c r="D13" s="549"/>
      <c r="E13" s="550"/>
      <c r="F13" s="555">
        <f>IF(AW4=1,BB4,BK4)</f>
        <v>0</v>
      </c>
      <c r="G13" s="555"/>
      <c r="H13" s="555"/>
      <c r="I13" s="555"/>
      <c r="J13" s="556" t="str">
        <f>IF(verze!E1="CZK","CZK","EUR")</f>
        <v>CZK</v>
      </c>
      <c r="K13" s="557"/>
      <c r="AU13" s="319">
        <f>OBJ!B47</f>
        <v>9353343</v>
      </c>
      <c r="AV13" s="21" t="str">
        <f>VLOOKUP(AU13,CENY!$B$11:$G$1054,2,FALSE)</f>
        <v>AvanY-sólo oceľ.boky-NW 101/350mm/biela</v>
      </c>
      <c r="AW13" s="22">
        <f>VLOOKUP(AU13,CENY!$B$11:$G$1054,3,FALSE)</f>
        <v>1</v>
      </c>
      <c r="AX13" s="362">
        <v>10</v>
      </c>
      <c r="AY13" s="23">
        <f>AE20</f>
        <v>0</v>
      </c>
      <c r="AZ13" s="326">
        <f t="shared" si="1"/>
        <v>0</v>
      </c>
      <c r="BA13" s="95">
        <f>VLOOKUP(AU13,CENY!$B$11:$M$2025,12,FALSE)</f>
        <v>618.65596000000005</v>
      </c>
      <c r="BB13" s="95">
        <f t="shared" si="0"/>
        <v>0</v>
      </c>
      <c r="BD13" s="319">
        <f>OBJ!B58</f>
        <v>9255016</v>
      </c>
      <c r="BE13" s="21" t="str">
        <f>VLOOKUP(BD13,CENY!$B$11:$G$1054,2,FALSE)</f>
        <v>AvanY-bok ľavý /v101/h450/ strieborná</v>
      </c>
      <c r="BF13" s="22">
        <f>VLOOKUP(BD13,CENY!$B$11:$G$1054,3,FALSE)</f>
        <v>20</v>
      </c>
      <c r="BG13" s="22"/>
      <c r="BH13" s="23">
        <f>AY9</f>
        <v>0</v>
      </c>
      <c r="BI13" s="326">
        <f t="shared" si="2"/>
        <v>0</v>
      </c>
      <c r="BJ13" s="95">
        <f>VLOOKUP(BD13,CENY!$B$11:$M$2025,12,FALSE)</f>
        <v>222.02244999999999</v>
      </c>
      <c r="BK13" s="95">
        <f t="shared" si="3"/>
        <v>0</v>
      </c>
    </row>
    <row r="14" spans="1:63" ht="14.4" customHeight="1">
      <c r="AU14" s="319"/>
      <c r="AV14" s="21"/>
      <c r="AW14" s="22"/>
      <c r="AX14" s="22"/>
      <c r="AY14" s="23"/>
      <c r="AZ14" s="326" t="str">
        <f t="shared" si="1"/>
        <v/>
      </c>
      <c r="BA14" s="95"/>
      <c r="BB14" s="95" t="str">
        <f t="shared" si="0"/>
        <v/>
      </c>
      <c r="BD14" s="319">
        <f>OBJ!B59</f>
        <v>9255017</v>
      </c>
      <c r="BE14" s="21" t="str">
        <f>VLOOKUP(BD14,CENY!$B$11:$G$1054,2,FALSE)</f>
        <v>AvanY-bok pravý /v101/h450/ strieborná</v>
      </c>
      <c r="BF14" s="22">
        <f>VLOOKUP(BD14,CENY!$B$11:$G$1054,3,FALSE)</f>
        <v>20</v>
      </c>
      <c r="BG14" s="22"/>
      <c r="BH14" s="23">
        <f>AY9</f>
        <v>0</v>
      </c>
      <c r="BI14" s="326">
        <f t="shared" si="2"/>
        <v>0</v>
      </c>
      <c r="BJ14" s="95">
        <f>VLOOKUP(BD14,CENY!$B$11:$M$2025,12,FALSE)</f>
        <v>222.02244999999999</v>
      </c>
      <c r="BK14" s="95">
        <f t="shared" si="3"/>
        <v>0</v>
      </c>
    </row>
    <row r="15" spans="1:63" ht="14.4" customHeight="1">
      <c r="AU15" s="319">
        <f>OBJ!B112</f>
        <v>9353353</v>
      </c>
      <c r="AV15" s="21" t="str">
        <f>VLOOKUP(AU15,CENY!$B$11:$G$1054,2,FALSE)</f>
        <v>AvanY-sólo oceľ.boky-NW 187/270mm/strieb.</v>
      </c>
      <c r="AW15" s="22">
        <f>VLOOKUP(AU15,CENY!$B$11:$G$1054,3,FALSE)</f>
        <v>1</v>
      </c>
      <c r="AX15" s="362">
        <v>4</v>
      </c>
      <c r="AY15" s="23">
        <f t="shared" ref="AY15:AY23" si="4">AY5</f>
        <v>0</v>
      </c>
      <c r="AZ15" s="326">
        <f t="shared" si="1"/>
        <v>0</v>
      </c>
      <c r="BA15" s="95">
        <f>VLOOKUP(AU15,CENY!$B$11:$M$2025,12,FALSE)</f>
        <v>781.77286000000004</v>
      </c>
      <c r="BB15" s="95">
        <f t="shared" si="0"/>
        <v>0</v>
      </c>
      <c r="BD15" s="319">
        <f>OBJ!B60</f>
        <v>9255018</v>
      </c>
      <c r="BE15" s="21" t="str">
        <f>VLOOKUP(BD15,CENY!$B$11:$G$1054,2,FALSE)</f>
        <v>AvanY-bok ľavý /v101/h500/ strieborná</v>
      </c>
      <c r="BF15" s="22">
        <f>VLOOKUP(BD15,CENY!$B$11:$G$1054,3,FALSE)</f>
        <v>20</v>
      </c>
      <c r="BG15" s="22"/>
      <c r="BH15" s="23">
        <f>AY10</f>
        <v>0</v>
      </c>
      <c r="BI15" s="326">
        <f t="shared" si="2"/>
        <v>0</v>
      </c>
      <c r="BJ15" s="95">
        <f>VLOOKUP(BD15,CENY!$B$11:$M$2025,12,FALSE)</f>
        <v>219.88341</v>
      </c>
      <c r="BK15" s="95">
        <f t="shared" si="3"/>
        <v>0</v>
      </c>
    </row>
    <row r="16" spans="1:63" ht="14.4" customHeight="1">
      <c r="AU16" s="319">
        <f>OBJ!B113</f>
        <v>9353354</v>
      </c>
      <c r="AV16" s="21" t="str">
        <f>VLOOKUP(AU16,CENY!$B$11:$G$1054,2,FALSE)</f>
        <v>AvanY-sólo oceľ.boky-NW 187/300mm/strieb.</v>
      </c>
      <c r="AW16" s="22">
        <f>VLOOKUP(AU16,CENY!$B$11:$G$1054,3,FALSE)</f>
        <v>1</v>
      </c>
      <c r="AX16" s="362">
        <v>4</v>
      </c>
      <c r="AY16" s="23">
        <f t="shared" si="4"/>
        <v>0</v>
      </c>
      <c r="AZ16" s="326">
        <f t="shared" si="1"/>
        <v>0</v>
      </c>
      <c r="BA16" s="95">
        <f>VLOOKUP(AU16,CENY!$B$11:$M$2025,12,FALSE)</f>
        <v>788.96299999999997</v>
      </c>
      <c r="BB16" s="95">
        <f t="shared" si="0"/>
        <v>0</v>
      </c>
      <c r="BD16" s="319">
        <f>OBJ!B61</f>
        <v>9255019</v>
      </c>
      <c r="BE16" s="21" t="str">
        <f>VLOOKUP(BD16,CENY!$B$11:$G$1054,2,FALSE)</f>
        <v>AvanY-bok pravý /v101/h500/ strieborná</v>
      </c>
      <c r="BF16" s="22">
        <f>VLOOKUP(BD16,CENY!$B$11:$G$1054,3,FALSE)</f>
        <v>20</v>
      </c>
      <c r="BG16" s="22"/>
      <c r="BH16" s="23">
        <f>AY10</f>
        <v>0</v>
      </c>
      <c r="BI16" s="326">
        <f t="shared" si="2"/>
        <v>0</v>
      </c>
      <c r="BJ16" s="95">
        <f>VLOOKUP(BD16,CENY!$B$11:$M$2025,12,FALSE)</f>
        <v>219.88341</v>
      </c>
      <c r="BK16" s="95">
        <f t="shared" si="3"/>
        <v>0</v>
      </c>
    </row>
    <row r="17" spans="2:63" ht="14.4" customHeight="1" thickBot="1">
      <c r="B17" s="1" t="s">
        <v>284</v>
      </c>
      <c r="O17" s="547" t="str">
        <f>FORM!U18</f>
        <v>flexibilní sety</v>
      </c>
      <c r="P17" s="548"/>
      <c r="Q17" s="548"/>
      <c r="R17" s="548"/>
      <c r="S17" s="548"/>
      <c r="T17" s="548"/>
      <c r="U17" s="548"/>
      <c r="V17" s="548"/>
      <c r="W17" s="548"/>
      <c r="X17" s="548"/>
      <c r="Y17" s="548"/>
      <c r="Z17" s="548"/>
      <c r="AA17" s="548"/>
      <c r="AB17" s="548"/>
      <c r="AC17" s="548"/>
      <c r="AD17" s="548"/>
      <c r="AE17" s="548"/>
      <c r="AF17" s="548"/>
      <c r="AU17" s="319">
        <f>OBJ!B114</f>
        <v>9353355</v>
      </c>
      <c r="AV17" s="21" t="str">
        <f>VLOOKUP(AU17,CENY!$B$11:$G$1054,2,FALSE)</f>
        <v>AvanY-sólo oceľ.boky-NW 187/350mm/strieb.</v>
      </c>
      <c r="AW17" s="22">
        <f>VLOOKUP(AU17,CENY!$B$11:$G$1054,3,FALSE)</f>
        <v>1</v>
      </c>
      <c r="AX17" s="362">
        <v>6</v>
      </c>
      <c r="AY17" s="23">
        <f t="shared" si="4"/>
        <v>0</v>
      </c>
      <c r="AZ17" s="326">
        <f t="shared" si="1"/>
        <v>0</v>
      </c>
      <c r="BA17" s="95">
        <f>VLOOKUP(AU17,CENY!$B$11:$M$2025,12,FALSE)</f>
        <v>800.95977000000005</v>
      </c>
      <c r="BB17" s="95">
        <f t="shared" si="0"/>
        <v>0</v>
      </c>
      <c r="BD17" s="319">
        <f>OBJ!B62</f>
        <v>9255020</v>
      </c>
      <c r="BE17" s="21" t="str">
        <f>VLOOKUP(BD17,CENY!$B$11:$G$1054,2,FALSE)</f>
        <v>AvanY-bok ľavý /v101/h550/ strieborná</v>
      </c>
      <c r="BF17" s="22">
        <f>VLOOKUP(BD17,CENY!$B$11:$G$1054,3,FALSE)</f>
        <v>20</v>
      </c>
      <c r="BG17" s="22"/>
      <c r="BH17" s="23">
        <f>AY11</f>
        <v>0</v>
      </c>
      <c r="BI17" s="326">
        <f t="shared" si="2"/>
        <v>0</v>
      </c>
      <c r="BJ17" s="95">
        <f>VLOOKUP(BD17,CENY!$B$11:$M$2025,12,FALSE)</f>
        <v>229.76492999999999</v>
      </c>
      <c r="BK17" s="95">
        <f t="shared" si="3"/>
        <v>0</v>
      </c>
    </row>
    <row r="18" spans="2:63" ht="14.4" customHeight="1" thickBot="1">
      <c r="B18" s="96"/>
      <c r="C18" s="96"/>
      <c r="D18" s="96"/>
      <c r="E18" s="96"/>
      <c r="F18" s="96"/>
      <c r="G18" s="96"/>
      <c r="H18" s="72"/>
      <c r="I18" s="72"/>
      <c r="J18" s="72"/>
      <c r="K18" s="72"/>
      <c r="L18" s="72"/>
      <c r="M18" s="72"/>
      <c r="N18" s="72" t="str">
        <f>verze!$E$20&amp;" "</f>
        <v xml:space="preserve">Jmenovitá délka: </v>
      </c>
      <c r="O18" s="535">
        <v>270</v>
      </c>
      <c r="P18" s="536"/>
      <c r="Q18" s="535">
        <v>300</v>
      </c>
      <c r="R18" s="536"/>
      <c r="S18" s="535">
        <v>350</v>
      </c>
      <c r="T18" s="536"/>
      <c r="U18" s="535">
        <v>400</v>
      </c>
      <c r="V18" s="536"/>
      <c r="W18" s="535">
        <v>450</v>
      </c>
      <c r="X18" s="536"/>
      <c r="Y18" s="537">
        <v>500</v>
      </c>
      <c r="Z18" s="538"/>
      <c r="AA18" s="535">
        <v>550</v>
      </c>
      <c r="AB18" s="536"/>
      <c r="AC18" s="535">
        <v>600</v>
      </c>
      <c r="AD18" s="536"/>
      <c r="AE18" s="535">
        <v>650</v>
      </c>
      <c r="AF18" s="536"/>
      <c r="AU18" s="319">
        <f>OBJ!B115</f>
        <v>9353356</v>
      </c>
      <c r="AV18" s="21" t="str">
        <f>VLOOKUP(AU18,CENY!$B$11:$G$1054,2,FALSE)</f>
        <v>AvanY-sólo oceľ.boky-NW 187/400mm/strieb.</v>
      </c>
      <c r="AW18" s="22">
        <f>VLOOKUP(AU18,CENY!$B$11:$G$1054,3,FALSE)</f>
        <v>1</v>
      </c>
      <c r="AX18" s="362">
        <v>6</v>
      </c>
      <c r="AY18" s="23">
        <f t="shared" si="4"/>
        <v>0</v>
      </c>
      <c r="AZ18" s="326">
        <f t="shared" si="1"/>
        <v>0</v>
      </c>
      <c r="BA18" s="95">
        <f>VLOOKUP(AU18,CENY!$B$11:$M$2025,12,FALSE)</f>
        <v>812.95644000000004</v>
      </c>
      <c r="BB18" s="95">
        <f t="shared" si="0"/>
        <v>0</v>
      </c>
      <c r="BD18" s="319">
        <f>OBJ!B63</f>
        <v>9255021</v>
      </c>
      <c r="BE18" s="21" t="str">
        <f>VLOOKUP(BD18,CENY!$B$11:$G$1054,2,FALSE)</f>
        <v>AvanY-bok pravý /v101/h550/ strieborná</v>
      </c>
      <c r="BF18" s="22">
        <f>VLOOKUP(BD18,CENY!$B$11:$G$1054,3,FALSE)</f>
        <v>20</v>
      </c>
      <c r="BG18" s="22"/>
      <c r="BH18" s="23">
        <f>AY11</f>
        <v>0</v>
      </c>
      <c r="BI18" s="326">
        <f t="shared" si="2"/>
        <v>0</v>
      </c>
      <c r="BJ18" s="95">
        <f>VLOOKUP(BD18,CENY!$B$11:$M$2025,12,FALSE)</f>
        <v>229.76492999999999</v>
      </c>
      <c r="BK18" s="95">
        <f t="shared" si="3"/>
        <v>0</v>
      </c>
    </row>
    <row r="19" spans="2:63" ht="14.4" customHeight="1" thickBot="1">
      <c r="B19" s="521" t="s">
        <v>290</v>
      </c>
      <c r="C19" s="521"/>
      <c r="D19" s="521"/>
      <c r="E19" s="521"/>
      <c r="F19" s="521"/>
      <c r="G19" s="521"/>
      <c r="H19" s="522" t="str">
        <f>verze!E18</f>
        <v>plnovýsuv</v>
      </c>
      <c r="I19" s="522"/>
      <c r="J19" s="522"/>
      <c r="K19" s="522"/>
      <c r="L19" s="522"/>
      <c r="M19" s="532" t="s">
        <v>287</v>
      </c>
      <c r="N19" s="533"/>
      <c r="O19" s="567"/>
      <c r="P19" s="603"/>
      <c r="Q19" s="604"/>
      <c r="R19" s="568"/>
      <c r="S19" s="567"/>
      <c r="T19" s="568"/>
      <c r="U19" s="567"/>
      <c r="V19" s="568"/>
      <c r="W19" s="567"/>
      <c r="X19" s="568"/>
      <c r="Y19" s="567"/>
      <c r="Z19" s="568"/>
      <c r="AA19" s="567"/>
      <c r="AB19" s="568"/>
      <c r="AC19" s="567"/>
      <c r="AD19" s="603"/>
      <c r="AE19" s="280"/>
      <c r="AF19" s="281"/>
      <c r="AU19" s="319">
        <f>OBJ!B116</f>
        <v>9353357</v>
      </c>
      <c r="AV19" s="21" t="str">
        <f>VLOOKUP(AU19,CENY!$B$11:$G$1054,2,FALSE)</f>
        <v>AvanY-sólo oceľ.boky-NW 187/450mm/strieb.</v>
      </c>
      <c r="AW19" s="22">
        <f>VLOOKUP(AU19,CENY!$B$11:$G$1054,3,FALSE)</f>
        <v>1</v>
      </c>
      <c r="AX19" s="362">
        <v>6</v>
      </c>
      <c r="AY19" s="23">
        <f t="shared" si="4"/>
        <v>0</v>
      </c>
      <c r="AZ19" s="326">
        <f t="shared" si="1"/>
        <v>0</v>
      </c>
      <c r="BA19" s="95">
        <f>VLOOKUP(AU19,CENY!$B$11:$M$2025,12,FALSE)</f>
        <v>803.01720999999998</v>
      </c>
      <c r="BB19" s="95">
        <f t="shared" si="0"/>
        <v>0</v>
      </c>
      <c r="BD19" s="319">
        <f>OBJ!B64</f>
        <v>9255022</v>
      </c>
      <c r="BE19" s="21" t="str">
        <f>VLOOKUP(BD19,CENY!$B$11:$G$1054,2,FALSE)</f>
        <v>AvanY-bok ľavý /v101/h600/ strieborná</v>
      </c>
      <c r="BF19" s="22">
        <f>VLOOKUP(BD19,CENY!$B$11:$G$1054,3,FALSE)</f>
        <v>20</v>
      </c>
      <c r="BG19" s="22"/>
      <c r="BH19" s="23">
        <f>AY12</f>
        <v>0</v>
      </c>
      <c r="BI19" s="326">
        <f t="shared" si="2"/>
        <v>0</v>
      </c>
      <c r="BJ19" s="95">
        <f>VLOOKUP(BD19,CENY!$B$11:$M$2025,12,FALSE)</f>
        <v>235.60476</v>
      </c>
      <c r="BK19" s="95">
        <f t="shared" si="3"/>
        <v>0</v>
      </c>
    </row>
    <row r="20" spans="2:63" ht="14.4" customHeight="1" thickBot="1">
      <c r="B20" s="544" t="s">
        <v>291</v>
      </c>
      <c r="C20" s="544"/>
      <c r="D20" s="544"/>
      <c r="E20" s="544"/>
      <c r="F20" s="544"/>
      <c r="G20" s="544"/>
      <c r="H20" s="545" t="str">
        <f>verze!E18</f>
        <v>plnovýsuv</v>
      </c>
      <c r="I20" s="545"/>
      <c r="J20" s="545"/>
      <c r="K20" s="545"/>
      <c r="L20" s="545"/>
      <c r="M20" s="523" t="s">
        <v>288</v>
      </c>
      <c r="N20" s="524"/>
      <c r="O20" s="518"/>
      <c r="P20" s="519"/>
      <c r="Q20" s="518"/>
      <c r="R20" s="519"/>
      <c r="S20" s="518"/>
      <c r="T20" s="519"/>
      <c r="U20" s="518"/>
      <c r="V20" s="519"/>
      <c r="W20" s="516"/>
      <c r="X20" s="517"/>
      <c r="Y20" s="516"/>
      <c r="Z20" s="517"/>
      <c r="AA20" s="516"/>
      <c r="AB20" s="517"/>
      <c r="AC20" s="516"/>
      <c r="AD20" s="517"/>
      <c r="AE20" s="565"/>
      <c r="AF20" s="605"/>
      <c r="AU20" s="319">
        <f>OBJ!B117</f>
        <v>9353358</v>
      </c>
      <c r="AV20" s="21" t="str">
        <f>VLOOKUP(AU20,CENY!$B$11:$G$1054,2,FALSE)</f>
        <v>AvanY-sólo oceľ.boky-NW 187/500mm/strieb.</v>
      </c>
      <c r="AW20" s="22">
        <f>VLOOKUP(AU20,CENY!$B$11:$G$1054,3,FALSE)</f>
        <v>1</v>
      </c>
      <c r="AX20" s="362">
        <v>8</v>
      </c>
      <c r="AY20" s="23">
        <f t="shared" si="4"/>
        <v>0</v>
      </c>
      <c r="AZ20" s="326">
        <f t="shared" si="1"/>
        <v>0</v>
      </c>
      <c r="BA20" s="95">
        <f>VLOOKUP(AU20,CENY!$B$11:$M$2025,12,FALSE)</f>
        <v>814.69060000000002</v>
      </c>
      <c r="BB20" s="95">
        <f t="shared" si="0"/>
        <v>0</v>
      </c>
      <c r="BD20" s="319">
        <f>OBJ!B65</f>
        <v>9255023</v>
      </c>
      <c r="BE20" s="21" t="str">
        <f>VLOOKUP(BD20,CENY!$B$11:$G$1054,2,FALSE)</f>
        <v>AvanY-bok pravý /v101/h600/ strieborná</v>
      </c>
      <c r="BF20" s="22">
        <f>VLOOKUP(BD20,CENY!$B$11:$G$1054,3,FALSE)</f>
        <v>20</v>
      </c>
      <c r="BG20" s="22"/>
      <c r="BH20" s="23">
        <f>AY12</f>
        <v>0</v>
      </c>
      <c r="BI20" s="326">
        <f t="shared" si="2"/>
        <v>0</v>
      </c>
      <c r="BJ20" s="95">
        <f>VLOOKUP(BD20,CENY!$B$11:$M$2025,12,FALSE)</f>
        <v>235.60476</v>
      </c>
      <c r="BK20" s="95">
        <f t="shared" si="3"/>
        <v>0</v>
      </c>
    </row>
    <row r="21" spans="2:63" ht="14.4" customHeight="1">
      <c r="O21" s="4"/>
      <c r="P21" s="4"/>
      <c r="AU21" s="319">
        <f>OBJ!B118</f>
        <v>9353359</v>
      </c>
      <c r="AV21" s="21" t="str">
        <f>VLOOKUP(AU21,CENY!$B$11:$G$1054,2,FALSE)</f>
        <v>AvanY-sólo oceľ.boky-NW 187/550mm/strieb.</v>
      </c>
      <c r="AW21" s="22">
        <f>VLOOKUP(AU21,CENY!$B$11:$G$1054,3,FALSE)</f>
        <v>1</v>
      </c>
      <c r="AX21" s="362">
        <v>8</v>
      </c>
      <c r="AY21" s="23">
        <f t="shared" si="4"/>
        <v>0</v>
      </c>
      <c r="AZ21" s="326">
        <f t="shared" si="1"/>
        <v>0</v>
      </c>
      <c r="BA21" s="95">
        <f>VLOOKUP(AU21,CENY!$B$11:$M$2025,12,FALSE)</f>
        <v>848.94223999999997</v>
      </c>
      <c r="BB21" s="95">
        <f t="shared" si="0"/>
        <v>0</v>
      </c>
      <c r="BD21" s="319">
        <f>OBJ!B66</f>
        <v>9255024</v>
      </c>
      <c r="BE21" s="21" t="str">
        <f>VLOOKUP(BD21,CENY!$B$11:$G$1054,2,FALSE)</f>
        <v>AvanY-bok ľavý /v101/h650/ strieborná</v>
      </c>
      <c r="BF21" s="22">
        <f>VLOOKUP(BD21,CENY!$B$11:$G$1054,3,FALSE)</f>
        <v>20</v>
      </c>
      <c r="BG21" s="22"/>
      <c r="BH21" s="23">
        <f>AY13</f>
        <v>0</v>
      </c>
      <c r="BI21" s="326">
        <f t="shared" si="2"/>
        <v>0</v>
      </c>
      <c r="BJ21" s="95">
        <f>VLOOKUP(BD21,CENY!$B$11:$M$2025,12,FALSE)</f>
        <v>243.54496</v>
      </c>
      <c r="BK21" s="95">
        <f t="shared" si="3"/>
        <v>0</v>
      </c>
    </row>
    <row r="22" spans="2:63" ht="14.4" customHeight="1">
      <c r="AU22" s="319">
        <f>OBJ!B119</f>
        <v>9353360</v>
      </c>
      <c r="AV22" s="21" t="str">
        <f>VLOOKUP(AU22,CENY!$B$11:$G$1054,2,FALSE)</f>
        <v>AvanY-sólo oceľ.boky-NW 187/600mm/strieb.</v>
      </c>
      <c r="AW22" s="22">
        <f>VLOOKUP(AU22,CENY!$B$11:$G$1054,3,FALSE)</f>
        <v>1</v>
      </c>
      <c r="AX22" s="362">
        <v>8</v>
      </c>
      <c r="AY22" s="23">
        <f t="shared" si="4"/>
        <v>0</v>
      </c>
      <c r="AZ22" s="326">
        <f t="shared" si="1"/>
        <v>0</v>
      </c>
      <c r="BA22" s="95">
        <f>VLOOKUP(AU22,CENY!$B$11:$M$2025,12,FALSE)</f>
        <v>867.96834999999999</v>
      </c>
      <c r="BB22" s="95">
        <f t="shared" si="0"/>
        <v>0</v>
      </c>
      <c r="BD22" s="319">
        <f>OBJ!B67</f>
        <v>9255025</v>
      </c>
      <c r="BE22" s="21" t="str">
        <f>VLOOKUP(BD22,CENY!$B$11:$G$1054,2,FALSE)</f>
        <v>AvanY-bok pravý /v101/h650/ strieborná</v>
      </c>
      <c r="BF22" s="22">
        <f>VLOOKUP(BD22,CENY!$B$11:$G$1054,3,FALSE)</f>
        <v>20</v>
      </c>
      <c r="BG22" s="22"/>
      <c r="BH22" s="23">
        <f>AY13</f>
        <v>0</v>
      </c>
      <c r="BI22" s="326">
        <f t="shared" si="2"/>
        <v>0</v>
      </c>
      <c r="BJ22" s="95">
        <f>VLOOKUP(BD22,CENY!$B$11:$M$2025,12,FALSE)</f>
        <v>243.54496</v>
      </c>
      <c r="BK22" s="95">
        <f t="shared" si="3"/>
        <v>0</v>
      </c>
    </row>
    <row r="23" spans="2:63" ht="14.4" customHeight="1" thickBot="1">
      <c r="B23" s="2" t="s">
        <v>285</v>
      </c>
      <c r="AU23" s="319">
        <f>OBJ!B120</f>
        <v>9353371</v>
      </c>
      <c r="AV23" s="21" t="str">
        <f>VLOOKUP(AU23,CENY!$B$11:$G$1054,2,FALSE)</f>
        <v>AvanY-sólo oceľ.boky-NW 187/650mm/strieb.</v>
      </c>
      <c r="AW23" s="22">
        <f>VLOOKUP(AU23,CENY!$B$11:$G$1054,3,FALSE)</f>
        <v>1</v>
      </c>
      <c r="AX23" s="362">
        <v>10</v>
      </c>
      <c r="AY23" s="23">
        <f t="shared" si="4"/>
        <v>0</v>
      </c>
      <c r="AZ23" s="326">
        <f t="shared" si="1"/>
        <v>0</v>
      </c>
      <c r="BA23" s="95">
        <f>VLOOKUP(AU23,CENY!$B$11:$M$2025,12,FALSE)</f>
        <v>895.00838999999996</v>
      </c>
      <c r="BB23" s="95">
        <f t="shared" si="0"/>
        <v>0</v>
      </c>
      <c r="BD23" s="319"/>
      <c r="BE23" s="21"/>
      <c r="BF23" s="22"/>
      <c r="BG23" s="22"/>
      <c r="BH23" s="23"/>
      <c r="BI23" s="326" t="str">
        <f t="shared" ref="BI23:BI42" si="5">IF(BH23="","",IF($AW$4=0,BH23,0))</f>
        <v/>
      </c>
      <c r="BJ23" s="95"/>
      <c r="BK23" s="95" t="str">
        <f t="shared" ref="BK23:BK42" si="6">IF(BJ23="","",BJ23*BH23)</f>
        <v/>
      </c>
    </row>
    <row r="24" spans="2:63" ht="14.4" customHeight="1" thickBot="1">
      <c r="B24" s="96"/>
      <c r="C24" s="96"/>
      <c r="D24" s="96"/>
      <c r="E24" s="96"/>
      <c r="F24" s="96"/>
      <c r="G24" s="96"/>
      <c r="H24" s="72"/>
      <c r="I24" s="72"/>
      <c r="J24" s="72"/>
      <c r="K24" s="72"/>
      <c r="L24" s="72"/>
      <c r="M24" s="72"/>
      <c r="N24" s="72" t="str">
        <f>verze!$E$20&amp;" "</f>
        <v xml:space="preserve">Jmenovitá délka: </v>
      </c>
      <c r="O24" s="535">
        <v>270</v>
      </c>
      <c r="P24" s="536"/>
      <c r="Q24" s="535">
        <v>300</v>
      </c>
      <c r="R24" s="536"/>
      <c r="S24" s="535">
        <v>350</v>
      </c>
      <c r="T24" s="536"/>
      <c r="U24" s="535">
        <v>400</v>
      </c>
      <c r="V24" s="536"/>
      <c r="W24" s="535">
        <v>450</v>
      </c>
      <c r="X24" s="536"/>
      <c r="Y24" s="537">
        <v>500</v>
      </c>
      <c r="Z24" s="538"/>
      <c r="AA24" s="535">
        <v>550</v>
      </c>
      <c r="AB24" s="536"/>
      <c r="AC24" s="535">
        <v>600</v>
      </c>
      <c r="AD24" s="536"/>
      <c r="AU24" s="319"/>
      <c r="AV24" s="21"/>
      <c r="AW24" s="22"/>
      <c r="AX24" s="22"/>
      <c r="AY24" s="23"/>
      <c r="AZ24" s="326" t="str">
        <f t="shared" si="1"/>
        <v/>
      </c>
      <c r="BA24" s="95"/>
      <c r="BB24" s="95" t="str">
        <f t="shared" si="0"/>
        <v/>
      </c>
      <c r="BD24" s="319">
        <f>OBJ!B122</f>
        <v>9255044</v>
      </c>
      <c r="BE24" s="21" t="str">
        <f>VLOOKUP(BD24,CENY!$B$11:$G$1054,2,FALSE)</f>
        <v>AvanY-bok ľavý /v187/h270/ strieborná</v>
      </c>
      <c r="BF24" s="22">
        <f>VLOOKUP(BD24,CENY!$B$11:$G$1054,3,FALSE)</f>
        <v>10</v>
      </c>
      <c r="BG24" s="22"/>
      <c r="BH24" s="23">
        <f>BH5</f>
        <v>0</v>
      </c>
      <c r="BI24" s="326">
        <f t="shared" si="5"/>
        <v>0</v>
      </c>
      <c r="BJ24" s="95">
        <f>VLOOKUP(BD24,CENY!$B$11:$M$2025,12,FALSE)</f>
        <v>343.85318000000001</v>
      </c>
      <c r="BK24" s="95">
        <f t="shared" si="6"/>
        <v>0</v>
      </c>
    </row>
    <row r="25" spans="2:63" ht="14.4" customHeight="1" thickBot="1">
      <c r="B25" s="521" t="s">
        <v>372</v>
      </c>
      <c r="C25" s="521"/>
      <c r="D25" s="521"/>
      <c r="E25" s="521"/>
      <c r="F25" s="521"/>
      <c r="G25" s="521"/>
      <c r="H25" s="522" t="str">
        <f>verze!E18</f>
        <v>plnovýsuv</v>
      </c>
      <c r="I25" s="522"/>
      <c r="J25" s="522"/>
      <c r="K25" s="522"/>
      <c r="L25" s="522"/>
      <c r="M25" s="532" t="s">
        <v>1</v>
      </c>
      <c r="N25" s="533"/>
      <c r="O25" s="567"/>
      <c r="P25" s="603"/>
      <c r="Q25" s="604"/>
      <c r="R25" s="603"/>
      <c r="S25" s="604"/>
      <c r="T25" s="568"/>
      <c r="U25" s="604"/>
      <c r="V25" s="568"/>
      <c r="W25" s="604"/>
      <c r="X25" s="568"/>
      <c r="Y25" s="604"/>
      <c r="Z25" s="568"/>
      <c r="AA25" s="604"/>
      <c r="AB25" s="568"/>
      <c r="AC25" s="516"/>
      <c r="AD25" s="602"/>
      <c r="AU25" s="319">
        <f>OBJ!B71</f>
        <v>9347502</v>
      </c>
      <c r="AV25" s="21" t="str">
        <f>VLOOKUP(AU25,CENY!$B$11:$G$1054,2,FALSE)</f>
        <v>AvanY-design ALprofil Hybrid na bok 270/ strieb.</v>
      </c>
      <c r="AW25" s="22">
        <f>VLOOKUP(AU25,CENY!$B$11:$G$1054,3,FALSE)</f>
        <v>200</v>
      </c>
      <c r="AX25" s="22"/>
      <c r="AY25" s="23">
        <f>IF(FORM!AM18=FORM!AU16,0,4*(O19+O25))</f>
        <v>0</v>
      </c>
      <c r="AZ25" s="326">
        <f t="shared" si="1"/>
        <v>0</v>
      </c>
      <c r="BA25" s="95">
        <f>VLOOKUP(AU25,CENY!$B$11:$M$2025,12,FALSE)</f>
        <v>19.78839</v>
      </c>
      <c r="BB25" s="95">
        <f t="shared" si="0"/>
        <v>0</v>
      </c>
      <c r="BD25" s="319">
        <f>OBJ!B123</f>
        <v>9255045</v>
      </c>
      <c r="BE25" s="21" t="str">
        <f>VLOOKUP(BD25,CENY!$B$11:$G$1054,2,FALSE)</f>
        <v>AvanY-bok pravý /v187/h270/ strieborná</v>
      </c>
      <c r="BF25" s="22">
        <f>VLOOKUP(BD25,CENY!$B$11:$G$1054,3,FALSE)</f>
        <v>10</v>
      </c>
      <c r="BG25" s="22"/>
      <c r="BH25" s="23">
        <f t="shared" ref="BH25:BH41" si="7">BH6</f>
        <v>0</v>
      </c>
      <c r="BI25" s="326">
        <f t="shared" si="5"/>
        <v>0</v>
      </c>
      <c r="BJ25" s="95">
        <f>VLOOKUP(BD25,CENY!$B$11:$M$2025,12,FALSE)</f>
        <v>343.85318000000001</v>
      </c>
      <c r="BK25" s="95">
        <f t="shared" si="6"/>
        <v>0</v>
      </c>
    </row>
    <row r="26" spans="2:63" ht="14.4" customHeight="1" thickBot="1">
      <c r="O26" s="342"/>
      <c r="P26" s="343"/>
      <c r="Q26" s="342"/>
      <c r="R26" s="343"/>
      <c r="S26" s="342"/>
      <c r="T26" s="343"/>
      <c r="U26" s="342"/>
      <c r="V26" s="343"/>
      <c r="W26" s="342"/>
      <c r="X26" s="343"/>
      <c r="Y26" s="342"/>
      <c r="Z26" s="343"/>
      <c r="AA26" s="342"/>
      <c r="AB26" s="343"/>
      <c r="AC26" s="342"/>
      <c r="AD26" s="343"/>
      <c r="AU26" s="319">
        <f>OBJ!B72</f>
        <v>9347503</v>
      </c>
      <c r="AV26" s="21" t="str">
        <f>VLOOKUP(AU26,CENY!$B$11:$G$1054,2,FALSE)</f>
        <v>AvanY-design ALprofil Hybrid na bok 300/ strieb.</v>
      </c>
      <c r="AW26" s="22">
        <f>VLOOKUP(AU26,CENY!$B$11:$G$1054,3,FALSE)</f>
        <v>200</v>
      </c>
      <c r="AX26" s="22"/>
      <c r="AY26" s="23">
        <f>IF(FORM!AM18=FORM!AU16,0,4*(Q19+Q25))</f>
        <v>0</v>
      </c>
      <c r="AZ26" s="326">
        <f t="shared" si="1"/>
        <v>0</v>
      </c>
      <c r="BA26" s="95">
        <f>VLOOKUP(AU26,CENY!$B$11:$M$2025,12,FALSE)</f>
        <v>20.006769999999999</v>
      </c>
      <c r="BB26" s="95">
        <f t="shared" si="0"/>
        <v>0</v>
      </c>
      <c r="BD26" s="319">
        <f>OBJ!B124</f>
        <v>9255046</v>
      </c>
      <c r="BE26" s="21" t="str">
        <f>VLOOKUP(BD26,CENY!$B$11:$G$1054,2,FALSE)</f>
        <v>AvanY-bok ľavý /v187/h300/ strieborná</v>
      </c>
      <c r="BF26" s="22">
        <f>VLOOKUP(BD26,CENY!$B$11:$G$1054,3,FALSE)</f>
        <v>10</v>
      </c>
      <c r="BG26" s="22"/>
      <c r="BH26" s="23">
        <f t="shared" si="7"/>
        <v>0</v>
      </c>
      <c r="BI26" s="326">
        <f t="shared" si="5"/>
        <v>0</v>
      </c>
      <c r="BJ26" s="95">
        <f>VLOOKUP(BD26,CENY!$B$11:$M$2025,12,FALSE)</f>
        <v>347.69150999999999</v>
      </c>
      <c r="BK26" s="95">
        <f t="shared" si="6"/>
        <v>0</v>
      </c>
    </row>
    <row r="27" spans="2:63" ht="14.4" customHeight="1">
      <c r="B27" s="366" t="str">
        <f>verze!E201</f>
        <v>SiSy = tlumení Silent System</v>
      </c>
      <c r="AU27" s="319">
        <f>OBJ!B73</f>
        <v>9347504</v>
      </c>
      <c r="AV27" s="21" t="str">
        <f>VLOOKUP(AU27,CENY!$B$11:$G$1054,2,FALSE)</f>
        <v>AvanY-design ALprofil Hybrid na bok 350/ strieb.</v>
      </c>
      <c r="AW27" s="22">
        <f>VLOOKUP(AU27,CENY!$B$11:$G$1054,3,FALSE)</f>
        <v>200</v>
      </c>
      <c r="AX27" s="22"/>
      <c r="AY27" s="23">
        <f>IF(FORM!AM18=FORM!AU16,0,4*(S19+S25))</f>
        <v>0</v>
      </c>
      <c r="AZ27" s="326">
        <f t="shared" si="1"/>
        <v>0</v>
      </c>
      <c r="BA27" s="95">
        <f>VLOOKUP(AU27,CENY!$B$11:$M$2025,12,FALSE)</f>
        <v>20.37642</v>
      </c>
      <c r="BB27" s="95">
        <f t="shared" si="0"/>
        <v>0</v>
      </c>
      <c r="BD27" s="319">
        <f>OBJ!B125</f>
        <v>9255047</v>
      </c>
      <c r="BE27" s="21" t="str">
        <f>VLOOKUP(BD27,CENY!$B$11:$G$1054,2,FALSE)</f>
        <v>AvanY-bok pravý /v187/h300/ strieborná</v>
      </c>
      <c r="BF27" s="22">
        <f>VLOOKUP(BD27,CENY!$B$11:$G$1054,3,FALSE)</f>
        <v>10</v>
      </c>
      <c r="BG27" s="22"/>
      <c r="BH27" s="23">
        <f t="shared" si="7"/>
        <v>0</v>
      </c>
      <c r="BI27" s="326">
        <f t="shared" si="5"/>
        <v>0</v>
      </c>
      <c r="BJ27" s="95">
        <f>VLOOKUP(BD27,CENY!$B$11:$M$2025,12,FALSE)</f>
        <v>347.69150999999999</v>
      </c>
      <c r="BK27" s="95">
        <f t="shared" si="6"/>
        <v>0</v>
      </c>
    </row>
    <row r="28" spans="2:63" ht="14.4" customHeight="1">
      <c r="B28" s="366"/>
      <c r="O28" s="341" t="str">
        <f>verze!E189</f>
        <v>Maximální výška korpusu skříňky = 750mm.   Maximální šířka korpusu skříňky = 300mm.</v>
      </c>
      <c r="AU28" s="319">
        <f>OBJ!B74</f>
        <v>9347505</v>
      </c>
      <c r="AV28" s="21" t="str">
        <f>VLOOKUP(AU28,CENY!$B$11:$G$1054,2,FALSE)</f>
        <v>AvanY-design ALprofil Hybrid na bok 400/ strieb.</v>
      </c>
      <c r="AW28" s="22">
        <f>VLOOKUP(AU28,CENY!$B$11:$G$1054,3,FALSE)</f>
        <v>200</v>
      </c>
      <c r="AX28" s="22"/>
      <c r="AY28" s="23">
        <f>IF(FORM!AM18=FORM!AU16,0,4*(U19+U25))</f>
        <v>0</v>
      </c>
      <c r="AZ28" s="326">
        <f t="shared" si="1"/>
        <v>0</v>
      </c>
      <c r="BA28" s="95">
        <f>VLOOKUP(AU28,CENY!$B$11:$M$2025,12,FALSE)</f>
        <v>20.742249999999999</v>
      </c>
      <c r="BB28" s="95">
        <f t="shared" si="0"/>
        <v>0</v>
      </c>
      <c r="BD28" s="319">
        <f>OBJ!B126</f>
        <v>9255048</v>
      </c>
      <c r="BE28" s="21" t="str">
        <f>VLOOKUP(BD28,CENY!$B$11:$G$1054,2,FALSE)</f>
        <v>AvanY-bok ľavý /v187/h350/ strieborná</v>
      </c>
      <c r="BF28" s="22">
        <f>VLOOKUP(BD28,CENY!$B$11:$G$1054,3,FALSE)</f>
        <v>10</v>
      </c>
      <c r="BG28" s="22"/>
      <c r="BH28" s="23">
        <f t="shared" si="7"/>
        <v>0</v>
      </c>
      <c r="BI28" s="326">
        <f t="shared" si="5"/>
        <v>0</v>
      </c>
      <c r="BJ28" s="95">
        <f>VLOOKUP(BD28,CENY!$B$11:$M$2025,12,FALSE)</f>
        <v>354.09370999999999</v>
      </c>
      <c r="BK28" s="95">
        <f t="shared" si="6"/>
        <v>0</v>
      </c>
    </row>
    <row r="29" spans="2:63" ht="14.4" customHeight="1">
      <c r="B29" s="366"/>
      <c r="Q29" s="341"/>
      <c r="AU29" s="319">
        <f>OBJ!B75</f>
        <v>9347506</v>
      </c>
      <c r="AV29" s="21" t="str">
        <f>VLOOKUP(AU29,CENY!$B$11:$G$1054,2,FALSE)</f>
        <v>AvanY-design ALprofil Hybrid na bok 450/ strieb.</v>
      </c>
      <c r="AW29" s="22">
        <f>VLOOKUP(AU29,CENY!$B$11:$G$1054,3,FALSE)</f>
        <v>200</v>
      </c>
      <c r="AX29" s="22"/>
      <c r="AY29" s="23">
        <f>IF(FORM!AM18=FORM!AU16,0,4*(W19+W20+W25))</f>
        <v>0</v>
      </c>
      <c r="AZ29" s="326">
        <f t="shared" si="1"/>
        <v>0</v>
      </c>
      <c r="BA29" s="95">
        <f>VLOOKUP(AU29,CENY!$B$11:$M$2025,12,FALSE)</f>
        <v>21.111910000000002</v>
      </c>
      <c r="BB29" s="95">
        <f t="shared" si="0"/>
        <v>0</v>
      </c>
      <c r="BD29" s="319">
        <f>OBJ!B127</f>
        <v>9255049</v>
      </c>
      <c r="BE29" s="21" t="str">
        <f>VLOOKUP(BD29,CENY!$B$11:$G$1054,2,FALSE)</f>
        <v>AvanY-bok pravý /v187/h350/ strieborná</v>
      </c>
      <c r="BF29" s="22">
        <f>VLOOKUP(BD29,CENY!$B$11:$G$1054,3,FALSE)</f>
        <v>10</v>
      </c>
      <c r="BG29" s="22"/>
      <c r="BH29" s="23">
        <f t="shared" si="7"/>
        <v>0</v>
      </c>
      <c r="BI29" s="326">
        <f t="shared" si="5"/>
        <v>0</v>
      </c>
      <c r="BJ29" s="95">
        <f>VLOOKUP(BD29,CENY!$B$11:$M$2025,12,FALSE)</f>
        <v>354.09370999999999</v>
      </c>
      <c r="BK29" s="95">
        <f t="shared" si="6"/>
        <v>0</v>
      </c>
    </row>
    <row r="30" spans="2:63" ht="14.4" customHeight="1">
      <c r="AU30" s="319">
        <f>OBJ!B76</f>
        <v>9347507</v>
      </c>
      <c r="AV30" s="21" t="str">
        <f>VLOOKUP(AU30,CENY!$B$11:$G$1054,2,FALSE)</f>
        <v>AvanY-design ALprofil Hybrid na bok 500/ strieb.</v>
      </c>
      <c r="AW30" s="22">
        <f>VLOOKUP(AU30,CENY!$B$11:$G$1054,3,FALSE)</f>
        <v>200</v>
      </c>
      <c r="AX30" s="22"/>
      <c r="AY30" s="23">
        <f>IF(FORM!AM18=FORM!AU16,0,4*(Y19+Y20+Y25))</f>
        <v>0</v>
      </c>
      <c r="AZ30" s="326">
        <f t="shared" si="1"/>
        <v>0</v>
      </c>
      <c r="BA30" s="95">
        <f>VLOOKUP(AU30,CENY!$B$11:$M$2025,12,FALSE)</f>
        <v>21.479700000000001</v>
      </c>
      <c r="BB30" s="95">
        <f t="shared" si="0"/>
        <v>0</v>
      </c>
      <c r="BD30" s="319">
        <f>OBJ!B128</f>
        <v>9255050</v>
      </c>
      <c r="BE30" s="21" t="str">
        <f>VLOOKUP(BD30,CENY!$B$11:$G$1054,2,FALSE)</f>
        <v>AvanY-bok ľavý /v187/h400/ strieborná</v>
      </c>
      <c r="BF30" s="22">
        <f>VLOOKUP(BD30,CENY!$B$11:$G$1054,3,FALSE)</f>
        <v>10</v>
      </c>
      <c r="BG30" s="22"/>
      <c r="BH30" s="23">
        <f t="shared" si="7"/>
        <v>0</v>
      </c>
      <c r="BI30" s="326">
        <f t="shared" si="5"/>
        <v>0</v>
      </c>
      <c r="BJ30" s="95">
        <f>VLOOKUP(BD30,CENY!$B$11:$M$2025,12,FALSE)</f>
        <v>360.48838000000001</v>
      </c>
      <c r="BK30" s="95">
        <f t="shared" si="6"/>
        <v>0</v>
      </c>
    </row>
    <row r="31" spans="2:63" ht="14.4" customHeight="1">
      <c r="AU31" s="319">
        <f>OBJ!B77</f>
        <v>9347508</v>
      </c>
      <c r="AV31" s="21" t="str">
        <f>VLOOKUP(AU31,CENY!$B$11:$G$1054,2,FALSE)</f>
        <v>AvanY-design ALprofil Hybrid na bok 550/ strieb.</v>
      </c>
      <c r="AW31" s="22">
        <f>VLOOKUP(AU31,CENY!$B$11:$G$1054,3,FALSE)</f>
        <v>200</v>
      </c>
      <c r="AX31" s="22"/>
      <c r="AY31" s="23">
        <f>IF(FORM!AM18=FORM!AU16,0,4*(AA19+AA20+AA25))</f>
        <v>0</v>
      </c>
      <c r="AZ31" s="326">
        <f t="shared" si="1"/>
        <v>0</v>
      </c>
      <c r="BA31" s="95">
        <f>VLOOKUP(AU31,CENY!$B$11:$M$2025,12,FALSE)</f>
        <v>21.84564</v>
      </c>
      <c r="BB31" s="95">
        <f t="shared" si="0"/>
        <v>0</v>
      </c>
      <c r="BD31" s="319">
        <f>OBJ!B129</f>
        <v>9255051</v>
      </c>
      <c r="BE31" s="21" t="str">
        <f>VLOOKUP(BD31,CENY!$B$11:$G$1054,2,FALSE)</f>
        <v>AvanY-bok pravý /v187/h400/ strieborná</v>
      </c>
      <c r="BF31" s="22">
        <f>VLOOKUP(BD31,CENY!$B$11:$G$1054,3,FALSE)</f>
        <v>10</v>
      </c>
      <c r="BG31" s="22"/>
      <c r="BH31" s="23">
        <f t="shared" si="7"/>
        <v>0</v>
      </c>
      <c r="BI31" s="326">
        <f t="shared" si="5"/>
        <v>0</v>
      </c>
      <c r="BJ31" s="95">
        <f>VLOOKUP(BD31,CENY!$B$11:$M$2025,12,FALSE)</f>
        <v>360.48838000000001</v>
      </c>
      <c r="BK31" s="95">
        <f t="shared" si="6"/>
        <v>0</v>
      </c>
    </row>
    <row r="32" spans="2:63" ht="14.4" customHeight="1">
      <c r="AU32" s="319">
        <f>OBJ!B78</f>
        <v>9347509</v>
      </c>
      <c r="AV32" s="21" t="str">
        <f>VLOOKUP(AU32,CENY!$B$11:$G$1054,2,FALSE)</f>
        <v>AvanY-design ALprofil Hybrid na bok 600/ strieb.</v>
      </c>
      <c r="AW32" s="22">
        <f>VLOOKUP(AU32,CENY!$B$11:$G$1054,3,FALSE)</f>
        <v>200</v>
      </c>
      <c r="AX32" s="22"/>
      <c r="AY32" s="23">
        <f>IF(FORM!AM18=FORM!AU16,0,4*(AC19+AC20+AC25))</f>
        <v>0</v>
      </c>
      <c r="AZ32" s="326">
        <f t="shared" si="1"/>
        <v>0</v>
      </c>
      <c r="BA32" s="95">
        <f>VLOOKUP(AU32,CENY!$B$11:$M$2025,12,FALSE)</f>
        <v>22.79205</v>
      </c>
      <c r="BB32" s="95">
        <f t="shared" si="0"/>
        <v>0</v>
      </c>
      <c r="BD32" s="319">
        <f>OBJ!B130</f>
        <v>9255052</v>
      </c>
      <c r="BE32" s="21" t="str">
        <f>VLOOKUP(BD32,CENY!$B$11:$G$1054,2,FALSE)</f>
        <v>AvanY-bok ľavý /v187/h450/ strieborná</v>
      </c>
      <c r="BF32" s="22">
        <f>VLOOKUP(BD32,CENY!$B$11:$G$1054,3,FALSE)</f>
        <v>10</v>
      </c>
      <c r="BG32" s="22"/>
      <c r="BH32" s="23">
        <f t="shared" si="7"/>
        <v>0</v>
      </c>
      <c r="BI32" s="326">
        <f t="shared" si="5"/>
        <v>0</v>
      </c>
      <c r="BJ32" s="95">
        <f>VLOOKUP(BD32,CENY!$B$11:$M$2025,12,FALSE)</f>
        <v>357.13297</v>
      </c>
      <c r="BK32" s="95">
        <f t="shared" si="6"/>
        <v>0</v>
      </c>
    </row>
    <row r="33" spans="47:63" ht="14.4" customHeight="1">
      <c r="AU33" s="319">
        <f>OBJ!B79</f>
        <v>9347510</v>
      </c>
      <c r="AV33" s="21" t="str">
        <f>VLOOKUP(AU33,CENY!$B$11:$G$1054,2,FALSE)</f>
        <v>AvanY-design ALprofil Hybrid na bok 650/ strieb.</v>
      </c>
      <c r="AW33" s="22">
        <f>VLOOKUP(AU33,CENY!$B$11:$G$1054,3,FALSE)</f>
        <v>200</v>
      </c>
      <c r="AX33" s="22"/>
      <c r="AY33" s="23">
        <f>IF(FORM!AM18=FORM!AU16,0,4*AE20)</f>
        <v>0</v>
      </c>
      <c r="AZ33" s="326">
        <f t="shared" si="1"/>
        <v>0</v>
      </c>
      <c r="BA33" s="95">
        <f>VLOOKUP(AU33,CENY!$B$11:$M$2025,12,FALSE)</f>
        <v>24.580449999999999</v>
      </c>
      <c r="BB33" s="95">
        <f t="shared" si="0"/>
        <v>0</v>
      </c>
      <c r="BD33" s="319">
        <f>OBJ!B131</f>
        <v>9255053</v>
      </c>
      <c r="BE33" s="21" t="str">
        <f>VLOOKUP(BD33,CENY!$B$11:$G$1054,2,FALSE)</f>
        <v>AvanY-bok pravý /v187/h450/ strieborná</v>
      </c>
      <c r="BF33" s="22">
        <f>VLOOKUP(BD33,CENY!$B$11:$G$1054,3,FALSE)</f>
        <v>10</v>
      </c>
      <c r="BG33" s="22"/>
      <c r="BH33" s="23">
        <f t="shared" si="7"/>
        <v>0</v>
      </c>
      <c r="BI33" s="326">
        <f t="shared" si="5"/>
        <v>0</v>
      </c>
      <c r="BJ33" s="95">
        <f>VLOOKUP(BD33,CENY!$B$11:$M$2025,12,FALSE)</f>
        <v>357.13297</v>
      </c>
      <c r="BK33" s="95">
        <f t="shared" si="6"/>
        <v>0</v>
      </c>
    </row>
    <row r="34" spans="47:63" ht="14.4" customHeight="1">
      <c r="AU34" s="319"/>
      <c r="AV34" s="21"/>
      <c r="AW34" s="22"/>
      <c r="AX34" s="22"/>
      <c r="AY34" s="23"/>
      <c r="AZ34" s="326" t="str">
        <f t="shared" si="1"/>
        <v/>
      </c>
      <c r="BA34" s="95"/>
      <c r="BB34" s="95" t="str">
        <f t="shared" si="0"/>
        <v/>
      </c>
      <c r="BD34" s="319">
        <f>OBJ!B132</f>
        <v>9255054</v>
      </c>
      <c r="BE34" s="21" t="str">
        <f>VLOOKUP(BD34,CENY!$B$11:$G$1054,2,FALSE)</f>
        <v>AvanY-bok ľavý /v187/h500/ strieborná</v>
      </c>
      <c r="BF34" s="22">
        <f>VLOOKUP(BD34,CENY!$B$11:$G$1054,3,FALSE)</f>
        <v>10</v>
      </c>
      <c r="BG34" s="22"/>
      <c r="BH34" s="23">
        <f t="shared" si="7"/>
        <v>0</v>
      </c>
      <c r="BI34" s="326">
        <f t="shared" si="5"/>
        <v>0</v>
      </c>
      <c r="BJ34" s="95">
        <f>VLOOKUP(BD34,CENY!$B$11:$M$2025,12,FALSE)</f>
        <v>363.36250999999999</v>
      </c>
      <c r="BK34" s="95">
        <f t="shared" si="6"/>
        <v>0</v>
      </c>
    </row>
    <row r="35" spans="47:63" ht="14.4" customHeight="1">
      <c r="AU35" s="319">
        <f>OBJ!B243</f>
        <v>9318186</v>
      </c>
      <c r="AV35" s="21" t="str">
        <f>VLOOKUP(AU35,CENY!$B$11:$G$1054,2,FALSE)</f>
        <v>Actro You(L) 270/SiSy 40kg; EB21</v>
      </c>
      <c r="AW35" s="22">
        <f>VLOOKUP(AU35,CENY!$B$11:$G$1054,3,FALSE)</f>
        <v>1</v>
      </c>
      <c r="AX35" s="362">
        <v>8</v>
      </c>
      <c r="AY35" s="23">
        <f>O19</f>
        <v>0</v>
      </c>
      <c r="AZ35" s="326">
        <f t="shared" si="1"/>
        <v>0</v>
      </c>
      <c r="BA35" s="95">
        <f>VLOOKUP(AU35,CENY!$B$11:$M$2025,12,FALSE)</f>
        <v>657.45060999999998</v>
      </c>
      <c r="BB35" s="95">
        <f t="shared" si="0"/>
        <v>0</v>
      </c>
      <c r="BD35" s="319">
        <f>OBJ!B133</f>
        <v>9255055</v>
      </c>
      <c r="BE35" s="21" t="str">
        <f>VLOOKUP(BD35,CENY!$B$11:$G$1054,2,FALSE)</f>
        <v>AvanY-bok pravý /v187/h500/ strieborná</v>
      </c>
      <c r="BF35" s="22">
        <f>VLOOKUP(BD35,CENY!$B$11:$G$1054,3,FALSE)</f>
        <v>10</v>
      </c>
      <c r="BG35" s="22"/>
      <c r="BH35" s="23">
        <f t="shared" si="7"/>
        <v>0</v>
      </c>
      <c r="BI35" s="326">
        <f t="shared" si="5"/>
        <v>0</v>
      </c>
      <c r="BJ35" s="95">
        <f>VLOOKUP(BD35,CENY!$B$11:$M$2025,12,FALSE)</f>
        <v>363.36250999999999</v>
      </c>
      <c r="BK35" s="95">
        <f t="shared" si="6"/>
        <v>0</v>
      </c>
    </row>
    <row r="36" spans="47:63" ht="14.4" customHeight="1">
      <c r="AU36" s="319">
        <f>OBJ!B244</f>
        <v>9318187</v>
      </c>
      <c r="AV36" s="21" t="str">
        <f>VLOOKUP(AU36,CENY!$B$11:$G$1054,2,FALSE)</f>
        <v>Actro You(L) 300/SiSy 40kg; EB21</v>
      </c>
      <c r="AW36" s="22">
        <f>VLOOKUP(AU36,CENY!$B$11:$G$1054,3,FALSE)</f>
        <v>1</v>
      </c>
      <c r="AX36" s="362">
        <v>8</v>
      </c>
      <c r="AY36" s="23">
        <f>Q19</f>
        <v>0</v>
      </c>
      <c r="AZ36" s="326">
        <f t="shared" si="1"/>
        <v>0</v>
      </c>
      <c r="BA36" s="95">
        <f>VLOOKUP(AU36,CENY!$B$11:$M$2025,12,FALSE)</f>
        <v>657.45060999999998</v>
      </c>
      <c r="BB36" s="95">
        <f t="shared" si="0"/>
        <v>0</v>
      </c>
      <c r="BD36" s="319">
        <f>OBJ!B134</f>
        <v>9255056</v>
      </c>
      <c r="BE36" s="21" t="str">
        <f>VLOOKUP(BD36,CENY!$B$11:$G$1054,2,FALSE)</f>
        <v>AvanY-bok ľavý /v187/h550/ strieborná</v>
      </c>
      <c r="BF36" s="22">
        <f>VLOOKUP(BD36,CENY!$B$11:$G$1054,3,FALSE)</f>
        <v>10</v>
      </c>
      <c r="BG36" s="22"/>
      <c r="BH36" s="23">
        <f t="shared" si="7"/>
        <v>0</v>
      </c>
      <c r="BI36" s="326">
        <f t="shared" si="5"/>
        <v>0</v>
      </c>
      <c r="BJ36" s="95">
        <f>VLOOKUP(BD36,CENY!$B$11:$M$2025,12,FALSE)</f>
        <v>379.68511999999998</v>
      </c>
      <c r="BK36" s="95">
        <f t="shared" si="6"/>
        <v>0</v>
      </c>
    </row>
    <row r="37" spans="47:63" ht="14.4" customHeight="1">
      <c r="AU37" s="319">
        <f>OBJ!B245</f>
        <v>9318188</v>
      </c>
      <c r="AV37" s="21" t="str">
        <f>VLOOKUP(AU37,CENY!$B$11:$G$1054,2,FALSE)</f>
        <v>Actro You(L) 350/SiSy 40kg; EB21</v>
      </c>
      <c r="AW37" s="22">
        <f>VLOOKUP(AU37,CENY!$B$11:$G$1054,3,FALSE)</f>
        <v>1</v>
      </c>
      <c r="AX37" s="362">
        <v>8</v>
      </c>
      <c r="AY37" s="23">
        <f>S19</f>
        <v>0</v>
      </c>
      <c r="AZ37" s="326">
        <f t="shared" si="1"/>
        <v>0</v>
      </c>
      <c r="BA37" s="95">
        <f>VLOOKUP(AU37,CENY!$B$11:$M$2025,12,FALSE)</f>
        <v>657.45060999999998</v>
      </c>
      <c r="BB37" s="95">
        <f t="shared" si="0"/>
        <v>0</v>
      </c>
      <c r="BD37" s="319">
        <f>OBJ!B135</f>
        <v>9255057</v>
      </c>
      <c r="BE37" s="21" t="str">
        <f>VLOOKUP(BD37,CENY!$B$11:$G$1054,2,FALSE)</f>
        <v>AvanY-bok pravý /v187/h550/ strieborná</v>
      </c>
      <c r="BF37" s="22">
        <f>VLOOKUP(BD37,CENY!$B$11:$G$1054,3,FALSE)</f>
        <v>10</v>
      </c>
      <c r="BG37" s="22"/>
      <c r="BH37" s="23">
        <f t="shared" si="7"/>
        <v>0</v>
      </c>
      <c r="BI37" s="326">
        <f t="shared" si="5"/>
        <v>0</v>
      </c>
      <c r="BJ37" s="95">
        <f>VLOOKUP(BD37,CENY!$B$11:$M$2025,12,FALSE)</f>
        <v>379.68511999999998</v>
      </c>
      <c r="BK37" s="95">
        <f t="shared" si="6"/>
        <v>0</v>
      </c>
    </row>
    <row r="38" spans="47:63" ht="14.4" customHeight="1">
      <c r="AU38" s="319">
        <f>OBJ!B246</f>
        <v>9318190</v>
      </c>
      <c r="AV38" s="21" t="str">
        <f>VLOOKUP(AU38,CENY!$B$11:$G$1054,2,FALSE)</f>
        <v>Actro You(L) 400/SiSy 40kg; EB21</v>
      </c>
      <c r="AW38" s="22">
        <f>VLOOKUP(AU38,CENY!$B$11:$G$1054,3,FALSE)</f>
        <v>1</v>
      </c>
      <c r="AX38" s="362">
        <v>8</v>
      </c>
      <c r="AY38" s="23">
        <f>U19</f>
        <v>0</v>
      </c>
      <c r="AZ38" s="326">
        <f t="shared" si="1"/>
        <v>0</v>
      </c>
      <c r="BA38" s="95">
        <f>VLOOKUP(AU38,CENY!$B$11:$M$2025,12,FALSE)</f>
        <v>664.73978</v>
      </c>
      <c r="BB38" s="95">
        <f t="shared" si="0"/>
        <v>0</v>
      </c>
      <c r="BD38" s="319">
        <f>OBJ!B136</f>
        <v>9255058</v>
      </c>
      <c r="BE38" s="21" t="str">
        <f>VLOOKUP(BD38,CENY!$B$11:$G$1054,2,FALSE)</f>
        <v>AvanY-bok ľavý /v187/h600/ strieborná</v>
      </c>
      <c r="BF38" s="22">
        <f>VLOOKUP(BD38,CENY!$B$11:$G$1054,3,FALSE)</f>
        <v>10</v>
      </c>
      <c r="BG38" s="22"/>
      <c r="BH38" s="23">
        <f t="shared" si="7"/>
        <v>0</v>
      </c>
      <c r="BI38" s="326">
        <f t="shared" si="5"/>
        <v>0</v>
      </c>
      <c r="BJ38" s="95">
        <f>VLOOKUP(BD38,CENY!$B$11:$M$2025,12,FALSE)</f>
        <v>389.34050000000002</v>
      </c>
      <c r="BK38" s="95">
        <f t="shared" si="6"/>
        <v>0</v>
      </c>
    </row>
    <row r="39" spans="47:63" ht="14.4" customHeight="1">
      <c r="AU39" s="319">
        <f>OBJ!B247</f>
        <v>9318191</v>
      </c>
      <c r="AV39" s="21" t="str">
        <f>VLOOKUP(AU39,CENY!$B$11:$G$1054,2,FALSE)</f>
        <v>Actro You(L) 450/SiSy 40kg; EB21</v>
      </c>
      <c r="AW39" s="22">
        <f>VLOOKUP(AU39,CENY!$B$11:$G$1054,3,FALSE)</f>
        <v>1</v>
      </c>
      <c r="AX39" s="362">
        <v>10</v>
      </c>
      <c r="AY39" s="23">
        <f>W19</f>
        <v>0</v>
      </c>
      <c r="AZ39" s="326">
        <f t="shared" si="1"/>
        <v>0</v>
      </c>
      <c r="BA39" s="95">
        <f>VLOOKUP(AU39,CENY!$B$11:$M$2025,12,FALSE)</f>
        <v>671.97520999999995</v>
      </c>
      <c r="BB39" s="95">
        <f t="shared" si="0"/>
        <v>0</v>
      </c>
      <c r="BD39" s="319">
        <f>OBJ!B137</f>
        <v>9255059</v>
      </c>
      <c r="BE39" s="21" t="str">
        <f>VLOOKUP(BD39,CENY!$B$11:$G$1054,2,FALSE)</f>
        <v>AvanY-bok pravý /v187/h600/ strieborná</v>
      </c>
      <c r="BF39" s="22">
        <f>VLOOKUP(BD39,CENY!$B$11:$G$1054,3,FALSE)</f>
        <v>10</v>
      </c>
      <c r="BG39" s="22"/>
      <c r="BH39" s="23">
        <f t="shared" si="7"/>
        <v>0</v>
      </c>
      <c r="BI39" s="326">
        <f t="shared" si="5"/>
        <v>0</v>
      </c>
      <c r="BJ39" s="95">
        <f>VLOOKUP(BD39,CENY!$B$11:$M$2025,12,FALSE)</f>
        <v>389.34050000000002</v>
      </c>
      <c r="BK39" s="95">
        <f t="shared" si="6"/>
        <v>0</v>
      </c>
    </row>
    <row r="40" spans="47:63" ht="14.4" customHeight="1">
      <c r="AU40" s="319">
        <f>OBJ!B248</f>
        <v>9318192</v>
      </c>
      <c r="AV40" s="21" t="str">
        <f>VLOOKUP(AU40,CENY!$B$11:$G$1054,2,FALSE)</f>
        <v>Actro You(L) 500/SiSy 40kg; EB21</v>
      </c>
      <c r="AW40" s="22">
        <f>VLOOKUP(AU40,CENY!$B$11:$G$1054,3,FALSE)</f>
        <v>1</v>
      </c>
      <c r="AX40" s="362">
        <v>10</v>
      </c>
      <c r="AY40" s="23">
        <f>Y19</f>
        <v>0</v>
      </c>
      <c r="AZ40" s="326">
        <f t="shared" si="1"/>
        <v>0</v>
      </c>
      <c r="BA40" s="95">
        <f>VLOOKUP(AU40,CENY!$B$11:$M$2025,12,FALSE)</f>
        <v>164.23333</v>
      </c>
      <c r="BB40" s="95">
        <f t="shared" si="0"/>
        <v>0</v>
      </c>
      <c r="BD40" s="319">
        <f>OBJ!B138</f>
        <v>9255060</v>
      </c>
      <c r="BE40" s="21" t="str">
        <f>VLOOKUP(BD40,CENY!$B$11:$G$1054,2,FALSE)</f>
        <v>AvanY-bok ľavý /v187/h650/ strieborná</v>
      </c>
      <c r="BF40" s="22">
        <f>VLOOKUP(BD40,CENY!$B$11:$G$1054,3,FALSE)</f>
        <v>10</v>
      </c>
      <c r="BG40" s="22"/>
      <c r="BH40" s="23">
        <f t="shared" si="7"/>
        <v>0</v>
      </c>
      <c r="BI40" s="326">
        <f t="shared" si="5"/>
        <v>0</v>
      </c>
      <c r="BJ40" s="95">
        <f>VLOOKUP(BD40,CENY!$B$11:$M$2025,12,FALSE)</f>
        <v>402.46422999999999</v>
      </c>
      <c r="BK40" s="95">
        <f t="shared" si="6"/>
        <v>0</v>
      </c>
    </row>
    <row r="41" spans="47:63" ht="14.4" customHeight="1">
      <c r="AU41" s="319">
        <f>OBJ!B249</f>
        <v>9318194</v>
      </c>
      <c r="AV41" s="21" t="str">
        <f>VLOOKUP(AU41,CENY!$B$11:$G$1054,2,FALSE)</f>
        <v>Actro You(L) 550/SiSy 40kg; EB21</v>
      </c>
      <c r="AW41" s="22">
        <f>VLOOKUP(AU41,CENY!$B$11:$G$1054,3,FALSE)</f>
        <v>1</v>
      </c>
      <c r="AX41" s="362">
        <v>10</v>
      </c>
      <c r="AY41" s="23">
        <f>AA19</f>
        <v>0</v>
      </c>
      <c r="AZ41" s="326">
        <f t="shared" si="1"/>
        <v>0</v>
      </c>
      <c r="BA41" s="95">
        <f>VLOOKUP(AU41,CENY!$B$11:$M$2025,12,FALSE)</f>
        <v>173.62268</v>
      </c>
      <c r="BB41" s="95">
        <f t="shared" si="0"/>
        <v>0</v>
      </c>
      <c r="BD41" s="319">
        <f>OBJ!B139</f>
        <v>9255061</v>
      </c>
      <c r="BE41" s="21" t="str">
        <f>VLOOKUP(BD41,CENY!$B$11:$G$1054,2,FALSE)</f>
        <v>AvanY-bok pravý /v187/h650/ strieborná</v>
      </c>
      <c r="BF41" s="22">
        <f>VLOOKUP(BD41,CENY!$B$11:$G$1054,3,FALSE)</f>
        <v>10</v>
      </c>
      <c r="BG41" s="22"/>
      <c r="BH41" s="23">
        <f t="shared" si="7"/>
        <v>0</v>
      </c>
      <c r="BI41" s="326">
        <f t="shared" si="5"/>
        <v>0</v>
      </c>
      <c r="BJ41" s="95">
        <f>VLOOKUP(BD41,CENY!$B$11:$M$2025,12,FALSE)</f>
        <v>402.46422999999999</v>
      </c>
      <c r="BK41" s="95">
        <f t="shared" si="6"/>
        <v>0</v>
      </c>
    </row>
    <row r="42" spans="47:63" ht="14.4" customHeight="1">
      <c r="AU42" s="319">
        <f>OBJ!B250</f>
        <v>9318196</v>
      </c>
      <c r="AV42" s="21" t="str">
        <f>VLOOKUP(AU42,CENY!$B$11:$G$1054,2,FALSE)</f>
        <v>Actro You(L) 600/SiSy 40kg; EB21</v>
      </c>
      <c r="AW42" s="22">
        <f>VLOOKUP(AU42,CENY!$B$11:$G$1054,3,FALSE)</f>
        <v>1</v>
      </c>
      <c r="AX42" s="362">
        <v>10</v>
      </c>
      <c r="AY42" s="23">
        <f>AC19</f>
        <v>0</v>
      </c>
      <c r="AZ42" s="326">
        <f t="shared" si="1"/>
        <v>0</v>
      </c>
      <c r="BA42" s="95">
        <f>VLOOKUP(AU42,CENY!$B$11:$M$2025,12,FALSE)</f>
        <v>726.70140000000004</v>
      </c>
      <c r="BB42" s="95">
        <f t="shared" si="0"/>
        <v>0</v>
      </c>
      <c r="BD42" s="319"/>
      <c r="BE42" s="21"/>
      <c r="BF42" s="22"/>
      <c r="BG42" s="22"/>
      <c r="BH42" s="23"/>
      <c r="BI42" s="326" t="str">
        <f t="shared" si="5"/>
        <v/>
      </c>
      <c r="BJ42" s="95"/>
      <c r="BK42" s="95" t="str">
        <f t="shared" si="6"/>
        <v/>
      </c>
    </row>
    <row r="43" spans="47:63" ht="14.4" customHeight="1">
      <c r="AU43" s="319"/>
      <c r="AV43" s="21"/>
      <c r="AW43" s="22"/>
      <c r="AX43" s="22"/>
      <c r="AY43" s="23"/>
      <c r="AZ43" s="326" t="str">
        <f t="shared" si="1"/>
        <v/>
      </c>
      <c r="BA43" s="95"/>
      <c r="BB43" s="95" t="str">
        <f t="shared" si="0"/>
        <v/>
      </c>
      <c r="BD43" s="319">
        <f>OBJ!B69</f>
        <v>9255835</v>
      </c>
      <c r="BE43" s="21" t="str">
        <f>VLOOKUP(BD43,CENY!$B$11:$G$1054,2,FALSE)</f>
        <v>AvanY-príchytka čela k naskrutk./ v101</v>
      </c>
      <c r="BF43" s="22">
        <f>VLOOKUP(BD43,CENY!$B$11:$G$1054,3,FALSE)</f>
        <v>200</v>
      </c>
      <c r="BG43" s="22"/>
      <c r="BH43" s="23">
        <f>2*(SUM(O19:AD19)+SUM(W20:AF20)+SUM(O25:AD25))</f>
        <v>0</v>
      </c>
      <c r="BI43" s="326">
        <f t="shared" si="2"/>
        <v>0</v>
      </c>
      <c r="BJ43" s="95">
        <f>VLOOKUP(BD43,CENY!$B$11:$M$2025,12,FALSE)</f>
        <v>24.69378</v>
      </c>
      <c r="BK43" s="95">
        <f t="shared" si="3"/>
        <v>0</v>
      </c>
    </row>
    <row r="44" spans="47:63" ht="14.4" customHeight="1">
      <c r="AU44" s="319">
        <f>OBJ!B268</f>
        <v>9318215</v>
      </c>
      <c r="AV44" s="21" t="str">
        <f>VLOOKUP(AU44,CENY!$B$11:$G$1054,2,FALSE)</f>
        <v>Actro You(XL) 450/SiSy 70kg; EB21</v>
      </c>
      <c r="AW44" s="22">
        <f>VLOOKUP(AU44,CENY!$B$11:$G$1054,3,FALSE)</f>
        <v>1</v>
      </c>
      <c r="AX44" s="362">
        <v>10</v>
      </c>
      <c r="AY44" s="23">
        <f>W20</f>
        <v>0</v>
      </c>
      <c r="AZ44" s="326">
        <f t="shared" si="1"/>
        <v>0</v>
      </c>
      <c r="BA44" s="95">
        <f>VLOOKUP(AU44,CENY!$B$11:$M$2025,12,FALSE)</f>
        <v>197.37184999999999</v>
      </c>
      <c r="BB44" s="95">
        <f t="shared" si="0"/>
        <v>0</v>
      </c>
      <c r="BD44" s="319">
        <f>OBJ!B141</f>
        <v>9255838</v>
      </c>
      <c r="BE44" s="21" t="str">
        <f>VLOOKUP(BD44,CENY!$B$11:$G$1054,2,FALSE)</f>
        <v>AvanY-prích.čela k naskrutk./ v187-251</v>
      </c>
      <c r="BF44" s="22">
        <f>VLOOKUP(BD44,CENY!$B$11:$G$1054,3,FALSE)</f>
        <v>200</v>
      </c>
      <c r="BG44" s="22"/>
      <c r="BH44" s="23">
        <f>BH43</f>
        <v>0</v>
      </c>
      <c r="BI44" s="326">
        <f>IF(BH44="","",IF($AW$4=0,BH44,0))</f>
        <v>0</v>
      </c>
      <c r="BJ44" s="95">
        <f>VLOOKUP(BD44,CENY!$B$11:$M$2025,12,FALSE)</f>
        <v>49.383429999999997</v>
      </c>
      <c r="BK44" s="95">
        <f>IF(BJ44="","",BJ44*BH44)</f>
        <v>0</v>
      </c>
    </row>
    <row r="45" spans="47:63" ht="14.4" customHeight="1">
      <c r="AU45" s="319">
        <f>OBJ!B269</f>
        <v>9318216</v>
      </c>
      <c r="AV45" s="21" t="str">
        <f>VLOOKUP(AU45,CENY!$B$11:$G$1054,2,FALSE)</f>
        <v>Actro You(XL) 500/SiSy 70kg; EB21</v>
      </c>
      <c r="AW45" s="22">
        <f>VLOOKUP(AU45,CENY!$B$11:$G$1054,3,FALSE)</f>
        <v>1</v>
      </c>
      <c r="AX45" s="362">
        <v>10</v>
      </c>
      <c r="AY45" s="23">
        <f>Y20</f>
        <v>0</v>
      </c>
      <c r="AZ45" s="326">
        <f t="shared" si="1"/>
        <v>0</v>
      </c>
      <c r="BA45" s="95">
        <f>VLOOKUP(AU45,CENY!$B$11:$M$2025,12,FALSE)</f>
        <v>823.68502000000001</v>
      </c>
      <c r="BB45" s="95">
        <f t="shared" si="0"/>
        <v>0</v>
      </c>
      <c r="BD45" s="319">
        <f>OBJ!B48</f>
        <v>9257702</v>
      </c>
      <c r="BE45" s="21" t="str">
        <f>VLOOKUP(BD45,CENY!$B$11:$G$1054,2,FALSE)</f>
        <v>AvanY-stabilizátor chrbáta</v>
      </c>
      <c r="BF45" s="22">
        <f>VLOOKUP(BD45,CENY!$B$11:$G$1054,3,FALSE)</f>
        <v>200</v>
      </c>
      <c r="BG45" s="22"/>
      <c r="BH45" s="23">
        <f>0*(SUM(O19:AD19)+SUM(W20:AF20)+SUM(O25:AD25))</f>
        <v>0</v>
      </c>
      <c r="BI45" s="326">
        <f t="shared" si="2"/>
        <v>0</v>
      </c>
      <c r="BJ45" s="95">
        <f>VLOOKUP(BD45,CENY!$B$11:$M$2025,12,FALSE)</f>
        <v>15.54837</v>
      </c>
      <c r="BK45" s="95">
        <f t="shared" si="3"/>
        <v>0</v>
      </c>
    </row>
    <row r="46" spans="47:63" ht="14.4" customHeight="1">
      <c r="AU46" s="319">
        <f>OBJ!B270</f>
        <v>9318217</v>
      </c>
      <c r="AV46" s="21" t="str">
        <f>VLOOKUP(AU46,CENY!$B$11:$G$1054,2,FALSE)</f>
        <v>Actro You(XL) 550/SiSy 70kg; EB21</v>
      </c>
      <c r="AW46" s="22">
        <f>VLOOKUP(AU46,CENY!$B$11:$G$1054,3,FALSE)</f>
        <v>1</v>
      </c>
      <c r="AX46" s="362">
        <v>10</v>
      </c>
      <c r="AY46" s="23">
        <f>AA20</f>
        <v>0</v>
      </c>
      <c r="AZ46" s="326">
        <f t="shared" si="1"/>
        <v>0</v>
      </c>
      <c r="BA46" s="95">
        <f>VLOOKUP(AU46,CENY!$B$11:$M$2025,12,FALSE)</f>
        <v>862.82307000000003</v>
      </c>
      <c r="BB46" s="95">
        <f t="shared" si="0"/>
        <v>0</v>
      </c>
      <c r="BD46" s="20"/>
      <c r="BE46" s="21"/>
      <c r="BF46" s="22"/>
      <c r="BG46" s="22"/>
      <c r="BH46" s="23"/>
      <c r="BI46" s="326" t="str">
        <f t="shared" si="2"/>
        <v/>
      </c>
      <c r="BJ46" s="95"/>
      <c r="BK46" s="95" t="str">
        <f t="shared" si="3"/>
        <v/>
      </c>
    </row>
    <row r="47" spans="47:63" ht="14.4" customHeight="1">
      <c r="AU47" s="319">
        <f>OBJ!B271</f>
        <v>9318218</v>
      </c>
      <c r="AV47" s="21" t="str">
        <f>VLOOKUP(AU47,CENY!$B$11:$G$1054,2,FALSE)</f>
        <v>Actro You(XL) 600/SiSy 70kg; EB21</v>
      </c>
      <c r="AW47" s="22">
        <f>VLOOKUP(AU47,CENY!$B$11:$G$1054,3,FALSE)</f>
        <v>1</v>
      </c>
      <c r="AX47" s="362">
        <v>10</v>
      </c>
      <c r="AY47" s="23">
        <f>AC20</f>
        <v>0</v>
      </c>
      <c r="AZ47" s="326">
        <f t="shared" si="1"/>
        <v>0</v>
      </c>
      <c r="BA47" s="95">
        <f>VLOOKUP(AU47,CENY!$B$11:$M$2025,12,FALSE)</f>
        <v>941.88580999999999</v>
      </c>
      <c r="BB47" s="95">
        <f t="shared" si="0"/>
        <v>0</v>
      </c>
      <c r="BD47" s="319">
        <f>OBJ!B71</f>
        <v>9347502</v>
      </c>
      <c r="BE47" s="21" t="str">
        <f>VLOOKUP(BD47,CENY!$B$11:$G$1054,2,FALSE)</f>
        <v>AvanY-design ALprofil Hybrid na bok 270/ strieb.</v>
      </c>
      <c r="BF47" s="22">
        <f>VLOOKUP(BD47,CENY!$B$11:$G$1054,3,FALSE)</f>
        <v>200</v>
      </c>
      <c r="BG47" s="22"/>
      <c r="BH47" s="23">
        <f>4*(O19+O25)</f>
        <v>0</v>
      </c>
      <c r="BI47" s="326">
        <f t="shared" si="2"/>
        <v>0</v>
      </c>
      <c r="BJ47" s="95">
        <f>VLOOKUP(BD47,CENY!$B$11:$M$2025,12,FALSE)</f>
        <v>19.78839</v>
      </c>
      <c r="BK47" s="95">
        <f t="shared" si="3"/>
        <v>0</v>
      </c>
    </row>
    <row r="48" spans="47:63" ht="14.4" customHeight="1">
      <c r="AU48" s="319">
        <f>OBJ!B272</f>
        <v>9318219</v>
      </c>
      <c r="AV48" s="21" t="str">
        <f>VLOOKUP(AU48,CENY!$B$11:$G$1054,2,FALSE)</f>
        <v>Actro You(XL) 650/SiSy 70kg; EB21</v>
      </c>
      <c r="AW48" s="22">
        <f>VLOOKUP(AU48,CENY!$B$11:$G$1054,3,FALSE)</f>
        <v>1</v>
      </c>
      <c r="AX48" s="362">
        <v>10</v>
      </c>
      <c r="AY48" s="23">
        <f>AE20</f>
        <v>0</v>
      </c>
      <c r="AZ48" s="326">
        <f t="shared" si="1"/>
        <v>0</v>
      </c>
      <c r="BA48" s="95">
        <f>VLOOKUP(AU48,CENY!$B$11:$M$2025,12,FALSE)</f>
        <v>977.56314999999995</v>
      </c>
      <c r="BB48" s="95">
        <f t="shared" si="0"/>
        <v>0</v>
      </c>
      <c r="BD48" s="319">
        <f>OBJ!B72</f>
        <v>9347503</v>
      </c>
      <c r="BE48" s="21" t="str">
        <f>VLOOKUP(BD48,CENY!$B$11:$G$1054,2,FALSE)</f>
        <v>AvanY-design ALprofil Hybrid na bok 300/ strieb.</v>
      </c>
      <c r="BF48" s="22">
        <f>VLOOKUP(BD48,CENY!$B$11:$G$1054,3,FALSE)</f>
        <v>200</v>
      </c>
      <c r="BG48" s="22"/>
      <c r="BH48" s="23">
        <f>4*(Q19+Q25)</f>
        <v>0</v>
      </c>
      <c r="BI48" s="326">
        <f t="shared" si="2"/>
        <v>0</v>
      </c>
      <c r="BJ48" s="95">
        <f>VLOOKUP(BD48,CENY!$B$11:$M$2025,12,FALSE)</f>
        <v>20.006769999999999</v>
      </c>
      <c r="BK48" s="95">
        <f t="shared" si="3"/>
        <v>0</v>
      </c>
    </row>
    <row r="49" spans="47:63" ht="14.4" customHeight="1">
      <c r="AU49" s="319"/>
      <c r="AV49" s="21"/>
      <c r="AW49" s="22"/>
      <c r="AX49" s="22"/>
      <c r="AY49" s="23"/>
      <c r="AZ49" s="326" t="str">
        <f t="shared" si="1"/>
        <v/>
      </c>
      <c r="BA49" s="95"/>
      <c r="BB49" s="95" t="str">
        <f t="shared" si="0"/>
        <v/>
      </c>
      <c r="BD49" s="319">
        <f>OBJ!B73</f>
        <v>9347504</v>
      </c>
      <c r="BE49" s="21" t="str">
        <f>VLOOKUP(BD49,CENY!$B$11:$G$1054,2,FALSE)</f>
        <v>AvanY-design ALprofil Hybrid na bok 350/ strieb.</v>
      </c>
      <c r="BF49" s="22">
        <f>VLOOKUP(BD49,CENY!$B$11:$G$1054,3,FALSE)</f>
        <v>200</v>
      </c>
      <c r="BG49" s="22"/>
      <c r="BH49" s="23">
        <f>4*(S19+S25)</f>
        <v>0</v>
      </c>
      <c r="BI49" s="326">
        <f t="shared" si="2"/>
        <v>0</v>
      </c>
      <c r="BJ49" s="95">
        <f>VLOOKUP(BD49,CENY!$B$11:$M$2025,12,FALSE)</f>
        <v>20.37642</v>
      </c>
      <c r="BK49" s="95">
        <f t="shared" si="3"/>
        <v>0</v>
      </c>
    </row>
    <row r="50" spans="47:63" ht="14.4" customHeight="1">
      <c r="AU50" s="319">
        <f>OBJ!B304</f>
        <v>9256883</v>
      </c>
      <c r="AV50" s="21" t="str">
        <f>VLOOKUP(AU50,CENY!$B$11:$G$1054,2,FALSE)</f>
        <v>Quadro You(M) 270/SiSy 20kg; EB21</v>
      </c>
      <c r="AW50" s="22">
        <f>VLOOKUP(AU50,CENY!$B$11:$G$1054,3,FALSE)</f>
        <v>1</v>
      </c>
      <c r="AX50" s="362">
        <v>8</v>
      </c>
      <c r="AY50" s="23">
        <f>O25</f>
        <v>0</v>
      </c>
      <c r="AZ50" s="326">
        <f t="shared" si="1"/>
        <v>0</v>
      </c>
      <c r="BA50" s="95">
        <f>VLOOKUP(AU50,CENY!$B$11:$M$2025,12,FALSE)</f>
        <v>478.60127999999997</v>
      </c>
      <c r="BB50" s="95">
        <f t="shared" si="0"/>
        <v>0</v>
      </c>
      <c r="BD50" s="319">
        <f>OBJ!B74</f>
        <v>9347505</v>
      </c>
      <c r="BE50" s="21" t="str">
        <f>VLOOKUP(BD50,CENY!$B$11:$G$1054,2,FALSE)</f>
        <v>AvanY-design ALprofil Hybrid na bok 400/ strieb.</v>
      </c>
      <c r="BF50" s="22">
        <f>VLOOKUP(BD50,CENY!$B$11:$G$1054,3,FALSE)</f>
        <v>200</v>
      </c>
      <c r="BG50" s="22"/>
      <c r="BH50" s="23">
        <f>4*(U19+U25)</f>
        <v>0</v>
      </c>
      <c r="BI50" s="326">
        <f t="shared" si="2"/>
        <v>0</v>
      </c>
      <c r="BJ50" s="95">
        <f>VLOOKUP(BD50,CENY!$B$11:$M$2025,12,FALSE)</f>
        <v>20.742249999999999</v>
      </c>
      <c r="BK50" s="95">
        <f t="shared" si="3"/>
        <v>0</v>
      </c>
    </row>
    <row r="51" spans="47:63" ht="14.4" customHeight="1">
      <c r="AU51" s="319">
        <f>OBJ!B305</f>
        <v>9256884</v>
      </c>
      <c r="AV51" s="21" t="str">
        <f>VLOOKUP(AU51,CENY!$B$11:$G$1054,2,FALSE)</f>
        <v>Quadro You(M) 300/SiSy 20kg; EB21</v>
      </c>
      <c r="AW51" s="22">
        <f>VLOOKUP(AU51,CENY!$B$11:$G$1054,3,FALSE)</f>
        <v>1</v>
      </c>
      <c r="AX51" s="362">
        <v>8</v>
      </c>
      <c r="AY51" s="23">
        <f>Q25</f>
        <v>0</v>
      </c>
      <c r="AZ51" s="326">
        <f t="shared" si="1"/>
        <v>0</v>
      </c>
      <c r="BA51" s="95">
        <f>VLOOKUP(AU51,CENY!$B$11:$M$2025,12,FALSE)</f>
        <v>479.57344999999998</v>
      </c>
      <c r="BB51" s="95">
        <f t="shared" si="0"/>
        <v>0</v>
      </c>
      <c r="BD51" s="319">
        <f>OBJ!B75</f>
        <v>9347506</v>
      </c>
      <c r="BE51" s="21" t="str">
        <f>VLOOKUP(BD51,CENY!$B$11:$G$1054,2,FALSE)</f>
        <v>AvanY-design ALprofil Hybrid na bok 450/ strieb.</v>
      </c>
      <c r="BF51" s="22">
        <f>VLOOKUP(BD51,CENY!$B$11:$G$1054,3,FALSE)</f>
        <v>200</v>
      </c>
      <c r="BG51" s="22"/>
      <c r="BH51" s="23">
        <f>4*(W19+W20+W25)</f>
        <v>0</v>
      </c>
      <c r="BI51" s="326">
        <f t="shared" si="2"/>
        <v>0</v>
      </c>
      <c r="BJ51" s="95">
        <f>VLOOKUP(BD51,CENY!$B$11:$M$2025,12,FALSE)</f>
        <v>21.111910000000002</v>
      </c>
      <c r="BK51" s="95">
        <f t="shared" si="3"/>
        <v>0</v>
      </c>
    </row>
    <row r="52" spans="47:63" ht="14.4" customHeight="1">
      <c r="AU52" s="319">
        <f>OBJ!B306</f>
        <v>9256886</v>
      </c>
      <c r="AV52" s="21" t="str">
        <f>VLOOKUP(AU52,CENY!$B$11:$G$1054,2,FALSE)</f>
        <v>Quadro You(M) 350/SiSy 25kg; EB21</v>
      </c>
      <c r="AW52" s="22">
        <f>VLOOKUP(AU52,CENY!$B$11:$G$1054,3,FALSE)</f>
        <v>1</v>
      </c>
      <c r="AX52" s="362">
        <v>8</v>
      </c>
      <c r="AY52" s="23">
        <f>S25</f>
        <v>0</v>
      </c>
      <c r="AZ52" s="326">
        <f t="shared" si="1"/>
        <v>0</v>
      </c>
      <c r="BA52" s="95">
        <f>VLOOKUP(AU52,CENY!$B$11:$M$2025,12,FALSE)</f>
        <v>489.27857</v>
      </c>
      <c r="BB52" s="95">
        <f t="shared" si="0"/>
        <v>0</v>
      </c>
      <c r="BD52" s="319">
        <f>OBJ!B76</f>
        <v>9347507</v>
      </c>
      <c r="BE52" s="21" t="str">
        <f>VLOOKUP(BD52,CENY!$B$11:$G$1054,2,FALSE)</f>
        <v>AvanY-design ALprofil Hybrid na bok 500/ strieb.</v>
      </c>
      <c r="BF52" s="22">
        <f>VLOOKUP(BD52,CENY!$B$11:$G$1054,3,FALSE)</f>
        <v>200</v>
      </c>
      <c r="BG52" s="22"/>
      <c r="BH52" s="23">
        <f>4*(Y19+Y20+Y25)</f>
        <v>0</v>
      </c>
      <c r="BI52" s="326">
        <f t="shared" si="2"/>
        <v>0</v>
      </c>
      <c r="BJ52" s="95">
        <f>VLOOKUP(BD52,CENY!$B$11:$M$2025,12,FALSE)</f>
        <v>21.479700000000001</v>
      </c>
      <c r="BK52" s="95">
        <f t="shared" si="3"/>
        <v>0</v>
      </c>
    </row>
    <row r="53" spans="47:63" ht="14.4" customHeight="1">
      <c r="AU53" s="319">
        <f>OBJ!B307</f>
        <v>9256888</v>
      </c>
      <c r="AV53" s="21" t="str">
        <f>VLOOKUP(AU53,CENY!$B$11:$G$1054,2,FALSE)</f>
        <v>Quadro You(M) 400/SiSy 30kg; EB21</v>
      </c>
      <c r="AW53" s="22">
        <f>VLOOKUP(AU53,CENY!$B$11:$G$1054,3,FALSE)</f>
        <v>1</v>
      </c>
      <c r="AX53" s="362">
        <v>8</v>
      </c>
      <c r="AY53" s="23">
        <f>U25</f>
        <v>0</v>
      </c>
      <c r="AZ53" s="326">
        <f t="shared" si="1"/>
        <v>0</v>
      </c>
      <c r="BA53" s="95">
        <f>VLOOKUP(AU53,CENY!$B$11:$M$2025,12,FALSE)</f>
        <v>498.97861999999998</v>
      </c>
      <c r="BB53" s="95">
        <f t="shared" si="0"/>
        <v>0</v>
      </c>
      <c r="BD53" s="319">
        <f>OBJ!B77</f>
        <v>9347508</v>
      </c>
      <c r="BE53" s="21" t="str">
        <f>VLOOKUP(BD53,CENY!$B$11:$G$1054,2,FALSE)</f>
        <v>AvanY-design ALprofil Hybrid na bok 550/ strieb.</v>
      </c>
      <c r="BF53" s="22">
        <f>VLOOKUP(BD53,CENY!$B$11:$G$1054,3,FALSE)</f>
        <v>200</v>
      </c>
      <c r="BG53" s="22"/>
      <c r="BH53" s="23">
        <f>4*(AA19+AA20+AA25)</f>
        <v>0</v>
      </c>
      <c r="BI53" s="326">
        <f t="shared" si="2"/>
        <v>0</v>
      </c>
      <c r="BJ53" s="95">
        <f>VLOOKUP(BD53,CENY!$B$11:$M$2025,12,FALSE)</f>
        <v>21.84564</v>
      </c>
      <c r="BK53" s="95">
        <f t="shared" si="3"/>
        <v>0</v>
      </c>
    </row>
    <row r="54" spans="47:63" ht="14.4" customHeight="1">
      <c r="AU54" s="319">
        <f>OBJ!B308</f>
        <v>9256890</v>
      </c>
      <c r="AV54" s="21" t="str">
        <f>VLOOKUP(AU54,CENY!$B$11:$G$1054,2,FALSE)</f>
        <v>Quadro You(M) 450/SiSy 30kg; EB21</v>
      </c>
      <c r="AW54" s="22">
        <f>VLOOKUP(AU54,CENY!$B$11:$G$1054,3,FALSE)</f>
        <v>1</v>
      </c>
      <c r="AX54" s="362">
        <v>8</v>
      </c>
      <c r="AY54" s="23">
        <f>W25</f>
        <v>0</v>
      </c>
      <c r="AZ54" s="326">
        <f t="shared" si="1"/>
        <v>0</v>
      </c>
      <c r="BA54" s="95">
        <f>VLOOKUP(AU54,CENY!$B$11:$M$2025,12,FALSE)</f>
        <v>122.98869999999999</v>
      </c>
      <c r="BB54" s="95">
        <f t="shared" si="0"/>
        <v>0</v>
      </c>
      <c r="BD54" s="319">
        <f>OBJ!B78</f>
        <v>9347509</v>
      </c>
      <c r="BE54" s="21" t="str">
        <f>VLOOKUP(BD54,CENY!$B$11:$G$1054,2,FALSE)</f>
        <v>AvanY-design ALprofil Hybrid na bok 600/ strieb.</v>
      </c>
      <c r="BF54" s="22">
        <f>VLOOKUP(BD54,CENY!$B$11:$G$1054,3,FALSE)</f>
        <v>200</v>
      </c>
      <c r="BG54" s="22"/>
      <c r="BH54" s="23">
        <f>4*(AC19+AC20+AC25)</f>
        <v>0</v>
      </c>
      <c r="BI54" s="326">
        <f t="shared" si="2"/>
        <v>0</v>
      </c>
      <c r="BJ54" s="95">
        <f>VLOOKUP(BD54,CENY!$B$11:$M$2025,12,FALSE)</f>
        <v>22.79205</v>
      </c>
      <c r="BK54" s="95">
        <f t="shared" si="3"/>
        <v>0</v>
      </c>
    </row>
    <row r="55" spans="47:63" ht="14.4" customHeight="1">
      <c r="AU55" s="319">
        <f>OBJ!B309</f>
        <v>9256892</v>
      </c>
      <c r="AV55" s="21" t="str">
        <f>VLOOKUP(AU55,CENY!$B$11:$G$1054,2,FALSE)</f>
        <v>Quadro You(M) 500/SiSy 30kg; EB21</v>
      </c>
      <c r="AW55" s="22">
        <f>VLOOKUP(AU55,CENY!$B$11:$G$1054,3,FALSE)</f>
        <v>1</v>
      </c>
      <c r="AX55" s="362">
        <v>8</v>
      </c>
      <c r="AY55" s="23">
        <f>Y25</f>
        <v>0</v>
      </c>
      <c r="AZ55" s="326">
        <f t="shared" si="1"/>
        <v>0</v>
      </c>
      <c r="BA55" s="95">
        <f>VLOOKUP(AU55,CENY!$B$11:$M$2025,12,FALSE)</f>
        <v>504.59701000000001</v>
      </c>
      <c r="BB55" s="95">
        <f t="shared" si="0"/>
        <v>0</v>
      </c>
      <c r="BD55" s="319">
        <f>OBJ!B79</f>
        <v>9347510</v>
      </c>
      <c r="BE55" s="21" t="str">
        <f>VLOOKUP(BD55,CENY!$B$11:$G$1054,2,FALSE)</f>
        <v>AvanY-design ALprofil Hybrid na bok 650/ strieb.</v>
      </c>
      <c r="BF55" s="22">
        <f>VLOOKUP(BD55,CENY!$B$11:$G$1054,3,FALSE)</f>
        <v>200</v>
      </c>
      <c r="BG55" s="22"/>
      <c r="BH55" s="23">
        <f>4*AE20</f>
        <v>0</v>
      </c>
      <c r="BI55" s="326">
        <f t="shared" si="2"/>
        <v>0</v>
      </c>
      <c r="BJ55" s="95">
        <f>VLOOKUP(BD55,CENY!$B$11:$M$2025,12,FALSE)</f>
        <v>24.580449999999999</v>
      </c>
      <c r="BK55" s="95">
        <f t="shared" si="3"/>
        <v>0</v>
      </c>
    </row>
    <row r="56" spans="47:63" ht="14.4" customHeight="1">
      <c r="AU56" s="319">
        <f>OBJ!B310</f>
        <v>9256894</v>
      </c>
      <c r="AV56" s="21" t="str">
        <f>VLOOKUP(AU56,CENY!$B$11:$G$1054,2,FALSE)</f>
        <v>Quadro You(M) 550/SiSy 30kg; EB21</v>
      </c>
      <c r="AW56" s="22">
        <f>VLOOKUP(AU56,CENY!$B$11:$G$1054,3,FALSE)</f>
        <v>1</v>
      </c>
      <c r="AX56" s="362">
        <v>8</v>
      </c>
      <c r="AY56" s="23">
        <f>AA25</f>
        <v>0</v>
      </c>
      <c r="AZ56" s="326">
        <f t="shared" ref="AZ56:AZ103" si="8">IF(AY56="","",IF($AW$4=1,AY56,0))</f>
        <v>0</v>
      </c>
      <c r="BA56" s="95">
        <f>VLOOKUP(AU56,CENY!$B$11:$M$2025,12,FALSE)</f>
        <v>127.68105</v>
      </c>
      <c r="BB56" s="95">
        <f t="shared" si="0"/>
        <v>0</v>
      </c>
      <c r="BD56" s="319"/>
      <c r="BE56" s="21"/>
      <c r="BF56" s="22"/>
      <c r="BG56" s="22"/>
      <c r="BH56" s="23"/>
      <c r="BI56" s="326" t="str">
        <f t="shared" si="2"/>
        <v/>
      </c>
      <c r="BJ56" s="95"/>
      <c r="BK56" s="95" t="str">
        <f t="shared" si="3"/>
        <v/>
      </c>
    </row>
    <row r="57" spans="47:63" ht="14.4" customHeight="1">
      <c r="AU57" s="319">
        <f>OBJ!B311</f>
        <v>9256896</v>
      </c>
      <c r="AV57" s="21" t="str">
        <f>VLOOKUP(AU57,CENY!$B$11:$G$1054,2,FALSE)</f>
        <v>Quadro You(M) 600/SiSy 25kg; EB21</v>
      </c>
      <c r="AW57" s="22">
        <f>VLOOKUP(AU57,CENY!$B$11:$G$1054,3,FALSE)</f>
        <v>1</v>
      </c>
      <c r="AX57" s="362">
        <v>8</v>
      </c>
      <c r="AY57" s="23">
        <f>AC25</f>
        <v>0</v>
      </c>
      <c r="AZ57" s="326">
        <f t="shared" si="8"/>
        <v>0</v>
      </c>
      <c r="BA57" s="95">
        <f>VLOOKUP(AU57,CENY!$B$11:$M$2025,12,FALSE)</f>
        <v>537.79395</v>
      </c>
      <c r="BB57" s="95">
        <f t="shared" si="0"/>
        <v>0</v>
      </c>
      <c r="BD57" s="319">
        <f>OBJ!B251</f>
        <v>9318167</v>
      </c>
      <c r="BE57" s="21" t="str">
        <f>VLOOKUP(BD57,CENY!$B$11:$G$1054,2,FALSE)</f>
        <v>Actro You(L) 270/SiSy 40kg; EB21; ľavý</v>
      </c>
      <c r="BF57" s="22">
        <f>VLOOKUP(BD57,CENY!$B$11:$G$1054,3,FALSE)</f>
        <v>10</v>
      </c>
      <c r="BG57" s="22"/>
      <c r="BH57" s="23">
        <f>AY35</f>
        <v>0</v>
      </c>
      <c r="BI57" s="326">
        <f t="shared" si="2"/>
        <v>0</v>
      </c>
      <c r="BJ57" s="95">
        <f>VLOOKUP(BD57,CENY!$B$11:$M$2025,12,FALSE)</f>
        <v>298.88173999999998</v>
      </c>
      <c r="BK57" s="95">
        <f t="shared" si="3"/>
        <v>0</v>
      </c>
    </row>
    <row r="58" spans="47:63" ht="14.4" customHeight="1">
      <c r="AU58" s="319"/>
      <c r="AV58" s="21"/>
      <c r="AW58" s="22"/>
      <c r="AX58" s="22"/>
      <c r="AY58" s="23"/>
      <c r="AZ58" s="326" t="str">
        <f t="shared" si="8"/>
        <v/>
      </c>
      <c r="BA58" s="95"/>
      <c r="BB58" s="95" t="str">
        <f t="shared" si="0"/>
        <v/>
      </c>
      <c r="BD58" s="319">
        <f>OBJ!B252</f>
        <v>9318170</v>
      </c>
      <c r="BE58" s="21" t="str">
        <f>VLOOKUP(BD58,CENY!$B$11:$G$1054,2,FALSE)</f>
        <v>Actro You(L) 270/SiSy 40kg; EB21; pravý</v>
      </c>
      <c r="BF58" s="22">
        <f>VLOOKUP(BD58,CENY!$B$11:$G$1054,3,FALSE)</f>
        <v>10</v>
      </c>
      <c r="BG58" s="22"/>
      <c r="BH58" s="23">
        <f>AY35</f>
        <v>0</v>
      </c>
      <c r="BI58" s="326">
        <f t="shared" si="2"/>
        <v>0</v>
      </c>
      <c r="BJ58" s="95">
        <f>VLOOKUP(BD58,CENY!$B$11:$M$2025,12,FALSE)</f>
        <v>298.88173999999998</v>
      </c>
      <c r="BK58" s="95">
        <f t="shared" si="3"/>
        <v>0</v>
      </c>
    </row>
    <row r="59" spans="47:63" ht="14.4" customHeight="1">
      <c r="AU59" s="442">
        <f>OBJ!B69</f>
        <v>9255835</v>
      </c>
      <c r="AV59" s="443" t="str">
        <f>VLOOKUP(AU59,CENY!$B$11:$G$1054,2,FALSE)</f>
        <v>AvanY-príchytka čela k naskrutk./ v101</v>
      </c>
      <c r="AW59" s="22">
        <f>VLOOKUP(AU59,CENY!$B$11:$G$1054,3,FALSE)</f>
        <v>200</v>
      </c>
      <c r="AX59" s="22"/>
      <c r="AY59" s="68">
        <f>2*(SUM(O19:AD19)+SUM(W20:AF20)+SUM(O25:AD25))</f>
        <v>0</v>
      </c>
      <c r="AZ59" s="326">
        <f t="shared" si="8"/>
        <v>0</v>
      </c>
      <c r="BA59" s="95">
        <f>VLOOKUP(AU59,CENY!$B$11:$M$2025,12,FALSE)</f>
        <v>24.69378</v>
      </c>
      <c r="BB59" s="95">
        <f t="shared" ref="BB59:BB116" si="9">IF(BA59="","",BA59*AY59)</f>
        <v>0</v>
      </c>
      <c r="BD59" s="319">
        <f>OBJ!B253</f>
        <v>9318171</v>
      </c>
      <c r="BE59" s="21" t="str">
        <f>VLOOKUP(BD59,CENY!$B$11:$G$1054,2,FALSE)</f>
        <v>Actro You(L) 300/SiSy 40kg; EB21; ľavý</v>
      </c>
      <c r="BF59" s="22">
        <f>VLOOKUP(BD59,CENY!$B$11:$G$1054,3,FALSE)</f>
        <v>10</v>
      </c>
      <c r="BG59" s="22"/>
      <c r="BH59" s="23">
        <f>AY36</f>
        <v>0</v>
      </c>
      <c r="BI59" s="326">
        <f t="shared" si="2"/>
        <v>0</v>
      </c>
      <c r="BJ59" s="95">
        <f>VLOOKUP(BD59,CENY!$B$11:$M$2025,12,FALSE)</f>
        <v>298.88173999999998</v>
      </c>
      <c r="BK59" s="95">
        <f t="shared" si="3"/>
        <v>0</v>
      </c>
    </row>
    <row r="60" spans="47:63" ht="14.4" customHeight="1">
      <c r="AU60" s="442">
        <f>OBJ!B141</f>
        <v>9255838</v>
      </c>
      <c r="AV60" s="443" t="str">
        <f>VLOOKUP(AU60,CENY!$B$11:$G$1054,2,FALSE)</f>
        <v>AvanY-prích.čela k naskrutk./ v187-251</v>
      </c>
      <c r="AW60" s="22">
        <f>VLOOKUP(AU60,CENY!$B$11:$G$1054,3,FALSE)</f>
        <v>200</v>
      </c>
      <c r="AX60" s="22"/>
      <c r="AY60" s="68">
        <f>AY59</f>
        <v>0</v>
      </c>
      <c r="AZ60" s="326">
        <f>IF(AY60="","",IF($AW$4=1,AY60,0))</f>
        <v>0</v>
      </c>
      <c r="BA60" s="95">
        <f>VLOOKUP(AU60,CENY!$B$11:$M$2025,12,FALSE)</f>
        <v>49.383429999999997</v>
      </c>
      <c r="BB60" s="95">
        <f>IF(BA60="","",BA60*AY60)</f>
        <v>0</v>
      </c>
      <c r="BD60" s="319">
        <f>OBJ!B254</f>
        <v>9318172</v>
      </c>
      <c r="BE60" s="21" t="str">
        <f>VLOOKUP(BD60,CENY!$B$11:$G$1054,2,FALSE)</f>
        <v>Actro You(L) 300/SiSy 40kg; EB21; pravý</v>
      </c>
      <c r="BF60" s="22">
        <f>VLOOKUP(BD60,CENY!$B$11:$G$1054,3,FALSE)</f>
        <v>10</v>
      </c>
      <c r="BG60" s="22"/>
      <c r="BH60" s="23">
        <f>AY36</f>
        <v>0</v>
      </c>
      <c r="BI60" s="326">
        <f t="shared" si="2"/>
        <v>0</v>
      </c>
      <c r="BJ60" s="95">
        <f>VLOOKUP(BD60,CENY!$B$11:$M$2025,12,FALSE)</f>
        <v>298.88173999999998</v>
      </c>
      <c r="BK60" s="95">
        <f t="shared" si="3"/>
        <v>0</v>
      </c>
    </row>
    <row r="61" spans="47:63" ht="14.4" customHeight="1">
      <c r="AU61" s="319"/>
      <c r="AV61" s="21"/>
      <c r="AW61" s="22"/>
      <c r="AX61" s="22"/>
      <c r="AY61" s="23"/>
      <c r="AZ61" s="326" t="str">
        <f t="shared" si="8"/>
        <v/>
      </c>
      <c r="BA61" s="95"/>
      <c r="BB61" s="95" t="str">
        <f t="shared" si="9"/>
        <v/>
      </c>
      <c r="BD61" s="319">
        <f>OBJ!B255</f>
        <v>9318173</v>
      </c>
      <c r="BE61" s="21" t="str">
        <f>VLOOKUP(BD61,CENY!$B$11:$G$1054,2,FALSE)</f>
        <v>Actro You(L) 350/SiSy 40kg; EB21; ľavý</v>
      </c>
      <c r="BF61" s="22">
        <f>VLOOKUP(BD61,CENY!$B$11:$G$1054,3,FALSE)</f>
        <v>10</v>
      </c>
      <c r="BG61" s="22"/>
      <c r="BH61" s="23">
        <f>AY37</f>
        <v>0</v>
      </c>
      <c r="BI61" s="326">
        <f t="shared" si="2"/>
        <v>0</v>
      </c>
      <c r="BJ61" s="95">
        <f>VLOOKUP(BD61,CENY!$B$11:$M$2025,12,FALSE)</f>
        <v>298.88173999999998</v>
      </c>
      <c r="BK61" s="95">
        <f t="shared" si="3"/>
        <v>0</v>
      </c>
    </row>
    <row r="62" spans="47:63" ht="14.4" customHeight="1">
      <c r="AU62" s="320">
        <f>OBJ!B214</f>
        <v>0</v>
      </c>
      <c r="AV62" s="321" t="e">
        <f>VLOOKUP(AU62,CENY!$B$11:$G$1054,2,FALSE)</f>
        <v>#N/A</v>
      </c>
      <c r="AW62" s="22" t="e">
        <f>VLOOKUP(AU62,CENY!$B$11:$G$1054,3,FALSE)</f>
        <v>#N/A</v>
      </c>
      <c r="AX62" s="22"/>
      <c r="AY62" s="68">
        <f>IF(FORM!AM21&lt;&gt;FORM!AW16,(4*(SUM(O19:AD19)+SUM(W20:AF20)+SUM(O25:AD25))),0)</f>
        <v>0</v>
      </c>
      <c r="AZ62" s="326">
        <f t="shared" si="8"/>
        <v>0</v>
      </c>
      <c r="BA62" s="324" t="str">
        <f>IF(AU62=0,"",VLOOKUP(AU62,CENY!$B$11:$M$2025,12,FALSE))</f>
        <v/>
      </c>
      <c r="BB62" s="95" t="str">
        <f t="shared" si="9"/>
        <v/>
      </c>
      <c r="BD62" s="319">
        <f>OBJ!B256</f>
        <v>9318174</v>
      </c>
      <c r="BE62" s="21" t="str">
        <f>VLOOKUP(BD62,CENY!$B$11:$G$1054,2,FALSE)</f>
        <v>Actro You(L) 350/SiSy 40kg; EB21; pravý</v>
      </c>
      <c r="BF62" s="22">
        <f>VLOOKUP(BD62,CENY!$B$11:$G$1054,3,FALSE)</f>
        <v>10</v>
      </c>
      <c r="BG62" s="22"/>
      <c r="BH62" s="23">
        <f>AY37</f>
        <v>0</v>
      </c>
      <c r="BI62" s="326">
        <f t="shared" si="2"/>
        <v>0</v>
      </c>
      <c r="BJ62" s="95">
        <f>VLOOKUP(BD62,CENY!$B$11:$M$2025,12,FALSE)</f>
        <v>298.88173999999998</v>
      </c>
      <c r="BK62" s="95">
        <f t="shared" si="3"/>
        <v>0</v>
      </c>
    </row>
    <row r="63" spans="47:63" ht="14.4" customHeight="1">
      <c r="AU63" s="319"/>
      <c r="AV63" s="21"/>
      <c r="AW63" s="22"/>
      <c r="AX63" s="22"/>
      <c r="AY63" s="23"/>
      <c r="AZ63" s="326" t="str">
        <f t="shared" si="8"/>
        <v/>
      </c>
      <c r="BA63" s="95"/>
      <c r="BB63" s="95" t="str">
        <f t="shared" si="9"/>
        <v/>
      </c>
      <c r="BD63" s="319">
        <f>OBJ!B257</f>
        <v>9318175</v>
      </c>
      <c r="BE63" s="21" t="str">
        <f>VLOOKUP(BD63,CENY!$B$11:$G$1054,2,FALSE)</f>
        <v>Actro You(L) 400/SiSy 40kg; EB21; ľavý</v>
      </c>
      <c r="BF63" s="22">
        <f>VLOOKUP(BD63,CENY!$B$11:$G$1054,3,FALSE)</f>
        <v>10</v>
      </c>
      <c r="BG63" s="22"/>
      <c r="BH63" s="23">
        <f>AY38</f>
        <v>0</v>
      </c>
      <c r="BI63" s="326">
        <f t="shared" si="2"/>
        <v>0</v>
      </c>
      <c r="BJ63" s="95">
        <f>VLOOKUP(BD63,CENY!$B$11:$M$2025,12,FALSE)</f>
        <v>302.69770999999997</v>
      </c>
      <c r="BK63" s="95">
        <f t="shared" si="3"/>
        <v>0</v>
      </c>
    </row>
    <row r="64" spans="47:63" ht="14.4" customHeight="1">
      <c r="AU64" s="319"/>
      <c r="AV64" s="21"/>
      <c r="AW64" s="22"/>
      <c r="AX64" s="22"/>
      <c r="AY64" s="23"/>
      <c r="AZ64" s="326" t="str">
        <f t="shared" si="8"/>
        <v/>
      </c>
      <c r="BA64" s="95"/>
      <c r="BB64" s="95" t="str">
        <f t="shared" si="9"/>
        <v/>
      </c>
      <c r="BD64" s="319">
        <f>OBJ!B258</f>
        <v>9318176</v>
      </c>
      <c r="BE64" s="21" t="str">
        <f>VLOOKUP(BD64,CENY!$B$11:$G$1054,2,FALSE)</f>
        <v>Actro You(L) 400/SiSy 40kg; EB21; pravý</v>
      </c>
      <c r="BF64" s="22">
        <f>VLOOKUP(BD64,CENY!$B$11:$G$1054,3,FALSE)</f>
        <v>10</v>
      </c>
      <c r="BG64" s="22"/>
      <c r="BH64" s="23">
        <f>AY38</f>
        <v>0</v>
      </c>
      <c r="BI64" s="326">
        <f t="shared" si="2"/>
        <v>0</v>
      </c>
      <c r="BJ64" s="95">
        <f>VLOOKUP(BD64,CENY!$B$11:$M$2025,12,FALSE)</f>
        <v>302.69770999999997</v>
      </c>
      <c r="BK64" s="95">
        <f t="shared" si="3"/>
        <v>0</v>
      </c>
    </row>
    <row r="65" spans="47:63" ht="14.4" customHeight="1">
      <c r="AU65" s="319"/>
      <c r="AV65" s="21"/>
      <c r="AW65" s="22"/>
      <c r="AX65" s="22"/>
      <c r="AY65" s="23"/>
      <c r="AZ65" s="326" t="str">
        <f t="shared" si="8"/>
        <v/>
      </c>
      <c r="BA65" s="95"/>
      <c r="BB65" s="95" t="str">
        <f t="shared" si="9"/>
        <v/>
      </c>
      <c r="BD65" s="319">
        <f>OBJ!B259</f>
        <v>9318177</v>
      </c>
      <c r="BE65" s="21" t="str">
        <f>VLOOKUP(BD65,CENY!$B$11:$G$1054,2,FALSE)</f>
        <v>Actro You(L) 450/SiSy 40kg; EB21; ľavý</v>
      </c>
      <c r="BF65" s="22">
        <f>VLOOKUP(BD65,CENY!$B$11:$G$1054,3,FALSE)</f>
        <v>10</v>
      </c>
      <c r="BG65" s="22"/>
      <c r="BH65" s="23">
        <f>AY39</f>
        <v>0</v>
      </c>
      <c r="BI65" s="326">
        <f t="shared" si="2"/>
        <v>0</v>
      </c>
      <c r="BJ65" s="95">
        <f>VLOOKUP(BD65,CENY!$B$11:$M$2025,12,FALSE)</f>
        <v>298.33073999999999</v>
      </c>
      <c r="BK65" s="95">
        <f t="shared" si="3"/>
        <v>0</v>
      </c>
    </row>
    <row r="66" spans="47:63" ht="14.4" customHeight="1">
      <c r="AU66" s="319"/>
      <c r="AV66" s="21"/>
      <c r="AW66" s="22"/>
      <c r="AX66" s="22"/>
      <c r="AY66" s="23"/>
      <c r="AZ66" s="326" t="str">
        <f t="shared" si="8"/>
        <v/>
      </c>
      <c r="BA66" s="95"/>
      <c r="BB66" s="95" t="str">
        <f t="shared" si="9"/>
        <v/>
      </c>
      <c r="BD66" s="319">
        <f>OBJ!B260</f>
        <v>9318178</v>
      </c>
      <c r="BE66" s="21" t="str">
        <f>VLOOKUP(BD66,CENY!$B$11:$G$1054,2,FALSE)</f>
        <v>Actro You(L) 450/SiSy 40kg; EB21; pravý</v>
      </c>
      <c r="BF66" s="22">
        <f>VLOOKUP(BD66,CENY!$B$11:$G$1054,3,FALSE)</f>
        <v>10</v>
      </c>
      <c r="BG66" s="22"/>
      <c r="BH66" s="23">
        <f>AY39</f>
        <v>0</v>
      </c>
      <c r="BI66" s="326">
        <f t="shared" si="2"/>
        <v>0</v>
      </c>
      <c r="BJ66" s="95">
        <f>VLOOKUP(BD66,CENY!$B$11:$M$2025,12,FALSE)</f>
        <v>298.33073999999999</v>
      </c>
      <c r="BK66" s="95">
        <f t="shared" si="3"/>
        <v>0</v>
      </c>
    </row>
    <row r="67" spans="47:63" ht="14.4" customHeight="1">
      <c r="AU67" s="319"/>
      <c r="AV67" s="21"/>
      <c r="AW67" s="22"/>
      <c r="AX67" s="22"/>
      <c r="AY67" s="23"/>
      <c r="AZ67" s="326" t="str">
        <f t="shared" si="8"/>
        <v/>
      </c>
      <c r="BA67" s="95"/>
      <c r="BB67" s="95" t="str">
        <f t="shared" si="9"/>
        <v/>
      </c>
      <c r="BD67" s="319">
        <f>OBJ!B261</f>
        <v>9318179</v>
      </c>
      <c r="BE67" s="21" t="str">
        <f>VLOOKUP(BD67,CENY!$B$11:$G$1054,2,FALSE)</f>
        <v>Actro You(L) 500/SiSy 40kg; EB21; ľavý</v>
      </c>
      <c r="BF67" s="22">
        <f>VLOOKUP(BD67,CENY!$B$11:$G$1054,3,FALSE)</f>
        <v>10</v>
      </c>
      <c r="BG67" s="22"/>
      <c r="BH67" s="23">
        <f>AY40</f>
        <v>0</v>
      </c>
      <c r="BI67" s="326">
        <f t="shared" si="2"/>
        <v>0</v>
      </c>
      <c r="BJ67" s="95">
        <f>VLOOKUP(BD67,CENY!$B$11:$M$2025,12,FALSE)</f>
        <v>296.00905</v>
      </c>
      <c r="BK67" s="95">
        <f t="shared" si="3"/>
        <v>0</v>
      </c>
    </row>
    <row r="68" spans="47:63" ht="14.4" customHeight="1">
      <c r="AU68" s="319"/>
      <c r="AV68" s="21"/>
      <c r="AW68" s="22"/>
      <c r="AX68" s="22"/>
      <c r="AY68" s="23"/>
      <c r="AZ68" s="326" t="str">
        <f t="shared" si="8"/>
        <v/>
      </c>
      <c r="BA68" s="95"/>
      <c r="BB68" s="95" t="str">
        <f t="shared" si="9"/>
        <v/>
      </c>
      <c r="BD68" s="319">
        <f>OBJ!B262</f>
        <v>9318180</v>
      </c>
      <c r="BE68" s="21" t="str">
        <f>VLOOKUP(BD68,CENY!$B$11:$G$1054,2,FALSE)</f>
        <v>Actro You(L) 500/SiSy 40kg; EB21; pravý</v>
      </c>
      <c r="BF68" s="22">
        <f>VLOOKUP(BD68,CENY!$B$11:$G$1054,3,FALSE)</f>
        <v>10</v>
      </c>
      <c r="BG68" s="22"/>
      <c r="BH68" s="23">
        <f>AY40</f>
        <v>0</v>
      </c>
      <c r="BI68" s="326">
        <f t="shared" si="2"/>
        <v>0</v>
      </c>
      <c r="BJ68" s="95">
        <f>VLOOKUP(BD68,CENY!$B$11:$M$2025,12,FALSE)</f>
        <v>296.00905</v>
      </c>
      <c r="BK68" s="95">
        <f t="shared" si="3"/>
        <v>0</v>
      </c>
    </row>
    <row r="69" spans="47:63" ht="14.4" customHeight="1">
      <c r="AU69" s="319"/>
      <c r="AV69" s="21"/>
      <c r="AW69" s="22"/>
      <c r="AX69" s="22"/>
      <c r="AY69" s="23"/>
      <c r="AZ69" s="326" t="str">
        <f t="shared" si="8"/>
        <v/>
      </c>
      <c r="BA69" s="95"/>
      <c r="BB69" s="95" t="str">
        <f t="shared" si="9"/>
        <v/>
      </c>
      <c r="BD69" s="319">
        <f>OBJ!B263</f>
        <v>9318181</v>
      </c>
      <c r="BE69" s="21" t="str">
        <f>VLOOKUP(BD69,CENY!$B$11:$G$1054,2,FALSE)</f>
        <v>Actro You(L) 550/SiSy 40kg; EB21; ľavý</v>
      </c>
      <c r="BF69" s="22">
        <f>VLOOKUP(BD69,CENY!$B$11:$G$1054,3,FALSE)</f>
        <v>10</v>
      </c>
      <c r="BG69" s="22"/>
      <c r="BH69" s="23">
        <f>AY41</f>
        <v>0</v>
      </c>
      <c r="BI69" s="326">
        <f t="shared" si="2"/>
        <v>0</v>
      </c>
      <c r="BJ69" s="95">
        <f>VLOOKUP(BD69,CENY!$B$11:$M$2025,12,FALSE)</f>
        <v>321.83461999999997</v>
      </c>
      <c r="BK69" s="95">
        <f t="shared" si="3"/>
        <v>0</v>
      </c>
    </row>
    <row r="70" spans="47:63" ht="14.4" customHeight="1">
      <c r="AU70" s="20"/>
      <c r="AV70" s="21"/>
      <c r="AW70" s="22"/>
      <c r="AX70" s="22"/>
      <c r="AY70" s="23"/>
      <c r="AZ70" s="326" t="str">
        <f t="shared" si="8"/>
        <v/>
      </c>
      <c r="BA70" s="95"/>
      <c r="BB70" s="95" t="str">
        <f t="shared" si="9"/>
        <v/>
      </c>
      <c r="BD70" s="319">
        <f>OBJ!B264</f>
        <v>9318182</v>
      </c>
      <c r="BE70" s="21" t="str">
        <f>VLOOKUP(BD70,CENY!$B$11:$G$1054,2,FALSE)</f>
        <v>Actro You(L) 550/SiSy 40kg; EB21; pravý</v>
      </c>
      <c r="BF70" s="22">
        <f>VLOOKUP(BD70,CENY!$B$11:$G$1054,3,FALSE)</f>
        <v>10</v>
      </c>
      <c r="BG70" s="22"/>
      <c r="BH70" s="23">
        <f>AY41</f>
        <v>0</v>
      </c>
      <c r="BI70" s="326">
        <f t="shared" si="2"/>
        <v>0</v>
      </c>
      <c r="BJ70" s="95">
        <f>VLOOKUP(BD70,CENY!$B$11:$M$2025,12,FALSE)</f>
        <v>321.83461999999997</v>
      </c>
      <c r="BK70" s="95">
        <f t="shared" si="3"/>
        <v>0</v>
      </c>
    </row>
    <row r="71" spans="47:63" ht="14.4" customHeight="1">
      <c r="AU71" s="20"/>
      <c r="AV71" s="21"/>
      <c r="AW71" s="22"/>
      <c r="AX71" s="22"/>
      <c r="AY71" s="23"/>
      <c r="AZ71" s="326" t="str">
        <f t="shared" si="8"/>
        <v/>
      </c>
      <c r="BA71" s="95"/>
      <c r="BB71" s="95" t="str">
        <f t="shared" si="9"/>
        <v/>
      </c>
      <c r="BD71" s="319">
        <f>OBJ!B265</f>
        <v>9318183</v>
      </c>
      <c r="BE71" s="21" t="str">
        <f>VLOOKUP(BD71,CENY!$B$11:$G$1054,2,FALSE)</f>
        <v>Actro You(L) 600/SiSy 40kg; EB21; ľavý</v>
      </c>
      <c r="BF71" s="22">
        <f>VLOOKUP(BD71,CENY!$B$11:$G$1054,3,FALSE)</f>
        <v>10</v>
      </c>
      <c r="BG71" s="22"/>
      <c r="BH71" s="23">
        <f>AY42</f>
        <v>0</v>
      </c>
      <c r="BI71" s="326">
        <f t="shared" si="2"/>
        <v>0</v>
      </c>
      <c r="BJ71" s="95">
        <f>VLOOKUP(BD71,CENY!$B$11:$M$2025,12,FALSE)</f>
        <v>326.21229</v>
      </c>
      <c r="BK71" s="95">
        <f t="shared" si="3"/>
        <v>0</v>
      </c>
    </row>
    <row r="72" spans="47:63" ht="14.4" customHeight="1">
      <c r="AU72" s="20"/>
      <c r="AV72" s="21"/>
      <c r="AW72" s="22"/>
      <c r="AX72" s="22"/>
      <c r="AY72" s="23"/>
      <c r="AZ72" s="326" t="str">
        <f t="shared" si="8"/>
        <v/>
      </c>
      <c r="BA72" s="95"/>
      <c r="BB72" s="95" t="str">
        <f t="shared" si="9"/>
        <v/>
      </c>
      <c r="BD72" s="319">
        <f>OBJ!B266</f>
        <v>9318184</v>
      </c>
      <c r="BE72" s="21" t="str">
        <f>VLOOKUP(BD72,CENY!$B$11:$G$1054,2,FALSE)</f>
        <v>Actro You(L) 600/SiSy 40kg; EB21; pravý</v>
      </c>
      <c r="BF72" s="22">
        <f>VLOOKUP(BD72,CENY!$B$11:$G$1054,3,FALSE)</f>
        <v>10</v>
      </c>
      <c r="BG72" s="22"/>
      <c r="BH72" s="23">
        <f>AY42</f>
        <v>0</v>
      </c>
      <c r="BI72" s="326">
        <f t="shared" si="2"/>
        <v>0</v>
      </c>
      <c r="BJ72" s="95">
        <f>VLOOKUP(BD72,CENY!$B$11:$M$2025,12,FALSE)</f>
        <v>326.21229</v>
      </c>
      <c r="BK72" s="95">
        <f t="shared" si="3"/>
        <v>0</v>
      </c>
    </row>
    <row r="73" spans="47:63" ht="14.4" customHeight="1">
      <c r="AU73" s="20"/>
      <c r="AV73" s="21"/>
      <c r="AW73" s="22"/>
      <c r="AX73" s="22"/>
      <c r="AY73" s="23"/>
      <c r="AZ73" s="326" t="str">
        <f t="shared" si="8"/>
        <v/>
      </c>
      <c r="BA73" s="95"/>
      <c r="BB73" s="95" t="str">
        <f t="shared" si="9"/>
        <v/>
      </c>
      <c r="BD73" s="319"/>
      <c r="BE73" s="21"/>
      <c r="BF73" s="22"/>
      <c r="BG73" s="22"/>
      <c r="BH73" s="23"/>
      <c r="BI73" s="326" t="str">
        <f t="shared" si="2"/>
        <v/>
      </c>
      <c r="BJ73" s="95"/>
      <c r="BK73" s="95" t="str">
        <f t="shared" si="3"/>
        <v/>
      </c>
    </row>
    <row r="74" spans="47:63" ht="14.4" customHeight="1">
      <c r="AU74" s="20"/>
      <c r="AV74" s="21"/>
      <c r="AW74" s="22"/>
      <c r="AX74" s="22"/>
      <c r="AY74" s="23"/>
      <c r="AZ74" s="326" t="str">
        <f t="shared" si="8"/>
        <v/>
      </c>
      <c r="BA74" s="95"/>
      <c r="BB74" s="95" t="str">
        <f t="shared" si="9"/>
        <v/>
      </c>
      <c r="BD74" s="319">
        <f>OBJ!B273</f>
        <v>9318198</v>
      </c>
      <c r="BE74" s="21" t="str">
        <f>VLOOKUP(BD74,CENY!$B$11:$G$1054,2,FALSE)</f>
        <v>Actro You(XL) 450/SiSy 70kg; EB21; ľavý</v>
      </c>
      <c r="BF74" s="22">
        <f>VLOOKUP(BD74,CENY!$B$11:$G$1054,3,FALSE)</f>
        <v>10</v>
      </c>
      <c r="BG74" s="22"/>
      <c r="BH74" s="23">
        <f>AY44</f>
        <v>0</v>
      </c>
      <c r="BI74" s="326">
        <f t="shared" si="2"/>
        <v>0</v>
      </c>
      <c r="BJ74" s="95">
        <f>VLOOKUP(BD74,CENY!$B$11:$M$2025,12,FALSE)</f>
        <v>368.62277</v>
      </c>
      <c r="BK74" s="95">
        <f t="shared" si="3"/>
        <v>0</v>
      </c>
    </row>
    <row r="75" spans="47:63" ht="14.4" customHeight="1">
      <c r="AU75" s="20"/>
      <c r="AV75" s="21"/>
      <c r="AW75" s="22"/>
      <c r="AX75" s="22"/>
      <c r="AY75" s="23"/>
      <c r="AZ75" s="326" t="str">
        <f t="shared" si="8"/>
        <v/>
      </c>
      <c r="BA75" s="95"/>
      <c r="BB75" s="95" t="str">
        <f t="shared" si="9"/>
        <v/>
      </c>
      <c r="BD75" s="319">
        <f>OBJ!B274</f>
        <v>9318199</v>
      </c>
      <c r="BE75" s="21" t="str">
        <f>VLOOKUP(BD75,CENY!$B$11:$G$1054,2,FALSE)</f>
        <v>Actro You(XL) 450/SiSy 70kg; EB21; pravý</v>
      </c>
      <c r="BF75" s="22">
        <f>VLOOKUP(BD75,CENY!$B$11:$G$1054,3,FALSE)</f>
        <v>10</v>
      </c>
      <c r="BG75" s="22"/>
      <c r="BH75" s="23">
        <f>AY44</f>
        <v>0</v>
      </c>
      <c r="BI75" s="326">
        <f t="shared" si="2"/>
        <v>0</v>
      </c>
      <c r="BJ75" s="95">
        <f>VLOOKUP(BD75,CENY!$B$11:$M$2025,12,FALSE)</f>
        <v>368.62277</v>
      </c>
      <c r="BK75" s="95">
        <f t="shared" si="3"/>
        <v>0</v>
      </c>
    </row>
    <row r="76" spans="47:63" ht="14.4" customHeight="1">
      <c r="AU76" s="20"/>
      <c r="AV76" s="21"/>
      <c r="AW76" s="22"/>
      <c r="AX76" s="22"/>
      <c r="AY76" s="23"/>
      <c r="AZ76" s="326" t="str">
        <f t="shared" si="8"/>
        <v/>
      </c>
      <c r="BA76" s="95"/>
      <c r="BB76" s="95" t="str">
        <f t="shared" si="9"/>
        <v/>
      </c>
      <c r="BD76" s="319">
        <f>OBJ!B275</f>
        <v>9318201</v>
      </c>
      <c r="BE76" s="21" t="str">
        <f>VLOOKUP(BD76,CENY!$B$11:$G$1054,2,FALSE)</f>
        <v>Actro You(XL) 500/SiSy 70kg; EB21; ľavý</v>
      </c>
      <c r="BF76" s="22">
        <f>VLOOKUP(BD76,CENY!$B$11:$G$1054,3,FALSE)</f>
        <v>10</v>
      </c>
      <c r="BG76" s="22"/>
      <c r="BH76" s="23">
        <f>AY45</f>
        <v>0</v>
      </c>
      <c r="BI76" s="326">
        <f t="shared" si="2"/>
        <v>0</v>
      </c>
      <c r="BJ76" s="95">
        <f>VLOOKUP(BD76,CENY!$B$11:$M$2025,12,FALSE)</f>
        <v>372.33726999999999</v>
      </c>
      <c r="BK76" s="95">
        <f t="shared" si="3"/>
        <v>0</v>
      </c>
    </row>
    <row r="77" spans="47:63" ht="14.4" customHeight="1">
      <c r="AU77" s="20"/>
      <c r="AV77" s="21"/>
      <c r="AW77" s="22"/>
      <c r="AX77" s="22"/>
      <c r="AY77" s="23"/>
      <c r="AZ77" s="326" t="str">
        <f t="shared" si="8"/>
        <v/>
      </c>
      <c r="BA77" s="95"/>
      <c r="BB77" s="95" t="str">
        <f t="shared" si="9"/>
        <v/>
      </c>
      <c r="BD77" s="319">
        <f>OBJ!B276</f>
        <v>9318203</v>
      </c>
      <c r="BE77" s="21" t="str">
        <f>VLOOKUP(BD77,CENY!$B$11:$G$1054,2,FALSE)</f>
        <v>Actro You(XL) 500/SiSy 70kg; EB21; pravý</v>
      </c>
      <c r="BF77" s="22">
        <f>VLOOKUP(BD77,CENY!$B$11:$G$1054,3,FALSE)</f>
        <v>10</v>
      </c>
      <c r="BG77" s="22"/>
      <c r="BH77" s="23">
        <f>AY45</f>
        <v>0</v>
      </c>
      <c r="BI77" s="326">
        <f t="shared" si="2"/>
        <v>0</v>
      </c>
      <c r="BJ77" s="95">
        <f>VLOOKUP(BD77,CENY!$B$11:$M$2025,12,FALSE)</f>
        <v>372.33726999999999</v>
      </c>
      <c r="BK77" s="95">
        <f t="shared" si="3"/>
        <v>0</v>
      </c>
    </row>
    <row r="78" spans="47:63" ht="14.4" customHeight="1">
      <c r="AU78" s="20"/>
      <c r="AV78" s="21"/>
      <c r="AW78" s="22"/>
      <c r="AX78" s="22"/>
      <c r="AY78" s="23"/>
      <c r="AZ78" s="326" t="str">
        <f t="shared" si="8"/>
        <v/>
      </c>
      <c r="BA78" s="95"/>
      <c r="BB78" s="95" t="str">
        <f t="shared" si="9"/>
        <v/>
      </c>
      <c r="BD78" s="319">
        <f>OBJ!B277</f>
        <v>9318208</v>
      </c>
      <c r="BE78" s="21" t="str">
        <f>VLOOKUP(BD78,CENY!$B$11:$G$1054,2,FALSE)</f>
        <v>Actro You(XL) 550/SiSy 70kg; EB21; ľavý</v>
      </c>
      <c r="BF78" s="22">
        <f>VLOOKUP(BD78,CENY!$B$11:$G$1054,3,FALSE)</f>
        <v>10</v>
      </c>
      <c r="BG78" s="22"/>
      <c r="BH78" s="23">
        <f>AY46</f>
        <v>0</v>
      </c>
      <c r="BI78" s="326">
        <f t="shared" si="2"/>
        <v>0</v>
      </c>
      <c r="BJ78" s="95">
        <f>VLOOKUP(BD78,CENY!$B$11:$M$2025,12,FALSE)</f>
        <v>392.11943000000002</v>
      </c>
      <c r="BK78" s="95">
        <f t="shared" si="3"/>
        <v>0</v>
      </c>
    </row>
    <row r="79" spans="47:63" ht="14.4" customHeight="1">
      <c r="AU79" s="20"/>
      <c r="AV79" s="21"/>
      <c r="AW79" s="22"/>
      <c r="AX79" s="22"/>
      <c r="AY79" s="23"/>
      <c r="AZ79" s="326" t="str">
        <f t="shared" si="8"/>
        <v/>
      </c>
      <c r="BA79" s="95"/>
      <c r="BB79" s="95" t="str">
        <f t="shared" si="9"/>
        <v/>
      </c>
      <c r="BD79" s="319">
        <f>OBJ!B278</f>
        <v>9318209</v>
      </c>
      <c r="BE79" s="21" t="str">
        <f>VLOOKUP(BD79,CENY!$B$11:$G$1054,2,FALSE)</f>
        <v>Actro You(XL) 550/SiSy 70kg; EB21; pravý</v>
      </c>
      <c r="BF79" s="22">
        <f>VLOOKUP(BD79,CENY!$B$11:$G$1054,3,FALSE)</f>
        <v>10</v>
      </c>
      <c r="BG79" s="22"/>
      <c r="BH79" s="23">
        <f>AY46</f>
        <v>0</v>
      </c>
      <c r="BI79" s="326">
        <f t="shared" si="2"/>
        <v>0</v>
      </c>
      <c r="BJ79" s="95">
        <f>VLOOKUP(BD79,CENY!$B$11:$M$2025,12,FALSE)</f>
        <v>392.11943000000002</v>
      </c>
      <c r="BK79" s="95">
        <f t="shared" si="3"/>
        <v>0</v>
      </c>
    </row>
    <row r="80" spans="47:63" ht="14.4" customHeight="1">
      <c r="AU80" s="20"/>
      <c r="AV80" s="21"/>
      <c r="AW80" s="22"/>
      <c r="AX80" s="22"/>
      <c r="AY80" s="23"/>
      <c r="AZ80" s="326" t="str">
        <f t="shared" si="8"/>
        <v/>
      </c>
      <c r="BA80" s="95"/>
      <c r="BB80" s="95" t="str">
        <f t="shared" si="9"/>
        <v/>
      </c>
      <c r="BD80" s="319">
        <f>OBJ!B279</f>
        <v>9318211</v>
      </c>
      <c r="BE80" s="21" t="str">
        <f>VLOOKUP(BD80,CENY!$B$11:$G$1054,2,FALSE)</f>
        <v>Actro You(XL) 600/SiSy 70kg; EB21; ľavý</v>
      </c>
      <c r="BF80" s="22">
        <f>VLOOKUP(BD80,CENY!$B$11:$G$1054,3,FALSE)</f>
        <v>10</v>
      </c>
      <c r="BG80" s="22"/>
      <c r="BH80" s="23">
        <f>AY47</f>
        <v>0</v>
      </c>
      <c r="BI80" s="326">
        <f t="shared" si="2"/>
        <v>0</v>
      </c>
      <c r="BJ80" s="95">
        <f>VLOOKUP(BD80,CENY!$B$11:$M$2025,12,FALSE)</f>
        <v>443.89010999999999</v>
      </c>
      <c r="BK80" s="95">
        <f t="shared" si="3"/>
        <v>0</v>
      </c>
    </row>
    <row r="81" spans="47:63" ht="14.4" customHeight="1">
      <c r="AU81" s="20"/>
      <c r="AV81" s="21"/>
      <c r="AW81" s="22"/>
      <c r="AX81" s="22"/>
      <c r="AY81" s="23"/>
      <c r="AZ81" s="326" t="str">
        <f t="shared" si="8"/>
        <v/>
      </c>
      <c r="BA81" s="95"/>
      <c r="BB81" s="95" t="str">
        <f t="shared" si="9"/>
        <v/>
      </c>
      <c r="BD81" s="319">
        <f>OBJ!B280</f>
        <v>9318212</v>
      </c>
      <c r="BE81" s="21" t="str">
        <f>VLOOKUP(BD81,CENY!$B$11:$G$1054,2,FALSE)</f>
        <v>Actro You(XL) 600/SiSy 70kg; EB21; pravý</v>
      </c>
      <c r="BF81" s="22">
        <f>VLOOKUP(BD81,CENY!$B$11:$G$1054,3,FALSE)</f>
        <v>10</v>
      </c>
      <c r="BG81" s="22"/>
      <c r="BH81" s="23">
        <f>AY47</f>
        <v>0</v>
      </c>
      <c r="BI81" s="326">
        <f t="shared" si="2"/>
        <v>0</v>
      </c>
      <c r="BJ81" s="95">
        <f>VLOOKUP(BD81,CENY!$B$11:$M$2025,12,FALSE)</f>
        <v>443.89010999999999</v>
      </c>
      <c r="BK81" s="95">
        <f t="shared" si="3"/>
        <v>0</v>
      </c>
    </row>
    <row r="82" spans="47:63" ht="14.4" customHeight="1">
      <c r="AU82" s="20"/>
      <c r="AV82" s="21"/>
      <c r="AW82" s="22"/>
      <c r="AX82" s="22"/>
      <c r="AY82" s="23"/>
      <c r="AZ82" s="326" t="str">
        <f t="shared" si="8"/>
        <v/>
      </c>
      <c r="BA82" s="95"/>
      <c r="BB82" s="95" t="str">
        <f t="shared" si="9"/>
        <v/>
      </c>
      <c r="BD82" s="319">
        <f>OBJ!B281</f>
        <v>9318213</v>
      </c>
      <c r="BE82" s="21" t="str">
        <f>VLOOKUP(BD82,CENY!$B$11:$G$1054,2,FALSE)</f>
        <v>Actro You(XL) 650/SiSy 70kg; EB21; ľavý</v>
      </c>
      <c r="BF82" s="22">
        <f>VLOOKUP(BD82,CENY!$B$11:$G$1054,3,FALSE)</f>
        <v>5</v>
      </c>
      <c r="BG82" s="22"/>
      <c r="BH82" s="23">
        <f>AY48</f>
        <v>0</v>
      </c>
      <c r="BI82" s="326">
        <f t="shared" si="2"/>
        <v>0</v>
      </c>
      <c r="BJ82" s="95">
        <f>VLOOKUP(BD82,CENY!$B$11:$M$2025,12,FALSE)</f>
        <v>462.41142000000002</v>
      </c>
      <c r="BK82" s="95">
        <f t="shared" si="3"/>
        <v>0</v>
      </c>
    </row>
    <row r="83" spans="47:63" ht="14.4" customHeight="1">
      <c r="AU83" s="20"/>
      <c r="AV83" s="21"/>
      <c r="AW83" s="22"/>
      <c r="AX83" s="22"/>
      <c r="AY83" s="23"/>
      <c r="AZ83" s="326" t="str">
        <f t="shared" si="8"/>
        <v/>
      </c>
      <c r="BA83" s="95"/>
      <c r="BB83" s="95" t="str">
        <f t="shared" si="9"/>
        <v/>
      </c>
      <c r="BD83" s="319">
        <f>OBJ!B282</f>
        <v>9318214</v>
      </c>
      <c r="BE83" s="21" t="str">
        <f>VLOOKUP(BD83,CENY!$B$11:$G$1054,2,FALSE)</f>
        <v>Actro You(XL) 650/SiSy 70kg; EB21; pravý</v>
      </c>
      <c r="BF83" s="22">
        <f>VLOOKUP(BD83,CENY!$B$11:$G$1054,3,FALSE)</f>
        <v>5</v>
      </c>
      <c r="BG83" s="22"/>
      <c r="BH83" s="23">
        <f>AY48</f>
        <v>0</v>
      </c>
      <c r="BI83" s="326">
        <f t="shared" ref="BI83:BI115" si="10">IF(BH83="","",IF($AW$4=0,BH83,0))</f>
        <v>0</v>
      </c>
      <c r="BJ83" s="95">
        <f>VLOOKUP(BD83,CENY!$B$11:$M$2025,12,FALSE)</f>
        <v>462.41142000000002</v>
      </c>
      <c r="BK83" s="95">
        <f t="shared" ref="BK83:BK115" si="11">IF(BJ83="","",BJ83*BH83)</f>
        <v>0</v>
      </c>
    </row>
    <row r="84" spans="47:63" ht="14.4" customHeight="1">
      <c r="AU84" s="20"/>
      <c r="AV84" s="21"/>
      <c r="AW84" s="22"/>
      <c r="AX84" s="22"/>
      <c r="AY84" s="23"/>
      <c r="AZ84" s="326" t="str">
        <f t="shared" si="8"/>
        <v/>
      </c>
      <c r="BA84" s="95"/>
      <c r="BB84" s="95" t="str">
        <f t="shared" si="9"/>
        <v/>
      </c>
      <c r="BD84" s="319"/>
      <c r="BE84" s="21"/>
      <c r="BF84" s="22"/>
      <c r="BG84" s="22"/>
      <c r="BH84" s="23"/>
      <c r="BI84" s="326" t="str">
        <f t="shared" si="10"/>
        <v/>
      </c>
      <c r="BJ84" s="95"/>
      <c r="BK84" s="95" t="str">
        <f t="shared" si="11"/>
        <v/>
      </c>
    </row>
    <row r="85" spans="47:63" ht="14.4" customHeight="1">
      <c r="AU85" s="20"/>
      <c r="AV85" s="21"/>
      <c r="AW85" s="22"/>
      <c r="AX85" s="22"/>
      <c r="AY85" s="23"/>
      <c r="AZ85" s="326" t="str">
        <f t="shared" si="8"/>
        <v/>
      </c>
      <c r="BA85" s="95"/>
      <c r="BB85" s="95" t="str">
        <f t="shared" si="9"/>
        <v/>
      </c>
      <c r="BD85" s="319">
        <f>OBJ!B312</f>
        <v>9256854</v>
      </c>
      <c r="BE85" s="21" t="str">
        <f>VLOOKUP(BD85,CENY!$B$11:$G$1054,2,FALSE)</f>
        <v>Quadro You(M) 270/SiSy 20kg; EB21; ľavý</v>
      </c>
      <c r="BF85" s="22">
        <f>VLOOKUP(BD85,CENY!$B$11:$G$1054,3,FALSE)</f>
        <v>20</v>
      </c>
      <c r="BG85" s="22"/>
      <c r="BH85" s="23">
        <f>AY50</f>
        <v>0</v>
      </c>
      <c r="BI85" s="326">
        <f t="shared" si="10"/>
        <v>0</v>
      </c>
      <c r="BJ85" s="95">
        <f>VLOOKUP(BD85,CENY!$B$11:$M$2025,12,FALSE)</f>
        <v>223.77942999999999</v>
      </c>
      <c r="BK85" s="95">
        <f t="shared" si="11"/>
        <v>0</v>
      </c>
    </row>
    <row r="86" spans="47:63" ht="14.4" customHeight="1">
      <c r="AU86" s="20"/>
      <c r="AV86" s="21"/>
      <c r="AW86" s="22"/>
      <c r="AX86" s="22"/>
      <c r="AY86" s="23"/>
      <c r="AZ86" s="326" t="str">
        <f t="shared" si="8"/>
        <v/>
      </c>
      <c r="BA86" s="95"/>
      <c r="BB86" s="95" t="str">
        <f t="shared" si="9"/>
        <v/>
      </c>
      <c r="BD86" s="319">
        <f>OBJ!B313</f>
        <v>9256855</v>
      </c>
      <c r="BE86" s="21" t="str">
        <f>VLOOKUP(BD86,CENY!$B$11:$G$1054,2,FALSE)</f>
        <v>Quadro You(M) 270/SiSy 20kg; EB21; pravý</v>
      </c>
      <c r="BF86" s="22">
        <f>VLOOKUP(BD86,CENY!$B$11:$G$1054,3,FALSE)</f>
        <v>20</v>
      </c>
      <c r="BG86" s="22"/>
      <c r="BH86" s="23">
        <f>AY50</f>
        <v>0</v>
      </c>
      <c r="BI86" s="326">
        <f t="shared" si="10"/>
        <v>0</v>
      </c>
      <c r="BJ86" s="95">
        <f>VLOOKUP(BD86,CENY!$B$11:$M$2025,12,FALSE)</f>
        <v>223.77942999999999</v>
      </c>
      <c r="BK86" s="95">
        <f t="shared" si="11"/>
        <v>0</v>
      </c>
    </row>
    <row r="87" spans="47:63" ht="14.4" customHeight="1">
      <c r="AU87" s="20"/>
      <c r="AV87" s="21"/>
      <c r="AW87" s="22"/>
      <c r="AX87" s="22"/>
      <c r="AY87" s="23"/>
      <c r="AZ87" s="326" t="str">
        <f t="shared" si="8"/>
        <v/>
      </c>
      <c r="BA87" s="95"/>
      <c r="BB87" s="95" t="str">
        <f t="shared" si="9"/>
        <v/>
      </c>
      <c r="BD87" s="319">
        <f>OBJ!B314</f>
        <v>9256856</v>
      </c>
      <c r="BE87" s="21" t="str">
        <f>VLOOKUP(BD87,CENY!$B$11:$G$1054,2,FALSE)</f>
        <v>Quadro You(M) 300/SiSy 20kg; EB21; ľavý</v>
      </c>
      <c r="BF87" s="22">
        <f>VLOOKUP(BD87,CENY!$B$11:$G$1054,3,FALSE)</f>
        <v>20</v>
      </c>
      <c r="BG87" s="22"/>
      <c r="BH87" s="23">
        <f>AY51</f>
        <v>0</v>
      </c>
      <c r="BI87" s="326">
        <f t="shared" si="10"/>
        <v>0</v>
      </c>
      <c r="BJ87" s="95">
        <f>VLOOKUP(BD87,CENY!$B$11:$M$2025,12,FALSE)</f>
        <v>224.26065</v>
      </c>
      <c r="BK87" s="95">
        <f t="shared" si="11"/>
        <v>0</v>
      </c>
    </row>
    <row r="88" spans="47:63" ht="14.4" customHeight="1">
      <c r="AU88" s="20"/>
      <c r="AV88" s="21"/>
      <c r="AW88" s="22"/>
      <c r="AX88" s="22"/>
      <c r="AY88" s="23"/>
      <c r="AZ88" s="326" t="str">
        <f t="shared" si="8"/>
        <v/>
      </c>
      <c r="BA88" s="95"/>
      <c r="BB88" s="95" t="str">
        <f t="shared" si="9"/>
        <v/>
      </c>
      <c r="BD88" s="319">
        <f>OBJ!B315</f>
        <v>9256857</v>
      </c>
      <c r="BE88" s="21" t="str">
        <f>VLOOKUP(BD88,CENY!$B$11:$G$1054,2,FALSE)</f>
        <v>Quadro You(M) 300/SiSy 20kg; EB21; pravý</v>
      </c>
      <c r="BF88" s="22">
        <f>VLOOKUP(BD88,CENY!$B$11:$G$1054,3,FALSE)</f>
        <v>20</v>
      </c>
      <c r="BG88" s="22"/>
      <c r="BH88" s="23">
        <f>AY51</f>
        <v>0</v>
      </c>
      <c r="BI88" s="326">
        <f t="shared" si="10"/>
        <v>0</v>
      </c>
      <c r="BJ88" s="95">
        <f>VLOOKUP(BD88,CENY!$B$11:$M$2025,12,FALSE)</f>
        <v>224.26065</v>
      </c>
      <c r="BK88" s="95">
        <f t="shared" si="11"/>
        <v>0</v>
      </c>
    </row>
    <row r="89" spans="47:63" ht="14.4" customHeight="1">
      <c r="AU89" s="20"/>
      <c r="AV89" s="21"/>
      <c r="AW89" s="22"/>
      <c r="AX89" s="22"/>
      <c r="AY89" s="23"/>
      <c r="AZ89" s="326" t="str">
        <f t="shared" si="8"/>
        <v/>
      </c>
      <c r="BA89" s="95"/>
      <c r="BB89" s="95" t="str">
        <f t="shared" si="9"/>
        <v/>
      </c>
      <c r="BD89" s="319">
        <f>OBJ!B316</f>
        <v>9256860</v>
      </c>
      <c r="BE89" s="21" t="str">
        <f>VLOOKUP(BD89,CENY!$B$11:$G$1054,2,FALSE)</f>
        <v>Quadro You(M) 350/SiSy 25kg; EB21; ľavý</v>
      </c>
      <c r="BF89" s="22">
        <f>VLOOKUP(BD89,CENY!$B$11:$G$1054,3,FALSE)</f>
        <v>20</v>
      </c>
      <c r="BG89" s="22"/>
      <c r="BH89" s="23">
        <f>AY52</f>
        <v>0</v>
      </c>
      <c r="BI89" s="326">
        <f t="shared" si="10"/>
        <v>0</v>
      </c>
      <c r="BJ89" s="95">
        <f>VLOOKUP(BD89,CENY!$B$11:$M$2025,12,FALSE)</f>
        <v>229.11434</v>
      </c>
      <c r="BK89" s="95">
        <f t="shared" si="11"/>
        <v>0</v>
      </c>
    </row>
    <row r="90" spans="47:63" ht="14.4" customHeight="1">
      <c r="AU90" s="20"/>
      <c r="AV90" s="21"/>
      <c r="AW90" s="22"/>
      <c r="AX90" s="22"/>
      <c r="AY90" s="23"/>
      <c r="AZ90" s="326" t="str">
        <f t="shared" si="8"/>
        <v/>
      </c>
      <c r="BA90" s="95"/>
      <c r="BB90" s="95" t="str">
        <f t="shared" si="9"/>
        <v/>
      </c>
      <c r="BD90" s="319">
        <f>OBJ!B317</f>
        <v>9256861</v>
      </c>
      <c r="BE90" s="21" t="str">
        <f>VLOOKUP(BD90,CENY!$B$11:$G$1054,2,FALSE)</f>
        <v>Quadro You(M) 350/SiSy 25kg; EB21; pravý</v>
      </c>
      <c r="BF90" s="22">
        <f>VLOOKUP(BD90,CENY!$B$11:$G$1054,3,FALSE)</f>
        <v>20</v>
      </c>
      <c r="BG90" s="22"/>
      <c r="BH90" s="23">
        <f>AY52</f>
        <v>0</v>
      </c>
      <c r="BI90" s="326">
        <f t="shared" si="10"/>
        <v>0</v>
      </c>
      <c r="BJ90" s="95">
        <f>VLOOKUP(BD90,CENY!$B$11:$M$2025,12,FALSE)</f>
        <v>229.11434</v>
      </c>
      <c r="BK90" s="95">
        <f t="shared" si="11"/>
        <v>0</v>
      </c>
    </row>
    <row r="91" spans="47:63" ht="14.4" customHeight="1">
      <c r="AU91" s="20"/>
      <c r="AV91" s="21"/>
      <c r="AW91" s="22"/>
      <c r="AX91" s="22"/>
      <c r="AY91" s="23"/>
      <c r="AZ91" s="326" t="str">
        <f t="shared" si="8"/>
        <v/>
      </c>
      <c r="BA91" s="95"/>
      <c r="BB91" s="95" t="str">
        <f t="shared" si="9"/>
        <v/>
      </c>
      <c r="BD91" s="319">
        <f>OBJ!B318</f>
        <v>9256864</v>
      </c>
      <c r="BE91" s="21" t="str">
        <f>VLOOKUP(BD91,CENY!$B$11:$G$1054,2,FALSE)</f>
        <v>Quadro You(M) 400/SiSy 30kg; EB21; ľavý</v>
      </c>
      <c r="BF91" s="22">
        <f>VLOOKUP(BD91,CENY!$B$11:$G$1054,3,FALSE)</f>
        <v>20</v>
      </c>
      <c r="BG91" s="22"/>
      <c r="BH91" s="23">
        <f>AY53</f>
        <v>0</v>
      </c>
      <c r="BI91" s="326">
        <f t="shared" si="10"/>
        <v>0</v>
      </c>
      <c r="BJ91" s="95">
        <f>VLOOKUP(BD91,CENY!$B$11:$M$2025,12,FALSE)</f>
        <v>233.96566000000001</v>
      </c>
      <c r="BK91" s="95">
        <f t="shared" si="11"/>
        <v>0</v>
      </c>
    </row>
    <row r="92" spans="47:63" ht="14.4" customHeight="1">
      <c r="AU92" s="20"/>
      <c r="AV92" s="21"/>
      <c r="AW92" s="22"/>
      <c r="AX92" s="22"/>
      <c r="AY92" s="23"/>
      <c r="AZ92" s="326" t="str">
        <f t="shared" si="8"/>
        <v/>
      </c>
      <c r="BA92" s="95"/>
      <c r="BB92" s="95" t="str">
        <f t="shared" si="9"/>
        <v/>
      </c>
      <c r="BD92" s="319">
        <f>OBJ!B319</f>
        <v>9256865</v>
      </c>
      <c r="BE92" s="21" t="str">
        <f>VLOOKUP(BD92,CENY!$B$11:$G$1054,2,FALSE)</f>
        <v>Quadro You(M) 400/SiSy 30kg; EB21; pravý</v>
      </c>
      <c r="BF92" s="22">
        <f>VLOOKUP(BD92,CENY!$B$11:$G$1054,3,FALSE)</f>
        <v>20</v>
      </c>
      <c r="BG92" s="22"/>
      <c r="BH92" s="23">
        <f>AY53</f>
        <v>0</v>
      </c>
      <c r="BI92" s="326">
        <f t="shared" si="10"/>
        <v>0</v>
      </c>
      <c r="BJ92" s="95">
        <f>VLOOKUP(BD92,CENY!$B$11:$M$2025,12,FALSE)</f>
        <v>233.96566000000001</v>
      </c>
      <c r="BK92" s="95">
        <f t="shared" si="11"/>
        <v>0</v>
      </c>
    </row>
    <row r="93" spans="47:63" ht="14.4" customHeight="1">
      <c r="AU93" s="20"/>
      <c r="AV93" s="21"/>
      <c r="AW93" s="22"/>
      <c r="AX93" s="22"/>
      <c r="AY93" s="23"/>
      <c r="AZ93" s="326" t="str">
        <f t="shared" si="8"/>
        <v/>
      </c>
      <c r="BA93" s="95"/>
      <c r="BB93" s="95" t="str">
        <f t="shared" si="9"/>
        <v/>
      </c>
      <c r="BD93" s="319">
        <f>OBJ!B320</f>
        <v>9256868</v>
      </c>
      <c r="BE93" s="21" t="str">
        <f>VLOOKUP(BD93,CENY!$B$11:$G$1054,2,FALSE)</f>
        <v>Quadro You(M) 450/SiSy 30kg; EB21; ľavý</v>
      </c>
      <c r="BF93" s="22">
        <f>VLOOKUP(BD93,CENY!$B$11:$G$1054,3,FALSE)</f>
        <v>20</v>
      </c>
      <c r="BG93" s="22"/>
      <c r="BH93" s="23">
        <f>AY54</f>
        <v>0</v>
      </c>
      <c r="BI93" s="326">
        <f t="shared" si="10"/>
        <v>0</v>
      </c>
      <c r="BJ93" s="95">
        <f>VLOOKUP(BD93,CENY!$B$11:$M$2025,12,FALSE)</f>
        <v>238.81201999999999</v>
      </c>
      <c r="BK93" s="95">
        <f t="shared" si="11"/>
        <v>0</v>
      </c>
    </row>
    <row r="94" spans="47:63" ht="14.4" customHeight="1">
      <c r="AU94" s="20"/>
      <c r="AV94" s="21"/>
      <c r="AW94" s="22"/>
      <c r="AX94" s="22"/>
      <c r="AY94" s="23"/>
      <c r="AZ94" s="326" t="str">
        <f t="shared" si="8"/>
        <v/>
      </c>
      <c r="BA94" s="95"/>
      <c r="BB94" s="95" t="str">
        <f t="shared" si="9"/>
        <v/>
      </c>
      <c r="BD94" s="319">
        <f>OBJ!B321</f>
        <v>9256869</v>
      </c>
      <c r="BE94" s="21" t="str">
        <f>VLOOKUP(BD94,CENY!$B$11:$G$1054,2,FALSE)</f>
        <v>Quadro You(M) 450/SiSy 30kg; EB21; pravý</v>
      </c>
      <c r="BF94" s="22">
        <f>VLOOKUP(BD94,CENY!$B$11:$G$1054,3,FALSE)</f>
        <v>20</v>
      </c>
      <c r="BG94" s="22"/>
      <c r="BH94" s="23">
        <f>AY54</f>
        <v>0</v>
      </c>
      <c r="BI94" s="326">
        <f t="shared" si="10"/>
        <v>0</v>
      </c>
      <c r="BJ94" s="95">
        <f>VLOOKUP(BD94,CENY!$B$11:$M$2025,12,FALSE)</f>
        <v>238.81201999999999</v>
      </c>
      <c r="BK94" s="95">
        <f t="shared" si="11"/>
        <v>0</v>
      </c>
    </row>
    <row r="95" spans="47:63" ht="14.4" customHeight="1">
      <c r="AU95" s="20"/>
      <c r="AV95" s="21"/>
      <c r="AW95" s="22"/>
      <c r="AX95" s="22"/>
      <c r="AY95" s="23"/>
      <c r="AZ95" s="326" t="str">
        <f t="shared" si="8"/>
        <v/>
      </c>
      <c r="BA95" s="95"/>
      <c r="BB95" s="95" t="str">
        <f t="shared" si="9"/>
        <v/>
      </c>
      <c r="BD95" s="319">
        <f>OBJ!B322</f>
        <v>9256872</v>
      </c>
      <c r="BE95" s="21" t="str">
        <f>VLOOKUP(BD95,CENY!$B$11:$G$1054,2,FALSE)</f>
        <v>Quadro You(M) 500/SiSy 30kg; EB21; ľavý</v>
      </c>
      <c r="BF95" s="22">
        <f>VLOOKUP(BD95,CENY!$B$11:$G$1054,3,FALSE)</f>
        <v>20</v>
      </c>
      <c r="BG95" s="22"/>
      <c r="BH95" s="23">
        <f>AY55</f>
        <v>0</v>
      </c>
      <c r="BI95" s="326">
        <f t="shared" si="10"/>
        <v>0</v>
      </c>
      <c r="BJ95" s="95">
        <f>VLOOKUP(BD95,CENY!$B$11:$M$2025,12,FALSE)</f>
        <v>237.18776</v>
      </c>
      <c r="BK95" s="95">
        <f t="shared" si="11"/>
        <v>0</v>
      </c>
    </row>
    <row r="96" spans="47:63" ht="14.4" customHeight="1">
      <c r="AU96" s="20"/>
      <c r="AV96" s="21"/>
      <c r="AW96" s="22"/>
      <c r="AX96" s="22"/>
      <c r="AY96" s="23"/>
      <c r="AZ96" s="326" t="str">
        <f t="shared" si="8"/>
        <v/>
      </c>
      <c r="BA96" s="95"/>
      <c r="BB96" s="95" t="str">
        <f t="shared" si="9"/>
        <v/>
      </c>
      <c r="BD96" s="319">
        <f>OBJ!B323</f>
        <v>9256873</v>
      </c>
      <c r="BE96" s="21" t="str">
        <f>VLOOKUP(BD96,CENY!$B$11:$G$1054,2,FALSE)</f>
        <v>Quadro You(M) 500/SiSy 30kg; EB21; pravý</v>
      </c>
      <c r="BF96" s="22">
        <f>VLOOKUP(BD96,CENY!$B$11:$G$1054,3,FALSE)</f>
        <v>20</v>
      </c>
      <c r="BG96" s="22"/>
      <c r="BH96" s="23">
        <f>AY55</f>
        <v>0</v>
      </c>
      <c r="BI96" s="326">
        <f t="shared" si="10"/>
        <v>0</v>
      </c>
      <c r="BJ96" s="95">
        <f>VLOOKUP(BD96,CENY!$B$11:$M$2025,12,FALSE)</f>
        <v>237.18776</v>
      </c>
      <c r="BK96" s="95">
        <f t="shared" si="11"/>
        <v>0</v>
      </c>
    </row>
    <row r="97" spans="47:63" ht="14.4" customHeight="1">
      <c r="AU97" s="20"/>
      <c r="AV97" s="21"/>
      <c r="AW97" s="22"/>
      <c r="AX97" s="22"/>
      <c r="AY97" s="23"/>
      <c r="AZ97" s="326" t="str">
        <f t="shared" si="8"/>
        <v/>
      </c>
      <c r="BA97" s="95"/>
      <c r="BB97" s="95" t="str">
        <f t="shared" si="9"/>
        <v/>
      </c>
      <c r="BD97" s="319">
        <f>OBJ!B324</f>
        <v>9256876</v>
      </c>
      <c r="BE97" s="21" t="str">
        <f>VLOOKUP(BD97,CENY!$B$11:$G$1054,2,FALSE)</f>
        <v>Quadro You(M) 550/SiSy 30kg; EB21; ľavý</v>
      </c>
      <c r="BF97" s="22">
        <f>VLOOKUP(BD97,CENY!$B$11:$G$1054,3,FALSE)</f>
        <v>20</v>
      </c>
      <c r="BG97" s="22"/>
      <c r="BH97" s="23">
        <f>AY56</f>
        <v>0</v>
      </c>
      <c r="BI97" s="326">
        <f t="shared" si="10"/>
        <v>0</v>
      </c>
      <c r="BJ97" s="95">
        <f>VLOOKUP(BD97,CENY!$B$11:$M$2025,12,FALSE)</f>
        <v>241.90996999999999</v>
      </c>
      <c r="BK97" s="95">
        <f t="shared" si="11"/>
        <v>0</v>
      </c>
    </row>
    <row r="98" spans="47:63" ht="14.4" customHeight="1">
      <c r="AU98" s="20"/>
      <c r="AV98" s="21"/>
      <c r="AW98" s="22"/>
      <c r="AX98" s="22"/>
      <c r="AY98" s="23"/>
      <c r="AZ98" s="326" t="str">
        <f t="shared" si="8"/>
        <v/>
      </c>
      <c r="BA98" s="95"/>
      <c r="BB98" s="95" t="str">
        <f t="shared" si="9"/>
        <v/>
      </c>
      <c r="BD98" s="319">
        <f>OBJ!B325</f>
        <v>9256877</v>
      </c>
      <c r="BE98" s="21" t="str">
        <f>VLOOKUP(BD98,CENY!$B$11:$G$1054,2,FALSE)</f>
        <v>Quadro You(M) 550/SiSy 30kg; EB21; pravý</v>
      </c>
      <c r="BF98" s="22">
        <f>VLOOKUP(BD98,CENY!$B$11:$G$1054,3,FALSE)</f>
        <v>20</v>
      </c>
      <c r="BG98" s="22"/>
      <c r="BH98" s="23">
        <f>AY56</f>
        <v>0</v>
      </c>
      <c r="BI98" s="326">
        <f t="shared" si="10"/>
        <v>0</v>
      </c>
      <c r="BJ98" s="95">
        <f>VLOOKUP(BD98,CENY!$B$11:$M$2025,12,FALSE)</f>
        <v>248.51953</v>
      </c>
      <c r="BK98" s="95">
        <f t="shared" si="11"/>
        <v>0</v>
      </c>
    </row>
    <row r="99" spans="47:63" ht="14.4" customHeight="1">
      <c r="AU99" s="20"/>
      <c r="AV99" s="21"/>
      <c r="AW99" s="22"/>
      <c r="AX99" s="22"/>
      <c r="AY99" s="23"/>
      <c r="AZ99" s="326" t="str">
        <f t="shared" si="8"/>
        <v/>
      </c>
      <c r="BA99" s="95"/>
      <c r="BB99" s="95" t="str">
        <f t="shared" si="9"/>
        <v/>
      </c>
      <c r="BD99" s="319">
        <f>OBJ!B326</f>
        <v>9256880</v>
      </c>
      <c r="BE99" s="21" t="str">
        <f>VLOOKUP(BD99,CENY!$B$11:$G$1054,2,FALSE)</f>
        <v>Quadro You(M) 600/SiSy 25kg; EB21; ľavý</v>
      </c>
      <c r="BF99" s="22">
        <f>VLOOKUP(BD99,CENY!$B$11:$G$1054,3,FALSE)</f>
        <v>20</v>
      </c>
      <c r="BG99" s="22"/>
      <c r="BH99" s="23">
        <f>AY57</f>
        <v>0</v>
      </c>
      <c r="BI99" s="326">
        <f t="shared" si="10"/>
        <v>0</v>
      </c>
      <c r="BJ99" s="95">
        <f>VLOOKUP(BD99,CENY!$B$11:$M$2025,12,FALSE)</f>
        <v>253.36837</v>
      </c>
      <c r="BK99" s="95">
        <f t="shared" si="11"/>
        <v>0</v>
      </c>
    </row>
    <row r="100" spans="47:63" ht="14.4" customHeight="1">
      <c r="AU100" s="20"/>
      <c r="AV100" s="21"/>
      <c r="AW100" s="22"/>
      <c r="AX100" s="22"/>
      <c r="AY100" s="23"/>
      <c r="AZ100" s="326" t="str">
        <f t="shared" si="8"/>
        <v/>
      </c>
      <c r="BA100" s="95"/>
      <c r="BB100" s="95" t="str">
        <f t="shared" si="9"/>
        <v/>
      </c>
      <c r="BD100" s="319">
        <f>OBJ!B327</f>
        <v>9256881</v>
      </c>
      <c r="BE100" s="21" t="str">
        <f>VLOOKUP(BD100,CENY!$B$11:$G$1054,2,FALSE)</f>
        <v>Quadro You(M) 600/SiSy 25kg; EB21; pravý</v>
      </c>
      <c r="BF100" s="22">
        <f>VLOOKUP(BD100,CENY!$B$11:$G$1054,3,FALSE)</f>
        <v>20</v>
      </c>
      <c r="BG100" s="22"/>
      <c r="BH100" s="23">
        <f>AY57</f>
        <v>0</v>
      </c>
      <c r="BI100" s="326">
        <f t="shared" si="10"/>
        <v>0</v>
      </c>
      <c r="BJ100" s="95">
        <f>VLOOKUP(BD100,CENY!$B$11:$M$2025,12,FALSE)</f>
        <v>253.36837</v>
      </c>
      <c r="BK100" s="95">
        <f t="shared" si="11"/>
        <v>0</v>
      </c>
    </row>
    <row r="101" spans="47:63">
      <c r="AU101" s="20"/>
      <c r="AV101" s="21"/>
      <c r="AW101" s="22"/>
      <c r="AX101" s="22"/>
      <c r="AY101" s="23"/>
      <c r="AZ101" s="326" t="str">
        <f t="shared" si="8"/>
        <v/>
      </c>
      <c r="BA101" s="95"/>
      <c r="BB101" s="95" t="str">
        <f t="shared" si="9"/>
        <v/>
      </c>
      <c r="BD101" s="319"/>
      <c r="BE101" s="21"/>
      <c r="BF101" s="22"/>
      <c r="BG101" s="22"/>
      <c r="BH101" s="23"/>
      <c r="BI101" s="326" t="str">
        <f t="shared" si="10"/>
        <v/>
      </c>
      <c r="BJ101" s="95"/>
      <c r="BK101" s="95" t="str">
        <f t="shared" si="11"/>
        <v/>
      </c>
    </row>
    <row r="102" spans="47:63">
      <c r="AU102" s="20"/>
      <c r="AV102" s="21"/>
      <c r="AW102" s="22"/>
      <c r="AX102" s="22"/>
      <c r="AY102" s="23"/>
      <c r="AZ102" s="326" t="str">
        <f t="shared" si="8"/>
        <v/>
      </c>
      <c r="BA102" s="95"/>
      <c r="BB102" s="95" t="str">
        <f t="shared" si="9"/>
        <v/>
      </c>
      <c r="BD102" s="319">
        <f>OBJ!B214</f>
        <v>0</v>
      </c>
      <c r="BE102" s="21" t="e">
        <f>VLOOKUP(BD102,CENY!$B$11:$G$1054,2,FALSE)</f>
        <v>#N/A</v>
      </c>
      <c r="BF102" s="22" t="e">
        <f>VLOOKUP(BD102,CENY!$B$11:$G$1054,3,FALSE)</f>
        <v>#N/A</v>
      </c>
      <c r="BG102" s="22"/>
      <c r="BH102" s="23">
        <f>AY62</f>
        <v>0</v>
      </c>
      <c r="BI102" s="326">
        <f t="shared" si="10"/>
        <v>0</v>
      </c>
      <c r="BJ102" s="324" t="str">
        <f>IF(BD102=0,"",VLOOKUP(BD102,CENY!$B$11:$M$2025,12,FALSE))</f>
        <v/>
      </c>
      <c r="BK102" s="95" t="str">
        <f>IF(BJ102="","",BJ102*BH102)</f>
        <v/>
      </c>
    </row>
    <row r="103" spans="47:63">
      <c r="AU103" s="20"/>
      <c r="AV103" s="21"/>
      <c r="AW103" s="22"/>
      <c r="AX103" s="22"/>
      <c r="AY103" s="23"/>
      <c r="AZ103" s="326" t="str">
        <f t="shared" si="8"/>
        <v/>
      </c>
      <c r="BA103" s="95"/>
      <c r="BB103" s="95" t="str">
        <f t="shared" si="9"/>
        <v/>
      </c>
      <c r="BD103" s="319"/>
      <c r="BE103" s="21"/>
      <c r="BF103" s="22"/>
      <c r="BG103" s="22"/>
      <c r="BH103" s="23"/>
      <c r="BI103" s="326" t="str">
        <f t="shared" si="10"/>
        <v/>
      </c>
      <c r="BJ103" s="95"/>
      <c r="BK103" s="95" t="str">
        <f t="shared" si="11"/>
        <v/>
      </c>
    </row>
    <row r="104" spans="47:63">
      <c r="AU104" s="319">
        <f>OBJ!B361</f>
        <v>45167</v>
      </c>
      <c r="AV104" s="21" t="str">
        <f>VLOOKUP(AU104,CENY!$B$11:$G$1054,2,FALSE)</f>
        <v>Skrutka s polgul.hlavou 3,5x12mm</v>
      </c>
      <c r="AW104" s="22">
        <f>VLOOKUP(AU104,CENY!$B$11:$G$1054,3,FALSE)</f>
        <v>200</v>
      </c>
      <c r="AX104" s="22"/>
      <c r="AY104" s="23">
        <f>SUMPRODUCT(AX5:AX23,AY5:AY23)</f>
        <v>0</v>
      </c>
      <c r="AZ104" s="326">
        <f>IF(AY104="","",IF($AW$4=1,AY104,0))</f>
        <v>0</v>
      </c>
      <c r="BA104" s="95">
        <f>VLOOKUP(AU104,CENY!$B$11:$M$2025,12,FALSE)</f>
        <v>0.84719999999999995</v>
      </c>
      <c r="BB104" s="95">
        <f>IF(BA104="","",BA104*AY104)</f>
        <v>0</v>
      </c>
      <c r="BC104" s="86" t="s">
        <v>396</v>
      </c>
      <c r="BD104" s="319">
        <f>OBJ!B361</f>
        <v>45167</v>
      </c>
      <c r="BE104" s="21" t="str">
        <f>VLOOKUP(BD104,CENY!$B$11:$G$1054,2,FALSE)</f>
        <v>Skrutka s polgul.hlavou 3,5x12mm</v>
      </c>
      <c r="BF104" s="22">
        <f>VLOOKUP(BD104,CENY!$B$11:$G$1054,3,FALSE)</f>
        <v>200</v>
      </c>
      <c r="BG104" s="22"/>
      <c r="BH104" s="23">
        <f>AY104</f>
        <v>0</v>
      </c>
      <c r="BI104" s="326">
        <f>IF(BH104="","",IF($AW$4=0,BH104,0))</f>
        <v>0</v>
      </c>
      <c r="BJ104" s="95">
        <f>VLOOKUP(BD104,CENY!$B$11:$M$2025,12,FALSE)</f>
        <v>0.84719999999999995</v>
      </c>
      <c r="BK104" s="95">
        <f>IF(BJ104="","",BJ104*BH104)</f>
        <v>0</v>
      </c>
    </row>
    <row r="105" spans="47:63">
      <c r="AU105" s="319">
        <f>OBJ!B362</f>
        <v>45168</v>
      </c>
      <c r="AV105" s="21" t="str">
        <f>VLOOKUP(AU105,CENY!$B$11:$G$1054,2,FALSE)</f>
        <v>Skrutka s polgul.hlavou 3,5x20mm</v>
      </c>
      <c r="AW105" s="22">
        <f>VLOOKUP(AU105,CENY!$B$11:$G$1054,3,FALSE)</f>
        <v>200</v>
      </c>
      <c r="AX105" s="22"/>
      <c r="AY105" s="360">
        <v>0</v>
      </c>
      <c r="AZ105" s="326">
        <f>IF(AY105="","",IF($AW$4=1,AY105,0))</f>
        <v>0</v>
      </c>
      <c r="BA105" s="95">
        <f>VLOOKUP(AU105,CENY!$B$11:$M$2025,12,FALSE)</f>
        <v>1.2154199999999999</v>
      </c>
      <c r="BB105" s="95">
        <f>IF(BA105="","",BA105*AY105)</f>
        <v>0</v>
      </c>
      <c r="BC105" s="86" t="s">
        <v>397</v>
      </c>
      <c r="BD105" s="319">
        <f>OBJ!B362</f>
        <v>45168</v>
      </c>
      <c r="BE105" s="21" t="str">
        <f>VLOOKUP(BD105,CENY!$B$11:$G$1054,2,FALSE)</f>
        <v>Skrutka s polgul.hlavou 3,5x20mm</v>
      </c>
      <c r="BF105" s="22">
        <f>VLOOKUP(BD105,CENY!$B$11:$G$1054,3,FALSE)</f>
        <v>200</v>
      </c>
      <c r="BG105" s="22"/>
      <c r="BH105" s="360">
        <f>IF(FORM!$AM$8=FORM!$AU$10,(BH43*2+BH44*4),0)</f>
        <v>0</v>
      </c>
      <c r="BI105" s="326">
        <f>IF(BH105="","",IF($AW$4=0,BH105,0))</f>
        <v>0</v>
      </c>
      <c r="BJ105" s="95">
        <f>VLOOKUP(BD105,CENY!$B$11:$M$2025,12,FALSE)</f>
        <v>1.2154199999999999</v>
      </c>
      <c r="BK105" s="95">
        <f>IF(BJ105="","",BJ105*BH105)</f>
        <v>0</v>
      </c>
    </row>
    <row r="106" spans="47:63">
      <c r="AU106" s="319">
        <f>OBJ!B363</f>
        <v>9278224</v>
      </c>
      <c r="AV106" s="21" t="str">
        <f>VLOOKUP(AU106,CENY!$B$11:$G$1054,2,FALSE)</f>
        <v>Skrutka s polgul.hlavou 3,5x30mm</v>
      </c>
      <c r="AW106" s="22">
        <f>VLOOKUP(AU106,CENY!$B$11:$G$1054,3,FALSE)</f>
        <v>200</v>
      </c>
      <c r="AX106" s="22"/>
      <c r="AY106" s="360">
        <v>0</v>
      </c>
      <c r="AZ106" s="326">
        <f>IF(AY106="","",IF($AW$4=1,AY106,0))</f>
        <v>0</v>
      </c>
      <c r="BA106" s="95">
        <f>VLOOKUP(AU106,CENY!$B$11:$M$2025,12,FALSE)</f>
        <v>0.89337999999999995</v>
      </c>
      <c r="BB106" s="95">
        <f>IF(BA106="","",BA106*AY106)</f>
        <v>0</v>
      </c>
      <c r="BC106" s="86" t="s">
        <v>398</v>
      </c>
      <c r="BD106" s="319">
        <f>OBJ!B363</f>
        <v>9278224</v>
      </c>
      <c r="BE106" s="21" t="str">
        <f>VLOOKUP(BD106,CENY!$B$11:$G$1054,2,FALSE)</f>
        <v>Skrutka s polgul.hlavou 3,5x30mm</v>
      </c>
      <c r="BF106" s="22">
        <f>VLOOKUP(BD106,CENY!$B$11:$G$1054,3,FALSE)</f>
        <v>200</v>
      </c>
      <c r="BG106" s="22"/>
      <c r="BH106" s="360">
        <f>SUM(BH5:BH22)+2*SUM(BH24:BH41)</f>
        <v>0</v>
      </c>
      <c r="BI106" s="326">
        <f>IF(BH106="","",IF($AW$4=0,BH106,0))</f>
        <v>0</v>
      </c>
      <c r="BJ106" s="95">
        <f>VLOOKUP(BD106,CENY!$B$11:$M$2025,12,FALSE)</f>
        <v>0.89337999999999995</v>
      </c>
      <c r="BK106" s="95">
        <f>IF(BJ106="","",BJ106*BH106)</f>
        <v>0</v>
      </c>
    </row>
    <row r="107" spans="47:63">
      <c r="AU107" s="319">
        <f>OBJ!B364</f>
        <v>9279197</v>
      </c>
      <c r="AV107" s="21" t="str">
        <f>VLOOKUP(AU107,CENY!$B$11:$G$1054,2,FALSE)</f>
        <v>Skrutka s polgul.hlavou M3,5x12mm</v>
      </c>
      <c r="AW107" s="22">
        <f>VLOOKUP(AU107,CENY!$B$11:$G$1054,3,FALSE)</f>
        <v>1000</v>
      </c>
      <c r="AX107" s="22"/>
      <c r="AY107" s="68">
        <v>0</v>
      </c>
      <c r="AZ107" s="326">
        <f>IF(AY107="","",IF($AW$4=1,AY107,0))</f>
        <v>0</v>
      </c>
      <c r="BA107" s="95">
        <f>VLOOKUP(AU107,CENY!$B$11:$M$2025,12,FALSE)</f>
        <v>0</v>
      </c>
      <c r="BB107" s="95">
        <f>IF(BA107="","",BA107*AY107)</f>
        <v>0</v>
      </c>
      <c r="BC107" s="86" t="s">
        <v>399</v>
      </c>
      <c r="BD107" s="319">
        <f>OBJ!B364</f>
        <v>9279197</v>
      </c>
      <c r="BE107" s="21" t="str">
        <f>VLOOKUP(BD107,CENY!$B$11:$G$1054,2,FALSE)</f>
        <v>Skrutka s polgul.hlavou M3,5x12mm</v>
      </c>
      <c r="BF107" s="22">
        <f>VLOOKUP(BD107,CENY!$B$11:$G$1054,3,FALSE)</f>
        <v>1000</v>
      </c>
      <c r="BG107" s="22"/>
      <c r="BH107" s="68">
        <f>AY107</f>
        <v>0</v>
      </c>
      <c r="BI107" s="326">
        <f>IF(BH107="","",IF($AW$4=0,BH107,0))</f>
        <v>0</v>
      </c>
      <c r="BJ107" s="95">
        <f>VLOOKUP(BD107,CENY!$B$11:$M$2025,12,FALSE)</f>
        <v>0</v>
      </c>
      <c r="BK107" s="95">
        <f>IF(BJ107="","",BJ107*BH107)</f>
        <v>0</v>
      </c>
    </row>
    <row r="108" spans="47:63">
      <c r="AU108" s="319">
        <f>OBJ!B365</f>
        <v>9137114</v>
      </c>
      <c r="AV108" s="21" t="str">
        <f>VLOOKUP(AU108,CENY!$B$11:$G$1054,2,FALSE)</f>
        <v>EURO-skrutka  6,0x14mm / niklovaná</v>
      </c>
      <c r="AW108" s="22">
        <f>VLOOKUP(AU108,CENY!$B$11:$G$1054,3,FALSE)</f>
        <v>200</v>
      </c>
      <c r="AX108" s="22"/>
      <c r="AY108" s="23">
        <f>SUMPRODUCT(AX35:AX57,AY35:AY57)</f>
        <v>0</v>
      </c>
      <c r="AZ108" s="326">
        <f>IF(AY108="","",IF($AW$4=1,AY108,0))</f>
        <v>0</v>
      </c>
      <c r="BA108" s="95">
        <f>VLOOKUP(AU108,CENY!$B$11:$M$2025,12,FALSE)</f>
        <v>1.8839300000000001</v>
      </c>
      <c r="BB108" s="95">
        <f>IF(BA108="","",BA108*AY108)</f>
        <v>0</v>
      </c>
      <c r="BC108" s="86" t="s">
        <v>400</v>
      </c>
      <c r="BD108" s="319">
        <f>OBJ!B365</f>
        <v>9137114</v>
      </c>
      <c r="BE108" s="21" t="str">
        <f>VLOOKUP(BD108,CENY!$B$11:$G$1054,2,FALSE)</f>
        <v>EURO-skrutka  6,0x14mm / niklovaná</v>
      </c>
      <c r="BF108" s="22">
        <f>VLOOKUP(BD108,CENY!$B$11:$G$1054,3,FALSE)</f>
        <v>200</v>
      </c>
      <c r="BG108" s="22"/>
      <c r="BH108" s="23">
        <f>AY108</f>
        <v>0</v>
      </c>
      <c r="BI108" s="326">
        <f>IF(BH108="","",IF($AW$4=0,BH108,0))</f>
        <v>0</v>
      </c>
      <c r="BJ108" s="95">
        <f>VLOOKUP(BD108,CENY!$B$11:$M$2025,12,FALSE)</f>
        <v>1.8839300000000001</v>
      </c>
      <c r="BK108" s="95">
        <f>IF(BJ108="","",BJ108*BH108)</f>
        <v>0</v>
      </c>
    </row>
    <row r="109" spans="47:63">
      <c r="AU109" s="20"/>
      <c r="AV109" s="21"/>
      <c r="AW109" s="22"/>
      <c r="AX109" s="22"/>
      <c r="AY109" s="23"/>
      <c r="AZ109" s="326"/>
      <c r="BA109" s="95"/>
      <c r="BB109" s="95"/>
      <c r="BD109" s="319"/>
      <c r="BE109" s="21"/>
      <c r="BF109" s="22"/>
      <c r="BG109" s="22"/>
      <c r="BH109" s="23"/>
      <c r="BI109" s="326"/>
      <c r="BJ109" s="95"/>
      <c r="BK109" s="95"/>
    </row>
    <row r="110" spans="47:63">
      <c r="AU110" s="20"/>
      <c r="AV110" s="21"/>
      <c r="AW110" s="22"/>
      <c r="AX110" s="22"/>
      <c r="AY110" s="23"/>
      <c r="AZ110" s="326"/>
      <c r="BA110" s="95"/>
      <c r="BB110" s="95"/>
      <c r="BD110" s="319"/>
      <c r="BE110" s="21"/>
      <c r="BF110" s="22"/>
      <c r="BG110" s="22"/>
      <c r="BH110" s="23"/>
      <c r="BI110" s="326"/>
      <c r="BJ110" s="95"/>
      <c r="BK110" s="95"/>
    </row>
    <row r="111" spans="47:63">
      <c r="AU111" s="20"/>
      <c r="AV111" s="21"/>
      <c r="AW111" s="22"/>
      <c r="AX111" s="22"/>
      <c r="AY111" s="23"/>
      <c r="AZ111" s="326"/>
      <c r="BA111" s="95"/>
      <c r="BB111" s="95"/>
      <c r="BD111" s="319"/>
      <c r="BE111" s="21"/>
      <c r="BF111" s="22"/>
      <c r="BG111" s="22"/>
      <c r="BH111" s="23"/>
      <c r="BI111" s="326"/>
      <c r="BJ111" s="95"/>
      <c r="BK111" s="95"/>
    </row>
    <row r="112" spans="47:63">
      <c r="AU112" s="20"/>
      <c r="AV112" s="21"/>
      <c r="AW112" s="22"/>
      <c r="AX112" s="22"/>
      <c r="AY112" s="23"/>
      <c r="AZ112" s="326"/>
      <c r="BA112" s="95"/>
      <c r="BB112" s="95"/>
      <c r="BD112" s="319"/>
      <c r="BE112" s="21"/>
      <c r="BF112" s="22"/>
      <c r="BG112" s="22"/>
      <c r="BH112" s="23"/>
      <c r="BI112" s="326"/>
      <c r="BJ112" s="95"/>
      <c r="BK112" s="95"/>
    </row>
    <row r="113" spans="47:63">
      <c r="AU113" s="20"/>
      <c r="AV113" s="21"/>
      <c r="AW113" s="22"/>
      <c r="AX113" s="22"/>
      <c r="AY113" s="23"/>
      <c r="AZ113" s="326" t="str">
        <f>IF(AY113="","",IF($AW$4=1,AY113,0))</f>
        <v/>
      </c>
      <c r="BA113" s="95"/>
      <c r="BB113" s="95" t="str">
        <f t="shared" si="9"/>
        <v/>
      </c>
      <c r="BD113" s="319"/>
      <c r="BE113" s="21"/>
      <c r="BF113" s="22"/>
      <c r="BG113" s="22"/>
      <c r="BH113" s="23"/>
      <c r="BI113" s="326" t="str">
        <f t="shared" si="10"/>
        <v/>
      </c>
      <c r="BJ113" s="95"/>
      <c r="BK113" s="95" t="str">
        <f t="shared" si="11"/>
        <v/>
      </c>
    </row>
    <row r="114" spans="47:63">
      <c r="AU114" s="20"/>
      <c r="AV114" s="21"/>
      <c r="AW114" s="22"/>
      <c r="AX114" s="22"/>
      <c r="AY114" s="23"/>
      <c r="AZ114" s="326" t="str">
        <f>IF(AY114="","",IF($AW$4=1,AY114,0))</f>
        <v/>
      </c>
      <c r="BA114" s="95"/>
      <c r="BB114" s="95" t="str">
        <f t="shared" si="9"/>
        <v/>
      </c>
      <c r="BD114" s="319"/>
      <c r="BE114" s="21"/>
      <c r="BF114" s="22"/>
      <c r="BG114" s="22"/>
      <c r="BH114" s="23"/>
      <c r="BI114" s="326" t="str">
        <f t="shared" si="10"/>
        <v/>
      </c>
      <c r="BJ114" s="95"/>
      <c r="BK114" s="95" t="str">
        <f t="shared" si="11"/>
        <v/>
      </c>
    </row>
    <row r="115" spans="47:63">
      <c r="AU115" s="20"/>
      <c r="AV115" s="21"/>
      <c r="AW115" s="22"/>
      <c r="AX115" s="22"/>
      <c r="AY115" s="23"/>
      <c r="AZ115" s="326" t="str">
        <f>IF(AY115="","",IF($AW$4=1,AY115,0))</f>
        <v/>
      </c>
      <c r="BA115" s="95"/>
      <c r="BB115" s="95" t="str">
        <f t="shared" si="9"/>
        <v/>
      </c>
      <c r="BD115" s="319"/>
      <c r="BE115" s="21"/>
      <c r="BF115" s="22"/>
      <c r="BG115" s="22"/>
      <c r="BH115" s="23"/>
      <c r="BI115" s="326" t="str">
        <f t="shared" si="10"/>
        <v/>
      </c>
      <c r="BJ115" s="95"/>
      <c r="BK115" s="95" t="str">
        <f t="shared" si="11"/>
        <v/>
      </c>
    </row>
    <row r="116" spans="47:63">
      <c r="AU116" s="20"/>
      <c r="AV116" s="21"/>
      <c r="AW116" s="22"/>
      <c r="AX116" s="22"/>
      <c r="AY116" s="23"/>
      <c r="AZ116" s="326" t="str">
        <f>IF(AY116="","",IF($AW$4=1,AY116,0))</f>
        <v/>
      </c>
      <c r="BA116" s="95"/>
      <c r="BB116" s="95" t="str">
        <f t="shared" si="9"/>
        <v/>
      </c>
      <c r="BD116" s="319"/>
      <c r="BE116" s="21"/>
      <c r="BF116" s="22"/>
      <c r="BG116" s="22"/>
      <c r="BH116" s="23"/>
      <c r="BI116" s="326" t="str">
        <f>IF(BH116="","",IF($AW$4=0,BH116,0))</f>
        <v/>
      </c>
      <c r="BJ116" s="95"/>
      <c r="BK116" s="95" t="str">
        <f>IF(BJ116="","",BJ116*BH116)</f>
        <v/>
      </c>
    </row>
    <row r="117" spans="47:63">
      <c r="AU117" s="20"/>
      <c r="AV117" s="21"/>
      <c r="AW117" s="22"/>
      <c r="AX117" s="22"/>
      <c r="AY117" s="23"/>
      <c r="AZ117" s="326" t="str">
        <f>IF(AY117="","",IF($AW$4=1,AY117,0))</f>
        <v/>
      </c>
      <c r="BA117" s="95"/>
      <c r="BB117" s="95" t="str">
        <f>IF(BA117="","",BA117*AY117)</f>
        <v/>
      </c>
      <c r="BD117" s="319"/>
      <c r="BE117" s="21"/>
      <c r="BF117" s="22"/>
      <c r="BG117" s="22"/>
      <c r="BH117" s="23"/>
      <c r="BI117" s="326" t="str">
        <f>IF(BH117="","",IF($AW$4=0,BH117,0))</f>
        <v/>
      </c>
      <c r="BJ117" s="95"/>
      <c r="BK117" s="95" t="str">
        <f>IF(BJ117="","",BJ117*BH117)</f>
        <v/>
      </c>
    </row>
  </sheetData>
  <sheetProtection algorithmName="SHA-512" hashValue="VHBZa1tVJdzz/R/hBliTqleBU1OlD25ZlPUSLQZotuS5XYgLIzzgSsbjuv5zddv3Wto7CSrm7WtEdL1v6PCNgQ==" saltValue="ckDktxfTxfP/d13va7SHXg==" spinCount="100000" sheet="1" objects="1" scenarios="1"/>
  <mergeCells count="77">
    <mergeCell ref="U2:Y2"/>
    <mergeCell ref="AA2:AE2"/>
    <mergeCell ref="AI2:AM2"/>
    <mergeCell ref="AO2:AR2"/>
    <mergeCell ref="B6:E6"/>
    <mergeCell ref="F6:K6"/>
    <mergeCell ref="O2:S2"/>
    <mergeCell ref="B7:E7"/>
    <mergeCell ref="F7:K7"/>
    <mergeCell ref="B8:E8"/>
    <mergeCell ref="F8:K8"/>
    <mergeCell ref="B2:E2"/>
    <mergeCell ref="G2:K2"/>
    <mergeCell ref="B9:E9"/>
    <mergeCell ref="F9:K9"/>
    <mergeCell ref="B10:E10"/>
    <mergeCell ref="F10:K10"/>
    <mergeCell ref="B11:E11"/>
    <mergeCell ref="F11:K11"/>
    <mergeCell ref="B12:E12"/>
    <mergeCell ref="F12:I12"/>
    <mergeCell ref="J12:K12"/>
    <mergeCell ref="B13:E13"/>
    <mergeCell ref="F13:I13"/>
    <mergeCell ref="J13:K13"/>
    <mergeCell ref="S19:T19"/>
    <mergeCell ref="O17:AF17"/>
    <mergeCell ref="O18:P18"/>
    <mergeCell ref="Q18:R18"/>
    <mergeCell ref="S18:T18"/>
    <mergeCell ref="U18:V18"/>
    <mergeCell ref="W18:X18"/>
    <mergeCell ref="Y18:Z18"/>
    <mergeCell ref="AA18:AB18"/>
    <mergeCell ref="AC18:AD18"/>
    <mergeCell ref="AE18:AF18"/>
    <mergeCell ref="B19:G19"/>
    <mergeCell ref="H19:L19"/>
    <mergeCell ref="M19:N19"/>
    <mergeCell ref="O19:P19"/>
    <mergeCell ref="Q19:R19"/>
    <mergeCell ref="AE20:AF20"/>
    <mergeCell ref="B20:G20"/>
    <mergeCell ref="H20:L20"/>
    <mergeCell ref="M20:N20"/>
    <mergeCell ref="O20:P20"/>
    <mergeCell ref="Q20:R20"/>
    <mergeCell ref="S20:T20"/>
    <mergeCell ref="U20:V20"/>
    <mergeCell ref="W20:X20"/>
    <mergeCell ref="S25:T25"/>
    <mergeCell ref="O24:P24"/>
    <mergeCell ref="Q24:R24"/>
    <mergeCell ref="AA25:AB25"/>
    <mergeCell ref="S24:T24"/>
    <mergeCell ref="U24:V24"/>
    <mergeCell ref="W24:X24"/>
    <mergeCell ref="Y24:Z24"/>
    <mergeCell ref="AA24:AB24"/>
    <mergeCell ref="B25:G25"/>
    <mergeCell ref="H25:L25"/>
    <mergeCell ref="M25:N25"/>
    <mergeCell ref="O25:P25"/>
    <mergeCell ref="Q25:R25"/>
    <mergeCell ref="AC25:AD25"/>
    <mergeCell ref="U19:V19"/>
    <mergeCell ref="W19:X19"/>
    <mergeCell ref="Y19:Z19"/>
    <mergeCell ref="AA19:AB19"/>
    <mergeCell ref="AC19:AD19"/>
    <mergeCell ref="U25:V25"/>
    <mergeCell ref="W25:X25"/>
    <mergeCell ref="Y25:Z25"/>
    <mergeCell ref="AC24:AD24"/>
    <mergeCell ref="Y20:Z20"/>
    <mergeCell ref="AA20:AB20"/>
    <mergeCell ref="AC20:AD20"/>
  </mergeCells>
  <conditionalFormatting sqref="BH5:BI5 AY5:AZ5 BH6:BH23 BI6:BI22 AY6:AY14 BH42:BH43 AY24:AY52 BH46:BH85 AZ6:AZ59 BI43 BI45:BI103 AZ61:AZ103 AY80:AY103 AY109:AZ117 BI109:BI117">
    <cfRule type="cellIs" dxfId="395" priority="42" stopIfTrue="1" operator="equal">
      <formula>0</formula>
    </cfRule>
  </conditionalFormatting>
  <conditionalFormatting sqref="O17:AF17 O19:T19 W20:AF20 O25:T25">
    <cfRule type="expression" dxfId="394" priority="41" stopIfTrue="1">
      <formula>$AW$4=0</formula>
    </cfRule>
  </conditionalFormatting>
  <conditionalFormatting sqref="AY61 AY63:AY65">
    <cfRule type="cellIs" dxfId="393" priority="39" stopIfTrue="1" operator="equal">
      <formula>0</formula>
    </cfRule>
  </conditionalFormatting>
  <conditionalFormatting sqref="AY66">
    <cfRule type="cellIs" dxfId="392" priority="38" stopIfTrue="1" operator="equal">
      <formula>0</formula>
    </cfRule>
  </conditionalFormatting>
  <conditionalFormatting sqref="AY70:AY79">
    <cfRule type="cellIs" dxfId="391" priority="37" stopIfTrue="1" operator="equal">
      <formula>0</formula>
    </cfRule>
  </conditionalFormatting>
  <conditionalFormatting sqref="BH45">
    <cfRule type="cellIs" dxfId="390" priority="36" stopIfTrue="1" operator="equal">
      <formula>0</formula>
    </cfRule>
  </conditionalFormatting>
  <conditionalFormatting sqref="AY53:AY58">
    <cfRule type="cellIs" dxfId="389" priority="34" stopIfTrue="1" operator="equal">
      <formula>0</formula>
    </cfRule>
  </conditionalFormatting>
  <conditionalFormatting sqref="AY59">
    <cfRule type="cellIs" dxfId="388" priority="30" stopIfTrue="1" operator="equal">
      <formula>0</formula>
    </cfRule>
  </conditionalFormatting>
  <conditionalFormatting sqref="AY67:AY69">
    <cfRule type="cellIs" dxfId="387" priority="29" stopIfTrue="1" operator="equal">
      <formula>0</formula>
    </cfRule>
  </conditionalFormatting>
  <conditionalFormatting sqref="BH101">
    <cfRule type="cellIs" dxfId="386" priority="28" stopIfTrue="1" operator="equal">
      <formula>0</formula>
    </cfRule>
  </conditionalFormatting>
  <conditionalFormatting sqref="BH103 BH109:BH117">
    <cfRule type="cellIs" dxfId="385" priority="27" stopIfTrue="1" operator="equal">
      <formula>0</formula>
    </cfRule>
  </conditionalFormatting>
  <conditionalFormatting sqref="BH86:BH100">
    <cfRule type="cellIs" dxfId="384" priority="24" stopIfTrue="1" operator="equal">
      <formula>0</formula>
    </cfRule>
  </conditionalFormatting>
  <conditionalFormatting sqref="AY62">
    <cfRule type="cellIs" dxfId="383" priority="22" stopIfTrue="1" operator="equal">
      <formula>0</formula>
    </cfRule>
  </conditionalFormatting>
  <conditionalFormatting sqref="BH102">
    <cfRule type="cellIs" dxfId="382" priority="21" stopIfTrue="1" operator="equal">
      <formula>0</formula>
    </cfRule>
  </conditionalFormatting>
  <conditionalFormatting sqref="F13:K13">
    <cfRule type="expression" dxfId="381" priority="20" stopIfTrue="1">
      <formula>$AW$4=1</formula>
    </cfRule>
  </conditionalFormatting>
  <conditionalFormatting sqref="AY15:AY23">
    <cfRule type="cellIs" dxfId="380" priority="18" stopIfTrue="1" operator="equal">
      <formula>0</formula>
    </cfRule>
  </conditionalFormatting>
  <conditionalFormatting sqref="BI23:BI42">
    <cfRule type="cellIs" dxfId="379" priority="16" stopIfTrue="1" operator="equal">
      <formula>0</formula>
    </cfRule>
  </conditionalFormatting>
  <conditionalFormatting sqref="BH24:BH41">
    <cfRule type="cellIs" dxfId="378" priority="15" stopIfTrue="1" operator="equal">
      <formula>0</formula>
    </cfRule>
  </conditionalFormatting>
  <conditionalFormatting sqref="U19:AD19">
    <cfRule type="expression" dxfId="377" priority="14" stopIfTrue="1">
      <formula>$AW$4=0</formula>
    </cfRule>
  </conditionalFormatting>
  <conditionalFormatting sqref="AC25:AD25">
    <cfRule type="expression" dxfId="376" priority="9" stopIfTrue="1">
      <formula>$AW$4=0</formula>
    </cfRule>
  </conditionalFormatting>
  <conditionalFormatting sqref="U25:V25">
    <cfRule type="expression" dxfId="375" priority="13" stopIfTrue="1">
      <formula>$AW$4=0</formula>
    </cfRule>
  </conditionalFormatting>
  <conditionalFormatting sqref="W25:X25">
    <cfRule type="expression" dxfId="374" priority="12" stopIfTrue="1">
      <formula>$AW$4=0</formula>
    </cfRule>
  </conditionalFormatting>
  <conditionalFormatting sqref="Y25:Z25">
    <cfRule type="expression" dxfId="373" priority="11" stopIfTrue="1">
      <formula>$AW$4=0</formula>
    </cfRule>
  </conditionalFormatting>
  <conditionalFormatting sqref="AA25:AB25">
    <cfRule type="expression" dxfId="372" priority="10" stopIfTrue="1">
      <formula>$AW$4=0</formula>
    </cfRule>
  </conditionalFormatting>
  <conditionalFormatting sqref="AZ60">
    <cfRule type="cellIs" dxfId="371" priority="8" stopIfTrue="1" operator="equal">
      <formula>0</formula>
    </cfRule>
  </conditionalFormatting>
  <conditionalFormatting sqref="AY60">
    <cfRule type="cellIs" dxfId="370" priority="7" stopIfTrue="1" operator="equal">
      <formula>0</formula>
    </cfRule>
  </conditionalFormatting>
  <conditionalFormatting sqref="BH44:BI44">
    <cfRule type="cellIs" dxfId="369" priority="6" stopIfTrue="1" operator="equal">
      <formula>0</formula>
    </cfRule>
  </conditionalFormatting>
  <conditionalFormatting sqref="AZ104:AZ108">
    <cfRule type="cellIs" dxfId="368" priority="5" stopIfTrue="1" operator="equal">
      <formula>0</formula>
    </cfRule>
  </conditionalFormatting>
  <conditionalFormatting sqref="AY104:AY108">
    <cfRule type="cellIs" dxfId="367" priority="4" stopIfTrue="1" operator="equal">
      <formula>0</formula>
    </cfRule>
  </conditionalFormatting>
  <conditionalFormatting sqref="BH104 BH107:BH108">
    <cfRule type="cellIs" dxfId="366" priority="3" stopIfTrue="1" operator="equal">
      <formula>0</formula>
    </cfRule>
  </conditionalFormatting>
  <conditionalFormatting sqref="BI104:BI108">
    <cfRule type="cellIs" dxfId="365" priority="2" stopIfTrue="1" operator="equal">
      <formula>0</formula>
    </cfRule>
  </conditionalFormatting>
  <conditionalFormatting sqref="BH105:BH106">
    <cfRule type="cellIs" dxfId="364" priority="1" stopIfTrue="1" operator="equal">
      <formula>0</formula>
    </cfRule>
  </conditionalFormatting>
  <hyperlinks>
    <hyperlink ref="M4" location="MENU!A1" display="MENU!A1" xr:uid="{00000000-0004-0000-1000-000000000000}"/>
    <hyperlink ref="M10" location="OBJ!A1" display="OBJ!A1" xr:uid="{00000000-0004-0000-1000-000001000000}"/>
    <hyperlink ref="M9" location="suhrn!A1" display="suhrn!A1" xr:uid="{00000000-0004-0000-1000-000002000000}"/>
    <hyperlink ref="O2:S2" location="MENU!A5" display="MENU!A5" xr:uid="{00000000-0004-0000-1000-000003000000}"/>
  </hyperlinks>
  <printOptions horizontalCentered="1"/>
  <pageMargins left="0.19685039370078741" right="0.19685039370078741" top="0.19685039370078741" bottom="0.19685039370078741" header="0.31496062992125984" footer="0.31496062992125984"/>
  <pageSetup paperSize="9" orientation="landscape" r:id="rId1"/>
  <headerFooter>
    <oddHeader>&amp;R&amp;"Aptos"&amp;10&amp;K000000 Restricted&amp;1#_x000D_</oddHeader>
  </headerFooter>
  <drawing r:id="rId2"/>
  <legacyDrawing r:id="rId3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List8">
    <tabColor theme="9" tint="-0.249977111117893"/>
  </sheetPr>
  <dimension ref="A1:BK96"/>
  <sheetViews>
    <sheetView showGridLines="0" showRowColHeaders="0" zoomScale="95" zoomScaleNormal="95" workbookViewId="0"/>
  </sheetViews>
  <sheetFormatPr defaultColWidth="9" defaultRowHeight="13.8"/>
  <cols>
    <col min="1" max="1" width="3.59765625" style="86" customWidth="1"/>
    <col min="2" max="4" width="3.09765625" style="86" customWidth="1"/>
    <col min="5" max="5" width="7.59765625" style="86" customWidth="1"/>
    <col min="6" max="44" width="3.09765625" style="86" customWidth="1"/>
    <col min="45" max="45" width="3.59765625" style="86" customWidth="1"/>
    <col min="46" max="46" width="9" style="86" customWidth="1"/>
    <col min="47" max="47" width="9" style="86" hidden="1" customWidth="1"/>
    <col min="48" max="48" width="32.5" style="86" hidden="1" customWidth="1"/>
    <col min="49" max="49" width="4.3984375" style="86" hidden="1" customWidth="1"/>
    <col min="50" max="50" width="2" style="86" hidden="1" customWidth="1"/>
    <col min="51" max="52" width="4.59765625" style="86" hidden="1" customWidth="1"/>
    <col min="53" max="54" width="9" style="86" hidden="1" customWidth="1"/>
    <col min="55" max="55" width="2.59765625" style="86" hidden="1" customWidth="1"/>
    <col min="56" max="56" width="9" style="86" hidden="1" customWidth="1"/>
    <col min="57" max="57" width="33.8984375" style="86" hidden="1" customWidth="1"/>
    <col min="58" max="58" width="4.3984375" style="86" hidden="1" customWidth="1"/>
    <col min="59" max="59" width="2" style="86" hidden="1" customWidth="1"/>
    <col min="60" max="61" width="4.59765625" style="86" hidden="1" customWidth="1"/>
    <col min="62" max="63" width="9" style="86" hidden="1" customWidth="1"/>
    <col min="64" max="75" width="9" style="86" customWidth="1"/>
    <col min="76" max="16384" width="9" style="86"/>
  </cols>
  <sheetData>
    <row r="1" spans="1:63" ht="12.9" customHeight="1" thickBot="1">
      <c r="AU1" s="140"/>
      <c r="AV1" s="279"/>
      <c r="AW1" s="279"/>
      <c r="AX1" s="140"/>
      <c r="AY1" s="140"/>
      <c r="AZ1" s="140"/>
      <c r="BA1" s="140"/>
      <c r="BB1" s="140"/>
      <c r="BC1" s="140"/>
      <c r="BD1" s="140"/>
      <c r="BE1" s="140"/>
      <c r="BF1" s="140"/>
      <c r="BG1" s="140"/>
      <c r="BH1" s="140"/>
      <c r="BI1" s="140"/>
      <c r="BJ1" s="140"/>
      <c r="BK1" s="140"/>
    </row>
    <row r="2" spans="1:63" ht="23.1" customHeight="1" thickBot="1">
      <c r="B2" s="475" t="str">
        <f>verze!E13</f>
        <v>&lt;&lt;  zpět</v>
      </c>
      <c r="C2" s="476"/>
      <c r="D2" s="476"/>
      <c r="E2" s="477"/>
      <c r="G2" s="513" t="str">
        <f>verze!E6</f>
        <v xml:space="preserve"> Úvod</v>
      </c>
      <c r="H2" s="514"/>
      <c r="I2" s="514"/>
      <c r="J2" s="514"/>
      <c r="K2" s="515"/>
      <c r="O2" s="500" t="str">
        <f>verze!E7</f>
        <v xml:space="preserve"> Výběr zásuvek</v>
      </c>
      <c r="P2" s="501"/>
      <c r="Q2" s="501"/>
      <c r="R2" s="501"/>
      <c r="S2" s="502"/>
      <c r="U2" s="513" t="str">
        <f>verze!E8</f>
        <v xml:space="preserve"> </v>
      </c>
      <c r="V2" s="514"/>
      <c r="W2" s="514"/>
      <c r="X2" s="514"/>
      <c r="Y2" s="515"/>
      <c r="AA2" s="513" t="str">
        <f>verze!E9</f>
        <v xml:space="preserve"> </v>
      </c>
      <c r="AB2" s="514"/>
      <c r="AC2" s="514"/>
      <c r="AD2" s="514"/>
      <c r="AE2" s="515"/>
      <c r="AI2" s="513" t="str">
        <f>verze!E10</f>
        <v xml:space="preserve"> Objednávka</v>
      </c>
      <c r="AJ2" s="514"/>
      <c r="AK2" s="514"/>
      <c r="AL2" s="514"/>
      <c r="AM2" s="515"/>
      <c r="AO2" s="475" t="str">
        <f>verze!E14</f>
        <v>vpřed  &gt;&gt;</v>
      </c>
      <c r="AP2" s="476"/>
      <c r="AQ2" s="476"/>
      <c r="AR2" s="477"/>
      <c r="AV2" s="143"/>
      <c r="AW2" s="143"/>
    </row>
    <row r="3" spans="1:63" ht="12.9" customHeight="1">
      <c r="AV3" s="143"/>
      <c r="AW3" s="143"/>
    </row>
    <row r="4" spans="1:63" ht="23.1" customHeight="1">
      <c r="A4" s="89"/>
      <c r="B4" s="93" t="str">
        <f>verze!E206&amp;" AVANTECH YOU  139 / 187"</f>
        <v>Zásuvka AVANTECH YOU  139 / 187</v>
      </c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U4" s="94" t="s">
        <v>33</v>
      </c>
      <c r="AW4" s="285">
        <f>IF(FORM!AU13=FORM!U18,1,0)</f>
        <v>1</v>
      </c>
      <c r="BB4" s="322">
        <f>SUM(BB5:BB953)</f>
        <v>0</v>
      </c>
      <c r="BD4" s="94" t="s">
        <v>34</v>
      </c>
      <c r="BK4" s="322">
        <f>SUM(BK5:BK946)</f>
        <v>0</v>
      </c>
    </row>
    <row r="5" spans="1:63" ht="14.4" customHeight="1">
      <c r="AU5" s="319">
        <f>OBJ!B82</f>
        <v>9353345</v>
      </c>
      <c r="AV5" s="21" t="str">
        <f>VLOOKUP(AU5,CENY!$B$11:$G$1054,2,FALSE)</f>
        <v>AvanY-sólo oceľ.boky-NW 139/300mm/strieb.</v>
      </c>
      <c r="AW5" s="22">
        <f>VLOOKUP(AU5,CENY!$B$11:$G$1054,3,FALSE)</f>
        <v>1</v>
      </c>
      <c r="AX5" s="362">
        <v>4</v>
      </c>
      <c r="AY5" s="23">
        <f>Q19+Q25</f>
        <v>0</v>
      </c>
      <c r="AZ5" s="326">
        <f t="shared" ref="AZ5:AZ61" si="0">IF(AY5="","",IF($AW$4=1,AY5,0))</f>
        <v>0</v>
      </c>
      <c r="BA5" s="95">
        <f>VLOOKUP(AU5,CENY!$B$11:$M$2025,12,FALSE)</f>
        <v>650.52683000000002</v>
      </c>
      <c r="BB5" s="95">
        <f t="shared" ref="BB5:BB60" si="1">IF(BA5="","",BA5*AY5)</f>
        <v>0</v>
      </c>
      <c r="BD5" s="319">
        <f>OBJ!B93</f>
        <v>9255028</v>
      </c>
      <c r="BE5" s="21" t="str">
        <f>VLOOKUP(BD5,CENY!$B$11:$G$1054,2,FALSE)</f>
        <v>AvanY-bok ľavý /v139/h300/ strieborná</v>
      </c>
      <c r="BF5" s="22">
        <f>VLOOKUP(BD5,CENY!$B$11:$G$1054,3,FALSE)</f>
        <v>20</v>
      </c>
      <c r="BG5" s="22"/>
      <c r="BH5" s="23">
        <f>AY5</f>
        <v>0</v>
      </c>
      <c r="BI5" s="326">
        <f t="shared" ref="BI5:BI69" si="2">IF(BH5="","",IF($AW$4=0,BH5,0))</f>
        <v>0</v>
      </c>
      <c r="BJ5" s="95">
        <f>VLOOKUP(BD5,CENY!$B$11:$M$2025,12,FALSE)</f>
        <v>268.07722999999999</v>
      </c>
      <c r="BK5" s="95">
        <f t="shared" ref="BK5:BK69" si="3">IF(BJ5="","",BJ5*BH5)</f>
        <v>0</v>
      </c>
    </row>
    <row r="6" spans="1:63" ht="14.4" customHeight="1">
      <c r="B6" s="549" t="str">
        <f>" "&amp;verze!E90</f>
        <v xml:space="preserve"> bočnice:</v>
      </c>
      <c r="C6" s="549"/>
      <c r="D6" s="549"/>
      <c r="E6" s="549"/>
      <c r="F6" s="564" t="s">
        <v>388</v>
      </c>
      <c r="G6" s="564"/>
      <c r="H6" s="564"/>
      <c r="I6" s="564"/>
      <c r="J6" s="564"/>
      <c r="K6" s="564"/>
      <c r="AU6" s="319">
        <f>OBJ!B83</f>
        <v>9353346</v>
      </c>
      <c r="AV6" s="21" t="str">
        <f>VLOOKUP(AU6,CENY!$B$11:$G$1054,2,FALSE)</f>
        <v>AvanY-sólo oceľ.boky-NW 139/350mm/strieb.</v>
      </c>
      <c r="AW6" s="22">
        <f>VLOOKUP(AU6,CENY!$B$11:$G$1054,3,FALSE)</f>
        <v>1</v>
      </c>
      <c r="AX6" s="362">
        <v>6</v>
      </c>
      <c r="AY6" s="23">
        <f>S19+S25</f>
        <v>0</v>
      </c>
      <c r="AZ6" s="326">
        <f t="shared" si="0"/>
        <v>0</v>
      </c>
      <c r="BA6" s="95">
        <f>VLOOKUP(AU6,CENY!$B$11:$M$2025,12,FALSE)</f>
        <v>659.97708</v>
      </c>
      <c r="BB6" s="95">
        <f t="shared" si="1"/>
        <v>0</v>
      </c>
      <c r="BD6" s="319">
        <f>OBJ!B94</f>
        <v>9255029</v>
      </c>
      <c r="BE6" s="21" t="str">
        <f>VLOOKUP(BD6,CENY!$B$11:$G$1054,2,FALSE)</f>
        <v>AvanY-bok pravý /v139/h300/ strieborná</v>
      </c>
      <c r="BF6" s="22">
        <f>VLOOKUP(BD6,CENY!$B$11:$G$1054,3,FALSE)</f>
        <v>20</v>
      </c>
      <c r="BG6" s="22"/>
      <c r="BH6" s="23">
        <f>AY5</f>
        <v>0</v>
      </c>
      <c r="BI6" s="326">
        <f t="shared" si="2"/>
        <v>0</v>
      </c>
      <c r="BJ6" s="95">
        <f>VLOOKUP(BD6,CENY!$B$11:$M$2025,12,FALSE)</f>
        <v>268.07722999999999</v>
      </c>
      <c r="BK6" s="95">
        <f t="shared" si="3"/>
        <v>0</v>
      </c>
    </row>
    <row r="7" spans="1:63" ht="14.4" customHeight="1">
      <c r="B7" s="549" t="str">
        <f>" "&amp;verze!E56</f>
        <v xml:space="preserve"> barva:</v>
      </c>
      <c r="C7" s="549"/>
      <c r="D7" s="549"/>
      <c r="E7" s="549"/>
      <c r="F7" s="564" t="str">
        <f>" "&amp;FORM!U8</f>
        <v xml:space="preserve"> stříbrná</v>
      </c>
      <c r="G7" s="564"/>
      <c r="H7" s="564"/>
      <c r="I7" s="564"/>
      <c r="J7" s="564"/>
      <c r="K7" s="564"/>
      <c r="AU7" s="319">
        <f>OBJ!B84</f>
        <v>9353347</v>
      </c>
      <c r="AV7" s="21" t="str">
        <f>VLOOKUP(AU7,CENY!$B$11:$G$1054,2,FALSE)</f>
        <v>AvanY-sólo oceľ.boky-NW 139/400mm/strieb.</v>
      </c>
      <c r="AW7" s="22">
        <f>VLOOKUP(AU7,CENY!$B$11:$G$1054,3,FALSE)</f>
        <v>1</v>
      </c>
      <c r="AX7" s="362">
        <v>6</v>
      </c>
      <c r="AY7" s="23">
        <f>U19+U25</f>
        <v>0</v>
      </c>
      <c r="AZ7" s="326">
        <f t="shared" si="0"/>
        <v>0</v>
      </c>
      <c r="BA7" s="95">
        <f>VLOOKUP(AU7,CENY!$B$11:$M$2025,12,FALSE)</f>
        <v>669.42296999999996</v>
      </c>
      <c r="BB7" s="95">
        <f t="shared" si="1"/>
        <v>0</v>
      </c>
      <c r="BD7" s="319">
        <f>OBJ!B95</f>
        <v>9255030</v>
      </c>
      <c r="BE7" s="21" t="str">
        <f>VLOOKUP(BD7,CENY!$B$11:$G$1054,2,FALSE)</f>
        <v>AvanY-bok ľavý /v139/h350/ strieborná</v>
      </c>
      <c r="BF7" s="22">
        <f>VLOOKUP(BD7,CENY!$B$11:$G$1054,3,FALSE)</f>
        <v>20</v>
      </c>
      <c r="BG7" s="22"/>
      <c r="BH7" s="23">
        <f>AY6</f>
        <v>0</v>
      </c>
      <c r="BI7" s="326">
        <f t="shared" si="2"/>
        <v>0</v>
      </c>
      <c r="BJ7" s="95">
        <f>VLOOKUP(BD7,CENY!$B$11:$M$2025,12,FALSE)</f>
        <v>273.01260000000002</v>
      </c>
      <c r="BK7" s="95">
        <f t="shared" si="3"/>
        <v>0</v>
      </c>
    </row>
    <row r="8" spans="1:63" ht="14.4" customHeight="1">
      <c r="B8" s="549" t="str">
        <f>" "&amp;verze!E70</f>
        <v xml:space="preserve"> dekorativní profil:</v>
      </c>
      <c r="C8" s="549"/>
      <c r="D8" s="549"/>
      <c r="E8" s="549"/>
      <c r="F8" s="564" t="str">
        <f>" "&amp;FORM!AM18</f>
        <v xml:space="preserve"> v barvě bočnice</v>
      </c>
      <c r="G8" s="564"/>
      <c r="H8" s="564"/>
      <c r="I8" s="564"/>
      <c r="J8" s="564"/>
      <c r="K8" s="564"/>
      <c r="AU8" s="319">
        <f>OBJ!B85</f>
        <v>9353348</v>
      </c>
      <c r="AV8" s="21" t="str">
        <f>VLOOKUP(AU8,CENY!$B$11:$G$1054,2,FALSE)</f>
        <v>AvanY-sólo oceľ.boky-NW 139/450mm/strieb.</v>
      </c>
      <c r="AW8" s="22">
        <f>VLOOKUP(AU8,CENY!$B$11:$G$1054,3,FALSE)</f>
        <v>1</v>
      </c>
      <c r="AX8" s="362">
        <v>6</v>
      </c>
      <c r="AY8" s="23">
        <f>W19+W20+W25</f>
        <v>0</v>
      </c>
      <c r="AZ8" s="326">
        <f t="shared" si="0"/>
        <v>0</v>
      </c>
      <c r="BA8" s="95">
        <f>VLOOKUP(AU8,CENY!$B$11:$M$2025,12,FALSE)</f>
        <v>660.82442000000003</v>
      </c>
      <c r="BB8" s="95">
        <f t="shared" si="1"/>
        <v>0</v>
      </c>
      <c r="BD8" s="319">
        <f>OBJ!B96</f>
        <v>9255031</v>
      </c>
      <c r="BE8" s="21" t="str">
        <f>VLOOKUP(BD8,CENY!$B$11:$G$1054,2,FALSE)</f>
        <v>AvanY-bok pravý /v139/h350/ strieborná</v>
      </c>
      <c r="BF8" s="22">
        <f>VLOOKUP(BD8,CENY!$B$11:$G$1054,3,FALSE)</f>
        <v>20</v>
      </c>
      <c r="BG8" s="22"/>
      <c r="BH8" s="23">
        <f>AY6</f>
        <v>0</v>
      </c>
      <c r="BI8" s="326">
        <f t="shared" si="2"/>
        <v>0</v>
      </c>
      <c r="BJ8" s="95">
        <f>VLOOKUP(BD8,CENY!$B$11:$M$2025,12,FALSE)</f>
        <v>273.01260000000002</v>
      </c>
      <c r="BK8" s="95">
        <f t="shared" si="3"/>
        <v>0</v>
      </c>
    </row>
    <row r="9" spans="1:63" ht="14.4" customHeight="1">
      <c r="B9" s="550"/>
      <c r="C9" s="558"/>
      <c r="D9" s="558"/>
      <c r="E9" s="559"/>
      <c r="F9" s="560"/>
      <c r="G9" s="561"/>
      <c r="H9" s="561"/>
      <c r="I9" s="561"/>
      <c r="J9" s="561"/>
      <c r="K9" s="562"/>
      <c r="AU9" s="319">
        <f>OBJ!B86</f>
        <v>9353349</v>
      </c>
      <c r="AV9" s="21" t="str">
        <f>VLOOKUP(AU9,CENY!$B$11:$G$1054,2,FALSE)</f>
        <v>AvanY-sólo oceľ.boky-NW 139/500mm/strieb.</v>
      </c>
      <c r="AW9" s="22">
        <f>VLOOKUP(AU9,CENY!$B$11:$G$1054,3,FALSE)</f>
        <v>1</v>
      </c>
      <c r="AX9" s="362">
        <v>8</v>
      </c>
      <c r="AY9" s="23">
        <f>Y19+Y20+Y25</f>
        <v>0</v>
      </c>
      <c r="AZ9" s="326">
        <f t="shared" si="0"/>
        <v>0</v>
      </c>
      <c r="BA9" s="95">
        <f>VLOOKUP(AU9,CENY!$B$11:$M$2025,12,FALSE)</f>
        <v>670.01910999999996</v>
      </c>
      <c r="BB9" s="95">
        <f t="shared" si="1"/>
        <v>0</v>
      </c>
      <c r="BD9" s="319">
        <f>OBJ!B97</f>
        <v>9255032</v>
      </c>
      <c r="BE9" s="21" t="str">
        <f>VLOOKUP(BD9,CENY!$B$11:$G$1054,2,FALSE)</f>
        <v>AvanY-bok ľavý /v139/h400/ strieborná</v>
      </c>
      <c r="BF9" s="22">
        <f>VLOOKUP(BD9,CENY!$B$11:$G$1054,3,FALSE)</f>
        <v>20</v>
      </c>
      <c r="BG9" s="22"/>
      <c r="BH9" s="23">
        <f>AY7</f>
        <v>0</v>
      </c>
      <c r="BI9" s="326">
        <f t="shared" si="2"/>
        <v>0</v>
      </c>
      <c r="BJ9" s="95">
        <f>VLOOKUP(BD9,CENY!$B$11:$M$2025,12,FALSE)</f>
        <v>277.95048000000003</v>
      </c>
      <c r="BK9" s="95">
        <f t="shared" si="3"/>
        <v>0</v>
      </c>
    </row>
    <row r="10" spans="1:63" ht="14.4" customHeight="1">
      <c r="B10" s="549" t="str">
        <f>" "&amp;verze!E57</f>
        <v xml:space="preserve"> čelní kování:</v>
      </c>
      <c r="C10" s="549"/>
      <c r="D10" s="549"/>
      <c r="E10" s="549"/>
      <c r="F10" s="563" t="str">
        <f>" "&amp;FORM!AM8</f>
        <v xml:space="preserve"> na vruty</v>
      </c>
      <c r="G10" s="563"/>
      <c r="H10" s="563"/>
      <c r="I10" s="563"/>
      <c r="J10" s="563"/>
      <c r="K10" s="563"/>
      <c r="AU10" s="319">
        <f>OBJ!B87</f>
        <v>9353350</v>
      </c>
      <c r="AV10" s="21" t="str">
        <f>VLOOKUP(AU10,CENY!$B$11:$G$1054,2,FALSE)</f>
        <v>AvanY-sólo oceľ.boky-NW 139/550mm/strieb.</v>
      </c>
      <c r="AW10" s="22">
        <f>VLOOKUP(AU10,CENY!$B$11:$G$1054,3,FALSE)</f>
        <v>1</v>
      </c>
      <c r="AX10" s="362">
        <v>8</v>
      </c>
      <c r="AY10" s="23">
        <f>AA19+AA20+AA25</f>
        <v>0</v>
      </c>
      <c r="AZ10" s="326">
        <f t="shared" si="0"/>
        <v>0</v>
      </c>
      <c r="BA10" s="95">
        <f>VLOOKUP(AU10,CENY!$B$11:$M$2025,12,FALSE)</f>
        <v>697.76926000000003</v>
      </c>
      <c r="BB10" s="95">
        <f t="shared" si="1"/>
        <v>0</v>
      </c>
      <c r="BD10" s="319">
        <f>OBJ!B98</f>
        <v>9255033</v>
      </c>
      <c r="BE10" s="21" t="str">
        <f>VLOOKUP(BD10,CENY!$B$11:$G$1054,2,FALSE)</f>
        <v>AvanY-bok pravý /v139/h400/ strieborná</v>
      </c>
      <c r="BF10" s="22">
        <f>VLOOKUP(BD10,CENY!$B$11:$G$1054,3,FALSE)</f>
        <v>20</v>
      </c>
      <c r="BG10" s="22"/>
      <c r="BH10" s="23">
        <f>AY7</f>
        <v>0</v>
      </c>
      <c r="BI10" s="326">
        <f t="shared" si="2"/>
        <v>0</v>
      </c>
      <c r="BJ10" s="95">
        <f>VLOOKUP(BD10,CENY!$B$11:$M$2025,12,FALSE)</f>
        <v>277.95048000000003</v>
      </c>
      <c r="BK10" s="95">
        <f t="shared" si="3"/>
        <v>0</v>
      </c>
    </row>
    <row r="11" spans="1:63" ht="14.4" customHeight="1">
      <c r="B11" s="549" t="str">
        <f>" "&amp;verze!E76</f>
        <v xml:space="preserve"> krytka:</v>
      </c>
      <c r="C11" s="549"/>
      <c r="D11" s="549"/>
      <c r="E11" s="549"/>
      <c r="F11" s="563" t="str">
        <f>" "&amp;FORM!AM21</f>
        <v xml:space="preserve"> žádná</v>
      </c>
      <c r="G11" s="563"/>
      <c r="H11" s="563"/>
      <c r="I11" s="563"/>
      <c r="J11" s="563"/>
      <c r="K11" s="563"/>
      <c r="AU11" s="319">
        <f>OBJ!B88</f>
        <v>9353351</v>
      </c>
      <c r="AV11" s="21" t="str">
        <f>VLOOKUP(AU11,CENY!$B$11:$G$1054,2,FALSE)</f>
        <v>AvanY-sólo oceľ.boky-NW 139/600mm/strieb.</v>
      </c>
      <c r="AW11" s="22">
        <f>VLOOKUP(AU11,CENY!$B$11:$G$1054,3,FALSE)</f>
        <v>1</v>
      </c>
      <c r="AX11" s="362">
        <v>8</v>
      </c>
      <c r="AY11" s="23">
        <f>AC19+AC20+AC25</f>
        <v>0</v>
      </c>
      <c r="AZ11" s="326">
        <f t="shared" si="0"/>
        <v>0</v>
      </c>
      <c r="BA11" s="95">
        <f>VLOOKUP(AU11,CENY!$B$11:$M$2025,12,FALSE)</f>
        <v>712.95127000000002</v>
      </c>
      <c r="BB11" s="95">
        <f t="shared" si="1"/>
        <v>0</v>
      </c>
      <c r="BD11" s="319">
        <f>OBJ!B99</f>
        <v>9255034</v>
      </c>
      <c r="BE11" s="21" t="str">
        <f>VLOOKUP(BD11,CENY!$B$11:$G$1054,2,FALSE)</f>
        <v>AvanY-bok ľavý /v139/h450/ strieborná</v>
      </c>
      <c r="BF11" s="22">
        <f>VLOOKUP(BD11,CENY!$B$11:$G$1054,3,FALSE)</f>
        <v>20</v>
      </c>
      <c r="BG11" s="22"/>
      <c r="BH11" s="23">
        <f>AY8</f>
        <v>0</v>
      </c>
      <c r="BI11" s="326">
        <f t="shared" si="2"/>
        <v>0</v>
      </c>
      <c r="BJ11" s="95">
        <f>VLOOKUP(BD11,CENY!$B$11:$M$2025,12,FALSE)</f>
        <v>282.88328000000001</v>
      </c>
      <c r="BK11" s="95">
        <f t="shared" si="3"/>
        <v>0</v>
      </c>
    </row>
    <row r="12" spans="1:63" ht="14.4" customHeight="1" thickBot="1">
      <c r="B12" s="549"/>
      <c r="C12" s="549"/>
      <c r="D12" s="549"/>
      <c r="E12" s="550"/>
      <c r="F12" s="551"/>
      <c r="G12" s="552"/>
      <c r="H12" s="552"/>
      <c r="I12" s="552"/>
      <c r="J12" s="553"/>
      <c r="K12" s="554"/>
      <c r="AU12" s="319"/>
      <c r="AV12" s="21"/>
      <c r="AW12" s="22"/>
      <c r="AX12" s="22"/>
      <c r="AY12" s="23"/>
      <c r="AZ12" s="326" t="str">
        <f t="shared" si="0"/>
        <v/>
      </c>
      <c r="BA12" s="95"/>
      <c r="BB12" s="95" t="str">
        <f t="shared" si="1"/>
        <v/>
      </c>
      <c r="BD12" s="319">
        <f>OBJ!B100</f>
        <v>9255035</v>
      </c>
      <c r="BE12" s="21" t="str">
        <f>VLOOKUP(BD12,CENY!$B$11:$G$1054,2,FALSE)</f>
        <v>AvanY-bok pravý /v139/h450/ strieborná</v>
      </c>
      <c r="BF12" s="22">
        <f>VLOOKUP(BD12,CENY!$B$11:$G$1054,3,FALSE)</f>
        <v>20</v>
      </c>
      <c r="BG12" s="22"/>
      <c r="BH12" s="23">
        <f>AY8</f>
        <v>0</v>
      </c>
      <c r="BI12" s="326">
        <f t="shared" si="2"/>
        <v>0</v>
      </c>
      <c r="BJ12" s="95">
        <f>VLOOKUP(BD12,CENY!$B$11:$M$2025,12,FALSE)</f>
        <v>282.88328000000001</v>
      </c>
      <c r="BK12" s="95">
        <f t="shared" si="3"/>
        <v>0</v>
      </c>
    </row>
    <row r="13" spans="1:63" ht="14.4" customHeight="1">
      <c r="B13" s="549" t="str">
        <f>" "&amp;verze!E92</f>
        <v xml:space="preserve"> cena kování:</v>
      </c>
      <c r="C13" s="549"/>
      <c r="D13" s="549"/>
      <c r="E13" s="550"/>
      <c r="F13" s="555">
        <f>IF(AW4=1,BB4,BK4)</f>
        <v>0</v>
      </c>
      <c r="G13" s="555"/>
      <c r="H13" s="555"/>
      <c r="I13" s="555"/>
      <c r="J13" s="556" t="str">
        <f>IF(verze!E1="CZK","CZK","EUR")</f>
        <v>CZK</v>
      </c>
      <c r="K13" s="557"/>
      <c r="AU13" s="319">
        <f>OBJ!B113</f>
        <v>9353354</v>
      </c>
      <c r="AV13" s="21" t="str">
        <f>VLOOKUP(AU13,CENY!$B$11:$G$1054,2,FALSE)</f>
        <v>AvanY-sólo oceľ.boky-NW 187/300mm/strieb.</v>
      </c>
      <c r="AW13" s="22">
        <f>VLOOKUP(AU13,CENY!$B$11:$G$1054,3,FALSE)</f>
        <v>1</v>
      </c>
      <c r="AX13" s="362">
        <v>4</v>
      </c>
      <c r="AY13" s="23">
        <f t="shared" ref="AY13:AY19" si="4">AY5</f>
        <v>0</v>
      </c>
      <c r="AZ13" s="326">
        <f t="shared" si="0"/>
        <v>0</v>
      </c>
      <c r="BA13" s="95">
        <f>VLOOKUP(AU13,CENY!$B$11:$M$2025,12,FALSE)</f>
        <v>788.96299999999997</v>
      </c>
      <c r="BB13" s="95">
        <f t="shared" si="1"/>
        <v>0</v>
      </c>
      <c r="BD13" s="319">
        <f>OBJ!B101</f>
        <v>9255036</v>
      </c>
      <c r="BE13" s="21" t="str">
        <f>VLOOKUP(BD13,CENY!$B$11:$G$1054,2,FALSE)</f>
        <v>AvanY-bok ľavý /v139/h500/ strieborná</v>
      </c>
      <c r="BF13" s="22">
        <f>VLOOKUP(BD13,CENY!$B$11:$G$1054,3,FALSE)</f>
        <v>20</v>
      </c>
      <c r="BG13" s="22"/>
      <c r="BH13" s="23">
        <f>AY9</f>
        <v>0</v>
      </c>
      <c r="BI13" s="326">
        <f t="shared" si="2"/>
        <v>0</v>
      </c>
      <c r="BJ13" s="95">
        <f>VLOOKUP(BD13,CENY!$B$11:$M$2025,12,FALSE)</f>
        <v>280.16149000000001</v>
      </c>
      <c r="BK13" s="95">
        <f t="shared" si="3"/>
        <v>0</v>
      </c>
    </row>
    <row r="14" spans="1:63" ht="14.4" customHeight="1">
      <c r="AU14" s="319">
        <f>OBJ!B114</f>
        <v>9353355</v>
      </c>
      <c r="AV14" s="21" t="str">
        <f>VLOOKUP(AU14,CENY!$B$11:$G$1054,2,FALSE)</f>
        <v>AvanY-sólo oceľ.boky-NW 187/350mm/strieb.</v>
      </c>
      <c r="AW14" s="22">
        <f>VLOOKUP(AU14,CENY!$B$11:$G$1054,3,FALSE)</f>
        <v>1</v>
      </c>
      <c r="AX14" s="362">
        <v>6</v>
      </c>
      <c r="AY14" s="23">
        <f t="shared" si="4"/>
        <v>0</v>
      </c>
      <c r="AZ14" s="326">
        <f t="shared" si="0"/>
        <v>0</v>
      </c>
      <c r="BA14" s="95">
        <f>VLOOKUP(AU14,CENY!$B$11:$M$2025,12,FALSE)</f>
        <v>800.95977000000005</v>
      </c>
      <c r="BB14" s="95">
        <f t="shared" si="1"/>
        <v>0</v>
      </c>
      <c r="BD14" s="319">
        <f>OBJ!B102</f>
        <v>9255037</v>
      </c>
      <c r="BE14" s="21" t="str">
        <f>VLOOKUP(BD14,CENY!$B$11:$G$1054,2,FALSE)</f>
        <v>AvanY-bok pravý /v139/h500/ strieborná</v>
      </c>
      <c r="BF14" s="22">
        <f>VLOOKUP(BD14,CENY!$B$11:$G$1054,3,FALSE)</f>
        <v>20</v>
      </c>
      <c r="BG14" s="22"/>
      <c r="BH14" s="23">
        <f>AY9</f>
        <v>0</v>
      </c>
      <c r="BI14" s="326">
        <f t="shared" si="2"/>
        <v>0</v>
      </c>
      <c r="BJ14" s="95">
        <f>VLOOKUP(BD14,CENY!$B$11:$M$2025,12,FALSE)</f>
        <v>280.16149000000001</v>
      </c>
      <c r="BK14" s="95">
        <f t="shared" si="3"/>
        <v>0</v>
      </c>
    </row>
    <row r="15" spans="1:63" ht="14.4" customHeight="1">
      <c r="AU15" s="319">
        <f>OBJ!B115</f>
        <v>9353356</v>
      </c>
      <c r="AV15" s="21" t="str">
        <f>VLOOKUP(AU15,CENY!$B$11:$G$1054,2,FALSE)</f>
        <v>AvanY-sólo oceľ.boky-NW 187/400mm/strieb.</v>
      </c>
      <c r="AW15" s="22">
        <f>VLOOKUP(AU15,CENY!$B$11:$G$1054,3,FALSE)</f>
        <v>1</v>
      </c>
      <c r="AX15" s="362">
        <v>6</v>
      </c>
      <c r="AY15" s="23">
        <f t="shared" si="4"/>
        <v>0</v>
      </c>
      <c r="AZ15" s="326">
        <f t="shared" si="0"/>
        <v>0</v>
      </c>
      <c r="BA15" s="95">
        <f>VLOOKUP(AU15,CENY!$B$11:$M$2025,12,FALSE)</f>
        <v>812.95644000000004</v>
      </c>
      <c r="BB15" s="95">
        <f t="shared" si="1"/>
        <v>0</v>
      </c>
      <c r="BD15" s="319">
        <f>OBJ!B103</f>
        <v>9255038</v>
      </c>
      <c r="BE15" s="21" t="str">
        <f>VLOOKUP(BD15,CENY!$B$11:$G$1054,2,FALSE)</f>
        <v>AvanY-bok ľavý /v139/h550/ strieborná</v>
      </c>
      <c r="BF15" s="22">
        <f>VLOOKUP(BD15,CENY!$B$11:$G$1054,3,FALSE)</f>
        <v>20</v>
      </c>
      <c r="BG15" s="22"/>
      <c r="BH15" s="23">
        <f>AY10</f>
        <v>0</v>
      </c>
      <c r="BI15" s="326">
        <f t="shared" si="2"/>
        <v>0</v>
      </c>
      <c r="BJ15" s="95">
        <f>VLOOKUP(BD15,CENY!$B$11:$M$2025,12,FALSE)</f>
        <v>292.74898000000002</v>
      </c>
      <c r="BK15" s="95">
        <f t="shared" si="3"/>
        <v>0</v>
      </c>
    </row>
    <row r="16" spans="1:63" ht="14.4" customHeight="1">
      <c r="AU16" s="319">
        <f>OBJ!B116</f>
        <v>9353357</v>
      </c>
      <c r="AV16" s="21" t="str">
        <f>VLOOKUP(AU16,CENY!$B$11:$G$1054,2,FALSE)</f>
        <v>AvanY-sólo oceľ.boky-NW 187/450mm/strieb.</v>
      </c>
      <c r="AW16" s="22">
        <f>VLOOKUP(AU16,CENY!$B$11:$G$1054,3,FALSE)</f>
        <v>1</v>
      </c>
      <c r="AX16" s="362">
        <v>6</v>
      </c>
      <c r="AY16" s="23">
        <f t="shared" si="4"/>
        <v>0</v>
      </c>
      <c r="AZ16" s="326">
        <f t="shared" si="0"/>
        <v>0</v>
      </c>
      <c r="BA16" s="95">
        <f>VLOOKUP(AU16,CENY!$B$11:$M$2025,12,FALSE)</f>
        <v>803.01720999999998</v>
      </c>
      <c r="BB16" s="95">
        <f t="shared" si="1"/>
        <v>0</v>
      </c>
      <c r="BD16" s="319">
        <f>OBJ!B104</f>
        <v>9255039</v>
      </c>
      <c r="BE16" s="21" t="str">
        <f>VLOOKUP(BD16,CENY!$B$11:$G$1054,2,FALSE)</f>
        <v>AvanY-bok pravý /v139/h550/ strieborná</v>
      </c>
      <c r="BF16" s="22">
        <f>VLOOKUP(BD16,CENY!$B$11:$G$1054,3,FALSE)</f>
        <v>20</v>
      </c>
      <c r="BG16" s="22"/>
      <c r="BH16" s="23">
        <f>AY10</f>
        <v>0</v>
      </c>
      <c r="BI16" s="326">
        <f t="shared" si="2"/>
        <v>0</v>
      </c>
      <c r="BJ16" s="95">
        <f>VLOOKUP(BD16,CENY!$B$11:$M$2025,12,FALSE)</f>
        <v>292.74898000000002</v>
      </c>
      <c r="BK16" s="95">
        <f t="shared" si="3"/>
        <v>0</v>
      </c>
    </row>
    <row r="17" spans="2:63" ht="14.4" customHeight="1" thickBot="1">
      <c r="B17" s="1" t="s">
        <v>284</v>
      </c>
      <c r="O17" s="547" t="str">
        <f>FORM!U18</f>
        <v>flexibilní sety</v>
      </c>
      <c r="P17" s="548"/>
      <c r="Q17" s="548"/>
      <c r="R17" s="548"/>
      <c r="S17" s="548"/>
      <c r="T17" s="548"/>
      <c r="U17" s="548"/>
      <c r="V17" s="548"/>
      <c r="W17" s="548"/>
      <c r="X17" s="548"/>
      <c r="Y17" s="548"/>
      <c r="Z17" s="548"/>
      <c r="AA17" s="548"/>
      <c r="AB17" s="548"/>
      <c r="AC17" s="548"/>
      <c r="AD17" s="548"/>
      <c r="AE17" s="548"/>
      <c r="AF17" s="548"/>
      <c r="AU17" s="319">
        <f>OBJ!B117</f>
        <v>9353358</v>
      </c>
      <c r="AV17" s="21" t="str">
        <f>VLOOKUP(AU17,CENY!$B$11:$G$1054,2,FALSE)</f>
        <v>AvanY-sólo oceľ.boky-NW 187/500mm/strieb.</v>
      </c>
      <c r="AW17" s="22">
        <f>VLOOKUP(AU17,CENY!$B$11:$G$1054,3,FALSE)</f>
        <v>1</v>
      </c>
      <c r="AX17" s="362">
        <v>8</v>
      </c>
      <c r="AY17" s="23">
        <f t="shared" si="4"/>
        <v>0</v>
      </c>
      <c r="AZ17" s="326">
        <f t="shared" si="0"/>
        <v>0</v>
      </c>
      <c r="BA17" s="95">
        <f>VLOOKUP(AU17,CENY!$B$11:$M$2025,12,FALSE)</f>
        <v>814.69060000000002</v>
      </c>
      <c r="BB17" s="95">
        <f t="shared" si="1"/>
        <v>0</v>
      </c>
      <c r="BD17" s="319">
        <f>OBJ!B105</f>
        <v>9255040</v>
      </c>
      <c r="BE17" s="21" t="str">
        <f>VLOOKUP(BD17,CENY!$B$11:$G$1054,2,FALSE)</f>
        <v>AvanY-bok ľavý /v139/h600/ strieborná</v>
      </c>
      <c r="BF17" s="22">
        <f>VLOOKUP(BD17,CENY!$B$11:$G$1054,3,FALSE)</f>
        <v>20</v>
      </c>
      <c r="BG17" s="22"/>
      <c r="BH17" s="23">
        <f>AY11</f>
        <v>0</v>
      </c>
      <c r="BI17" s="326">
        <f t="shared" si="2"/>
        <v>0</v>
      </c>
      <c r="BJ17" s="95">
        <f>VLOOKUP(BD17,CENY!$B$11:$M$2025,12,FALSE)</f>
        <v>300.18995999999999</v>
      </c>
      <c r="BK17" s="95">
        <f t="shared" si="3"/>
        <v>0</v>
      </c>
    </row>
    <row r="18" spans="2:63" ht="14.4" customHeight="1" thickBot="1">
      <c r="B18" s="96"/>
      <c r="C18" s="96"/>
      <c r="D18" s="96"/>
      <c r="E18" s="96"/>
      <c r="F18" s="96"/>
      <c r="G18" s="96"/>
      <c r="H18" s="72"/>
      <c r="I18" s="72"/>
      <c r="J18" s="72"/>
      <c r="K18" s="72"/>
      <c r="L18" s="72"/>
      <c r="M18" s="72"/>
      <c r="N18" s="72" t="str">
        <f>verze!$E$20&amp;" "</f>
        <v xml:space="preserve">Jmenovitá délka: </v>
      </c>
      <c r="O18" s="535">
        <v>270</v>
      </c>
      <c r="P18" s="536"/>
      <c r="Q18" s="535">
        <v>300</v>
      </c>
      <c r="R18" s="536"/>
      <c r="S18" s="535">
        <v>350</v>
      </c>
      <c r="T18" s="536"/>
      <c r="U18" s="535">
        <v>400</v>
      </c>
      <c r="V18" s="536"/>
      <c r="W18" s="535">
        <v>450</v>
      </c>
      <c r="X18" s="536"/>
      <c r="Y18" s="537">
        <v>500</v>
      </c>
      <c r="Z18" s="538"/>
      <c r="AA18" s="535">
        <v>550</v>
      </c>
      <c r="AB18" s="536"/>
      <c r="AC18" s="535">
        <v>600</v>
      </c>
      <c r="AD18" s="536"/>
      <c r="AE18" s="535">
        <v>650</v>
      </c>
      <c r="AF18" s="536"/>
      <c r="AU18" s="319">
        <f>OBJ!B118</f>
        <v>9353359</v>
      </c>
      <c r="AV18" s="21" t="str">
        <f>VLOOKUP(AU18,CENY!$B$11:$G$1054,2,FALSE)</f>
        <v>AvanY-sólo oceľ.boky-NW 187/550mm/strieb.</v>
      </c>
      <c r="AW18" s="22">
        <f>VLOOKUP(AU18,CENY!$B$11:$G$1054,3,FALSE)</f>
        <v>1</v>
      </c>
      <c r="AX18" s="362">
        <v>8</v>
      </c>
      <c r="AY18" s="23">
        <f t="shared" si="4"/>
        <v>0</v>
      </c>
      <c r="AZ18" s="326">
        <f t="shared" si="0"/>
        <v>0</v>
      </c>
      <c r="BA18" s="95">
        <f>VLOOKUP(AU18,CENY!$B$11:$M$2025,12,FALSE)</f>
        <v>848.94223999999997</v>
      </c>
      <c r="BB18" s="95">
        <f t="shared" si="1"/>
        <v>0</v>
      </c>
      <c r="BD18" s="319">
        <f>OBJ!B106</f>
        <v>9255041</v>
      </c>
      <c r="BE18" s="21" t="str">
        <f>VLOOKUP(BD18,CENY!$B$11:$G$1054,2,FALSE)</f>
        <v>AvanY-bok pravý /v139/h600/ strieborná</v>
      </c>
      <c r="BF18" s="22">
        <f>VLOOKUP(BD18,CENY!$B$11:$G$1054,3,FALSE)</f>
        <v>20</v>
      </c>
      <c r="BG18" s="22"/>
      <c r="BH18" s="23">
        <f>AY11</f>
        <v>0</v>
      </c>
      <c r="BI18" s="326">
        <f t="shared" si="2"/>
        <v>0</v>
      </c>
      <c r="BJ18" s="95">
        <f>VLOOKUP(BD18,CENY!$B$11:$M$2025,12,FALSE)</f>
        <v>300.18995999999999</v>
      </c>
      <c r="BK18" s="95">
        <f t="shared" si="3"/>
        <v>0</v>
      </c>
    </row>
    <row r="19" spans="2:63" ht="14.4" customHeight="1" thickBot="1">
      <c r="B19" s="521" t="s">
        <v>290</v>
      </c>
      <c r="C19" s="521"/>
      <c r="D19" s="521"/>
      <c r="E19" s="521"/>
      <c r="F19" s="521"/>
      <c r="G19" s="521"/>
      <c r="H19" s="522" t="str">
        <f>verze!E18</f>
        <v>plnovýsuv</v>
      </c>
      <c r="I19" s="522"/>
      <c r="J19" s="522"/>
      <c r="K19" s="522"/>
      <c r="L19" s="522"/>
      <c r="M19" s="532" t="s">
        <v>287</v>
      </c>
      <c r="N19" s="533"/>
      <c r="O19" s="280"/>
      <c r="P19" s="281"/>
      <c r="Q19" s="604"/>
      <c r="R19" s="568"/>
      <c r="S19" s="567"/>
      <c r="T19" s="568"/>
      <c r="U19" s="567"/>
      <c r="V19" s="568"/>
      <c r="W19" s="567"/>
      <c r="X19" s="568"/>
      <c r="Y19" s="567"/>
      <c r="Z19" s="568"/>
      <c r="AA19" s="567"/>
      <c r="AB19" s="568"/>
      <c r="AC19" s="567"/>
      <c r="AD19" s="603"/>
      <c r="AE19" s="280"/>
      <c r="AF19" s="281"/>
      <c r="AU19" s="319">
        <f>OBJ!B119</f>
        <v>9353360</v>
      </c>
      <c r="AV19" s="21" t="str">
        <f>VLOOKUP(AU19,CENY!$B$11:$G$1054,2,FALSE)</f>
        <v>AvanY-sólo oceľ.boky-NW 187/600mm/strieb.</v>
      </c>
      <c r="AW19" s="22">
        <f>VLOOKUP(AU19,CENY!$B$11:$G$1054,3,FALSE)</f>
        <v>1</v>
      </c>
      <c r="AX19" s="362">
        <v>8</v>
      </c>
      <c r="AY19" s="23">
        <f t="shared" si="4"/>
        <v>0</v>
      </c>
      <c r="AZ19" s="326">
        <f t="shared" si="0"/>
        <v>0</v>
      </c>
      <c r="BA19" s="95">
        <f>VLOOKUP(AU19,CENY!$B$11:$M$2025,12,FALSE)</f>
        <v>867.96834999999999</v>
      </c>
      <c r="BB19" s="95">
        <f t="shared" si="1"/>
        <v>0</v>
      </c>
      <c r="BD19" s="319"/>
      <c r="BE19" s="21"/>
      <c r="BF19" s="22"/>
      <c r="BG19" s="22"/>
      <c r="BH19" s="23"/>
      <c r="BI19" s="326" t="str">
        <f t="shared" si="2"/>
        <v/>
      </c>
      <c r="BJ19" s="95"/>
      <c r="BK19" s="95" t="str">
        <f t="shared" si="3"/>
        <v/>
      </c>
    </row>
    <row r="20" spans="2:63" ht="14.4" customHeight="1" thickBot="1">
      <c r="B20" s="544" t="s">
        <v>291</v>
      </c>
      <c r="C20" s="544"/>
      <c r="D20" s="544"/>
      <c r="E20" s="544"/>
      <c r="F20" s="544"/>
      <c r="G20" s="544"/>
      <c r="H20" s="545" t="str">
        <f>verze!E18</f>
        <v>plnovýsuv</v>
      </c>
      <c r="I20" s="545"/>
      <c r="J20" s="545"/>
      <c r="K20" s="545"/>
      <c r="L20" s="545"/>
      <c r="M20" s="523" t="s">
        <v>288</v>
      </c>
      <c r="N20" s="524"/>
      <c r="O20" s="518"/>
      <c r="P20" s="519"/>
      <c r="Q20" s="518"/>
      <c r="R20" s="519"/>
      <c r="S20" s="518"/>
      <c r="T20" s="519"/>
      <c r="U20" s="518"/>
      <c r="V20" s="519"/>
      <c r="W20" s="516"/>
      <c r="X20" s="517"/>
      <c r="Y20" s="516"/>
      <c r="Z20" s="517"/>
      <c r="AA20" s="516"/>
      <c r="AB20" s="517"/>
      <c r="AC20" s="516"/>
      <c r="AD20" s="517"/>
      <c r="AE20" s="608"/>
      <c r="AF20" s="609"/>
      <c r="AU20" s="319"/>
      <c r="AV20" s="21"/>
      <c r="AW20" s="22"/>
      <c r="AX20" s="22"/>
      <c r="AY20" s="23"/>
      <c r="AZ20" s="326" t="str">
        <f t="shared" si="0"/>
        <v/>
      </c>
      <c r="BA20" s="95"/>
      <c r="BB20" s="95" t="str">
        <f t="shared" si="1"/>
        <v/>
      </c>
      <c r="BD20" s="319">
        <f>OBJ!B124</f>
        <v>9255046</v>
      </c>
      <c r="BE20" s="21" t="str">
        <f>VLOOKUP(BD20,CENY!$B$11:$G$1054,2,FALSE)</f>
        <v>AvanY-bok ľavý /v187/h300/ strieborná</v>
      </c>
      <c r="BF20" s="22">
        <f>VLOOKUP(BD20,CENY!$B$11:$G$1054,3,FALSE)</f>
        <v>10</v>
      </c>
      <c r="BG20" s="22"/>
      <c r="BH20" s="23">
        <f t="shared" ref="BH20:BH33" si="5">BH5</f>
        <v>0</v>
      </c>
      <c r="BI20" s="326">
        <f t="shared" si="2"/>
        <v>0</v>
      </c>
      <c r="BJ20" s="95">
        <f>VLOOKUP(BD20,CENY!$B$11:$M$2025,12,FALSE)</f>
        <v>347.69150999999999</v>
      </c>
      <c r="BK20" s="95">
        <f t="shared" si="3"/>
        <v>0</v>
      </c>
    </row>
    <row r="21" spans="2:63" ht="14.4" customHeight="1">
      <c r="O21" s="4"/>
      <c r="P21" s="4"/>
      <c r="AU21" s="319">
        <f>OBJ!B72</f>
        <v>9347503</v>
      </c>
      <c r="AV21" s="21" t="str">
        <f>VLOOKUP(AU21,CENY!$B$11:$G$1054,2,FALSE)</f>
        <v>AvanY-design ALprofil Hybrid na bok 300/ strieb.</v>
      </c>
      <c r="AW21" s="22">
        <f>VLOOKUP(AU21,CENY!$B$11:$G$1054,3,FALSE)</f>
        <v>200</v>
      </c>
      <c r="AX21" s="22"/>
      <c r="AY21" s="23">
        <f>IF(FORM!AM18=FORM!AU16,0,4*(Q19+Q25))</f>
        <v>0</v>
      </c>
      <c r="AZ21" s="326">
        <f t="shared" si="0"/>
        <v>0</v>
      </c>
      <c r="BA21" s="95">
        <f>VLOOKUP(AU21,CENY!$B$11:$M$2025,12,FALSE)</f>
        <v>20.006769999999999</v>
      </c>
      <c r="BB21" s="95">
        <f t="shared" si="1"/>
        <v>0</v>
      </c>
      <c r="BD21" s="319">
        <f>OBJ!B125</f>
        <v>9255047</v>
      </c>
      <c r="BE21" s="21" t="str">
        <f>VLOOKUP(BD21,CENY!$B$11:$G$1054,2,FALSE)</f>
        <v>AvanY-bok pravý /v187/h300/ strieborná</v>
      </c>
      <c r="BF21" s="22">
        <f>VLOOKUP(BD21,CENY!$B$11:$G$1054,3,FALSE)</f>
        <v>10</v>
      </c>
      <c r="BG21" s="22"/>
      <c r="BH21" s="23">
        <f t="shared" si="5"/>
        <v>0</v>
      </c>
      <c r="BI21" s="326">
        <f t="shared" si="2"/>
        <v>0</v>
      </c>
      <c r="BJ21" s="95">
        <f>VLOOKUP(BD21,CENY!$B$11:$M$2025,12,FALSE)</f>
        <v>347.69150999999999</v>
      </c>
      <c r="BK21" s="95">
        <f t="shared" si="3"/>
        <v>0</v>
      </c>
    </row>
    <row r="22" spans="2:63" ht="14.4" customHeight="1">
      <c r="AU22" s="319">
        <f>OBJ!B73</f>
        <v>9347504</v>
      </c>
      <c r="AV22" s="21" t="str">
        <f>VLOOKUP(AU22,CENY!$B$11:$G$1054,2,FALSE)</f>
        <v>AvanY-design ALprofil Hybrid na bok 350/ strieb.</v>
      </c>
      <c r="AW22" s="22">
        <f>VLOOKUP(AU22,CENY!$B$11:$G$1054,3,FALSE)</f>
        <v>200</v>
      </c>
      <c r="AX22" s="22"/>
      <c r="AY22" s="23">
        <f>IF(FORM!AM18=FORM!AU16,0,4*(S19+S25))</f>
        <v>0</v>
      </c>
      <c r="AZ22" s="326">
        <f t="shared" si="0"/>
        <v>0</v>
      </c>
      <c r="BA22" s="95">
        <f>VLOOKUP(AU22,CENY!$B$11:$M$2025,12,FALSE)</f>
        <v>20.37642</v>
      </c>
      <c r="BB22" s="95">
        <f t="shared" si="1"/>
        <v>0</v>
      </c>
      <c r="BD22" s="319">
        <f>OBJ!B126</f>
        <v>9255048</v>
      </c>
      <c r="BE22" s="21" t="str">
        <f>VLOOKUP(BD22,CENY!$B$11:$G$1054,2,FALSE)</f>
        <v>AvanY-bok ľavý /v187/h350/ strieborná</v>
      </c>
      <c r="BF22" s="22">
        <f>VLOOKUP(BD22,CENY!$B$11:$G$1054,3,FALSE)</f>
        <v>10</v>
      </c>
      <c r="BG22" s="22"/>
      <c r="BH22" s="23">
        <f t="shared" si="5"/>
        <v>0</v>
      </c>
      <c r="BI22" s="326">
        <f t="shared" si="2"/>
        <v>0</v>
      </c>
      <c r="BJ22" s="95">
        <f>VLOOKUP(BD22,CENY!$B$11:$M$2025,12,FALSE)</f>
        <v>354.09370999999999</v>
      </c>
      <c r="BK22" s="95">
        <f t="shared" si="3"/>
        <v>0</v>
      </c>
    </row>
    <row r="23" spans="2:63" ht="14.4" customHeight="1" thickBot="1">
      <c r="B23" s="2" t="s">
        <v>285</v>
      </c>
      <c r="AU23" s="319">
        <f>OBJ!B74</f>
        <v>9347505</v>
      </c>
      <c r="AV23" s="21" t="str">
        <f>VLOOKUP(AU23,CENY!$B$11:$G$1054,2,FALSE)</f>
        <v>AvanY-design ALprofil Hybrid na bok 400/ strieb.</v>
      </c>
      <c r="AW23" s="22">
        <f>VLOOKUP(AU23,CENY!$B$11:$G$1054,3,FALSE)</f>
        <v>200</v>
      </c>
      <c r="AX23" s="22"/>
      <c r="AY23" s="23">
        <f>IF(FORM!AM18=FORM!AU16,0,4*(U19+U25))</f>
        <v>0</v>
      </c>
      <c r="AZ23" s="326">
        <f t="shared" si="0"/>
        <v>0</v>
      </c>
      <c r="BA23" s="95">
        <f>VLOOKUP(AU23,CENY!$B$11:$M$2025,12,FALSE)</f>
        <v>20.742249999999999</v>
      </c>
      <c r="BB23" s="95">
        <f t="shared" si="1"/>
        <v>0</v>
      </c>
      <c r="BD23" s="319">
        <f>OBJ!B127</f>
        <v>9255049</v>
      </c>
      <c r="BE23" s="21" t="str">
        <f>VLOOKUP(BD23,CENY!$B$11:$G$1054,2,FALSE)</f>
        <v>AvanY-bok pravý /v187/h350/ strieborná</v>
      </c>
      <c r="BF23" s="22">
        <f>VLOOKUP(BD23,CENY!$B$11:$G$1054,3,FALSE)</f>
        <v>10</v>
      </c>
      <c r="BG23" s="22"/>
      <c r="BH23" s="23">
        <f t="shared" si="5"/>
        <v>0</v>
      </c>
      <c r="BI23" s="326">
        <f t="shared" si="2"/>
        <v>0</v>
      </c>
      <c r="BJ23" s="95">
        <f>VLOOKUP(BD23,CENY!$B$11:$M$2025,12,FALSE)</f>
        <v>354.09370999999999</v>
      </c>
      <c r="BK23" s="95">
        <f t="shared" si="3"/>
        <v>0</v>
      </c>
    </row>
    <row r="24" spans="2:63" ht="14.4" customHeight="1" thickBot="1">
      <c r="B24" s="96"/>
      <c r="C24" s="96"/>
      <c r="D24" s="96"/>
      <c r="E24" s="96"/>
      <c r="F24" s="96"/>
      <c r="G24" s="96"/>
      <c r="H24" s="72"/>
      <c r="I24" s="72"/>
      <c r="J24" s="72"/>
      <c r="K24" s="72"/>
      <c r="L24" s="72"/>
      <c r="M24" s="72"/>
      <c r="N24" s="72" t="str">
        <f>verze!$E$20&amp;" "</f>
        <v xml:space="preserve">Jmenovitá délka: </v>
      </c>
      <c r="O24" s="535">
        <v>270</v>
      </c>
      <c r="P24" s="536"/>
      <c r="Q24" s="535">
        <v>300</v>
      </c>
      <c r="R24" s="536"/>
      <c r="S24" s="535">
        <v>350</v>
      </c>
      <c r="T24" s="536"/>
      <c r="U24" s="535">
        <v>400</v>
      </c>
      <c r="V24" s="536"/>
      <c r="W24" s="535">
        <v>450</v>
      </c>
      <c r="X24" s="536"/>
      <c r="Y24" s="537">
        <v>500</v>
      </c>
      <c r="Z24" s="538"/>
      <c r="AA24" s="535">
        <v>550</v>
      </c>
      <c r="AB24" s="536"/>
      <c r="AC24" s="535">
        <v>600</v>
      </c>
      <c r="AD24" s="536"/>
      <c r="AU24" s="319">
        <f>OBJ!B75</f>
        <v>9347506</v>
      </c>
      <c r="AV24" s="21" t="str">
        <f>VLOOKUP(AU24,CENY!$B$11:$G$1054,2,FALSE)</f>
        <v>AvanY-design ALprofil Hybrid na bok 450/ strieb.</v>
      </c>
      <c r="AW24" s="22">
        <f>VLOOKUP(AU24,CENY!$B$11:$G$1054,3,FALSE)</f>
        <v>200</v>
      </c>
      <c r="AX24" s="22"/>
      <c r="AY24" s="23">
        <f>IF(FORM!AM18=FORM!AU16,0,4*(W19+W20+W25))</f>
        <v>0</v>
      </c>
      <c r="AZ24" s="326">
        <f t="shared" si="0"/>
        <v>0</v>
      </c>
      <c r="BA24" s="95">
        <f>VLOOKUP(AU24,CENY!$B$11:$M$2025,12,FALSE)</f>
        <v>21.111910000000002</v>
      </c>
      <c r="BB24" s="95">
        <f t="shared" si="1"/>
        <v>0</v>
      </c>
      <c r="BD24" s="319">
        <f>OBJ!B128</f>
        <v>9255050</v>
      </c>
      <c r="BE24" s="21" t="str">
        <f>VLOOKUP(BD24,CENY!$B$11:$G$1054,2,FALSE)</f>
        <v>AvanY-bok ľavý /v187/h400/ strieborná</v>
      </c>
      <c r="BF24" s="22">
        <f>VLOOKUP(BD24,CENY!$B$11:$G$1054,3,FALSE)</f>
        <v>10</v>
      </c>
      <c r="BG24" s="22"/>
      <c r="BH24" s="23">
        <f t="shared" si="5"/>
        <v>0</v>
      </c>
      <c r="BI24" s="326">
        <f t="shared" si="2"/>
        <v>0</v>
      </c>
      <c r="BJ24" s="95">
        <f>VLOOKUP(BD24,CENY!$B$11:$M$2025,12,FALSE)</f>
        <v>360.48838000000001</v>
      </c>
      <c r="BK24" s="95">
        <f t="shared" si="3"/>
        <v>0</v>
      </c>
    </row>
    <row r="25" spans="2:63" ht="14.4" customHeight="1" thickBot="1">
      <c r="B25" s="521" t="s">
        <v>372</v>
      </c>
      <c r="C25" s="521"/>
      <c r="D25" s="521"/>
      <c r="E25" s="521"/>
      <c r="F25" s="521"/>
      <c r="G25" s="521"/>
      <c r="H25" s="522" t="str">
        <f>verze!E18</f>
        <v>plnovýsuv</v>
      </c>
      <c r="I25" s="522"/>
      <c r="J25" s="522"/>
      <c r="K25" s="522"/>
      <c r="L25" s="522"/>
      <c r="M25" s="532" t="s">
        <v>1</v>
      </c>
      <c r="N25" s="533"/>
      <c r="O25" s="606"/>
      <c r="P25" s="607"/>
      <c r="Q25" s="604"/>
      <c r="R25" s="603"/>
      <c r="S25" s="604"/>
      <c r="T25" s="568"/>
      <c r="U25" s="604"/>
      <c r="V25" s="568"/>
      <c r="W25" s="604"/>
      <c r="X25" s="568"/>
      <c r="Y25" s="604"/>
      <c r="Z25" s="568"/>
      <c r="AA25" s="604"/>
      <c r="AB25" s="568"/>
      <c r="AC25" s="516"/>
      <c r="AD25" s="602"/>
      <c r="AU25" s="319">
        <f>OBJ!B76</f>
        <v>9347507</v>
      </c>
      <c r="AV25" s="21" t="str">
        <f>VLOOKUP(AU25,CENY!$B$11:$G$1054,2,FALSE)</f>
        <v>AvanY-design ALprofil Hybrid na bok 500/ strieb.</v>
      </c>
      <c r="AW25" s="22">
        <f>VLOOKUP(AU25,CENY!$B$11:$G$1054,3,FALSE)</f>
        <v>200</v>
      </c>
      <c r="AX25" s="22"/>
      <c r="AY25" s="23">
        <f>IF(FORM!AM18=FORM!AU16,0,4*(Y19+Y20+Y25))</f>
        <v>0</v>
      </c>
      <c r="AZ25" s="326">
        <f t="shared" si="0"/>
        <v>0</v>
      </c>
      <c r="BA25" s="95">
        <f>VLOOKUP(AU25,CENY!$B$11:$M$2025,12,FALSE)</f>
        <v>21.479700000000001</v>
      </c>
      <c r="BB25" s="95">
        <f t="shared" si="1"/>
        <v>0</v>
      </c>
      <c r="BD25" s="319">
        <f>OBJ!B129</f>
        <v>9255051</v>
      </c>
      <c r="BE25" s="21" t="str">
        <f>VLOOKUP(BD25,CENY!$B$11:$G$1054,2,FALSE)</f>
        <v>AvanY-bok pravý /v187/h400/ strieborná</v>
      </c>
      <c r="BF25" s="22">
        <f>VLOOKUP(BD25,CENY!$B$11:$G$1054,3,FALSE)</f>
        <v>10</v>
      </c>
      <c r="BG25" s="22"/>
      <c r="BH25" s="23">
        <f t="shared" si="5"/>
        <v>0</v>
      </c>
      <c r="BI25" s="326">
        <f t="shared" si="2"/>
        <v>0</v>
      </c>
      <c r="BJ25" s="95">
        <f>VLOOKUP(BD25,CENY!$B$11:$M$2025,12,FALSE)</f>
        <v>360.48838000000001</v>
      </c>
      <c r="BK25" s="95">
        <f t="shared" si="3"/>
        <v>0</v>
      </c>
    </row>
    <row r="26" spans="2:63" ht="14.4" customHeight="1" thickBot="1">
      <c r="O26" s="342"/>
      <c r="P26" s="343"/>
      <c r="Q26" s="342"/>
      <c r="R26" s="343"/>
      <c r="S26" s="342"/>
      <c r="T26" s="343"/>
      <c r="U26" s="342"/>
      <c r="V26" s="343"/>
      <c r="W26" s="342"/>
      <c r="X26" s="343"/>
      <c r="Y26" s="342"/>
      <c r="Z26" s="343"/>
      <c r="AA26" s="342"/>
      <c r="AB26" s="343"/>
      <c r="AC26" s="342"/>
      <c r="AD26" s="343"/>
      <c r="AU26" s="319">
        <f>OBJ!B77</f>
        <v>9347508</v>
      </c>
      <c r="AV26" s="21" t="str">
        <f>VLOOKUP(AU26,CENY!$B$11:$G$1054,2,FALSE)</f>
        <v>AvanY-design ALprofil Hybrid na bok 550/ strieb.</v>
      </c>
      <c r="AW26" s="22">
        <f>VLOOKUP(AU26,CENY!$B$11:$G$1054,3,FALSE)</f>
        <v>200</v>
      </c>
      <c r="AX26" s="22"/>
      <c r="AY26" s="23">
        <f>IF(FORM!AM18=FORM!AU16,0,4*(AA19+AA20+AA25))</f>
        <v>0</v>
      </c>
      <c r="AZ26" s="326">
        <f t="shared" si="0"/>
        <v>0</v>
      </c>
      <c r="BA26" s="95">
        <f>VLOOKUP(AU26,CENY!$B$11:$M$2025,12,FALSE)</f>
        <v>21.84564</v>
      </c>
      <c r="BB26" s="95">
        <f t="shared" si="1"/>
        <v>0</v>
      </c>
      <c r="BD26" s="319">
        <f>OBJ!B130</f>
        <v>9255052</v>
      </c>
      <c r="BE26" s="21" t="str">
        <f>VLOOKUP(BD26,CENY!$B$11:$G$1054,2,FALSE)</f>
        <v>AvanY-bok ľavý /v187/h450/ strieborná</v>
      </c>
      <c r="BF26" s="22">
        <f>VLOOKUP(BD26,CENY!$B$11:$G$1054,3,FALSE)</f>
        <v>10</v>
      </c>
      <c r="BG26" s="22"/>
      <c r="BH26" s="23">
        <f t="shared" si="5"/>
        <v>0</v>
      </c>
      <c r="BI26" s="326">
        <f t="shared" si="2"/>
        <v>0</v>
      </c>
      <c r="BJ26" s="95">
        <f>VLOOKUP(BD26,CENY!$B$11:$M$2025,12,FALSE)</f>
        <v>357.13297</v>
      </c>
      <c r="BK26" s="95">
        <f t="shared" si="3"/>
        <v>0</v>
      </c>
    </row>
    <row r="27" spans="2:63" ht="14.4" customHeight="1">
      <c r="B27" s="366" t="str">
        <f>verze!E201</f>
        <v>SiSy = tlumení Silent System</v>
      </c>
      <c r="AU27" s="319">
        <f>OBJ!B78</f>
        <v>9347509</v>
      </c>
      <c r="AV27" s="21" t="str">
        <f>VLOOKUP(AU27,CENY!$B$11:$G$1054,2,FALSE)</f>
        <v>AvanY-design ALprofil Hybrid na bok 600/ strieb.</v>
      </c>
      <c r="AW27" s="22">
        <f>VLOOKUP(AU27,CENY!$B$11:$G$1054,3,FALSE)</f>
        <v>200</v>
      </c>
      <c r="AX27" s="22"/>
      <c r="AY27" s="23">
        <f>IF(FORM!AM18=FORM!AU16,0,4*(AC19+AC20+AC25))</f>
        <v>0</v>
      </c>
      <c r="AZ27" s="326">
        <f t="shared" si="0"/>
        <v>0</v>
      </c>
      <c r="BA27" s="95">
        <f>VLOOKUP(AU27,CENY!$B$11:$M$2025,12,FALSE)</f>
        <v>22.79205</v>
      </c>
      <c r="BB27" s="95">
        <f t="shared" si="1"/>
        <v>0</v>
      </c>
      <c r="BD27" s="319">
        <f>OBJ!B131</f>
        <v>9255053</v>
      </c>
      <c r="BE27" s="21" t="str">
        <f>VLOOKUP(BD27,CENY!$B$11:$G$1054,2,FALSE)</f>
        <v>AvanY-bok pravý /v187/h450/ strieborná</v>
      </c>
      <c r="BF27" s="22">
        <f>VLOOKUP(BD27,CENY!$B$11:$G$1054,3,FALSE)</f>
        <v>10</v>
      </c>
      <c r="BG27" s="22"/>
      <c r="BH27" s="23">
        <f t="shared" si="5"/>
        <v>0</v>
      </c>
      <c r="BI27" s="326">
        <f t="shared" si="2"/>
        <v>0</v>
      </c>
      <c r="BJ27" s="95">
        <f>VLOOKUP(BD27,CENY!$B$11:$M$2025,12,FALSE)</f>
        <v>357.13297</v>
      </c>
      <c r="BK27" s="95">
        <f t="shared" si="3"/>
        <v>0</v>
      </c>
    </row>
    <row r="28" spans="2:63" ht="14.4" customHeight="1">
      <c r="B28" s="366"/>
      <c r="O28" s="341" t="str">
        <f>verze!E189</f>
        <v>Maximální výška korpusu skříňky = 750mm.   Maximální šířka korpusu skříňky = 300mm.</v>
      </c>
      <c r="AU28" s="319"/>
      <c r="AV28" s="21"/>
      <c r="AW28" s="22"/>
      <c r="AX28" s="22"/>
      <c r="AY28" s="23"/>
      <c r="AZ28" s="326" t="str">
        <f t="shared" si="0"/>
        <v/>
      </c>
      <c r="BA28" s="95"/>
      <c r="BB28" s="95" t="str">
        <f t="shared" si="1"/>
        <v/>
      </c>
      <c r="BD28" s="319">
        <f>OBJ!B132</f>
        <v>9255054</v>
      </c>
      <c r="BE28" s="21" t="str">
        <f>VLOOKUP(BD28,CENY!$B$11:$G$1054,2,FALSE)</f>
        <v>AvanY-bok ľavý /v187/h500/ strieborná</v>
      </c>
      <c r="BF28" s="22">
        <f>VLOOKUP(BD28,CENY!$B$11:$G$1054,3,FALSE)</f>
        <v>10</v>
      </c>
      <c r="BG28" s="22"/>
      <c r="BH28" s="23">
        <f t="shared" si="5"/>
        <v>0</v>
      </c>
      <c r="BI28" s="326">
        <f t="shared" si="2"/>
        <v>0</v>
      </c>
      <c r="BJ28" s="95">
        <f>VLOOKUP(BD28,CENY!$B$11:$M$2025,12,FALSE)</f>
        <v>363.36250999999999</v>
      </c>
      <c r="BK28" s="95">
        <f t="shared" si="3"/>
        <v>0</v>
      </c>
    </row>
    <row r="29" spans="2:63" ht="14.4" customHeight="1">
      <c r="B29" s="366"/>
      <c r="Q29" s="341"/>
      <c r="AU29" s="319">
        <f>OBJ!B244</f>
        <v>9318187</v>
      </c>
      <c r="AV29" s="21" t="str">
        <f>VLOOKUP(AU29,CENY!$B$11:$G$1054,2,FALSE)</f>
        <v>Actro You(L) 300/SiSy 40kg; EB21</v>
      </c>
      <c r="AW29" s="22">
        <f>VLOOKUP(AU29,CENY!$B$11:$G$1054,3,FALSE)</f>
        <v>1</v>
      </c>
      <c r="AX29" s="362">
        <v>8</v>
      </c>
      <c r="AY29" s="23">
        <f>Q19</f>
        <v>0</v>
      </c>
      <c r="AZ29" s="326">
        <f t="shared" si="0"/>
        <v>0</v>
      </c>
      <c r="BA29" s="95">
        <f>VLOOKUP(AU29,CENY!$B$11:$M$2025,12,FALSE)</f>
        <v>657.45060999999998</v>
      </c>
      <c r="BB29" s="95">
        <f t="shared" si="1"/>
        <v>0</v>
      </c>
      <c r="BD29" s="319">
        <f>OBJ!B133</f>
        <v>9255055</v>
      </c>
      <c r="BE29" s="21" t="str">
        <f>VLOOKUP(BD29,CENY!$B$11:$G$1054,2,FALSE)</f>
        <v>AvanY-bok pravý /v187/h500/ strieborná</v>
      </c>
      <c r="BF29" s="22">
        <f>VLOOKUP(BD29,CENY!$B$11:$G$1054,3,FALSE)</f>
        <v>10</v>
      </c>
      <c r="BG29" s="22"/>
      <c r="BH29" s="23">
        <f t="shared" si="5"/>
        <v>0</v>
      </c>
      <c r="BI29" s="326">
        <f t="shared" si="2"/>
        <v>0</v>
      </c>
      <c r="BJ29" s="95">
        <f>VLOOKUP(BD29,CENY!$B$11:$M$2025,12,FALSE)</f>
        <v>363.36250999999999</v>
      </c>
      <c r="BK29" s="95">
        <f t="shared" si="3"/>
        <v>0</v>
      </c>
    </row>
    <row r="30" spans="2:63" ht="14.4" customHeight="1">
      <c r="AU30" s="319">
        <f>OBJ!B245</f>
        <v>9318188</v>
      </c>
      <c r="AV30" s="21" t="str">
        <f>VLOOKUP(AU30,CENY!$B$11:$G$1054,2,FALSE)</f>
        <v>Actro You(L) 350/SiSy 40kg; EB21</v>
      </c>
      <c r="AW30" s="22">
        <f>VLOOKUP(AU30,CENY!$B$11:$G$1054,3,FALSE)</f>
        <v>1</v>
      </c>
      <c r="AX30" s="362">
        <v>8</v>
      </c>
      <c r="AY30" s="23">
        <f>S19</f>
        <v>0</v>
      </c>
      <c r="AZ30" s="326">
        <f t="shared" si="0"/>
        <v>0</v>
      </c>
      <c r="BA30" s="95">
        <f>VLOOKUP(AU30,CENY!$B$11:$M$2025,12,FALSE)</f>
        <v>657.45060999999998</v>
      </c>
      <c r="BB30" s="95">
        <f t="shared" si="1"/>
        <v>0</v>
      </c>
      <c r="BD30" s="319">
        <f>OBJ!B134</f>
        <v>9255056</v>
      </c>
      <c r="BE30" s="21" t="str">
        <f>VLOOKUP(BD30,CENY!$B$11:$G$1054,2,FALSE)</f>
        <v>AvanY-bok ľavý /v187/h550/ strieborná</v>
      </c>
      <c r="BF30" s="22">
        <f>VLOOKUP(BD30,CENY!$B$11:$G$1054,3,FALSE)</f>
        <v>10</v>
      </c>
      <c r="BG30" s="22"/>
      <c r="BH30" s="23">
        <f t="shared" si="5"/>
        <v>0</v>
      </c>
      <c r="BI30" s="326">
        <f t="shared" si="2"/>
        <v>0</v>
      </c>
      <c r="BJ30" s="95">
        <f>VLOOKUP(BD30,CENY!$B$11:$M$2025,12,FALSE)</f>
        <v>379.68511999999998</v>
      </c>
      <c r="BK30" s="95">
        <f t="shared" si="3"/>
        <v>0</v>
      </c>
    </row>
    <row r="31" spans="2:63" ht="14.4" customHeight="1">
      <c r="AU31" s="319">
        <f>OBJ!B246</f>
        <v>9318190</v>
      </c>
      <c r="AV31" s="21" t="str">
        <f>VLOOKUP(AU31,CENY!$B$11:$G$1054,2,FALSE)</f>
        <v>Actro You(L) 400/SiSy 40kg; EB21</v>
      </c>
      <c r="AW31" s="22">
        <f>VLOOKUP(AU31,CENY!$B$11:$G$1054,3,FALSE)</f>
        <v>1</v>
      </c>
      <c r="AX31" s="362">
        <v>8</v>
      </c>
      <c r="AY31" s="23">
        <f>U19</f>
        <v>0</v>
      </c>
      <c r="AZ31" s="326">
        <f t="shared" si="0"/>
        <v>0</v>
      </c>
      <c r="BA31" s="95">
        <f>VLOOKUP(AU31,CENY!$B$11:$M$2025,12,FALSE)</f>
        <v>664.73978</v>
      </c>
      <c r="BB31" s="95">
        <f t="shared" si="1"/>
        <v>0</v>
      </c>
      <c r="BD31" s="319">
        <f>OBJ!B135</f>
        <v>9255057</v>
      </c>
      <c r="BE31" s="21" t="str">
        <f>VLOOKUP(BD31,CENY!$B$11:$G$1054,2,FALSE)</f>
        <v>AvanY-bok pravý /v187/h550/ strieborná</v>
      </c>
      <c r="BF31" s="22">
        <f>VLOOKUP(BD31,CENY!$B$11:$G$1054,3,FALSE)</f>
        <v>10</v>
      </c>
      <c r="BG31" s="22"/>
      <c r="BH31" s="23">
        <f t="shared" si="5"/>
        <v>0</v>
      </c>
      <c r="BI31" s="326">
        <f t="shared" si="2"/>
        <v>0</v>
      </c>
      <c r="BJ31" s="95">
        <f>VLOOKUP(BD31,CENY!$B$11:$M$2025,12,FALSE)</f>
        <v>379.68511999999998</v>
      </c>
      <c r="BK31" s="95">
        <f t="shared" si="3"/>
        <v>0</v>
      </c>
    </row>
    <row r="32" spans="2:63" ht="14.4" customHeight="1">
      <c r="AU32" s="319">
        <f>OBJ!B247</f>
        <v>9318191</v>
      </c>
      <c r="AV32" s="21" t="str">
        <f>VLOOKUP(AU32,CENY!$B$11:$G$1054,2,FALSE)</f>
        <v>Actro You(L) 450/SiSy 40kg; EB21</v>
      </c>
      <c r="AW32" s="22">
        <f>VLOOKUP(AU32,CENY!$B$11:$G$1054,3,FALSE)</f>
        <v>1</v>
      </c>
      <c r="AX32" s="362">
        <v>10</v>
      </c>
      <c r="AY32" s="23">
        <f>W19</f>
        <v>0</v>
      </c>
      <c r="AZ32" s="326">
        <f t="shared" si="0"/>
        <v>0</v>
      </c>
      <c r="BA32" s="95">
        <f>VLOOKUP(AU32,CENY!$B$11:$M$2025,12,FALSE)</f>
        <v>671.97520999999995</v>
      </c>
      <c r="BB32" s="95">
        <f t="shared" si="1"/>
        <v>0</v>
      </c>
      <c r="BD32" s="319">
        <f>OBJ!B136</f>
        <v>9255058</v>
      </c>
      <c r="BE32" s="21" t="str">
        <f>VLOOKUP(BD32,CENY!$B$11:$G$1054,2,FALSE)</f>
        <v>AvanY-bok ľavý /v187/h600/ strieborná</v>
      </c>
      <c r="BF32" s="22">
        <f>VLOOKUP(BD32,CENY!$B$11:$G$1054,3,FALSE)</f>
        <v>10</v>
      </c>
      <c r="BG32" s="22"/>
      <c r="BH32" s="23">
        <f t="shared" si="5"/>
        <v>0</v>
      </c>
      <c r="BI32" s="326">
        <f t="shared" si="2"/>
        <v>0</v>
      </c>
      <c r="BJ32" s="95">
        <f>VLOOKUP(BD32,CENY!$B$11:$M$2025,12,FALSE)</f>
        <v>389.34050000000002</v>
      </c>
      <c r="BK32" s="95">
        <f t="shared" si="3"/>
        <v>0</v>
      </c>
    </row>
    <row r="33" spans="47:63" ht="14.4" customHeight="1">
      <c r="AU33" s="319">
        <f>OBJ!B248</f>
        <v>9318192</v>
      </c>
      <c r="AV33" s="21" t="str">
        <f>VLOOKUP(AU33,CENY!$B$11:$G$1054,2,FALSE)</f>
        <v>Actro You(L) 500/SiSy 40kg; EB21</v>
      </c>
      <c r="AW33" s="22">
        <f>VLOOKUP(AU33,CENY!$B$11:$G$1054,3,FALSE)</f>
        <v>1</v>
      </c>
      <c r="AX33" s="362">
        <v>10</v>
      </c>
      <c r="AY33" s="23">
        <f>Y19</f>
        <v>0</v>
      </c>
      <c r="AZ33" s="326">
        <f t="shared" si="0"/>
        <v>0</v>
      </c>
      <c r="BA33" s="95">
        <f>VLOOKUP(AU33,CENY!$B$11:$M$2025,12,FALSE)</f>
        <v>164.23333</v>
      </c>
      <c r="BB33" s="95">
        <f t="shared" si="1"/>
        <v>0</v>
      </c>
      <c r="BD33" s="319">
        <f>OBJ!B137</f>
        <v>9255059</v>
      </c>
      <c r="BE33" s="21" t="str">
        <f>VLOOKUP(BD33,CENY!$B$11:$G$1054,2,FALSE)</f>
        <v>AvanY-bok pravý /v187/h600/ strieborná</v>
      </c>
      <c r="BF33" s="22">
        <f>VLOOKUP(BD33,CENY!$B$11:$G$1054,3,FALSE)</f>
        <v>10</v>
      </c>
      <c r="BG33" s="22"/>
      <c r="BH33" s="23">
        <f t="shared" si="5"/>
        <v>0</v>
      </c>
      <c r="BI33" s="326">
        <f t="shared" si="2"/>
        <v>0</v>
      </c>
      <c r="BJ33" s="95">
        <f>VLOOKUP(BD33,CENY!$B$11:$M$2025,12,FALSE)</f>
        <v>389.34050000000002</v>
      </c>
      <c r="BK33" s="95">
        <f t="shared" si="3"/>
        <v>0</v>
      </c>
    </row>
    <row r="34" spans="47:63" ht="14.4" customHeight="1">
      <c r="AU34" s="319">
        <f>OBJ!B249</f>
        <v>9318194</v>
      </c>
      <c r="AV34" s="21" t="str">
        <f>VLOOKUP(AU34,CENY!$B$11:$G$1054,2,FALSE)</f>
        <v>Actro You(L) 550/SiSy 40kg; EB21</v>
      </c>
      <c r="AW34" s="22">
        <f>VLOOKUP(AU34,CENY!$B$11:$G$1054,3,FALSE)</f>
        <v>1</v>
      </c>
      <c r="AX34" s="362">
        <v>10</v>
      </c>
      <c r="AY34" s="23">
        <f>AA19</f>
        <v>0</v>
      </c>
      <c r="AZ34" s="326">
        <f t="shared" si="0"/>
        <v>0</v>
      </c>
      <c r="BA34" s="95">
        <f>VLOOKUP(AU34,CENY!$B$11:$M$2025,12,FALSE)</f>
        <v>173.62268</v>
      </c>
      <c r="BB34" s="95">
        <f t="shared" si="1"/>
        <v>0</v>
      </c>
      <c r="BD34" s="319"/>
      <c r="BE34" s="21"/>
      <c r="BF34" s="22"/>
      <c r="BG34" s="22"/>
      <c r="BH34" s="23"/>
      <c r="BI34" s="326" t="str">
        <f t="shared" si="2"/>
        <v/>
      </c>
      <c r="BJ34" s="95"/>
      <c r="BK34" s="95" t="str">
        <f t="shared" si="3"/>
        <v/>
      </c>
    </row>
    <row r="35" spans="47:63" ht="14.4" customHeight="1">
      <c r="AU35" s="319">
        <f>OBJ!B250</f>
        <v>9318196</v>
      </c>
      <c r="AV35" s="21" t="str">
        <f>VLOOKUP(AU35,CENY!$B$11:$G$1054,2,FALSE)</f>
        <v>Actro You(L) 600/SiSy 40kg; EB21</v>
      </c>
      <c r="AW35" s="22">
        <f>VLOOKUP(AU35,CENY!$B$11:$G$1054,3,FALSE)</f>
        <v>1</v>
      </c>
      <c r="AX35" s="362">
        <v>10</v>
      </c>
      <c r="AY35" s="23">
        <f>AC19</f>
        <v>0</v>
      </c>
      <c r="AZ35" s="326">
        <f>IF(AY35="","",IF($AW$4=1,AY35,0))</f>
        <v>0</v>
      </c>
      <c r="BA35" s="95">
        <f>VLOOKUP(AU35,CENY!$B$11:$M$2025,12,FALSE)</f>
        <v>726.70140000000004</v>
      </c>
      <c r="BB35" s="95">
        <f>IF(BA35="","",BA35*AY35)</f>
        <v>0</v>
      </c>
      <c r="BD35" s="319">
        <f>OBJ!B110</f>
        <v>9257884</v>
      </c>
      <c r="BE35" s="21" t="str">
        <f>VLOOKUP(BD35,CENY!$B$11:$G$1054,2,FALSE)</f>
        <v>AvanY-príchytka čela k naskrutk./ v139</v>
      </c>
      <c r="BF35" s="22">
        <f>VLOOKUP(BD35,CENY!$B$11:$G$1054,3,FALSE)</f>
        <v>200</v>
      </c>
      <c r="BG35" s="22"/>
      <c r="BH35" s="23">
        <f>2*(SUM(O19:AD19)+SUM(W20:AF20)+SUM(O25:AD25))</f>
        <v>0</v>
      </c>
      <c r="BI35" s="326">
        <f t="shared" si="2"/>
        <v>0</v>
      </c>
      <c r="BJ35" s="95">
        <f>VLOOKUP(BD35,CENY!$B$11:$M$2025,12,FALSE)</f>
        <v>32.920310000000001</v>
      </c>
      <c r="BK35" s="95">
        <f t="shared" si="3"/>
        <v>0</v>
      </c>
    </row>
    <row r="36" spans="47:63" ht="14.4" customHeight="1">
      <c r="AU36" s="319"/>
      <c r="AV36" s="21"/>
      <c r="AW36" s="22"/>
      <c r="AX36" s="22"/>
      <c r="AY36" s="23"/>
      <c r="AZ36" s="326" t="str">
        <f t="shared" si="0"/>
        <v/>
      </c>
      <c r="BA36" s="95"/>
      <c r="BB36" s="95" t="str">
        <f t="shared" si="1"/>
        <v/>
      </c>
      <c r="BD36" s="319">
        <f>OBJ!B141</f>
        <v>9255838</v>
      </c>
      <c r="BE36" s="21" t="str">
        <f>VLOOKUP(BD36,CENY!$B$11:$G$1054,2,FALSE)</f>
        <v>AvanY-prích.čela k naskrutk./ v187-251</v>
      </c>
      <c r="BF36" s="22">
        <f>VLOOKUP(BD36,CENY!$B$11:$G$1054,3,FALSE)</f>
        <v>200</v>
      </c>
      <c r="BG36" s="22"/>
      <c r="BH36" s="23">
        <f>BH35</f>
        <v>0</v>
      </c>
      <c r="BI36" s="326">
        <f>IF(BH36="","",IF($AW$4=0,BH36,0))</f>
        <v>0</v>
      </c>
      <c r="BJ36" s="95">
        <f>VLOOKUP(BD36,CENY!$B$11:$M$2025,12,FALSE)</f>
        <v>49.383429999999997</v>
      </c>
      <c r="BK36" s="95">
        <f>IF(BJ36="","",BJ36*BH36)</f>
        <v>0</v>
      </c>
    </row>
    <row r="37" spans="47:63" ht="14.4" customHeight="1">
      <c r="AU37" s="319">
        <f>OBJ!B268</f>
        <v>9318215</v>
      </c>
      <c r="AV37" s="21" t="str">
        <f>VLOOKUP(AU37,CENY!$B$11:$G$1054,2,FALSE)</f>
        <v>Actro You(XL) 450/SiSy 70kg; EB21</v>
      </c>
      <c r="AW37" s="22">
        <f>VLOOKUP(AU37,CENY!$B$11:$G$1054,3,FALSE)</f>
        <v>1</v>
      </c>
      <c r="AX37" s="362">
        <v>10</v>
      </c>
      <c r="AY37" s="23">
        <f>W20</f>
        <v>0</v>
      </c>
      <c r="AZ37" s="326">
        <f t="shared" si="0"/>
        <v>0</v>
      </c>
      <c r="BA37" s="95">
        <f>VLOOKUP(AU37,CENY!$B$11:$M$2025,12,FALSE)</f>
        <v>197.37184999999999</v>
      </c>
      <c r="BB37" s="95">
        <f t="shared" si="1"/>
        <v>0</v>
      </c>
      <c r="BD37" s="319">
        <f>OBJ!B48</f>
        <v>9257702</v>
      </c>
      <c r="BE37" s="21" t="str">
        <f>VLOOKUP(BD37,CENY!$B$11:$G$1054,2,FALSE)</f>
        <v>AvanY-stabilizátor chrbáta</v>
      </c>
      <c r="BF37" s="22">
        <f>VLOOKUP(BD37,CENY!$B$11:$G$1054,3,FALSE)</f>
        <v>200</v>
      </c>
      <c r="BG37" s="22"/>
      <c r="BH37" s="23">
        <f>0*(SUM(O19:AD19)+SUM(W20:AF20)+SUM(O25:AD25))</f>
        <v>0</v>
      </c>
      <c r="BI37" s="326">
        <f t="shared" si="2"/>
        <v>0</v>
      </c>
      <c r="BJ37" s="95">
        <f>VLOOKUP(BD37,CENY!$B$11:$M$2025,12,FALSE)</f>
        <v>15.54837</v>
      </c>
      <c r="BK37" s="95">
        <f t="shared" si="3"/>
        <v>0</v>
      </c>
    </row>
    <row r="38" spans="47:63" ht="14.4" customHeight="1">
      <c r="AU38" s="319">
        <f>OBJ!B269</f>
        <v>9318216</v>
      </c>
      <c r="AV38" s="21" t="str">
        <f>VLOOKUP(AU38,CENY!$B$11:$G$1054,2,FALSE)</f>
        <v>Actro You(XL) 500/SiSy 70kg; EB21</v>
      </c>
      <c r="AW38" s="22">
        <f>VLOOKUP(AU38,CENY!$B$11:$G$1054,3,FALSE)</f>
        <v>1</v>
      </c>
      <c r="AX38" s="362">
        <v>10</v>
      </c>
      <c r="AY38" s="23">
        <f>Y20</f>
        <v>0</v>
      </c>
      <c r="AZ38" s="326">
        <f t="shared" si="0"/>
        <v>0</v>
      </c>
      <c r="BA38" s="95">
        <f>VLOOKUP(AU38,CENY!$B$11:$M$2025,12,FALSE)</f>
        <v>823.68502000000001</v>
      </c>
      <c r="BB38" s="95">
        <f t="shared" si="1"/>
        <v>0</v>
      </c>
      <c r="BD38" s="20"/>
      <c r="BE38" s="21"/>
      <c r="BF38" s="22"/>
      <c r="BG38" s="22"/>
      <c r="BH38" s="23"/>
      <c r="BI38" s="326" t="str">
        <f t="shared" si="2"/>
        <v/>
      </c>
      <c r="BJ38" s="95"/>
      <c r="BK38" s="95" t="str">
        <f t="shared" si="3"/>
        <v/>
      </c>
    </row>
    <row r="39" spans="47:63" ht="14.4" customHeight="1">
      <c r="AU39" s="319">
        <f>OBJ!B270</f>
        <v>9318217</v>
      </c>
      <c r="AV39" s="21" t="str">
        <f>VLOOKUP(AU39,CENY!$B$11:$G$1054,2,FALSE)</f>
        <v>Actro You(XL) 550/SiSy 70kg; EB21</v>
      </c>
      <c r="AW39" s="22">
        <f>VLOOKUP(AU39,CENY!$B$11:$G$1054,3,FALSE)</f>
        <v>1</v>
      </c>
      <c r="AX39" s="362">
        <v>10</v>
      </c>
      <c r="AY39" s="23">
        <f>AA20</f>
        <v>0</v>
      </c>
      <c r="AZ39" s="326">
        <f t="shared" si="0"/>
        <v>0</v>
      </c>
      <c r="BA39" s="95">
        <f>VLOOKUP(AU39,CENY!$B$11:$M$2025,12,FALSE)</f>
        <v>862.82307000000003</v>
      </c>
      <c r="BB39" s="95">
        <f t="shared" si="1"/>
        <v>0</v>
      </c>
      <c r="BD39" s="319">
        <f>OBJ!B72</f>
        <v>9347503</v>
      </c>
      <c r="BE39" s="21" t="str">
        <f>VLOOKUP(BD39,CENY!$B$11:$G$1054,2,FALSE)</f>
        <v>AvanY-design ALprofil Hybrid na bok 300/ strieb.</v>
      </c>
      <c r="BF39" s="22">
        <f>VLOOKUP(BD39,CENY!$B$11:$G$1054,3,FALSE)</f>
        <v>200</v>
      </c>
      <c r="BG39" s="22"/>
      <c r="BH39" s="23">
        <f>4*(Q19+Q25)</f>
        <v>0</v>
      </c>
      <c r="BI39" s="326">
        <f t="shared" si="2"/>
        <v>0</v>
      </c>
      <c r="BJ39" s="95">
        <f>VLOOKUP(BD39,CENY!$B$11:$M$2025,12,FALSE)</f>
        <v>20.006769999999999</v>
      </c>
      <c r="BK39" s="95">
        <f t="shared" si="3"/>
        <v>0</v>
      </c>
    </row>
    <row r="40" spans="47:63" ht="14.4" customHeight="1">
      <c r="AU40" s="319">
        <f>OBJ!B271</f>
        <v>9318218</v>
      </c>
      <c r="AV40" s="21" t="str">
        <f>VLOOKUP(AU40,CENY!$B$11:$G$1054,2,FALSE)</f>
        <v>Actro You(XL) 600/SiSy 70kg; EB21</v>
      </c>
      <c r="AW40" s="22">
        <f>VLOOKUP(AU40,CENY!$B$11:$G$1054,3,FALSE)</f>
        <v>1</v>
      </c>
      <c r="AX40" s="362">
        <v>10</v>
      </c>
      <c r="AY40" s="23">
        <f>AC20</f>
        <v>0</v>
      </c>
      <c r="AZ40" s="326">
        <f t="shared" si="0"/>
        <v>0</v>
      </c>
      <c r="BA40" s="95">
        <f>VLOOKUP(AU40,CENY!$B$11:$M$2025,12,FALSE)</f>
        <v>941.88580999999999</v>
      </c>
      <c r="BB40" s="95">
        <f t="shared" si="1"/>
        <v>0</v>
      </c>
      <c r="BD40" s="319">
        <f>OBJ!B73</f>
        <v>9347504</v>
      </c>
      <c r="BE40" s="21" t="str">
        <f>VLOOKUP(BD40,CENY!$B$11:$G$1054,2,FALSE)</f>
        <v>AvanY-design ALprofil Hybrid na bok 350/ strieb.</v>
      </c>
      <c r="BF40" s="22">
        <f>VLOOKUP(BD40,CENY!$B$11:$G$1054,3,FALSE)</f>
        <v>200</v>
      </c>
      <c r="BG40" s="22"/>
      <c r="BH40" s="23">
        <f>4*(S19+S25)</f>
        <v>0</v>
      </c>
      <c r="BI40" s="326">
        <f t="shared" si="2"/>
        <v>0</v>
      </c>
      <c r="BJ40" s="95">
        <f>VLOOKUP(BD40,CENY!$B$11:$M$2025,12,FALSE)</f>
        <v>20.37642</v>
      </c>
      <c r="BK40" s="95">
        <f t="shared" si="3"/>
        <v>0</v>
      </c>
    </row>
    <row r="41" spans="47:63" ht="14.4" customHeight="1">
      <c r="AU41" s="319"/>
      <c r="AV41" s="21"/>
      <c r="AW41" s="22"/>
      <c r="AX41" s="22"/>
      <c r="AY41" s="23"/>
      <c r="AZ41" s="326" t="str">
        <f t="shared" si="0"/>
        <v/>
      </c>
      <c r="BA41" s="95"/>
      <c r="BB41" s="95" t="str">
        <f t="shared" si="1"/>
        <v/>
      </c>
      <c r="BD41" s="319">
        <f>OBJ!B74</f>
        <v>9347505</v>
      </c>
      <c r="BE41" s="21" t="str">
        <f>VLOOKUP(BD41,CENY!$B$11:$G$1054,2,FALSE)</f>
        <v>AvanY-design ALprofil Hybrid na bok 400/ strieb.</v>
      </c>
      <c r="BF41" s="22">
        <f>VLOOKUP(BD41,CENY!$B$11:$G$1054,3,FALSE)</f>
        <v>200</v>
      </c>
      <c r="BG41" s="22"/>
      <c r="BH41" s="23">
        <f>4*(U19+U25)</f>
        <v>0</v>
      </c>
      <c r="BI41" s="326">
        <f t="shared" si="2"/>
        <v>0</v>
      </c>
      <c r="BJ41" s="95">
        <f>VLOOKUP(BD41,CENY!$B$11:$M$2025,12,FALSE)</f>
        <v>20.742249999999999</v>
      </c>
      <c r="BK41" s="95">
        <f t="shared" si="3"/>
        <v>0</v>
      </c>
    </row>
    <row r="42" spans="47:63" ht="14.4" customHeight="1">
      <c r="AU42" s="319">
        <f>OBJ!B305</f>
        <v>9256884</v>
      </c>
      <c r="AV42" s="21" t="str">
        <f>VLOOKUP(AU42,CENY!$B$11:$G$1054,2,FALSE)</f>
        <v>Quadro You(M) 300/SiSy 20kg; EB21</v>
      </c>
      <c r="AW42" s="22">
        <f>VLOOKUP(AU42,CENY!$B$11:$G$1054,3,FALSE)</f>
        <v>1</v>
      </c>
      <c r="AX42" s="362">
        <v>8</v>
      </c>
      <c r="AY42" s="23">
        <f>Q25</f>
        <v>0</v>
      </c>
      <c r="AZ42" s="326">
        <f t="shared" si="0"/>
        <v>0</v>
      </c>
      <c r="BA42" s="95">
        <f>VLOOKUP(AU42,CENY!$B$11:$M$2025,12,FALSE)</f>
        <v>479.57344999999998</v>
      </c>
      <c r="BB42" s="95">
        <f t="shared" si="1"/>
        <v>0</v>
      </c>
      <c r="BD42" s="319">
        <f>OBJ!B75</f>
        <v>9347506</v>
      </c>
      <c r="BE42" s="21" t="str">
        <f>VLOOKUP(BD42,CENY!$B$11:$G$1054,2,FALSE)</f>
        <v>AvanY-design ALprofil Hybrid na bok 450/ strieb.</v>
      </c>
      <c r="BF42" s="22">
        <f>VLOOKUP(BD42,CENY!$B$11:$G$1054,3,FALSE)</f>
        <v>200</v>
      </c>
      <c r="BG42" s="22"/>
      <c r="BH42" s="23">
        <f>4*(W19+W20+W25)</f>
        <v>0</v>
      </c>
      <c r="BI42" s="326">
        <f t="shared" si="2"/>
        <v>0</v>
      </c>
      <c r="BJ42" s="95">
        <f>VLOOKUP(BD42,CENY!$B$11:$M$2025,12,FALSE)</f>
        <v>21.111910000000002</v>
      </c>
      <c r="BK42" s="95">
        <f t="shared" si="3"/>
        <v>0</v>
      </c>
    </row>
    <row r="43" spans="47:63" ht="14.4" customHeight="1">
      <c r="AU43" s="319">
        <f>OBJ!B306</f>
        <v>9256886</v>
      </c>
      <c r="AV43" s="21" t="str">
        <f>VLOOKUP(AU43,CENY!$B$11:$G$1054,2,FALSE)</f>
        <v>Quadro You(M) 350/SiSy 25kg; EB21</v>
      </c>
      <c r="AW43" s="22">
        <f>VLOOKUP(AU43,CENY!$B$11:$G$1054,3,FALSE)</f>
        <v>1</v>
      </c>
      <c r="AX43" s="362">
        <v>8</v>
      </c>
      <c r="AY43" s="23">
        <f>S25</f>
        <v>0</v>
      </c>
      <c r="AZ43" s="326">
        <f t="shared" si="0"/>
        <v>0</v>
      </c>
      <c r="BA43" s="95">
        <f>VLOOKUP(AU43,CENY!$B$11:$M$2025,12,FALSE)</f>
        <v>489.27857</v>
      </c>
      <c r="BB43" s="95">
        <f t="shared" si="1"/>
        <v>0</v>
      </c>
      <c r="BD43" s="319">
        <f>OBJ!B76</f>
        <v>9347507</v>
      </c>
      <c r="BE43" s="21" t="str">
        <f>VLOOKUP(BD43,CENY!$B$11:$G$1054,2,FALSE)</f>
        <v>AvanY-design ALprofil Hybrid na bok 500/ strieb.</v>
      </c>
      <c r="BF43" s="22">
        <f>VLOOKUP(BD43,CENY!$B$11:$G$1054,3,FALSE)</f>
        <v>200</v>
      </c>
      <c r="BG43" s="22"/>
      <c r="BH43" s="23">
        <f>4*(Y19+Y20+Y25)</f>
        <v>0</v>
      </c>
      <c r="BI43" s="326">
        <f t="shared" si="2"/>
        <v>0</v>
      </c>
      <c r="BJ43" s="95">
        <f>VLOOKUP(BD43,CENY!$B$11:$M$2025,12,FALSE)</f>
        <v>21.479700000000001</v>
      </c>
      <c r="BK43" s="95">
        <f t="shared" si="3"/>
        <v>0</v>
      </c>
    </row>
    <row r="44" spans="47:63" ht="14.4" customHeight="1">
      <c r="AU44" s="319">
        <f>OBJ!B307</f>
        <v>9256888</v>
      </c>
      <c r="AV44" s="21" t="str">
        <f>VLOOKUP(AU44,CENY!$B$11:$G$1054,2,FALSE)</f>
        <v>Quadro You(M) 400/SiSy 30kg; EB21</v>
      </c>
      <c r="AW44" s="22">
        <f>VLOOKUP(AU44,CENY!$B$11:$G$1054,3,FALSE)</f>
        <v>1</v>
      </c>
      <c r="AX44" s="362">
        <v>8</v>
      </c>
      <c r="AY44" s="23">
        <f>U25</f>
        <v>0</v>
      </c>
      <c r="AZ44" s="326">
        <f t="shared" si="0"/>
        <v>0</v>
      </c>
      <c r="BA44" s="95">
        <f>VLOOKUP(AU44,CENY!$B$11:$M$2025,12,FALSE)</f>
        <v>498.97861999999998</v>
      </c>
      <c r="BB44" s="95">
        <f t="shared" si="1"/>
        <v>0</v>
      </c>
      <c r="BD44" s="319">
        <f>OBJ!B77</f>
        <v>9347508</v>
      </c>
      <c r="BE44" s="21" t="str">
        <f>VLOOKUP(BD44,CENY!$B$11:$G$1054,2,FALSE)</f>
        <v>AvanY-design ALprofil Hybrid na bok 550/ strieb.</v>
      </c>
      <c r="BF44" s="22">
        <f>VLOOKUP(BD44,CENY!$B$11:$G$1054,3,FALSE)</f>
        <v>200</v>
      </c>
      <c r="BG44" s="22"/>
      <c r="BH44" s="23">
        <f>4*(AA19+AA20+AA25)</f>
        <v>0</v>
      </c>
      <c r="BI44" s="326">
        <f t="shared" si="2"/>
        <v>0</v>
      </c>
      <c r="BJ44" s="95">
        <f>VLOOKUP(BD44,CENY!$B$11:$M$2025,12,FALSE)</f>
        <v>21.84564</v>
      </c>
      <c r="BK44" s="95">
        <f t="shared" si="3"/>
        <v>0</v>
      </c>
    </row>
    <row r="45" spans="47:63" ht="14.4" customHeight="1">
      <c r="AU45" s="319">
        <f>OBJ!B308</f>
        <v>9256890</v>
      </c>
      <c r="AV45" s="21" t="str">
        <f>VLOOKUP(AU45,CENY!$B$11:$G$1054,2,FALSE)</f>
        <v>Quadro You(M) 450/SiSy 30kg; EB21</v>
      </c>
      <c r="AW45" s="22">
        <f>VLOOKUP(AU45,CENY!$B$11:$G$1054,3,FALSE)</f>
        <v>1</v>
      </c>
      <c r="AX45" s="362">
        <v>8</v>
      </c>
      <c r="AY45" s="23">
        <f>W25</f>
        <v>0</v>
      </c>
      <c r="AZ45" s="326">
        <f t="shared" si="0"/>
        <v>0</v>
      </c>
      <c r="BA45" s="95">
        <f>VLOOKUP(AU45,CENY!$B$11:$M$2025,12,FALSE)</f>
        <v>122.98869999999999</v>
      </c>
      <c r="BB45" s="95">
        <f t="shared" si="1"/>
        <v>0</v>
      </c>
      <c r="BD45" s="319">
        <f>OBJ!B78</f>
        <v>9347509</v>
      </c>
      <c r="BE45" s="21" t="str">
        <f>VLOOKUP(BD45,CENY!$B$11:$G$1054,2,FALSE)</f>
        <v>AvanY-design ALprofil Hybrid na bok 600/ strieb.</v>
      </c>
      <c r="BF45" s="22">
        <f>VLOOKUP(BD45,CENY!$B$11:$G$1054,3,FALSE)</f>
        <v>200</v>
      </c>
      <c r="BG45" s="22"/>
      <c r="BH45" s="23">
        <f>4*(AC19+AC20+AC25)</f>
        <v>0</v>
      </c>
      <c r="BI45" s="326">
        <f t="shared" si="2"/>
        <v>0</v>
      </c>
      <c r="BJ45" s="95">
        <f>VLOOKUP(BD45,CENY!$B$11:$M$2025,12,FALSE)</f>
        <v>22.79205</v>
      </c>
      <c r="BK45" s="95">
        <f t="shared" si="3"/>
        <v>0</v>
      </c>
    </row>
    <row r="46" spans="47:63" ht="14.4" customHeight="1">
      <c r="AU46" s="319">
        <f>OBJ!B309</f>
        <v>9256892</v>
      </c>
      <c r="AV46" s="21" t="str">
        <f>VLOOKUP(AU46,CENY!$B$11:$G$1054,2,FALSE)</f>
        <v>Quadro You(M) 500/SiSy 30kg; EB21</v>
      </c>
      <c r="AW46" s="22">
        <f>VLOOKUP(AU46,CENY!$B$11:$G$1054,3,FALSE)</f>
        <v>1</v>
      </c>
      <c r="AX46" s="362">
        <v>8</v>
      </c>
      <c r="AY46" s="23">
        <f>Y25</f>
        <v>0</v>
      </c>
      <c r="AZ46" s="326">
        <f t="shared" si="0"/>
        <v>0</v>
      </c>
      <c r="BA46" s="95">
        <f>VLOOKUP(AU46,CENY!$B$11:$M$2025,12,FALSE)</f>
        <v>504.59701000000001</v>
      </c>
      <c r="BB46" s="95">
        <f t="shared" si="1"/>
        <v>0</v>
      </c>
      <c r="BD46" s="319"/>
      <c r="BE46" s="21"/>
      <c r="BF46" s="22"/>
      <c r="BG46" s="22"/>
      <c r="BH46" s="23"/>
      <c r="BI46" s="326" t="str">
        <f t="shared" si="2"/>
        <v/>
      </c>
      <c r="BJ46" s="95"/>
      <c r="BK46" s="95" t="str">
        <f t="shared" si="3"/>
        <v/>
      </c>
    </row>
    <row r="47" spans="47:63" ht="14.4" customHeight="1">
      <c r="AU47" s="319">
        <f>OBJ!B310</f>
        <v>9256894</v>
      </c>
      <c r="AV47" s="21" t="str">
        <f>VLOOKUP(AU47,CENY!$B$11:$G$1054,2,FALSE)</f>
        <v>Quadro You(M) 550/SiSy 30kg; EB21</v>
      </c>
      <c r="AW47" s="22">
        <f>VLOOKUP(AU47,CENY!$B$11:$G$1054,3,FALSE)</f>
        <v>1</v>
      </c>
      <c r="AX47" s="362">
        <v>8</v>
      </c>
      <c r="AY47" s="23">
        <f>AA25</f>
        <v>0</v>
      </c>
      <c r="AZ47" s="326">
        <f t="shared" si="0"/>
        <v>0</v>
      </c>
      <c r="BA47" s="95">
        <f>VLOOKUP(AU47,CENY!$B$11:$M$2025,12,FALSE)</f>
        <v>127.68105</v>
      </c>
      <c r="BB47" s="95">
        <f t="shared" si="1"/>
        <v>0</v>
      </c>
      <c r="BD47" s="319">
        <f>OBJ!B253</f>
        <v>9318171</v>
      </c>
      <c r="BE47" s="21" t="str">
        <f>VLOOKUP(BD47,CENY!$B$11:$G$1054,2,FALSE)</f>
        <v>Actro You(L) 300/SiSy 40kg; EB21; ľavý</v>
      </c>
      <c r="BF47" s="22">
        <f>VLOOKUP(BD47,CENY!$B$11:$G$1054,3,FALSE)</f>
        <v>10</v>
      </c>
      <c r="BG47" s="22"/>
      <c r="BH47" s="23">
        <f>AY29</f>
        <v>0</v>
      </c>
      <c r="BI47" s="326">
        <f t="shared" si="2"/>
        <v>0</v>
      </c>
      <c r="BJ47" s="95">
        <f>VLOOKUP(BD47,CENY!$B$11:$M$2025,12,FALSE)</f>
        <v>298.88173999999998</v>
      </c>
      <c r="BK47" s="95">
        <f t="shared" si="3"/>
        <v>0</v>
      </c>
    </row>
    <row r="48" spans="47:63" ht="14.4" customHeight="1">
      <c r="AU48" s="319">
        <f>OBJ!B311</f>
        <v>9256896</v>
      </c>
      <c r="AV48" s="21" t="str">
        <f>VLOOKUP(AU48,CENY!$B$11:$G$1054,2,FALSE)</f>
        <v>Quadro You(M) 600/SiSy 25kg; EB21</v>
      </c>
      <c r="AW48" s="22">
        <f>VLOOKUP(AU48,CENY!$B$11:$G$1054,3,FALSE)</f>
        <v>1</v>
      </c>
      <c r="AX48" s="362">
        <v>8</v>
      </c>
      <c r="AY48" s="23">
        <f>AC25</f>
        <v>0</v>
      </c>
      <c r="AZ48" s="326">
        <f t="shared" si="0"/>
        <v>0</v>
      </c>
      <c r="BA48" s="95">
        <f>VLOOKUP(AU48,CENY!$B$11:$M$2025,12,FALSE)</f>
        <v>537.79395</v>
      </c>
      <c r="BB48" s="95">
        <f t="shared" si="1"/>
        <v>0</v>
      </c>
      <c r="BD48" s="319">
        <f>OBJ!B254</f>
        <v>9318172</v>
      </c>
      <c r="BE48" s="21" t="str">
        <f>VLOOKUP(BD48,CENY!$B$11:$G$1054,2,FALSE)</f>
        <v>Actro You(L) 300/SiSy 40kg; EB21; pravý</v>
      </c>
      <c r="BF48" s="22">
        <f>VLOOKUP(BD48,CENY!$B$11:$G$1054,3,FALSE)</f>
        <v>10</v>
      </c>
      <c r="BG48" s="22"/>
      <c r="BH48" s="23">
        <f>AY29</f>
        <v>0</v>
      </c>
      <c r="BI48" s="326">
        <f t="shared" si="2"/>
        <v>0</v>
      </c>
      <c r="BJ48" s="95">
        <f>VLOOKUP(BD48,CENY!$B$11:$M$2025,12,FALSE)</f>
        <v>298.88173999999998</v>
      </c>
      <c r="BK48" s="95">
        <f t="shared" si="3"/>
        <v>0</v>
      </c>
    </row>
    <row r="49" spans="47:63" ht="14.4" customHeight="1">
      <c r="AU49" s="319"/>
      <c r="AV49" s="21"/>
      <c r="AW49" s="22"/>
      <c r="AX49" s="22"/>
      <c r="AY49" s="23"/>
      <c r="AZ49" s="326" t="str">
        <f t="shared" si="0"/>
        <v/>
      </c>
      <c r="BA49" s="95"/>
      <c r="BB49" s="95" t="str">
        <f t="shared" si="1"/>
        <v/>
      </c>
      <c r="BD49" s="319">
        <f>OBJ!B255</f>
        <v>9318173</v>
      </c>
      <c r="BE49" s="21" t="str">
        <f>VLOOKUP(BD49,CENY!$B$11:$G$1054,2,FALSE)</f>
        <v>Actro You(L) 350/SiSy 40kg; EB21; ľavý</v>
      </c>
      <c r="BF49" s="22">
        <f>VLOOKUP(BD49,CENY!$B$11:$G$1054,3,FALSE)</f>
        <v>10</v>
      </c>
      <c r="BG49" s="22"/>
      <c r="BH49" s="23">
        <f>AY30</f>
        <v>0</v>
      </c>
      <c r="BI49" s="326">
        <f t="shared" si="2"/>
        <v>0</v>
      </c>
      <c r="BJ49" s="95">
        <f>VLOOKUP(BD49,CENY!$B$11:$M$2025,12,FALSE)</f>
        <v>298.88173999999998</v>
      </c>
      <c r="BK49" s="95">
        <f t="shared" si="3"/>
        <v>0</v>
      </c>
    </row>
    <row r="50" spans="47:63" ht="14.4" customHeight="1">
      <c r="AU50" s="442">
        <f>OBJ!B110</f>
        <v>9257884</v>
      </c>
      <c r="AV50" s="443" t="str">
        <f>VLOOKUP(AU50,CENY!$B$11:$G$1054,2,FALSE)</f>
        <v>AvanY-príchytka čela k naskrutk./ v139</v>
      </c>
      <c r="AW50" s="22">
        <f>VLOOKUP(AU50,CENY!$B$11:$G$1054,3,FALSE)</f>
        <v>200</v>
      </c>
      <c r="AX50" s="22"/>
      <c r="AY50" s="68">
        <f>2*(SUM(O19:AD19)+SUM(W20:AF20)+SUM(O25:AD25))</f>
        <v>0</v>
      </c>
      <c r="AZ50" s="326">
        <f t="shared" si="0"/>
        <v>0</v>
      </c>
      <c r="BA50" s="95">
        <f>VLOOKUP(AU50,CENY!$B$11:$M$2025,12,FALSE)</f>
        <v>32.920310000000001</v>
      </c>
      <c r="BB50" s="95">
        <f t="shared" si="1"/>
        <v>0</v>
      </c>
      <c r="BD50" s="319">
        <f>OBJ!B256</f>
        <v>9318174</v>
      </c>
      <c r="BE50" s="21" t="str">
        <f>VLOOKUP(BD50,CENY!$B$11:$G$1054,2,FALSE)</f>
        <v>Actro You(L) 350/SiSy 40kg; EB21; pravý</v>
      </c>
      <c r="BF50" s="22">
        <f>VLOOKUP(BD50,CENY!$B$11:$G$1054,3,FALSE)</f>
        <v>10</v>
      </c>
      <c r="BG50" s="22"/>
      <c r="BH50" s="23">
        <f>AY30</f>
        <v>0</v>
      </c>
      <c r="BI50" s="326">
        <f t="shared" si="2"/>
        <v>0</v>
      </c>
      <c r="BJ50" s="95">
        <f>VLOOKUP(BD50,CENY!$B$11:$M$2025,12,FALSE)</f>
        <v>298.88173999999998</v>
      </c>
      <c r="BK50" s="95">
        <f t="shared" si="3"/>
        <v>0</v>
      </c>
    </row>
    <row r="51" spans="47:63" ht="14.4" customHeight="1">
      <c r="AU51" s="442">
        <f>OBJ!B141</f>
        <v>9255838</v>
      </c>
      <c r="AV51" s="443" t="str">
        <f>VLOOKUP(AU51,CENY!$B$11:$G$1054,2,FALSE)</f>
        <v>AvanY-prích.čela k naskrutk./ v187-251</v>
      </c>
      <c r="AW51" s="22">
        <f>VLOOKUP(AU51,CENY!$B$11:$G$1054,3,FALSE)</f>
        <v>200</v>
      </c>
      <c r="AX51" s="22"/>
      <c r="AY51" s="68">
        <f>AY50</f>
        <v>0</v>
      </c>
      <c r="AZ51" s="326">
        <f>IF(AY51="","",IF($AW$4=1,AY51,0))</f>
        <v>0</v>
      </c>
      <c r="BA51" s="95">
        <f>VLOOKUP(AU51,CENY!$B$11:$M$2025,12,FALSE)</f>
        <v>49.383429999999997</v>
      </c>
      <c r="BB51" s="95">
        <f>IF(BA51="","",BA51*AY51)</f>
        <v>0</v>
      </c>
      <c r="BD51" s="319">
        <f>OBJ!B257</f>
        <v>9318175</v>
      </c>
      <c r="BE51" s="21" t="str">
        <f>VLOOKUP(BD51,CENY!$B$11:$G$1054,2,FALSE)</f>
        <v>Actro You(L) 400/SiSy 40kg; EB21; ľavý</v>
      </c>
      <c r="BF51" s="22">
        <f>VLOOKUP(BD51,CENY!$B$11:$G$1054,3,FALSE)</f>
        <v>10</v>
      </c>
      <c r="BG51" s="22"/>
      <c r="BH51" s="23">
        <f>AY31</f>
        <v>0</v>
      </c>
      <c r="BI51" s="326">
        <f t="shared" si="2"/>
        <v>0</v>
      </c>
      <c r="BJ51" s="95">
        <f>VLOOKUP(BD51,CENY!$B$11:$M$2025,12,FALSE)</f>
        <v>302.69770999999997</v>
      </c>
      <c r="BK51" s="95">
        <f t="shared" si="3"/>
        <v>0</v>
      </c>
    </row>
    <row r="52" spans="47:63" ht="14.4" customHeight="1">
      <c r="AU52" s="319"/>
      <c r="AV52" s="21"/>
      <c r="AW52" s="22"/>
      <c r="AX52" s="22"/>
      <c r="AY52" s="23"/>
      <c r="AZ52" s="326" t="str">
        <f t="shared" si="0"/>
        <v/>
      </c>
      <c r="BA52" s="95"/>
      <c r="BB52" s="95" t="str">
        <f t="shared" si="1"/>
        <v/>
      </c>
      <c r="BD52" s="319">
        <f>OBJ!B258</f>
        <v>9318176</v>
      </c>
      <c r="BE52" s="21" t="str">
        <f>VLOOKUP(BD52,CENY!$B$11:$G$1054,2,FALSE)</f>
        <v>Actro You(L) 400/SiSy 40kg; EB21; pravý</v>
      </c>
      <c r="BF52" s="22">
        <f>VLOOKUP(BD52,CENY!$B$11:$G$1054,3,FALSE)</f>
        <v>10</v>
      </c>
      <c r="BG52" s="22"/>
      <c r="BH52" s="23">
        <f>AY31</f>
        <v>0</v>
      </c>
      <c r="BI52" s="326">
        <f t="shared" si="2"/>
        <v>0</v>
      </c>
      <c r="BJ52" s="95">
        <f>VLOOKUP(BD52,CENY!$B$11:$M$2025,12,FALSE)</f>
        <v>302.69770999999997</v>
      </c>
      <c r="BK52" s="95">
        <f t="shared" si="3"/>
        <v>0</v>
      </c>
    </row>
    <row r="53" spans="47:63" ht="14.4" customHeight="1">
      <c r="AU53" s="320">
        <f>OBJ!B214</f>
        <v>0</v>
      </c>
      <c r="AV53" s="321" t="e">
        <f>VLOOKUP(AU53,CENY!$B$11:$G$1054,2,FALSE)</f>
        <v>#N/A</v>
      </c>
      <c r="AW53" s="22" t="e">
        <f>VLOOKUP(AU53,CENY!$B$11:$G$1054,3,FALSE)</f>
        <v>#N/A</v>
      </c>
      <c r="AX53" s="22"/>
      <c r="AY53" s="68">
        <f>IF(FORM!AM21&lt;&gt;FORM!AW16,(4*(SUM(O19:AD19)+SUM(W20:AF20)+SUM(O25:AD25))),0)</f>
        <v>0</v>
      </c>
      <c r="AZ53" s="326">
        <f t="shared" si="0"/>
        <v>0</v>
      </c>
      <c r="BA53" s="324" t="str">
        <f>IF(AU53=0,"",VLOOKUP(AU53,CENY!$B$11:$M$2025,12,FALSE))</f>
        <v/>
      </c>
      <c r="BB53" s="95" t="str">
        <f t="shared" si="1"/>
        <v/>
      </c>
      <c r="BD53" s="319">
        <f>OBJ!B259</f>
        <v>9318177</v>
      </c>
      <c r="BE53" s="21" t="str">
        <f>VLOOKUP(BD53,CENY!$B$11:$G$1054,2,FALSE)</f>
        <v>Actro You(L) 450/SiSy 40kg; EB21; ľavý</v>
      </c>
      <c r="BF53" s="22">
        <f>VLOOKUP(BD53,CENY!$B$11:$G$1054,3,FALSE)</f>
        <v>10</v>
      </c>
      <c r="BG53" s="22"/>
      <c r="BH53" s="23">
        <f>AY32</f>
        <v>0</v>
      </c>
      <c r="BI53" s="326">
        <f t="shared" si="2"/>
        <v>0</v>
      </c>
      <c r="BJ53" s="95">
        <f>VLOOKUP(BD53,CENY!$B$11:$M$2025,12,FALSE)</f>
        <v>298.33073999999999</v>
      </c>
      <c r="BK53" s="95">
        <f t="shared" si="3"/>
        <v>0</v>
      </c>
    </row>
    <row r="54" spans="47:63" ht="14.4" customHeight="1">
      <c r="AU54" s="319"/>
      <c r="AV54" s="21"/>
      <c r="AW54" s="22"/>
      <c r="AX54" s="22"/>
      <c r="AY54" s="23"/>
      <c r="AZ54" s="326" t="str">
        <f t="shared" si="0"/>
        <v/>
      </c>
      <c r="BA54" s="95"/>
      <c r="BB54" s="95" t="str">
        <f t="shared" si="1"/>
        <v/>
      </c>
      <c r="BD54" s="319">
        <f>OBJ!B260</f>
        <v>9318178</v>
      </c>
      <c r="BE54" s="21" t="str">
        <f>VLOOKUP(BD54,CENY!$B$11:$G$1054,2,FALSE)</f>
        <v>Actro You(L) 450/SiSy 40kg; EB21; pravý</v>
      </c>
      <c r="BF54" s="22">
        <f>VLOOKUP(BD54,CENY!$B$11:$G$1054,3,FALSE)</f>
        <v>10</v>
      </c>
      <c r="BG54" s="22"/>
      <c r="BH54" s="23">
        <f>AY32</f>
        <v>0</v>
      </c>
      <c r="BI54" s="326">
        <f t="shared" si="2"/>
        <v>0</v>
      </c>
      <c r="BJ54" s="95">
        <f>VLOOKUP(BD54,CENY!$B$11:$M$2025,12,FALSE)</f>
        <v>298.33073999999999</v>
      </c>
      <c r="BK54" s="95">
        <f t="shared" si="3"/>
        <v>0</v>
      </c>
    </row>
    <row r="55" spans="47:63" ht="14.4" customHeight="1">
      <c r="AU55" s="319"/>
      <c r="AV55" s="21"/>
      <c r="AW55" s="22"/>
      <c r="AX55" s="22"/>
      <c r="AY55" s="23"/>
      <c r="AZ55" s="326" t="str">
        <f t="shared" si="0"/>
        <v/>
      </c>
      <c r="BA55" s="95"/>
      <c r="BB55" s="95" t="str">
        <f t="shared" si="1"/>
        <v/>
      </c>
      <c r="BD55" s="319">
        <f>OBJ!B261</f>
        <v>9318179</v>
      </c>
      <c r="BE55" s="21" t="str">
        <f>VLOOKUP(BD55,CENY!$B$11:$G$1054,2,FALSE)</f>
        <v>Actro You(L) 500/SiSy 40kg; EB21; ľavý</v>
      </c>
      <c r="BF55" s="22">
        <f>VLOOKUP(BD55,CENY!$B$11:$G$1054,3,FALSE)</f>
        <v>10</v>
      </c>
      <c r="BG55" s="22"/>
      <c r="BH55" s="23">
        <f>AY33</f>
        <v>0</v>
      </c>
      <c r="BI55" s="326">
        <f t="shared" si="2"/>
        <v>0</v>
      </c>
      <c r="BJ55" s="95">
        <f>VLOOKUP(BD55,CENY!$B$11:$M$2025,12,FALSE)</f>
        <v>296.00905</v>
      </c>
      <c r="BK55" s="95">
        <f t="shared" si="3"/>
        <v>0</v>
      </c>
    </row>
    <row r="56" spans="47:63" ht="14.4" customHeight="1">
      <c r="AU56" s="319"/>
      <c r="AV56" s="21"/>
      <c r="AW56" s="22"/>
      <c r="AX56" s="22"/>
      <c r="AY56" s="23"/>
      <c r="AZ56" s="326" t="str">
        <f t="shared" si="0"/>
        <v/>
      </c>
      <c r="BA56" s="95"/>
      <c r="BB56" s="95" t="str">
        <f t="shared" si="1"/>
        <v/>
      </c>
      <c r="BD56" s="319">
        <f>OBJ!B262</f>
        <v>9318180</v>
      </c>
      <c r="BE56" s="21" t="str">
        <f>VLOOKUP(BD56,CENY!$B$11:$G$1054,2,FALSE)</f>
        <v>Actro You(L) 500/SiSy 40kg; EB21; pravý</v>
      </c>
      <c r="BF56" s="22">
        <f>VLOOKUP(BD56,CENY!$B$11:$G$1054,3,FALSE)</f>
        <v>10</v>
      </c>
      <c r="BG56" s="22"/>
      <c r="BH56" s="23">
        <f>AY33</f>
        <v>0</v>
      </c>
      <c r="BI56" s="326">
        <f t="shared" si="2"/>
        <v>0</v>
      </c>
      <c r="BJ56" s="95">
        <f>VLOOKUP(BD56,CENY!$B$11:$M$2025,12,FALSE)</f>
        <v>296.00905</v>
      </c>
      <c r="BK56" s="95">
        <f t="shared" si="3"/>
        <v>0</v>
      </c>
    </row>
    <row r="57" spans="47:63" ht="14.4" customHeight="1">
      <c r="AU57" s="319"/>
      <c r="AV57" s="21"/>
      <c r="AW57" s="22"/>
      <c r="AX57" s="22"/>
      <c r="AY57" s="23"/>
      <c r="AZ57" s="326" t="str">
        <f t="shared" si="0"/>
        <v/>
      </c>
      <c r="BA57" s="95"/>
      <c r="BB57" s="95" t="str">
        <f t="shared" si="1"/>
        <v/>
      </c>
      <c r="BD57" s="319">
        <f>OBJ!B263</f>
        <v>9318181</v>
      </c>
      <c r="BE57" s="21" t="str">
        <f>VLOOKUP(BD57,CENY!$B$11:$G$1054,2,FALSE)</f>
        <v>Actro You(L) 550/SiSy 40kg; EB21; ľavý</v>
      </c>
      <c r="BF57" s="22">
        <f>VLOOKUP(BD57,CENY!$B$11:$G$1054,3,FALSE)</f>
        <v>10</v>
      </c>
      <c r="BG57" s="22"/>
      <c r="BH57" s="23">
        <f>AY34</f>
        <v>0</v>
      </c>
      <c r="BI57" s="326">
        <f t="shared" si="2"/>
        <v>0</v>
      </c>
      <c r="BJ57" s="95">
        <f>VLOOKUP(BD57,CENY!$B$11:$M$2025,12,FALSE)</f>
        <v>321.83461999999997</v>
      </c>
      <c r="BK57" s="95">
        <f t="shared" si="3"/>
        <v>0</v>
      </c>
    </row>
    <row r="58" spans="47:63" ht="14.4" customHeight="1">
      <c r="AU58" s="319"/>
      <c r="AV58" s="21"/>
      <c r="AW58" s="22"/>
      <c r="AX58" s="22"/>
      <c r="AY58" s="23"/>
      <c r="AZ58" s="326" t="str">
        <f t="shared" si="0"/>
        <v/>
      </c>
      <c r="BA58" s="95"/>
      <c r="BB58" s="95" t="str">
        <f t="shared" si="1"/>
        <v/>
      </c>
      <c r="BD58" s="319">
        <f>OBJ!B264</f>
        <v>9318182</v>
      </c>
      <c r="BE58" s="21" t="str">
        <f>VLOOKUP(BD58,CENY!$B$11:$G$1054,2,FALSE)</f>
        <v>Actro You(L) 550/SiSy 40kg; EB21; pravý</v>
      </c>
      <c r="BF58" s="22">
        <f>VLOOKUP(BD58,CENY!$B$11:$G$1054,3,FALSE)</f>
        <v>10</v>
      </c>
      <c r="BG58" s="22"/>
      <c r="BH58" s="23">
        <f>AY34</f>
        <v>0</v>
      </c>
      <c r="BI58" s="326">
        <f t="shared" si="2"/>
        <v>0</v>
      </c>
      <c r="BJ58" s="95">
        <f>VLOOKUP(BD58,CENY!$B$11:$M$2025,12,FALSE)</f>
        <v>321.83461999999997</v>
      </c>
      <c r="BK58" s="95">
        <f t="shared" si="3"/>
        <v>0</v>
      </c>
    </row>
    <row r="59" spans="47:63" ht="14.4" customHeight="1">
      <c r="AU59" s="319"/>
      <c r="AV59" s="21"/>
      <c r="AW59" s="22"/>
      <c r="AX59" s="22"/>
      <c r="AY59" s="23"/>
      <c r="AZ59" s="326" t="str">
        <f t="shared" si="0"/>
        <v/>
      </c>
      <c r="BA59" s="95"/>
      <c r="BB59" s="95" t="str">
        <f t="shared" si="1"/>
        <v/>
      </c>
      <c r="BD59" s="319">
        <f>OBJ!B265</f>
        <v>9318183</v>
      </c>
      <c r="BE59" s="21" t="str">
        <f>VLOOKUP(BD59,CENY!$B$11:$G$1054,2,FALSE)</f>
        <v>Actro You(L) 600/SiSy 40kg; EB21; ľavý</v>
      </c>
      <c r="BF59" s="22">
        <f>VLOOKUP(BD59,CENY!$B$11:$G$1054,3,FALSE)</f>
        <v>10</v>
      </c>
      <c r="BG59" s="22"/>
      <c r="BH59" s="23">
        <f>AY35</f>
        <v>0</v>
      </c>
      <c r="BI59" s="326">
        <f>IF(BH59="","",IF($AW$4=0,BH59,0))</f>
        <v>0</v>
      </c>
      <c r="BJ59" s="95">
        <f>VLOOKUP(BD59,CENY!$B$11:$M$2025,12,FALSE)</f>
        <v>326.21229</v>
      </c>
      <c r="BK59" s="95">
        <f>IF(BJ59="","",BJ59*BH59)</f>
        <v>0</v>
      </c>
    </row>
    <row r="60" spans="47:63" ht="14.4" customHeight="1">
      <c r="AU60" s="319"/>
      <c r="AV60" s="21"/>
      <c r="AW60" s="22"/>
      <c r="AX60" s="22"/>
      <c r="AY60" s="23"/>
      <c r="AZ60" s="326" t="str">
        <f t="shared" si="0"/>
        <v/>
      </c>
      <c r="BA60" s="95"/>
      <c r="BB60" s="95" t="str">
        <f t="shared" si="1"/>
        <v/>
      </c>
      <c r="BD60" s="319">
        <f>OBJ!B266</f>
        <v>9318184</v>
      </c>
      <c r="BE60" s="21" t="str">
        <f>VLOOKUP(BD60,CENY!$B$11:$G$1054,2,FALSE)</f>
        <v>Actro You(L) 600/SiSy 40kg; EB21; pravý</v>
      </c>
      <c r="BF60" s="22">
        <f>VLOOKUP(BD60,CENY!$B$11:$G$1054,3,FALSE)</f>
        <v>10</v>
      </c>
      <c r="BG60" s="22"/>
      <c r="BH60" s="23">
        <f>AY35</f>
        <v>0</v>
      </c>
      <c r="BI60" s="326">
        <f>IF(BH60="","",IF($AW$4=0,BH60,0))</f>
        <v>0</v>
      </c>
      <c r="BJ60" s="95">
        <f>VLOOKUP(BD60,CENY!$B$11:$M$2025,12,FALSE)</f>
        <v>326.21229</v>
      </c>
      <c r="BK60" s="95">
        <f>IF(BJ60="","",BJ60*BH60)</f>
        <v>0</v>
      </c>
    </row>
    <row r="61" spans="47:63" ht="14.4" customHeight="1">
      <c r="AU61" s="20"/>
      <c r="AV61" s="21"/>
      <c r="AW61" s="22"/>
      <c r="AX61" s="22"/>
      <c r="AY61" s="23"/>
      <c r="AZ61" s="326" t="str">
        <f t="shared" si="0"/>
        <v/>
      </c>
      <c r="BA61" s="95"/>
      <c r="BB61" s="95" t="str">
        <f t="shared" ref="BB61:BB96" si="6">IF(BA61="","",BA61*AY61)</f>
        <v/>
      </c>
      <c r="BD61" s="319"/>
      <c r="BE61" s="21"/>
      <c r="BF61" s="22"/>
      <c r="BG61" s="22"/>
      <c r="BH61" s="23"/>
      <c r="BI61" s="326" t="str">
        <f t="shared" si="2"/>
        <v/>
      </c>
      <c r="BJ61" s="95"/>
      <c r="BK61" s="95" t="str">
        <f t="shared" si="3"/>
        <v/>
      </c>
    </row>
    <row r="62" spans="47:63" ht="14.4" customHeight="1">
      <c r="AU62" s="20"/>
      <c r="AV62" s="21"/>
      <c r="AW62" s="22"/>
      <c r="AX62" s="22"/>
      <c r="AY62" s="23"/>
      <c r="AZ62" s="326" t="str">
        <f t="shared" ref="AZ62:AZ96" si="7">IF(AY62="","",IF($AW$4=1,AY62,0))</f>
        <v/>
      </c>
      <c r="BA62" s="95"/>
      <c r="BB62" s="95" t="str">
        <f t="shared" si="6"/>
        <v/>
      </c>
      <c r="BD62" s="319">
        <f>OBJ!B273</f>
        <v>9318198</v>
      </c>
      <c r="BE62" s="21" t="str">
        <f>VLOOKUP(BD62,CENY!$B$11:$G$1054,2,FALSE)</f>
        <v>Actro You(XL) 450/SiSy 70kg; EB21; ľavý</v>
      </c>
      <c r="BF62" s="22">
        <f>VLOOKUP(BD62,CENY!$B$11:$G$1054,3,FALSE)</f>
        <v>10</v>
      </c>
      <c r="BG62" s="22"/>
      <c r="BH62" s="23">
        <f>AY37</f>
        <v>0</v>
      </c>
      <c r="BI62" s="326">
        <f t="shared" si="2"/>
        <v>0</v>
      </c>
      <c r="BJ62" s="95">
        <f>VLOOKUP(BD62,CENY!$B$11:$M$2025,12,FALSE)</f>
        <v>368.62277</v>
      </c>
      <c r="BK62" s="95">
        <f t="shared" si="3"/>
        <v>0</v>
      </c>
    </row>
    <row r="63" spans="47:63" ht="14.4" customHeight="1">
      <c r="AU63" s="20"/>
      <c r="AV63" s="21"/>
      <c r="AW63" s="22"/>
      <c r="AX63" s="22"/>
      <c r="AY63" s="23"/>
      <c r="AZ63" s="326" t="str">
        <f t="shared" si="7"/>
        <v/>
      </c>
      <c r="BA63" s="95"/>
      <c r="BB63" s="95" t="str">
        <f t="shared" si="6"/>
        <v/>
      </c>
      <c r="BD63" s="319">
        <f>OBJ!B274</f>
        <v>9318199</v>
      </c>
      <c r="BE63" s="21" t="str">
        <f>VLOOKUP(BD63,CENY!$B$11:$G$1054,2,FALSE)</f>
        <v>Actro You(XL) 450/SiSy 70kg; EB21; pravý</v>
      </c>
      <c r="BF63" s="22">
        <f>VLOOKUP(BD63,CENY!$B$11:$G$1054,3,FALSE)</f>
        <v>10</v>
      </c>
      <c r="BG63" s="22"/>
      <c r="BH63" s="23">
        <f>AY37</f>
        <v>0</v>
      </c>
      <c r="BI63" s="326">
        <f t="shared" si="2"/>
        <v>0</v>
      </c>
      <c r="BJ63" s="95">
        <f>VLOOKUP(BD63,CENY!$B$11:$M$2025,12,FALSE)</f>
        <v>368.62277</v>
      </c>
      <c r="BK63" s="95">
        <f t="shared" si="3"/>
        <v>0</v>
      </c>
    </row>
    <row r="64" spans="47:63" ht="14.4" customHeight="1">
      <c r="AU64" s="20"/>
      <c r="AV64" s="21"/>
      <c r="AW64" s="22"/>
      <c r="AX64" s="22"/>
      <c r="AY64" s="23"/>
      <c r="AZ64" s="326" t="str">
        <f t="shared" si="7"/>
        <v/>
      </c>
      <c r="BA64" s="95"/>
      <c r="BB64" s="95" t="str">
        <f t="shared" si="6"/>
        <v/>
      </c>
      <c r="BD64" s="319">
        <f>OBJ!B275</f>
        <v>9318201</v>
      </c>
      <c r="BE64" s="21" t="str">
        <f>VLOOKUP(BD64,CENY!$B$11:$G$1054,2,FALSE)</f>
        <v>Actro You(XL) 500/SiSy 70kg; EB21; ľavý</v>
      </c>
      <c r="BF64" s="22">
        <f>VLOOKUP(BD64,CENY!$B$11:$G$1054,3,FALSE)</f>
        <v>10</v>
      </c>
      <c r="BG64" s="22"/>
      <c r="BH64" s="23">
        <f>AY38</f>
        <v>0</v>
      </c>
      <c r="BI64" s="326">
        <f t="shared" si="2"/>
        <v>0</v>
      </c>
      <c r="BJ64" s="95">
        <f>VLOOKUP(BD64,CENY!$B$11:$M$2025,12,FALSE)</f>
        <v>372.33726999999999</v>
      </c>
      <c r="BK64" s="95">
        <f t="shared" si="3"/>
        <v>0</v>
      </c>
    </row>
    <row r="65" spans="47:63" ht="14.4" customHeight="1">
      <c r="AU65" s="20"/>
      <c r="AV65" s="21"/>
      <c r="AW65" s="22"/>
      <c r="AX65" s="22"/>
      <c r="AY65" s="23"/>
      <c r="AZ65" s="326" t="str">
        <f t="shared" si="7"/>
        <v/>
      </c>
      <c r="BA65" s="95"/>
      <c r="BB65" s="95" t="str">
        <f t="shared" si="6"/>
        <v/>
      </c>
      <c r="BD65" s="319">
        <f>OBJ!B276</f>
        <v>9318203</v>
      </c>
      <c r="BE65" s="21" t="str">
        <f>VLOOKUP(BD65,CENY!$B$11:$G$1054,2,FALSE)</f>
        <v>Actro You(XL) 500/SiSy 70kg; EB21; pravý</v>
      </c>
      <c r="BF65" s="22">
        <f>VLOOKUP(BD65,CENY!$B$11:$G$1054,3,FALSE)</f>
        <v>10</v>
      </c>
      <c r="BG65" s="22"/>
      <c r="BH65" s="23">
        <f>AY38</f>
        <v>0</v>
      </c>
      <c r="BI65" s="326">
        <f t="shared" si="2"/>
        <v>0</v>
      </c>
      <c r="BJ65" s="95">
        <f>VLOOKUP(BD65,CENY!$B$11:$M$2025,12,FALSE)</f>
        <v>372.33726999999999</v>
      </c>
      <c r="BK65" s="95">
        <f t="shared" si="3"/>
        <v>0</v>
      </c>
    </row>
    <row r="66" spans="47:63" ht="14.4" customHeight="1">
      <c r="AU66" s="20"/>
      <c r="AV66" s="21"/>
      <c r="AW66" s="22"/>
      <c r="AX66" s="22"/>
      <c r="AY66" s="23"/>
      <c r="AZ66" s="326" t="str">
        <f t="shared" si="7"/>
        <v/>
      </c>
      <c r="BA66" s="95"/>
      <c r="BB66" s="95" t="str">
        <f t="shared" si="6"/>
        <v/>
      </c>
      <c r="BD66" s="319">
        <f>OBJ!B277</f>
        <v>9318208</v>
      </c>
      <c r="BE66" s="21" t="str">
        <f>VLOOKUP(BD66,CENY!$B$11:$G$1054,2,FALSE)</f>
        <v>Actro You(XL) 550/SiSy 70kg; EB21; ľavý</v>
      </c>
      <c r="BF66" s="22">
        <f>VLOOKUP(BD66,CENY!$B$11:$G$1054,3,FALSE)</f>
        <v>10</v>
      </c>
      <c r="BG66" s="22"/>
      <c r="BH66" s="23">
        <f>AY39</f>
        <v>0</v>
      </c>
      <c r="BI66" s="326">
        <f t="shared" si="2"/>
        <v>0</v>
      </c>
      <c r="BJ66" s="95">
        <f>VLOOKUP(BD66,CENY!$B$11:$M$2025,12,FALSE)</f>
        <v>392.11943000000002</v>
      </c>
      <c r="BK66" s="95">
        <f t="shared" si="3"/>
        <v>0</v>
      </c>
    </row>
    <row r="67" spans="47:63" ht="14.4" customHeight="1">
      <c r="AU67" s="20"/>
      <c r="AV67" s="21"/>
      <c r="AW67" s="22"/>
      <c r="AX67" s="22"/>
      <c r="AY67" s="23"/>
      <c r="AZ67" s="326" t="str">
        <f t="shared" si="7"/>
        <v/>
      </c>
      <c r="BA67" s="95"/>
      <c r="BB67" s="95" t="str">
        <f t="shared" si="6"/>
        <v/>
      </c>
      <c r="BD67" s="319">
        <f>OBJ!B278</f>
        <v>9318209</v>
      </c>
      <c r="BE67" s="21" t="str">
        <f>VLOOKUP(BD67,CENY!$B$11:$G$1054,2,FALSE)</f>
        <v>Actro You(XL) 550/SiSy 70kg; EB21; pravý</v>
      </c>
      <c r="BF67" s="22">
        <f>VLOOKUP(BD67,CENY!$B$11:$G$1054,3,FALSE)</f>
        <v>10</v>
      </c>
      <c r="BG67" s="22"/>
      <c r="BH67" s="23">
        <f>AY39</f>
        <v>0</v>
      </c>
      <c r="BI67" s="326">
        <f t="shared" si="2"/>
        <v>0</v>
      </c>
      <c r="BJ67" s="95">
        <f>VLOOKUP(BD67,CENY!$B$11:$M$2025,12,FALSE)</f>
        <v>392.11943000000002</v>
      </c>
      <c r="BK67" s="95">
        <f t="shared" si="3"/>
        <v>0</v>
      </c>
    </row>
    <row r="68" spans="47:63" ht="14.4" customHeight="1">
      <c r="AU68" s="20"/>
      <c r="AV68" s="21"/>
      <c r="AW68" s="22"/>
      <c r="AX68" s="22"/>
      <c r="AY68" s="23"/>
      <c r="AZ68" s="326" t="str">
        <f t="shared" si="7"/>
        <v/>
      </c>
      <c r="BA68" s="95"/>
      <c r="BB68" s="95" t="str">
        <f t="shared" si="6"/>
        <v/>
      </c>
      <c r="BD68" s="319">
        <f>OBJ!B279</f>
        <v>9318211</v>
      </c>
      <c r="BE68" s="21" t="str">
        <f>VLOOKUP(BD68,CENY!$B$11:$G$1054,2,FALSE)</f>
        <v>Actro You(XL) 600/SiSy 70kg; EB21; ľavý</v>
      </c>
      <c r="BF68" s="22">
        <f>VLOOKUP(BD68,CENY!$B$11:$G$1054,3,FALSE)</f>
        <v>10</v>
      </c>
      <c r="BG68" s="22"/>
      <c r="BH68" s="23">
        <f>AY40</f>
        <v>0</v>
      </c>
      <c r="BI68" s="326">
        <f t="shared" si="2"/>
        <v>0</v>
      </c>
      <c r="BJ68" s="95">
        <f>VLOOKUP(BD68,CENY!$B$11:$M$2025,12,FALSE)</f>
        <v>443.89010999999999</v>
      </c>
      <c r="BK68" s="95">
        <f t="shared" si="3"/>
        <v>0</v>
      </c>
    </row>
    <row r="69" spans="47:63" ht="14.4" customHeight="1">
      <c r="AU69" s="20"/>
      <c r="AV69" s="21"/>
      <c r="AW69" s="22"/>
      <c r="AX69" s="22"/>
      <c r="AY69" s="23"/>
      <c r="AZ69" s="326" t="str">
        <f t="shared" si="7"/>
        <v/>
      </c>
      <c r="BA69" s="95"/>
      <c r="BB69" s="95" t="str">
        <f t="shared" si="6"/>
        <v/>
      </c>
      <c r="BD69" s="319">
        <f>OBJ!B280</f>
        <v>9318212</v>
      </c>
      <c r="BE69" s="21" t="str">
        <f>VLOOKUP(BD69,CENY!$B$11:$G$1054,2,FALSE)</f>
        <v>Actro You(XL) 600/SiSy 70kg; EB21; pravý</v>
      </c>
      <c r="BF69" s="22">
        <f>VLOOKUP(BD69,CENY!$B$11:$G$1054,3,FALSE)</f>
        <v>10</v>
      </c>
      <c r="BG69" s="22"/>
      <c r="BH69" s="23">
        <f>AY40</f>
        <v>0</v>
      </c>
      <c r="BI69" s="326">
        <f t="shared" si="2"/>
        <v>0</v>
      </c>
      <c r="BJ69" s="95">
        <f>VLOOKUP(BD69,CENY!$B$11:$M$2025,12,FALSE)</f>
        <v>443.89010999999999</v>
      </c>
      <c r="BK69" s="95">
        <f t="shared" si="3"/>
        <v>0</v>
      </c>
    </row>
    <row r="70" spans="47:63" ht="14.4" customHeight="1">
      <c r="AU70" s="20"/>
      <c r="AV70" s="21"/>
      <c r="AW70" s="22"/>
      <c r="AX70" s="22"/>
      <c r="AY70" s="23"/>
      <c r="AZ70" s="326" t="str">
        <f t="shared" si="7"/>
        <v/>
      </c>
      <c r="BA70" s="95"/>
      <c r="BB70" s="95" t="str">
        <f t="shared" si="6"/>
        <v/>
      </c>
      <c r="BD70" s="319"/>
      <c r="BE70" s="21"/>
      <c r="BF70" s="22"/>
      <c r="BG70" s="22"/>
      <c r="BH70" s="23"/>
      <c r="BI70" s="326" t="str">
        <f t="shared" ref="BI70:BI96" si="8">IF(BH70="","",IF($AW$4=0,BH70,0))</f>
        <v/>
      </c>
      <c r="BJ70" s="95"/>
      <c r="BK70" s="95" t="str">
        <f t="shared" ref="BK70:BK96" si="9">IF(BJ70="","",BJ70*BH70)</f>
        <v/>
      </c>
    </row>
    <row r="71" spans="47:63" ht="14.4" customHeight="1">
      <c r="AU71" s="20"/>
      <c r="AV71" s="21"/>
      <c r="AW71" s="22"/>
      <c r="AX71" s="22"/>
      <c r="AY71" s="23"/>
      <c r="AZ71" s="326" t="str">
        <f t="shared" si="7"/>
        <v/>
      </c>
      <c r="BA71" s="95"/>
      <c r="BB71" s="95" t="str">
        <f t="shared" si="6"/>
        <v/>
      </c>
      <c r="BD71" s="319">
        <f>OBJ!B314</f>
        <v>9256856</v>
      </c>
      <c r="BE71" s="21" t="str">
        <f>VLOOKUP(BD71,CENY!$B$11:$G$1054,2,FALSE)</f>
        <v>Quadro You(M) 300/SiSy 20kg; EB21; ľavý</v>
      </c>
      <c r="BF71" s="22">
        <f>VLOOKUP(BD71,CENY!$B$11:$G$1054,3,FALSE)</f>
        <v>20</v>
      </c>
      <c r="BG71" s="22"/>
      <c r="BH71" s="23">
        <f>AY42</f>
        <v>0</v>
      </c>
      <c r="BI71" s="326">
        <f t="shared" si="8"/>
        <v>0</v>
      </c>
      <c r="BJ71" s="95">
        <f>VLOOKUP(BD71,CENY!$B$11:$M$2025,12,FALSE)</f>
        <v>224.26065</v>
      </c>
      <c r="BK71" s="95">
        <f t="shared" si="9"/>
        <v>0</v>
      </c>
    </row>
    <row r="72" spans="47:63" ht="14.4" customHeight="1">
      <c r="AU72" s="20"/>
      <c r="AV72" s="21"/>
      <c r="AW72" s="22"/>
      <c r="AX72" s="22"/>
      <c r="AY72" s="23"/>
      <c r="AZ72" s="326" t="str">
        <f t="shared" si="7"/>
        <v/>
      </c>
      <c r="BA72" s="95"/>
      <c r="BB72" s="95" t="str">
        <f t="shared" si="6"/>
        <v/>
      </c>
      <c r="BD72" s="319">
        <f>OBJ!B315</f>
        <v>9256857</v>
      </c>
      <c r="BE72" s="21" t="str">
        <f>VLOOKUP(BD72,CENY!$B$11:$G$1054,2,FALSE)</f>
        <v>Quadro You(M) 300/SiSy 20kg; EB21; pravý</v>
      </c>
      <c r="BF72" s="22">
        <f>VLOOKUP(BD72,CENY!$B$11:$G$1054,3,FALSE)</f>
        <v>20</v>
      </c>
      <c r="BG72" s="22"/>
      <c r="BH72" s="23">
        <f>AY42</f>
        <v>0</v>
      </c>
      <c r="BI72" s="326">
        <f t="shared" si="8"/>
        <v>0</v>
      </c>
      <c r="BJ72" s="95">
        <f>VLOOKUP(BD72,CENY!$B$11:$M$2025,12,FALSE)</f>
        <v>224.26065</v>
      </c>
      <c r="BK72" s="95">
        <f t="shared" si="9"/>
        <v>0</v>
      </c>
    </row>
    <row r="73" spans="47:63" ht="14.4" customHeight="1">
      <c r="AU73" s="20"/>
      <c r="AV73" s="21"/>
      <c r="AW73" s="22"/>
      <c r="AX73" s="22"/>
      <c r="AY73" s="23"/>
      <c r="AZ73" s="326" t="str">
        <f t="shared" si="7"/>
        <v/>
      </c>
      <c r="BA73" s="95"/>
      <c r="BB73" s="95" t="str">
        <f t="shared" si="6"/>
        <v/>
      </c>
      <c r="BD73" s="319">
        <f>OBJ!B316</f>
        <v>9256860</v>
      </c>
      <c r="BE73" s="21" t="str">
        <f>VLOOKUP(BD73,CENY!$B$11:$G$1054,2,FALSE)</f>
        <v>Quadro You(M) 350/SiSy 25kg; EB21; ľavý</v>
      </c>
      <c r="BF73" s="22">
        <f>VLOOKUP(BD73,CENY!$B$11:$G$1054,3,FALSE)</f>
        <v>20</v>
      </c>
      <c r="BG73" s="22"/>
      <c r="BH73" s="23">
        <f>AY43</f>
        <v>0</v>
      </c>
      <c r="BI73" s="326">
        <f t="shared" si="8"/>
        <v>0</v>
      </c>
      <c r="BJ73" s="95">
        <f>VLOOKUP(BD73,CENY!$B$11:$M$2025,12,FALSE)</f>
        <v>229.11434</v>
      </c>
      <c r="BK73" s="95">
        <f t="shared" si="9"/>
        <v>0</v>
      </c>
    </row>
    <row r="74" spans="47:63" ht="14.4" customHeight="1">
      <c r="AU74" s="20"/>
      <c r="AV74" s="21"/>
      <c r="AW74" s="22"/>
      <c r="AX74" s="22"/>
      <c r="AY74" s="23"/>
      <c r="AZ74" s="326" t="str">
        <f t="shared" si="7"/>
        <v/>
      </c>
      <c r="BA74" s="95"/>
      <c r="BB74" s="95" t="str">
        <f t="shared" si="6"/>
        <v/>
      </c>
      <c r="BD74" s="319">
        <f>OBJ!B317</f>
        <v>9256861</v>
      </c>
      <c r="BE74" s="21" t="str">
        <f>VLOOKUP(BD74,CENY!$B$11:$G$1054,2,FALSE)</f>
        <v>Quadro You(M) 350/SiSy 25kg; EB21; pravý</v>
      </c>
      <c r="BF74" s="22">
        <f>VLOOKUP(BD74,CENY!$B$11:$G$1054,3,FALSE)</f>
        <v>20</v>
      </c>
      <c r="BG74" s="22"/>
      <c r="BH74" s="23">
        <f>AY43</f>
        <v>0</v>
      </c>
      <c r="BI74" s="326">
        <f t="shared" si="8"/>
        <v>0</v>
      </c>
      <c r="BJ74" s="95">
        <f>VLOOKUP(BD74,CENY!$B$11:$M$2025,12,FALSE)</f>
        <v>229.11434</v>
      </c>
      <c r="BK74" s="95">
        <f t="shared" si="9"/>
        <v>0</v>
      </c>
    </row>
    <row r="75" spans="47:63" ht="14.4" customHeight="1">
      <c r="AU75" s="20"/>
      <c r="AV75" s="21"/>
      <c r="AW75" s="22"/>
      <c r="AX75" s="22"/>
      <c r="AY75" s="23"/>
      <c r="AZ75" s="326" t="str">
        <f t="shared" si="7"/>
        <v/>
      </c>
      <c r="BA75" s="95"/>
      <c r="BB75" s="95" t="str">
        <f t="shared" si="6"/>
        <v/>
      </c>
      <c r="BD75" s="319">
        <f>OBJ!B318</f>
        <v>9256864</v>
      </c>
      <c r="BE75" s="21" t="str">
        <f>VLOOKUP(BD75,CENY!$B$11:$G$1054,2,FALSE)</f>
        <v>Quadro You(M) 400/SiSy 30kg; EB21; ľavý</v>
      </c>
      <c r="BF75" s="22">
        <f>VLOOKUP(BD75,CENY!$B$11:$G$1054,3,FALSE)</f>
        <v>20</v>
      </c>
      <c r="BG75" s="22"/>
      <c r="BH75" s="23">
        <f>AY44</f>
        <v>0</v>
      </c>
      <c r="BI75" s="326">
        <f t="shared" si="8"/>
        <v>0</v>
      </c>
      <c r="BJ75" s="95">
        <f>VLOOKUP(BD75,CENY!$B$11:$M$2025,12,FALSE)</f>
        <v>233.96566000000001</v>
      </c>
      <c r="BK75" s="95">
        <f t="shared" si="9"/>
        <v>0</v>
      </c>
    </row>
    <row r="76" spans="47:63" ht="14.4" customHeight="1">
      <c r="AU76" s="20"/>
      <c r="AV76" s="21"/>
      <c r="AW76" s="22"/>
      <c r="AX76" s="22"/>
      <c r="AY76" s="23"/>
      <c r="AZ76" s="326" t="str">
        <f t="shared" si="7"/>
        <v/>
      </c>
      <c r="BA76" s="95"/>
      <c r="BB76" s="95" t="str">
        <f t="shared" si="6"/>
        <v/>
      </c>
      <c r="BD76" s="319">
        <f>OBJ!B319</f>
        <v>9256865</v>
      </c>
      <c r="BE76" s="21" t="str">
        <f>VLOOKUP(BD76,CENY!$B$11:$G$1054,2,FALSE)</f>
        <v>Quadro You(M) 400/SiSy 30kg; EB21; pravý</v>
      </c>
      <c r="BF76" s="22">
        <f>VLOOKUP(BD76,CENY!$B$11:$G$1054,3,FALSE)</f>
        <v>20</v>
      </c>
      <c r="BG76" s="22"/>
      <c r="BH76" s="23">
        <f>AY44</f>
        <v>0</v>
      </c>
      <c r="BI76" s="326">
        <f t="shared" si="8"/>
        <v>0</v>
      </c>
      <c r="BJ76" s="95">
        <f>VLOOKUP(BD76,CENY!$B$11:$M$2025,12,FALSE)</f>
        <v>233.96566000000001</v>
      </c>
      <c r="BK76" s="95">
        <f t="shared" si="9"/>
        <v>0</v>
      </c>
    </row>
    <row r="77" spans="47:63" ht="14.4" customHeight="1">
      <c r="AU77" s="20"/>
      <c r="AV77" s="21"/>
      <c r="AW77" s="22"/>
      <c r="AX77" s="22"/>
      <c r="AY77" s="23"/>
      <c r="AZ77" s="326" t="str">
        <f t="shared" si="7"/>
        <v/>
      </c>
      <c r="BA77" s="95"/>
      <c r="BB77" s="95" t="str">
        <f t="shared" si="6"/>
        <v/>
      </c>
      <c r="BD77" s="319">
        <f>OBJ!B320</f>
        <v>9256868</v>
      </c>
      <c r="BE77" s="21" t="str">
        <f>VLOOKUP(BD77,CENY!$B$11:$G$1054,2,FALSE)</f>
        <v>Quadro You(M) 450/SiSy 30kg; EB21; ľavý</v>
      </c>
      <c r="BF77" s="22">
        <f>VLOOKUP(BD77,CENY!$B$11:$G$1054,3,FALSE)</f>
        <v>20</v>
      </c>
      <c r="BG77" s="22"/>
      <c r="BH77" s="23">
        <f>AY45</f>
        <v>0</v>
      </c>
      <c r="BI77" s="326">
        <f t="shared" si="8"/>
        <v>0</v>
      </c>
      <c r="BJ77" s="95">
        <f>VLOOKUP(BD77,CENY!$B$11:$M$2025,12,FALSE)</f>
        <v>238.81201999999999</v>
      </c>
      <c r="BK77" s="95">
        <f t="shared" si="9"/>
        <v>0</v>
      </c>
    </row>
    <row r="78" spans="47:63" ht="14.4" customHeight="1">
      <c r="AU78" s="20"/>
      <c r="AV78" s="21"/>
      <c r="AW78" s="22"/>
      <c r="AX78" s="22"/>
      <c r="AY78" s="23"/>
      <c r="AZ78" s="326" t="str">
        <f t="shared" si="7"/>
        <v/>
      </c>
      <c r="BA78" s="95"/>
      <c r="BB78" s="95" t="str">
        <f t="shared" si="6"/>
        <v/>
      </c>
      <c r="BD78" s="319">
        <f>OBJ!B321</f>
        <v>9256869</v>
      </c>
      <c r="BE78" s="21" t="str">
        <f>VLOOKUP(BD78,CENY!$B$11:$G$1054,2,FALSE)</f>
        <v>Quadro You(M) 450/SiSy 30kg; EB21; pravý</v>
      </c>
      <c r="BF78" s="22">
        <f>VLOOKUP(BD78,CENY!$B$11:$G$1054,3,FALSE)</f>
        <v>20</v>
      </c>
      <c r="BG78" s="22"/>
      <c r="BH78" s="23">
        <f>AY45</f>
        <v>0</v>
      </c>
      <c r="BI78" s="326">
        <f t="shared" si="8"/>
        <v>0</v>
      </c>
      <c r="BJ78" s="95">
        <f>VLOOKUP(BD78,CENY!$B$11:$M$2025,12,FALSE)</f>
        <v>238.81201999999999</v>
      </c>
      <c r="BK78" s="95">
        <f t="shared" si="9"/>
        <v>0</v>
      </c>
    </row>
    <row r="79" spans="47:63" ht="14.4" customHeight="1">
      <c r="AU79" s="20"/>
      <c r="AV79" s="21"/>
      <c r="AW79" s="22"/>
      <c r="AX79" s="22"/>
      <c r="AY79" s="23"/>
      <c r="AZ79" s="326" t="str">
        <f t="shared" si="7"/>
        <v/>
      </c>
      <c r="BA79" s="95"/>
      <c r="BB79" s="95" t="str">
        <f t="shared" si="6"/>
        <v/>
      </c>
      <c r="BD79" s="319">
        <f>OBJ!B322</f>
        <v>9256872</v>
      </c>
      <c r="BE79" s="21" t="str">
        <f>VLOOKUP(BD79,CENY!$B$11:$G$1054,2,FALSE)</f>
        <v>Quadro You(M) 500/SiSy 30kg; EB21; ľavý</v>
      </c>
      <c r="BF79" s="22">
        <f>VLOOKUP(BD79,CENY!$B$11:$G$1054,3,FALSE)</f>
        <v>20</v>
      </c>
      <c r="BG79" s="22"/>
      <c r="BH79" s="23">
        <f>AY46</f>
        <v>0</v>
      </c>
      <c r="BI79" s="326">
        <f t="shared" si="8"/>
        <v>0</v>
      </c>
      <c r="BJ79" s="95">
        <f>VLOOKUP(BD79,CENY!$B$11:$M$2025,12,FALSE)</f>
        <v>237.18776</v>
      </c>
      <c r="BK79" s="95">
        <f t="shared" si="9"/>
        <v>0</v>
      </c>
    </row>
    <row r="80" spans="47:63" ht="14.4" customHeight="1">
      <c r="AU80" s="20"/>
      <c r="AV80" s="21"/>
      <c r="AW80" s="22"/>
      <c r="AX80" s="22"/>
      <c r="AY80" s="23"/>
      <c r="AZ80" s="326" t="str">
        <f t="shared" si="7"/>
        <v/>
      </c>
      <c r="BA80" s="95"/>
      <c r="BB80" s="95" t="str">
        <f t="shared" si="6"/>
        <v/>
      </c>
      <c r="BD80" s="319">
        <f>OBJ!B323</f>
        <v>9256873</v>
      </c>
      <c r="BE80" s="21" t="str">
        <f>VLOOKUP(BD80,CENY!$B$11:$G$1054,2,FALSE)</f>
        <v>Quadro You(M) 500/SiSy 30kg; EB21; pravý</v>
      </c>
      <c r="BF80" s="22">
        <f>VLOOKUP(BD80,CENY!$B$11:$G$1054,3,FALSE)</f>
        <v>20</v>
      </c>
      <c r="BG80" s="22"/>
      <c r="BH80" s="23">
        <f>AY46</f>
        <v>0</v>
      </c>
      <c r="BI80" s="326">
        <f t="shared" si="8"/>
        <v>0</v>
      </c>
      <c r="BJ80" s="95">
        <f>VLOOKUP(BD80,CENY!$B$11:$M$2025,12,FALSE)</f>
        <v>237.18776</v>
      </c>
      <c r="BK80" s="95">
        <f t="shared" si="9"/>
        <v>0</v>
      </c>
    </row>
    <row r="81" spans="47:63" ht="14.4" customHeight="1">
      <c r="AU81" s="20"/>
      <c r="AV81" s="21"/>
      <c r="AW81" s="22"/>
      <c r="AX81" s="22"/>
      <c r="AY81" s="23"/>
      <c r="AZ81" s="326" t="str">
        <f t="shared" si="7"/>
        <v/>
      </c>
      <c r="BA81" s="95"/>
      <c r="BB81" s="95" t="str">
        <f t="shared" si="6"/>
        <v/>
      </c>
      <c r="BD81" s="319">
        <f>OBJ!B324</f>
        <v>9256876</v>
      </c>
      <c r="BE81" s="21" t="str">
        <f>VLOOKUP(BD81,CENY!$B$11:$G$1054,2,FALSE)</f>
        <v>Quadro You(M) 550/SiSy 30kg; EB21; ľavý</v>
      </c>
      <c r="BF81" s="22">
        <f>VLOOKUP(BD81,CENY!$B$11:$G$1054,3,FALSE)</f>
        <v>20</v>
      </c>
      <c r="BG81" s="22"/>
      <c r="BH81" s="23">
        <f>AY47</f>
        <v>0</v>
      </c>
      <c r="BI81" s="326">
        <f t="shared" si="8"/>
        <v>0</v>
      </c>
      <c r="BJ81" s="95">
        <f>VLOOKUP(BD81,CENY!$B$11:$M$2025,12,FALSE)</f>
        <v>241.90996999999999</v>
      </c>
      <c r="BK81" s="95">
        <f t="shared" si="9"/>
        <v>0</v>
      </c>
    </row>
    <row r="82" spans="47:63" ht="14.4" customHeight="1">
      <c r="AU82" s="20"/>
      <c r="AV82" s="21"/>
      <c r="AW82" s="22"/>
      <c r="AX82" s="22"/>
      <c r="AY82" s="23"/>
      <c r="AZ82" s="326" t="str">
        <f t="shared" si="7"/>
        <v/>
      </c>
      <c r="BA82" s="95"/>
      <c r="BB82" s="95" t="str">
        <f t="shared" si="6"/>
        <v/>
      </c>
      <c r="BD82" s="319">
        <f>OBJ!B325</f>
        <v>9256877</v>
      </c>
      <c r="BE82" s="21" t="str">
        <f>VLOOKUP(BD82,CENY!$B$11:$G$1054,2,FALSE)</f>
        <v>Quadro You(M) 550/SiSy 30kg; EB21; pravý</v>
      </c>
      <c r="BF82" s="22">
        <f>VLOOKUP(BD82,CENY!$B$11:$G$1054,3,FALSE)</f>
        <v>20</v>
      </c>
      <c r="BG82" s="22"/>
      <c r="BH82" s="23">
        <f>AY47</f>
        <v>0</v>
      </c>
      <c r="BI82" s="326">
        <f t="shared" si="8"/>
        <v>0</v>
      </c>
      <c r="BJ82" s="95">
        <f>VLOOKUP(BD82,CENY!$B$11:$M$2025,12,FALSE)</f>
        <v>248.51953</v>
      </c>
      <c r="BK82" s="95">
        <f t="shared" si="9"/>
        <v>0</v>
      </c>
    </row>
    <row r="83" spans="47:63" ht="14.4" customHeight="1">
      <c r="AU83" s="20"/>
      <c r="AV83" s="21"/>
      <c r="AW83" s="22"/>
      <c r="AX83" s="22"/>
      <c r="AY83" s="23"/>
      <c r="AZ83" s="326" t="str">
        <f t="shared" si="7"/>
        <v/>
      </c>
      <c r="BA83" s="95"/>
      <c r="BB83" s="95" t="str">
        <f t="shared" si="6"/>
        <v/>
      </c>
      <c r="BD83" s="319">
        <f>OBJ!B326</f>
        <v>9256880</v>
      </c>
      <c r="BE83" s="21" t="str">
        <f>VLOOKUP(BD83,CENY!$B$11:$G$1054,2,FALSE)</f>
        <v>Quadro You(M) 600/SiSy 25kg; EB21; ľavý</v>
      </c>
      <c r="BF83" s="22">
        <f>VLOOKUP(BD83,CENY!$B$11:$G$1054,3,FALSE)</f>
        <v>20</v>
      </c>
      <c r="BG83" s="22"/>
      <c r="BH83" s="23">
        <f>AY48</f>
        <v>0</v>
      </c>
      <c r="BI83" s="326">
        <f t="shared" si="8"/>
        <v>0</v>
      </c>
      <c r="BJ83" s="95">
        <f>VLOOKUP(BD83,CENY!$B$11:$M$2025,12,FALSE)</f>
        <v>253.36837</v>
      </c>
      <c r="BK83" s="95">
        <f t="shared" si="9"/>
        <v>0</v>
      </c>
    </row>
    <row r="84" spans="47:63" ht="14.4" customHeight="1">
      <c r="AU84" s="20"/>
      <c r="AV84" s="21"/>
      <c r="AW84" s="22"/>
      <c r="AX84" s="22"/>
      <c r="AY84" s="23"/>
      <c r="AZ84" s="326" t="str">
        <f t="shared" si="7"/>
        <v/>
      </c>
      <c r="BA84" s="95"/>
      <c r="BB84" s="95" t="str">
        <f t="shared" si="6"/>
        <v/>
      </c>
      <c r="BD84" s="319">
        <f>OBJ!B327</f>
        <v>9256881</v>
      </c>
      <c r="BE84" s="21" t="str">
        <f>VLOOKUP(BD84,CENY!$B$11:$G$1054,2,FALSE)</f>
        <v>Quadro You(M) 600/SiSy 25kg; EB21; pravý</v>
      </c>
      <c r="BF84" s="22">
        <f>VLOOKUP(BD84,CENY!$B$11:$G$1054,3,FALSE)</f>
        <v>20</v>
      </c>
      <c r="BG84" s="22"/>
      <c r="BH84" s="23">
        <f>AY48</f>
        <v>0</v>
      </c>
      <c r="BI84" s="326">
        <f t="shared" si="8"/>
        <v>0</v>
      </c>
      <c r="BJ84" s="95">
        <f>VLOOKUP(BD84,CENY!$B$11:$M$2025,12,FALSE)</f>
        <v>253.36837</v>
      </c>
      <c r="BK84" s="95">
        <f t="shared" si="9"/>
        <v>0</v>
      </c>
    </row>
    <row r="85" spans="47:63" ht="14.4" customHeight="1">
      <c r="AU85" s="20"/>
      <c r="AV85" s="21"/>
      <c r="AW85" s="22"/>
      <c r="AX85" s="22"/>
      <c r="AY85" s="23"/>
      <c r="AZ85" s="326" t="str">
        <f t="shared" si="7"/>
        <v/>
      </c>
      <c r="BA85" s="95"/>
      <c r="BB85" s="95" t="str">
        <f t="shared" si="6"/>
        <v/>
      </c>
      <c r="BD85" s="319"/>
      <c r="BE85" s="21"/>
      <c r="BF85" s="22"/>
      <c r="BG85" s="22"/>
      <c r="BH85" s="23"/>
      <c r="BI85" s="326" t="str">
        <f t="shared" si="8"/>
        <v/>
      </c>
      <c r="BJ85" s="95"/>
      <c r="BK85" s="95" t="str">
        <f t="shared" si="9"/>
        <v/>
      </c>
    </row>
    <row r="86" spans="47:63" ht="14.4" customHeight="1">
      <c r="AU86" s="20"/>
      <c r="AV86" s="21"/>
      <c r="AW86" s="22"/>
      <c r="AX86" s="22"/>
      <c r="AY86" s="23"/>
      <c r="AZ86" s="326" t="str">
        <f t="shared" si="7"/>
        <v/>
      </c>
      <c r="BA86" s="95"/>
      <c r="BB86" s="95" t="str">
        <f t="shared" si="6"/>
        <v/>
      </c>
      <c r="BD86" s="319">
        <f>OBJ!B214</f>
        <v>0</v>
      </c>
      <c r="BE86" s="21" t="e">
        <f>VLOOKUP(BD86,CENY!$B$11:$G$1054,2,FALSE)</f>
        <v>#N/A</v>
      </c>
      <c r="BF86" s="22" t="e">
        <f>VLOOKUP(BD86,CENY!$B$11:$G$1054,3,FALSE)</f>
        <v>#N/A</v>
      </c>
      <c r="BG86" s="22"/>
      <c r="BH86" s="23">
        <f>AY53</f>
        <v>0</v>
      </c>
      <c r="BI86" s="326">
        <f t="shared" si="8"/>
        <v>0</v>
      </c>
      <c r="BJ86" s="324" t="str">
        <f>IF(BD86=0,"",VLOOKUP(BD86,CENY!$B$11:$M$2025,12,FALSE))</f>
        <v/>
      </c>
      <c r="BK86" s="95" t="str">
        <f t="shared" si="9"/>
        <v/>
      </c>
    </row>
    <row r="87" spans="47:63" ht="14.4" customHeight="1">
      <c r="AU87" s="20"/>
      <c r="AV87" s="21"/>
      <c r="AW87" s="22"/>
      <c r="AX87" s="22"/>
      <c r="AY87" s="23"/>
      <c r="AZ87" s="326" t="str">
        <f t="shared" si="7"/>
        <v/>
      </c>
      <c r="BA87" s="95"/>
      <c r="BB87" s="95" t="str">
        <f t="shared" si="6"/>
        <v/>
      </c>
      <c r="BD87" s="319"/>
      <c r="BE87" s="21"/>
      <c r="BF87" s="22"/>
      <c r="BG87" s="22"/>
      <c r="BH87" s="23"/>
      <c r="BI87" s="326" t="str">
        <f t="shared" si="8"/>
        <v/>
      </c>
      <c r="BJ87" s="95"/>
      <c r="BK87" s="95" t="str">
        <f t="shared" si="9"/>
        <v/>
      </c>
    </row>
    <row r="88" spans="47:63">
      <c r="AU88" s="319">
        <f>OBJ!B361</f>
        <v>45167</v>
      </c>
      <c r="AV88" s="21" t="str">
        <f>VLOOKUP(AU88,CENY!$B$11:$G$1054,2,FALSE)</f>
        <v>Skrutka s polgul.hlavou 3,5x12mm</v>
      </c>
      <c r="AW88" s="22">
        <f>VLOOKUP(AU88,CENY!$B$11:$G$1054,3,FALSE)</f>
        <v>200</v>
      </c>
      <c r="AX88" s="22"/>
      <c r="AY88" s="23">
        <f>SUMPRODUCT(AX5:AX19,AY5:AY19)</f>
        <v>0</v>
      </c>
      <c r="AZ88" s="326">
        <f t="shared" si="7"/>
        <v>0</v>
      </c>
      <c r="BA88" s="95">
        <f>VLOOKUP(AU88,CENY!$B$11:$M$2025,12,FALSE)</f>
        <v>0.84719999999999995</v>
      </c>
      <c r="BB88" s="95">
        <f t="shared" si="6"/>
        <v>0</v>
      </c>
      <c r="BC88" s="86" t="s">
        <v>396</v>
      </c>
      <c r="BD88" s="319">
        <f>OBJ!B361</f>
        <v>45167</v>
      </c>
      <c r="BE88" s="21" t="str">
        <f>VLOOKUP(BD88,CENY!$B$11:$G$1054,2,FALSE)</f>
        <v>Skrutka s polgul.hlavou 3,5x12mm</v>
      </c>
      <c r="BF88" s="22">
        <f>VLOOKUP(BD88,CENY!$B$11:$G$1054,3,FALSE)</f>
        <v>200</v>
      </c>
      <c r="BG88" s="22"/>
      <c r="BH88" s="23">
        <f>AY88</f>
        <v>0</v>
      </c>
      <c r="BI88" s="326">
        <f>IF(BH88="","",IF($AW$4=0,BH88,0))</f>
        <v>0</v>
      </c>
      <c r="BJ88" s="95">
        <f>VLOOKUP(BD88,CENY!$B$11:$M$2025,12,FALSE)</f>
        <v>0.84719999999999995</v>
      </c>
      <c r="BK88" s="95">
        <f>IF(BJ88="","",BJ88*BH88)</f>
        <v>0</v>
      </c>
    </row>
    <row r="89" spans="47:63">
      <c r="AU89" s="319">
        <f>OBJ!B362</f>
        <v>45168</v>
      </c>
      <c r="AV89" s="21" t="str">
        <f>VLOOKUP(AU89,CENY!$B$11:$G$1054,2,FALSE)</f>
        <v>Skrutka s polgul.hlavou 3,5x20mm</v>
      </c>
      <c r="AW89" s="22">
        <f>VLOOKUP(AU89,CENY!$B$11:$G$1054,3,FALSE)</f>
        <v>200</v>
      </c>
      <c r="AX89" s="22"/>
      <c r="AY89" s="360">
        <v>0</v>
      </c>
      <c r="AZ89" s="326">
        <f t="shared" si="7"/>
        <v>0</v>
      </c>
      <c r="BA89" s="95">
        <f>VLOOKUP(AU89,CENY!$B$11:$M$2025,12,FALSE)</f>
        <v>1.2154199999999999</v>
      </c>
      <c r="BB89" s="95">
        <f t="shared" si="6"/>
        <v>0</v>
      </c>
      <c r="BC89" s="86" t="s">
        <v>397</v>
      </c>
      <c r="BD89" s="319">
        <f>OBJ!B362</f>
        <v>45168</v>
      </c>
      <c r="BE89" s="21" t="str">
        <f>VLOOKUP(BD89,CENY!$B$11:$G$1054,2,FALSE)</f>
        <v>Skrutka s polgul.hlavou 3,5x20mm</v>
      </c>
      <c r="BF89" s="22">
        <f>VLOOKUP(BD89,CENY!$B$11:$G$1054,3,FALSE)</f>
        <v>200</v>
      </c>
      <c r="BG89" s="22"/>
      <c r="BH89" s="360">
        <f>IF(FORM!$AM$8=FORM!$AU$10,(BH35*3+BH36*4),0)</f>
        <v>0</v>
      </c>
      <c r="BI89" s="326">
        <f>IF(BH89="","",IF($AW$4=0,BH89,0))</f>
        <v>0</v>
      </c>
      <c r="BJ89" s="95">
        <f>VLOOKUP(BD89,CENY!$B$11:$M$2025,12,FALSE)</f>
        <v>1.2154199999999999</v>
      </c>
      <c r="BK89" s="95">
        <f>IF(BJ89="","",BJ89*BH89)</f>
        <v>0</v>
      </c>
    </row>
    <row r="90" spans="47:63">
      <c r="AU90" s="319">
        <f>OBJ!B363</f>
        <v>9278224</v>
      </c>
      <c r="AV90" s="21" t="str">
        <f>VLOOKUP(AU90,CENY!$B$11:$G$1054,2,FALSE)</f>
        <v>Skrutka s polgul.hlavou 3,5x30mm</v>
      </c>
      <c r="AW90" s="22">
        <f>VLOOKUP(AU90,CENY!$B$11:$G$1054,3,FALSE)</f>
        <v>200</v>
      </c>
      <c r="AX90" s="22"/>
      <c r="AY90" s="360">
        <v>0</v>
      </c>
      <c r="AZ90" s="326">
        <f t="shared" si="7"/>
        <v>0</v>
      </c>
      <c r="BA90" s="95">
        <f>VLOOKUP(AU90,CENY!$B$11:$M$2025,12,FALSE)</f>
        <v>0.89337999999999995</v>
      </c>
      <c r="BB90" s="95">
        <f t="shared" si="6"/>
        <v>0</v>
      </c>
      <c r="BC90" s="86" t="s">
        <v>398</v>
      </c>
      <c r="BD90" s="319">
        <f>OBJ!B363</f>
        <v>9278224</v>
      </c>
      <c r="BE90" s="21" t="str">
        <f>VLOOKUP(BD90,CENY!$B$11:$G$1054,2,FALSE)</f>
        <v>Skrutka s polgul.hlavou 3,5x30mm</v>
      </c>
      <c r="BF90" s="22">
        <f>VLOOKUP(BD90,CENY!$B$11:$G$1054,3,FALSE)</f>
        <v>200</v>
      </c>
      <c r="BG90" s="22"/>
      <c r="BH90" s="360">
        <f>2*SUM(BH5:BH18)+2*SUM(BH20:BH33)</f>
        <v>0</v>
      </c>
      <c r="BI90" s="326">
        <f>IF(BH90="","",IF($AW$4=0,BH90,0))</f>
        <v>0</v>
      </c>
      <c r="BJ90" s="95">
        <f>VLOOKUP(BD90,CENY!$B$11:$M$2025,12,FALSE)</f>
        <v>0.89337999999999995</v>
      </c>
      <c r="BK90" s="95">
        <f>IF(BJ90="","",BJ90*BH90)</f>
        <v>0</v>
      </c>
    </row>
    <row r="91" spans="47:63">
      <c r="AU91" s="319">
        <f>OBJ!B364</f>
        <v>9279197</v>
      </c>
      <c r="AV91" s="21" t="str">
        <f>VLOOKUP(AU91,CENY!$B$11:$G$1054,2,FALSE)</f>
        <v>Skrutka s polgul.hlavou M3,5x12mm</v>
      </c>
      <c r="AW91" s="22">
        <f>VLOOKUP(AU91,CENY!$B$11:$G$1054,3,FALSE)</f>
        <v>1000</v>
      </c>
      <c r="AX91" s="22"/>
      <c r="AY91" s="68">
        <v>0</v>
      </c>
      <c r="AZ91" s="326">
        <f t="shared" si="7"/>
        <v>0</v>
      </c>
      <c r="BA91" s="95">
        <f>VLOOKUP(AU91,CENY!$B$11:$M$2025,12,FALSE)</f>
        <v>0</v>
      </c>
      <c r="BB91" s="95">
        <f t="shared" si="6"/>
        <v>0</v>
      </c>
      <c r="BC91" s="86" t="s">
        <v>399</v>
      </c>
      <c r="BD91" s="319">
        <f>OBJ!B364</f>
        <v>9279197</v>
      </c>
      <c r="BE91" s="21" t="str">
        <f>VLOOKUP(BD91,CENY!$B$11:$G$1054,2,FALSE)</f>
        <v>Skrutka s polgul.hlavou M3,5x12mm</v>
      </c>
      <c r="BF91" s="22">
        <f>VLOOKUP(BD91,CENY!$B$11:$G$1054,3,FALSE)</f>
        <v>1000</v>
      </c>
      <c r="BG91" s="22"/>
      <c r="BH91" s="68">
        <f>AY91</f>
        <v>0</v>
      </c>
      <c r="BI91" s="326">
        <f>IF(BH91="","",IF($AW$4=0,BH91,0))</f>
        <v>0</v>
      </c>
      <c r="BJ91" s="95">
        <f>VLOOKUP(BD91,CENY!$B$11:$M$2025,12,FALSE)</f>
        <v>0</v>
      </c>
      <c r="BK91" s="95">
        <f>IF(BJ91="","",BJ91*BH91)</f>
        <v>0</v>
      </c>
    </row>
    <row r="92" spans="47:63">
      <c r="AU92" s="319">
        <f>OBJ!B365</f>
        <v>9137114</v>
      </c>
      <c r="AV92" s="21" t="str">
        <f>VLOOKUP(AU92,CENY!$B$11:$G$1054,2,FALSE)</f>
        <v>EURO-skrutka  6,0x14mm / niklovaná</v>
      </c>
      <c r="AW92" s="22">
        <f>VLOOKUP(AU92,CENY!$B$11:$G$1054,3,FALSE)</f>
        <v>200</v>
      </c>
      <c r="AX92" s="22"/>
      <c r="AY92" s="23">
        <f>SUMPRODUCT(AX29:AX48,AY29:AY48)</f>
        <v>0</v>
      </c>
      <c r="AZ92" s="326">
        <f t="shared" si="7"/>
        <v>0</v>
      </c>
      <c r="BA92" s="95">
        <f>VLOOKUP(AU92,CENY!$B$11:$M$2025,12,FALSE)</f>
        <v>1.8839300000000001</v>
      </c>
      <c r="BB92" s="95">
        <f t="shared" si="6"/>
        <v>0</v>
      </c>
      <c r="BC92" s="86" t="s">
        <v>400</v>
      </c>
      <c r="BD92" s="319">
        <f>OBJ!B365</f>
        <v>9137114</v>
      </c>
      <c r="BE92" s="21" t="str">
        <f>VLOOKUP(BD92,CENY!$B$11:$G$1054,2,FALSE)</f>
        <v>EURO-skrutka  6,0x14mm / niklovaná</v>
      </c>
      <c r="BF92" s="22">
        <f>VLOOKUP(BD92,CENY!$B$11:$G$1054,3,FALSE)</f>
        <v>200</v>
      </c>
      <c r="BG92" s="22"/>
      <c r="BH92" s="23">
        <f>AY92</f>
        <v>0</v>
      </c>
      <c r="BI92" s="326">
        <f>IF(BH92="","",IF($AW$4=0,BH92,0))</f>
        <v>0</v>
      </c>
      <c r="BJ92" s="95">
        <f>VLOOKUP(BD92,CENY!$B$11:$M$2025,12,FALSE)</f>
        <v>1.8839300000000001</v>
      </c>
      <c r="BK92" s="95">
        <f>IF(BJ92="","",BJ92*BH92)</f>
        <v>0</v>
      </c>
    </row>
    <row r="93" spans="47:63">
      <c r="AU93" s="20"/>
      <c r="AV93" s="21"/>
      <c r="AW93" s="22"/>
      <c r="AX93" s="22"/>
      <c r="AY93" s="23"/>
      <c r="AZ93" s="326"/>
      <c r="BA93" s="95"/>
      <c r="BB93" s="95"/>
      <c r="BD93" s="319"/>
      <c r="BE93" s="21"/>
      <c r="BF93" s="22"/>
      <c r="BG93" s="22"/>
      <c r="BH93" s="23"/>
      <c r="BI93" s="326" t="str">
        <f t="shared" si="8"/>
        <v/>
      </c>
      <c r="BJ93" s="95"/>
      <c r="BK93" s="95" t="str">
        <f t="shared" si="9"/>
        <v/>
      </c>
    </row>
    <row r="94" spans="47:63">
      <c r="AU94" s="20"/>
      <c r="AV94" s="21"/>
      <c r="AW94" s="22"/>
      <c r="AX94" s="22"/>
      <c r="AY94" s="23"/>
      <c r="AZ94" s="326" t="str">
        <f t="shared" si="7"/>
        <v/>
      </c>
      <c r="BA94" s="95"/>
      <c r="BB94" s="95" t="str">
        <f t="shared" si="6"/>
        <v/>
      </c>
      <c r="BD94" s="319"/>
      <c r="BE94" s="21"/>
      <c r="BF94" s="22"/>
      <c r="BG94" s="22"/>
      <c r="BH94" s="23"/>
      <c r="BI94" s="326" t="str">
        <f t="shared" si="8"/>
        <v/>
      </c>
      <c r="BJ94" s="95"/>
      <c r="BK94" s="95" t="str">
        <f t="shared" si="9"/>
        <v/>
      </c>
    </row>
    <row r="95" spans="47:63">
      <c r="AU95" s="20"/>
      <c r="AV95" s="21"/>
      <c r="AW95" s="22"/>
      <c r="AX95" s="22"/>
      <c r="AY95" s="23"/>
      <c r="AZ95" s="326" t="str">
        <f t="shared" si="7"/>
        <v/>
      </c>
      <c r="BA95" s="95"/>
      <c r="BB95" s="95" t="str">
        <f t="shared" si="6"/>
        <v/>
      </c>
      <c r="BD95" s="319"/>
      <c r="BE95" s="21"/>
      <c r="BF95" s="22"/>
      <c r="BG95" s="22"/>
      <c r="BH95" s="23"/>
      <c r="BI95" s="326" t="str">
        <f t="shared" si="8"/>
        <v/>
      </c>
      <c r="BJ95" s="95"/>
      <c r="BK95" s="95" t="str">
        <f t="shared" si="9"/>
        <v/>
      </c>
    </row>
    <row r="96" spans="47:63">
      <c r="AU96" s="20"/>
      <c r="AV96" s="21"/>
      <c r="AW96" s="22"/>
      <c r="AX96" s="22"/>
      <c r="AY96" s="23"/>
      <c r="AZ96" s="326" t="str">
        <f t="shared" si="7"/>
        <v/>
      </c>
      <c r="BA96" s="95"/>
      <c r="BB96" s="95" t="str">
        <f t="shared" si="6"/>
        <v/>
      </c>
      <c r="BD96" s="319"/>
      <c r="BE96" s="21"/>
      <c r="BF96" s="22"/>
      <c r="BG96" s="22"/>
      <c r="BH96" s="23"/>
      <c r="BI96" s="326" t="str">
        <f t="shared" si="8"/>
        <v/>
      </c>
      <c r="BJ96" s="95"/>
      <c r="BK96" s="95" t="str">
        <f t="shared" si="9"/>
        <v/>
      </c>
    </row>
  </sheetData>
  <sheetProtection algorithmName="SHA-512" hashValue="td0r4dCA7Neu62YiCPtDQ7nCZjN2UQQHPZin7pXVWKCfbMt2vXr3F4Y5wInipWtdEjRlEyv0Yaa2r1tBuq7oOw==" saltValue="Btcl5hd0d19keQvcN+/nGg==" spinCount="100000" sheet="1" objects="1" scenarios="1"/>
  <mergeCells count="76">
    <mergeCell ref="U2:Y2"/>
    <mergeCell ref="AA2:AE2"/>
    <mergeCell ref="AI2:AM2"/>
    <mergeCell ref="AO2:AR2"/>
    <mergeCell ref="B6:E6"/>
    <mergeCell ref="F6:K6"/>
    <mergeCell ref="O2:S2"/>
    <mergeCell ref="B7:E7"/>
    <mergeCell ref="F7:K7"/>
    <mergeCell ref="B8:E8"/>
    <mergeCell ref="F8:K8"/>
    <mergeCell ref="B2:E2"/>
    <mergeCell ref="G2:K2"/>
    <mergeCell ref="B9:E9"/>
    <mergeCell ref="F9:K9"/>
    <mergeCell ref="B10:E10"/>
    <mergeCell ref="F10:K10"/>
    <mergeCell ref="B11:E11"/>
    <mergeCell ref="F11:K11"/>
    <mergeCell ref="B12:E12"/>
    <mergeCell ref="F12:I12"/>
    <mergeCell ref="J12:K12"/>
    <mergeCell ref="B13:E13"/>
    <mergeCell ref="F13:I13"/>
    <mergeCell ref="J13:K13"/>
    <mergeCell ref="O17:AF17"/>
    <mergeCell ref="O18:P18"/>
    <mergeCell ref="Q18:R18"/>
    <mergeCell ref="S18:T18"/>
    <mergeCell ref="U18:V18"/>
    <mergeCell ref="W18:X18"/>
    <mergeCell ref="Y18:Z18"/>
    <mergeCell ref="AA18:AB18"/>
    <mergeCell ref="AC18:AD18"/>
    <mergeCell ref="AE18:AF18"/>
    <mergeCell ref="B19:G19"/>
    <mergeCell ref="H19:L19"/>
    <mergeCell ref="M19:N19"/>
    <mergeCell ref="Q19:R19"/>
    <mergeCell ref="S19:T19"/>
    <mergeCell ref="B20:G20"/>
    <mergeCell ref="H20:L20"/>
    <mergeCell ref="M20:N20"/>
    <mergeCell ref="O20:P20"/>
    <mergeCell ref="Q20:R20"/>
    <mergeCell ref="U19:V19"/>
    <mergeCell ref="W19:X19"/>
    <mergeCell ref="Y19:Z19"/>
    <mergeCell ref="AA19:AB19"/>
    <mergeCell ref="AC19:AD19"/>
    <mergeCell ref="S25:T25"/>
    <mergeCell ref="AE20:AF20"/>
    <mergeCell ref="O24:P24"/>
    <mergeCell ref="Q24:R24"/>
    <mergeCell ref="S24:T24"/>
    <mergeCell ref="U24:V24"/>
    <mergeCell ref="W24:X24"/>
    <mergeCell ref="Y24:Z24"/>
    <mergeCell ref="AA24:AB24"/>
    <mergeCell ref="AC24:AD24"/>
    <mergeCell ref="S20:T20"/>
    <mergeCell ref="U20:V20"/>
    <mergeCell ref="W20:X20"/>
    <mergeCell ref="Y20:Z20"/>
    <mergeCell ref="AA20:AB20"/>
    <mergeCell ref="AC20:AD20"/>
    <mergeCell ref="B25:G25"/>
    <mergeCell ref="H25:L25"/>
    <mergeCell ref="M25:N25"/>
    <mergeCell ref="O25:P25"/>
    <mergeCell ref="Q25:R25"/>
    <mergeCell ref="U25:V25"/>
    <mergeCell ref="W25:X25"/>
    <mergeCell ref="Y25:Z25"/>
    <mergeCell ref="AA25:AB25"/>
    <mergeCell ref="AC25:AD25"/>
  </mergeCells>
  <conditionalFormatting sqref="AZ52:AZ87 BH5:BI35 BH38:BH58 BI37:BI58 AY5:AZ34 AZ36:AZ50 AY36:AY43 BH61:BH84 BH87 BI61:BI87 BH93:BI96 AZ93:AZ96">
    <cfRule type="cellIs" dxfId="363" priority="35" stopIfTrue="1" operator="equal">
      <formula>0</formula>
    </cfRule>
  </conditionalFormatting>
  <conditionalFormatting sqref="O17:AF17 Q19:T19 W20:AF20 O25:T25">
    <cfRule type="expression" dxfId="362" priority="34" stopIfTrue="1">
      <formula>$AW$4=0</formula>
    </cfRule>
  </conditionalFormatting>
  <conditionalFormatting sqref="AY52 AY54:AY56">
    <cfRule type="cellIs" dxfId="361" priority="33" stopIfTrue="1" operator="equal">
      <formula>0</formula>
    </cfRule>
  </conditionalFormatting>
  <conditionalFormatting sqref="AY57">
    <cfRule type="cellIs" dxfId="360" priority="32" stopIfTrue="1" operator="equal">
      <formula>0</formula>
    </cfRule>
  </conditionalFormatting>
  <conditionalFormatting sqref="AY61:AY70">
    <cfRule type="cellIs" dxfId="359" priority="31" stopIfTrue="1" operator="equal">
      <formula>0</formula>
    </cfRule>
  </conditionalFormatting>
  <conditionalFormatting sqref="BH37">
    <cfRule type="cellIs" dxfId="358" priority="30" stopIfTrue="1" operator="equal">
      <formula>0</formula>
    </cfRule>
  </conditionalFormatting>
  <conditionalFormatting sqref="AY44:AY49">
    <cfRule type="cellIs" dxfId="357" priority="29" stopIfTrue="1" operator="equal">
      <formula>0</formula>
    </cfRule>
  </conditionalFormatting>
  <conditionalFormatting sqref="AY50">
    <cfRule type="cellIs" dxfId="356" priority="28" stopIfTrue="1" operator="equal">
      <formula>0</formula>
    </cfRule>
  </conditionalFormatting>
  <conditionalFormatting sqref="AY58:AY60">
    <cfRule type="cellIs" dxfId="355" priority="27" stopIfTrue="1" operator="equal">
      <formula>0</formula>
    </cfRule>
  </conditionalFormatting>
  <conditionalFormatting sqref="BH85">
    <cfRule type="cellIs" dxfId="354" priority="26" stopIfTrue="1" operator="equal">
      <formula>0</formula>
    </cfRule>
  </conditionalFormatting>
  <conditionalFormatting sqref="AY71:AY87 AY93:AY96">
    <cfRule type="cellIs" dxfId="353" priority="24" stopIfTrue="1" operator="equal">
      <formula>0</formula>
    </cfRule>
  </conditionalFormatting>
  <conditionalFormatting sqref="AY53">
    <cfRule type="cellIs" dxfId="352" priority="22" stopIfTrue="1" operator="equal">
      <formula>0</formula>
    </cfRule>
  </conditionalFormatting>
  <conditionalFormatting sqref="BH86">
    <cfRule type="cellIs" dxfId="351" priority="21" stopIfTrue="1" operator="equal">
      <formula>0</formula>
    </cfRule>
  </conditionalFormatting>
  <conditionalFormatting sqref="F13:K13">
    <cfRule type="expression" dxfId="350" priority="20" stopIfTrue="1">
      <formula>$AW$4=1</formula>
    </cfRule>
  </conditionalFormatting>
  <conditionalFormatting sqref="U19:AD19">
    <cfRule type="expression" dxfId="349" priority="16" stopIfTrue="1">
      <formula>$AW$4=0</formula>
    </cfRule>
  </conditionalFormatting>
  <conditionalFormatting sqref="AC25:AD25">
    <cfRule type="expression" dxfId="348" priority="11" stopIfTrue="1">
      <formula>$AW$4=0</formula>
    </cfRule>
  </conditionalFormatting>
  <conditionalFormatting sqref="U25:V25">
    <cfRule type="expression" dxfId="347" priority="15" stopIfTrue="1">
      <formula>$AW$4=0</formula>
    </cfRule>
  </conditionalFormatting>
  <conditionalFormatting sqref="W25:X25">
    <cfRule type="expression" dxfId="346" priority="14" stopIfTrue="1">
      <formula>$AW$4=0</formula>
    </cfRule>
  </conditionalFormatting>
  <conditionalFormatting sqref="Y25:Z25">
    <cfRule type="expression" dxfId="345" priority="13" stopIfTrue="1">
      <formula>$AW$4=0</formula>
    </cfRule>
  </conditionalFormatting>
  <conditionalFormatting sqref="AA25:AB25">
    <cfRule type="expression" dxfId="344" priority="12" stopIfTrue="1">
      <formula>$AW$4=0</formula>
    </cfRule>
  </conditionalFormatting>
  <conditionalFormatting sqref="AZ51">
    <cfRule type="cellIs" dxfId="343" priority="10" stopIfTrue="1" operator="equal">
      <formula>0</formula>
    </cfRule>
  </conditionalFormatting>
  <conditionalFormatting sqref="AY51">
    <cfRule type="cellIs" dxfId="342" priority="9" stopIfTrue="1" operator="equal">
      <formula>0</formula>
    </cfRule>
  </conditionalFormatting>
  <conditionalFormatting sqref="BH36:BI36">
    <cfRule type="cellIs" dxfId="341" priority="8" stopIfTrue="1" operator="equal">
      <formula>0</formula>
    </cfRule>
  </conditionalFormatting>
  <conditionalFormatting sqref="AY35:AZ35">
    <cfRule type="cellIs" dxfId="340" priority="7" stopIfTrue="1" operator="equal">
      <formula>0</formula>
    </cfRule>
  </conditionalFormatting>
  <conditionalFormatting sqref="BH59:BI60">
    <cfRule type="cellIs" dxfId="339" priority="6" stopIfTrue="1" operator="equal">
      <formula>0</formula>
    </cfRule>
  </conditionalFormatting>
  <conditionalFormatting sqref="AZ88:AZ92">
    <cfRule type="cellIs" dxfId="338" priority="5" stopIfTrue="1" operator="equal">
      <formula>0</formula>
    </cfRule>
  </conditionalFormatting>
  <conditionalFormatting sqref="AY88:AY92">
    <cfRule type="cellIs" dxfId="337" priority="4" stopIfTrue="1" operator="equal">
      <formula>0</formula>
    </cfRule>
  </conditionalFormatting>
  <conditionalFormatting sqref="BH88 BH91:BH92">
    <cfRule type="cellIs" dxfId="336" priority="3" stopIfTrue="1" operator="equal">
      <formula>0</formula>
    </cfRule>
  </conditionalFormatting>
  <conditionalFormatting sqref="BI88:BI92">
    <cfRule type="cellIs" dxfId="335" priority="2" stopIfTrue="1" operator="equal">
      <formula>0</formula>
    </cfRule>
  </conditionalFormatting>
  <conditionalFormatting sqref="BH89:BH90">
    <cfRule type="cellIs" dxfId="334" priority="1" stopIfTrue="1" operator="equal">
      <formula>0</formula>
    </cfRule>
  </conditionalFormatting>
  <hyperlinks>
    <hyperlink ref="M4" location="MENU!A1" display="MENU!A1" xr:uid="{00000000-0004-0000-1100-000000000000}"/>
    <hyperlink ref="M10" location="OBJ!A1" display="OBJ!A1" xr:uid="{00000000-0004-0000-1100-000001000000}"/>
    <hyperlink ref="M9" location="suhrn!A1" display="suhrn!A1" xr:uid="{00000000-0004-0000-1100-000002000000}"/>
    <hyperlink ref="O2:S2" location="MENU!A5" display="MENU!A5" xr:uid="{00000000-0004-0000-1100-000003000000}"/>
  </hyperlinks>
  <printOptions horizontalCentered="1"/>
  <pageMargins left="0.19685039370078741" right="0.19685039370078741" top="0.19685039370078741" bottom="0.19685039370078741" header="0.31496062992125984" footer="0.31496062992125984"/>
  <pageSetup paperSize="9" orientation="landscape" r:id="rId1"/>
  <headerFooter>
    <oddHeader>&amp;R&amp;"Aptos"&amp;10&amp;K000000 Restricted&amp;1#_x000D_</oddHeader>
  </headerFooter>
  <drawing r:id="rId2"/>
  <legacyDrawing r:id="rId3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List9">
    <tabColor theme="9" tint="-0.249977111117893"/>
  </sheetPr>
  <dimension ref="A1:BK99"/>
  <sheetViews>
    <sheetView showGridLines="0" showRowColHeaders="0" zoomScale="95" zoomScaleNormal="95" workbookViewId="0"/>
  </sheetViews>
  <sheetFormatPr defaultColWidth="9" defaultRowHeight="13.8"/>
  <cols>
    <col min="1" max="1" width="3.59765625" style="86" customWidth="1"/>
    <col min="2" max="4" width="3.09765625" style="86" customWidth="1"/>
    <col min="5" max="5" width="7.59765625" style="86" customWidth="1"/>
    <col min="6" max="44" width="3.09765625" style="86" customWidth="1"/>
    <col min="45" max="45" width="3.59765625" style="86" customWidth="1"/>
    <col min="46" max="46" width="9" style="86" customWidth="1"/>
    <col min="47" max="47" width="9" style="86" hidden="1" customWidth="1"/>
    <col min="48" max="48" width="32.5" style="86" hidden="1" customWidth="1"/>
    <col min="49" max="49" width="4.3984375" style="86" hidden="1" customWidth="1"/>
    <col min="50" max="50" width="2" style="86" hidden="1" customWidth="1"/>
    <col min="51" max="52" width="4.59765625" style="86" hidden="1" customWidth="1"/>
    <col min="53" max="54" width="9" style="86" hidden="1" customWidth="1"/>
    <col min="55" max="55" width="2.59765625" style="86" hidden="1" customWidth="1"/>
    <col min="56" max="56" width="9" style="86" hidden="1" customWidth="1"/>
    <col min="57" max="57" width="33.8984375" style="86" hidden="1" customWidth="1"/>
    <col min="58" max="58" width="4.3984375" style="86" hidden="1" customWidth="1"/>
    <col min="59" max="59" width="2" style="86" hidden="1" customWidth="1"/>
    <col min="60" max="61" width="4.59765625" style="86" hidden="1" customWidth="1"/>
    <col min="62" max="63" width="9" style="86" hidden="1" customWidth="1"/>
    <col min="64" max="75" width="9" style="86" customWidth="1"/>
    <col min="76" max="16384" width="9" style="86"/>
  </cols>
  <sheetData>
    <row r="1" spans="1:63" ht="12.9" customHeight="1" thickBot="1">
      <c r="A1" s="86" t="s">
        <v>1301</v>
      </c>
      <c r="AU1" s="140"/>
      <c r="AV1" s="279"/>
      <c r="AW1" s="279"/>
      <c r="AX1" s="140"/>
      <c r="AY1" s="140"/>
      <c r="AZ1" s="140"/>
      <c r="BA1" s="140"/>
      <c r="BB1" s="140"/>
      <c r="BC1" s="140"/>
      <c r="BD1" s="140"/>
      <c r="BE1" s="140"/>
      <c r="BF1" s="140"/>
      <c r="BG1" s="140"/>
      <c r="BH1" s="140"/>
      <c r="BI1" s="140"/>
      <c r="BJ1" s="140"/>
      <c r="BK1" s="140"/>
    </row>
    <row r="2" spans="1:63" ht="23.1" customHeight="1" thickBot="1">
      <c r="B2" s="475" t="str">
        <f>verze!E13</f>
        <v>&lt;&lt;  zpět</v>
      </c>
      <c r="C2" s="476"/>
      <c r="D2" s="476"/>
      <c r="E2" s="477"/>
      <c r="G2" s="513" t="str">
        <f>verze!E6</f>
        <v xml:space="preserve"> Úvod</v>
      </c>
      <c r="H2" s="514"/>
      <c r="I2" s="514"/>
      <c r="J2" s="514"/>
      <c r="K2" s="515"/>
      <c r="O2" s="500" t="str">
        <f>verze!E7</f>
        <v xml:space="preserve"> Výběr zásuvek</v>
      </c>
      <c r="P2" s="501"/>
      <c r="Q2" s="501"/>
      <c r="R2" s="501"/>
      <c r="S2" s="502"/>
      <c r="U2" s="513" t="str">
        <f>verze!E8</f>
        <v xml:space="preserve"> </v>
      </c>
      <c r="V2" s="514"/>
      <c r="W2" s="514"/>
      <c r="X2" s="514"/>
      <c r="Y2" s="515"/>
      <c r="AA2" s="513" t="str">
        <f>verze!E9</f>
        <v xml:space="preserve"> </v>
      </c>
      <c r="AB2" s="514"/>
      <c r="AC2" s="514"/>
      <c r="AD2" s="514"/>
      <c r="AE2" s="515"/>
      <c r="AI2" s="513" t="str">
        <f>verze!E10</f>
        <v xml:space="preserve"> Objednávka</v>
      </c>
      <c r="AJ2" s="514"/>
      <c r="AK2" s="514"/>
      <c r="AL2" s="514"/>
      <c r="AM2" s="515"/>
      <c r="AO2" s="475" t="str">
        <f>verze!E14</f>
        <v>vpřed  &gt;&gt;</v>
      </c>
      <c r="AP2" s="476"/>
      <c r="AQ2" s="476"/>
      <c r="AR2" s="477"/>
      <c r="AV2" s="143"/>
      <c r="AW2" s="143"/>
    </row>
    <row r="3" spans="1:63" ht="12.9" customHeight="1">
      <c r="AV3" s="143"/>
      <c r="AW3" s="143"/>
    </row>
    <row r="4" spans="1:63" ht="23.1" customHeight="1">
      <c r="A4" s="89"/>
      <c r="B4" s="93" t="str">
        <f>verze!E206&amp;" AVANTECH YOU  187 / 187"</f>
        <v>Zásuvka AVANTECH YOU  187 / 187</v>
      </c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U4" s="94" t="s">
        <v>33</v>
      </c>
      <c r="AW4" s="285">
        <f>IF(FORM!AU13=FORM!U18,1,0)</f>
        <v>1</v>
      </c>
      <c r="BB4" s="322">
        <f>SUM(BB5:BB948)</f>
        <v>0</v>
      </c>
      <c r="BD4" s="94" t="s">
        <v>34</v>
      </c>
      <c r="BK4" s="322">
        <f>SUM(BK5:BK941)</f>
        <v>0</v>
      </c>
    </row>
    <row r="5" spans="1:63" ht="14.4" customHeight="1">
      <c r="AU5" s="319">
        <f>OBJ!B112</f>
        <v>9353353</v>
      </c>
      <c r="AV5" s="21" t="str">
        <f>VLOOKUP(AU5,CENY!$B$11:$G$1054,2,FALSE)</f>
        <v>AvanY-sólo oceľ.boky-NW 187/270mm/strieb.</v>
      </c>
      <c r="AW5" s="22">
        <f>VLOOKUP(AU5,CENY!$B$11:$G$1054,3,FALSE)</f>
        <v>1</v>
      </c>
      <c r="AX5" s="362">
        <v>4</v>
      </c>
      <c r="AY5" s="23">
        <f>2*(O19+O25)</f>
        <v>0</v>
      </c>
      <c r="AZ5" s="326">
        <f>IF(AY5="","",IF($AW$4=1,AY5,0))</f>
        <v>0</v>
      </c>
      <c r="BA5" s="95">
        <f>VLOOKUP(AU5,CENY!$B$11:$M$2025,12,FALSE)</f>
        <v>781.77286000000004</v>
      </c>
      <c r="BB5" s="95">
        <f t="shared" ref="BB5:BB58" si="0">IF(BA5="","",BA5*AY5)</f>
        <v>0</v>
      </c>
      <c r="BD5" s="319">
        <f>OBJ!B122</f>
        <v>9255044</v>
      </c>
      <c r="BE5" s="21" t="str">
        <f>VLOOKUP(BD5,CENY!$B$11:$G$1054,2,FALSE)</f>
        <v>AvanY-bok ľavý /v187/h270/ strieborná</v>
      </c>
      <c r="BF5" s="22">
        <f>VLOOKUP(BD5,CENY!$B$11:$G$1054,3,FALSE)</f>
        <v>10</v>
      </c>
      <c r="BG5" s="22"/>
      <c r="BH5" s="23">
        <f>AY5</f>
        <v>0</v>
      </c>
      <c r="BI5" s="326">
        <f>IF(BH5="","",IF($AW$4=0,BH5,0))</f>
        <v>0</v>
      </c>
      <c r="BJ5" s="95">
        <f>VLOOKUP(BD5,CENY!$B$11:$M$2025,12,FALSE)</f>
        <v>343.85318000000001</v>
      </c>
      <c r="BK5" s="95">
        <f>IF(BJ5="","",BJ5*BH5)</f>
        <v>0</v>
      </c>
    </row>
    <row r="6" spans="1:63" ht="14.4" customHeight="1">
      <c r="B6" s="549" t="str">
        <f>" "&amp;verze!E90</f>
        <v xml:space="preserve"> bočnice:</v>
      </c>
      <c r="C6" s="549"/>
      <c r="D6" s="549"/>
      <c r="E6" s="549"/>
      <c r="F6" s="564" t="s">
        <v>389</v>
      </c>
      <c r="G6" s="564"/>
      <c r="H6" s="564"/>
      <c r="I6" s="564"/>
      <c r="J6" s="564"/>
      <c r="K6" s="564"/>
      <c r="AU6" s="319">
        <f>OBJ!B113</f>
        <v>9353354</v>
      </c>
      <c r="AV6" s="21" t="str">
        <f>VLOOKUP(AU6,CENY!$B$11:$G$1054,2,FALSE)</f>
        <v>AvanY-sólo oceľ.boky-NW 187/300mm/strieb.</v>
      </c>
      <c r="AW6" s="22">
        <f>VLOOKUP(AU6,CENY!$B$11:$G$1054,3,FALSE)</f>
        <v>1</v>
      </c>
      <c r="AX6" s="362">
        <v>4</v>
      </c>
      <c r="AY6" s="23">
        <f>2*(Q19+Q25)</f>
        <v>0</v>
      </c>
      <c r="AZ6" s="326">
        <f t="shared" ref="AZ6:AZ59" si="1">IF(AY6="","",IF($AW$4=1,AY6,0))</f>
        <v>0</v>
      </c>
      <c r="BA6" s="95">
        <f>VLOOKUP(AU6,CENY!$B$11:$M$2025,12,FALSE)</f>
        <v>788.96299999999997</v>
      </c>
      <c r="BB6" s="95">
        <f t="shared" si="0"/>
        <v>0</v>
      </c>
      <c r="BD6" s="319">
        <f>OBJ!B123</f>
        <v>9255045</v>
      </c>
      <c r="BE6" s="21" t="str">
        <f>VLOOKUP(BD6,CENY!$B$11:$G$1054,2,FALSE)</f>
        <v>AvanY-bok pravý /v187/h270/ strieborná</v>
      </c>
      <c r="BF6" s="22">
        <f>VLOOKUP(BD6,CENY!$B$11:$G$1054,3,FALSE)</f>
        <v>10</v>
      </c>
      <c r="BG6" s="22"/>
      <c r="BH6" s="23">
        <f>AY5</f>
        <v>0</v>
      </c>
      <c r="BI6" s="326">
        <f t="shared" ref="BI6:BI62" si="2">IF(BH6="","",IF($AW$4=0,BH6,0))</f>
        <v>0</v>
      </c>
      <c r="BJ6" s="95">
        <f>VLOOKUP(BD6,CENY!$B$11:$M$2025,12,FALSE)</f>
        <v>343.85318000000001</v>
      </c>
      <c r="BK6" s="95">
        <f t="shared" ref="BK6:BK62" si="3">IF(BJ6="","",BJ6*BH6)</f>
        <v>0</v>
      </c>
    </row>
    <row r="7" spans="1:63" ht="14.4" customHeight="1">
      <c r="B7" s="549" t="str">
        <f>" "&amp;verze!E56</f>
        <v xml:space="preserve"> barva:</v>
      </c>
      <c r="C7" s="549"/>
      <c r="D7" s="549"/>
      <c r="E7" s="549"/>
      <c r="F7" s="564" t="str">
        <f>" "&amp;FORM!U8</f>
        <v xml:space="preserve"> stříbrná</v>
      </c>
      <c r="G7" s="564"/>
      <c r="H7" s="564"/>
      <c r="I7" s="564"/>
      <c r="J7" s="564"/>
      <c r="K7" s="564"/>
      <c r="AU7" s="319">
        <f>OBJ!B114</f>
        <v>9353355</v>
      </c>
      <c r="AV7" s="21" t="str">
        <f>VLOOKUP(AU7,CENY!$B$11:$G$1054,2,FALSE)</f>
        <v>AvanY-sólo oceľ.boky-NW 187/350mm/strieb.</v>
      </c>
      <c r="AW7" s="22">
        <f>VLOOKUP(AU7,CENY!$B$11:$G$1054,3,FALSE)</f>
        <v>1</v>
      </c>
      <c r="AX7" s="362">
        <v>6</v>
      </c>
      <c r="AY7" s="23">
        <f>2*(S19+S25)</f>
        <v>0</v>
      </c>
      <c r="AZ7" s="326">
        <f t="shared" si="1"/>
        <v>0</v>
      </c>
      <c r="BA7" s="95">
        <f>VLOOKUP(AU7,CENY!$B$11:$M$2025,12,FALSE)</f>
        <v>800.95977000000005</v>
      </c>
      <c r="BB7" s="95">
        <f t="shared" si="0"/>
        <v>0</v>
      </c>
      <c r="BD7" s="319">
        <f>OBJ!B124</f>
        <v>9255046</v>
      </c>
      <c r="BE7" s="21" t="str">
        <f>VLOOKUP(BD7,CENY!$B$11:$G$1054,2,FALSE)</f>
        <v>AvanY-bok ľavý /v187/h300/ strieborná</v>
      </c>
      <c r="BF7" s="22">
        <f>VLOOKUP(BD7,CENY!$B$11:$G$1054,3,FALSE)</f>
        <v>10</v>
      </c>
      <c r="BG7" s="22"/>
      <c r="BH7" s="23">
        <f>AY6</f>
        <v>0</v>
      </c>
      <c r="BI7" s="326">
        <f t="shared" si="2"/>
        <v>0</v>
      </c>
      <c r="BJ7" s="95">
        <f>VLOOKUP(BD7,CENY!$B$11:$M$2025,12,FALSE)</f>
        <v>347.69150999999999</v>
      </c>
      <c r="BK7" s="95">
        <f t="shared" si="3"/>
        <v>0</v>
      </c>
    </row>
    <row r="8" spans="1:63" ht="14.4" customHeight="1">
      <c r="B8" s="549" t="str">
        <f>" "&amp;verze!E70</f>
        <v xml:space="preserve"> dekorativní profil:</v>
      </c>
      <c r="C8" s="549"/>
      <c r="D8" s="549"/>
      <c r="E8" s="549"/>
      <c r="F8" s="564" t="str">
        <f>" "&amp;FORM!AM18</f>
        <v xml:space="preserve"> v barvě bočnice</v>
      </c>
      <c r="G8" s="564"/>
      <c r="H8" s="564"/>
      <c r="I8" s="564"/>
      <c r="J8" s="564"/>
      <c r="K8" s="564"/>
      <c r="AU8" s="319">
        <f>OBJ!B115</f>
        <v>9353356</v>
      </c>
      <c r="AV8" s="21" t="str">
        <f>VLOOKUP(AU8,CENY!$B$11:$G$1054,2,FALSE)</f>
        <v>AvanY-sólo oceľ.boky-NW 187/400mm/strieb.</v>
      </c>
      <c r="AW8" s="22">
        <f>VLOOKUP(AU8,CENY!$B$11:$G$1054,3,FALSE)</f>
        <v>1</v>
      </c>
      <c r="AX8" s="362">
        <v>6</v>
      </c>
      <c r="AY8" s="23">
        <f>2*(U19+U25)</f>
        <v>0</v>
      </c>
      <c r="AZ8" s="326">
        <f t="shared" si="1"/>
        <v>0</v>
      </c>
      <c r="BA8" s="95">
        <f>VLOOKUP(AU8,CENY!$B$11:$M$2025,12,FALSE)</f>
        <v>812.95644000000004</v>
      </c>
      <c r="BB8" s="95">
        <f t="shared" si="0"/>
        <v>0</v>
      </c>
      <c r="BD8" s="319">
        <f>OBJ!B125</f>
        <v>9255047</v>
      </c>
      <c r="BE8" s="21" t="str">
        <f>VLOOKUP(BD8,CENY!$B$11:$G$1054,2,FALSE)</f>
        <v>AvanY-bok pravý /v187/h300/ strieborná</v>
      </c>
      <c r="BF8" s="22">
        <f>VLOOKUP(BD8,CENY!$B$11:$G$1054,3,FALSE)</f>
        <v>10</v>
      </c>
      <c r="BG8" s="22"/>
      <c r="BH8" s="23">
        <f>AY6</f>
        <v>0</v>
      </c>
      <c r="BI8" s="326">
        <f t="shared" si="2"/>
        <v>0</v>
      </c>
      <c r="BJ8" s="95">
        <f>VLOOKUP(BD8,CENY!$B$11:$M$2025,12,FALSE)</f>
        <v>347.69150999999999</v>
      </c>
      <c r="BK8" s="95">
        <f t="shared" si="3"/>
        <v>0</v>
      </c>
    </row>
    <row r="9" spans="1:63" ht="14.4" customHeight="1">
      <c r="B9" s="550"/>
      <c r="C9" s="558"/>
      <c r="D9" s="558"/>
      <c r="E9" s="559"/>
      <c r="F9" s="560"/>
      <c r="G9" s="561"/>
      <c r="H9" s="561"/>
      <c r="I9" s="561"/>
      <c r="J9" s="561"/>
      <c r="K9" s="562"/>
      <c r="AU9" s="319">
        <f>OBJ!B116</f>
        <v>9353357</v>
      </c>
      <c r="AV9" s="21" t="str">
        <f>VLOOKUP(AU9,CENY!$B$11:$G$1054,2,FALSE)</f>
        <v>AvanY-sólo oceľ.boky-NW 187/450mm/strieb.</v>
      </c>
      <c r="AW9" s="22">
        <f>VLOOKUP(AU9,CENY!$B$11:$G$1054,3,FALSE)</f>
        <v>1</v>
      </c>
      <c r="AX9" s="362">
        <v>6</v>
      </c>
      <c r="AY9" s="23">
        <f>2*(W19+W20+W25)</f>
        <v>0</v>
      </c>
      <c r="AZ9" s="326">
        <f t="shared" si="1"/>
        <v>0</v>
      </c>
      <c r="BA9" s="95">
        <f>VLOOKUP(AU9,CENY!$B$11:$M$2025,12,FALSE)</f>
        <v>803.01720999999998</v>
      </c>
      <c r="BB9" s="95">
        <f t="shared" si="0"/>
        <v>0</v>
      </c>
      <c r="BD9" s="319">
        <f>OBJ!B126</f>
        <v>9255048</v>
      </c>
      <c r="BE9" s="21" t="str">
        <f>VLOOKUP(BD9,CENY!$B$11:$G$1054,2,FALSE)</f>
        <v>AvanY-bok ľavý /v187/h350/ strieborná</v>
      </c>
      <c r="BF9" s="22">
        <f>VLOOKUP(BD9,CENY!$B$11:$G$1054,3,FALSE)</f>
        <v>10</v>
      </c>
      <c r="BG9" s="22"/>
      <c r="BH9" s="23">
        <f>AY7</f>
        <v>0</v>
      </c>
      <c r="BI9" s="326">
        <f t="shared" si="2"/>
        <v>0</v>
      </c>
      <c r="BJ9" s="95">
        <f>VLOOKUP(BD9,CENY!$B$11:$M$2025,12,FALSE)</f>
        <v>354.09370999999999</v>
      </c>
      <c r="BK9" s="95">
        <f t="shared" si="3"/>
        <v>0</v>
      </c>
    </row>
    <row r="10" spans="1:63" ht="14.4" customHeight="1">
      <c r="B10" s="549" t="str">
        <f>" "&amp;verze!E57</f>
        <v xml:space="preserve"> čelní kování:</v>
      </c>
      <c r="C10" s="549"/>
      <c r="D10" s="549"/>
      <c r="E10" s="549"/>
      <c r="F10" s="563" t="str">
        <f>" "&amp;FORM!AM8</f>
        <v xml:space="preserve"> na vruty</v>
      </c>
      <c r="G10" s="563"/>
      <c r="H10" s="563"/>
      <c r="I10" s="563"/>
      <c r="J10" s="563"/>
      <c r="K10" s="563"/>
      <c r="AU10" s="319">
        <f>OBJ!B117</f>
        <v>9353358</v>
      </c>
      <c r="AV10" s="21" t="str">
        <f>VLOOKUP(AU10,CENY!$B$11:$G$1054,2,FALSE)</f>
        <v>AvanY-sólo oceľ.boky-NW 187/500mm/strieb.</v>
      </c>
      <c r="AW10" s="22">
        <f>VLOOKUP(AU10,CENY!$B$11:$G$1054,3,FALSE)</f>
        <v>1</v>
      </c>
      <c r="AX10" s="362">
        <v>8</v>
      </c>
      <c r="AY10" s="23">
        <f>2*(Y19+Y20+Y25)</f>
        <v>0</v>
      </c>
      <c r="AZ10" s="326">
        <f t="shared" si="1"/>
        <v>0</v>
      </c>
      <c r="BA10" s="95">
        <f>VLOOKUP(AU10,CENY!$B$11:$M$2025,12,FALSE)</f>
        <v>814.69060000000002</v>
      </c>
      <c r="BB10" s="95">
        <f t="shared" si="0"/>
        <v>0</v>
      </c>
      <c r="BD10" s="319">
        <f>OBJ!B127</f>
        <v>9255049</v>
      </c>
      <c r="BE10" s="21" t="str">
        <f>VLOOKUP(BD10,CENY!$B$11:$G$1054,2,FALSE)</f>
        <v>AvanY-bok pravý /v187/h350/ strieborná</v>
      </c>
      <c r="BF10" s="22">
        <f>VLOOKUP(BD10,CENY!$B$11:$G$1054,3,FALSE)</f>
        <v>10</v>
      </c>
      <c r="BG10" s="22"/>
      <c r="BH10" s="23">
        <f>AY7</f>
        <v>0</v>
      </c>
      <c r="BI10" s="326">
        <f t="shared" si="2"/>
        <v>0</v>
      </c>
      <c r="BJ10" s="95">
        <f>VLOOKUP(BD10,CENY!$B$11:$M$2025,12,FALSE)</f>
        <v>354.09370999999999</v>
      </c>
      <c r="BK10" s="95">
        <f t="shared" si="3"/>
        <v>0</v>
      </c>
    </row>
    <row r="11" spans="1:63" ht="14.4" customHeight="1">
      <c r="B11" s="549" t="str">
        <f>" "&amp;verze!E76</f>
        <v xml:space="preserve"> krytka:</v>
      </c>
      <c r="C11" s="549"/>
      <c r="D11" s="549"/>
      <c r="E11" s="549"/>
      <c r="F11" s="563" t="str">
        <f>" "&amp;FORM!AM21</f>
        <v xml:space="preserve"> žádná</v>
      </c>
      <c r="G11" s="563"/>
      <c r="H11" s="563"/>
      <c r="I11" s="563"/>
      <c r="J11" s="563"/>
      <c r="K11" s="563"/>
      <c r="AU11" s="319">
        <f>OBJ!B118</f>
        <v>9353359</v>
      </c>
      <c r="AV11" s="21" t="str">
        <f>VLOOKUP(AU11,CENY!$B$11:$G$1054,2,FALSE)</f>
        <v>AvanY-sólo oceľ.boky-NW 187/550mm/strieb.</v>
      </c>
      <c r="AW11" s="22">
        <f>VLOOKUP(AU11,CENY!$B$11:$G$1054,3,FALSE)</f>
        <v>1</v>
      </c>
      <c r="AX11" s="362">
        <v>8</v>
      </c>
      <c r="AY11" s="23">
        <f>2*(AA19+AA20+AA25)</f>
        <v>0</v>
      </c>
      <c r="AZ11" s="326">
        <f t="shared" si="1"/>
        <v>0</v>
      </c>
      <c r="BA11" s="95">
        <f>VLOOKUP(AU11,CENY!$B$11:$M$2025,12,FALSE)</f>
        <v>848.94223999999997</v>
      </c>
      <c r="BB11" s="95">
        <f t="shared" si="0"/>
        <v>0</v>
      </c>
      <c r="BD11" s="319">
        <f>OBJ!B128</f>
        <v>9255050</v>
      </c>
      <c r="BE11" s="21" t="str">
        <f>VLOOKUP(BD11,CENY!$B$11:$G$1054,2,FALSE)</f>
        <v>AvanY-bok ľavý /v187/h400/ strieborná</v>
      </c>
      <c r="BF11" s="22">
        <f>VLOOKUP(BD11,CENY!$B$11:$G$1054,3,FALSE)</f>
        <v>10</v>
      </c>
      <c r="BG11" s="22"/>
      <c r="BH11" s="23">
        <f>AY8</f>
        <v>0</v>
      </c>
      <c r="BI11" s="326">
        <f t="shared" si="2"/>
        <v>0</v>
      </c>
      <c r="BJ11" s="95">
        <f>VLOOKUP(BD11,CENY!$B$11:$M$2025,12,FALSE)</f>
        <v>360.48838000000001</v>
      </c>
      <c r="BK11" s="95">
        <f t="shared" si="3"/>
        <v>0</v>
      </c>
    </row>
    <row r="12" spans="1:63" ht="14.4" customHeight="1" thickBot="1">
      <c r="B12" s="549"/>
      <c r="C12" s="549"/>
      <c r="D12" s="549"/>
      <c r="E12" s="550"/>
      <c r="F12" s="551"/>
      <c r="G12" s="552"/>
      <c r="H12" s="552"/>
      <c r="I12" s="552"/>
      <c r="J12" s="553"/>
      <c r="K12" s="554"/>
      <c r="AU12" s="319">
        <f>OBJ!B119</f>
        <v>9353360</v>
      </c>
      <c r="AV12" s="21" t="str">
        <f>VLOOKUP(AU12,CENY!$B$11:$G$1054,2,FALSE)</f>
        <v>AvanY-sólo oceľ.boky-NW 187/600mm/strieb.</v>
      </c>
      <c r="AW12" s="22">
        <f>VLOOKUP(AU12,CENY!$B$11:$G$1054,3,FALSE)</f>
        <v>1</v>
      </c>
      <c r="AX12" s="362">
        <v>8</v>
      </c>
      <c r="AY12" s="23">
        <f>2*(AC19+AC20+AC25)</f>
        <v>0</v>
      </c>
      <c r="AZ12" s="326">
        <f t="shared" si="1"/>
        <v>0</v>
      </c>
      <c r="BA12" s="95">
        <f>VLOOKUP(AU12,CENY!$B$11:$M$2025,12,FALSE)</f>
        <v>867.96834999999999</v>
      </c>
      <c r="BB12" s="95">
        <f t="shared" si="0"/>
        <v>0</v>
      </c>
      <c r="BD12" s="319">
        <f>OBJ!B129</f>
        <v>9255051</v>
      </c>
      <c r="BE12" s="21" t="str">
        <f>VLOOKUP(BD12,CENY!$B$11:$G$1054,2,FALSE)</f>
        <v>AvanY-bok pravý /v187/h400/ strieborná</v>
      </c>
      <c r="BF12" s="22">
        <f>VLOOKUP(BD12,CENY!$B$11:$G$1054,3,FALSE)</f>
        <v>10</v>
      </c>
      <c r="BG12" s="22"/>
      <c r="BH12" s="23">
        <f>AY8</f>
        <v>0</v>
      </c>
      <c r="BI12" s="326">
        <f t="shared" si="2"/>
        <v>0</v>
      </c>
      <c r="BJ12" s="95">
        <f>VLOOKUP(BD12,CENY!$B$11:$M$2025,12,FALSE)</f>
        <v>360.48838000000001</v>
      </c>
      <c r="BK12" s="95">
        <f t="shared" si="3"/>
        <v>0</v>
      </c>
    </row>
    <row r="13" spans="1:63" ht="14.4" customHeight="1">
      <c r="B13" s="549" t="str">
        <f>" "&amp;verze!E92</f>
        <v xml:space="preserve"> cena kování:</v>
      </c>
      <c r="C13" s="549"/>
      <c r="D13" s="549"/>
      <c r="E13" s="550"/>
      <c r="F13" s="555">
        <f>IF(AW4=1,BB4,BK4)</f>
        <v>0</v>
      </c>
      <c r="G13" s="555"/>
      <c r="H13" s="555"/>
      <c r="I13" s="555"/>
      <c r="J13" s="556" t="str">
        <f>IF(verze!E1="CZK","CZK","EUR")</f>
        <v>CZK</v>
      </c>
      <c r="K13" s="557"/>
      <c r="AU13" s="319">
        <f>OBJ!B120</f>
        <v>9353371</v>
      </c>
      <c r="AV13" s="21" t="str">
        <f>VLOOKUP(AU13,CENY!$B$11:$G$1054,2,FALSE)</f>
        <v>AvanY-sólo oceľ.boky-NW 187/650mm/strieb.</v>
      </c>
      <c r="AW13" s="22">
        <f>VLOOKUP(AU13,CENY!$B$11:$G$1054,3,FALSE)</f>
        <v>1</v>
      </c>
      <c r="AX13" s="362">
        <v>10</v>
      </c>
      <c r="AY13" s="23">
        <f>2*(AE20)</f>
        <v>0</v>
      </c>
      <c r="AZ13" s="326">
        <f t="shared" si="1"/>
        <v>0</v>
      </c>
      <c r="BA13" s="95">
        <f>VLOOKUP(AU13,CENY!$B$11:$M$2025,12,FALSE)</f>
        <v>895.00838999999996</v>
      </c>
      <c r="BB13" s="95">
        <f t="shared" si="0"/>
        <v>0</v>
      </c>
      <c r="BD13" s="319">
        <f>OBJ!B130</f>
        <v>9255052</v>
      </c>
      <c r="BE13" s="21" t="str">
        <f>VLOOKUP(BD13,CENY!$B$11:$G$1054,2,FALSE)</f>
        <v>AvanY-bok ľavý /v187/h450/ strieborná</v>
      </c>
      <c r="BF13" s="22">
        <f>VLOOKUP(BD13,CENY!$B$11:$G$1054,3,FALSE)</f>
        <v>10</v>
      </c>
      <c r="BG13" s="22"/>
      <c r="BH13" s="23">
        <f>AY9</f>
        <v>0</v>
      </c>
      <c r="BI13" s="326">
        <f t="shared" si="2"/>
        <v>0</v>
      </c>
      <c r="BJ13" s="95">
        <f>VLOOKUP(BD13,CENY!$B$11:$M$2025,12,FALSE)</f>
        <v>357.13297</v>
      </c>
      <c r="BK13" s="95">
        <f t="shared" si="3"/>
        <v>0</v>
      </c>
    </row>
    <row r="14" spans="1:63" ht="14.4" customHeight="1">
      <c r="AU14" s="319"/>
      <c r="AV14" s="21"/>
      <c r="AW14" s="22"/>
      <c r="AX14" s="22"/>
      <c r="AY14" s="23"/>
      <c r="AZ14" s="326" t="str">
        <f t="shared" si="1"/>
        <v/>
      </c>
      <c r="BA14" s="95"/>
      <c r="BB14" s="95" t="str">
        <f t="shared" si="0"/>
        <v/>
      </c>
      <c r="BD14" s="319">
        <f>OBJ!B131</f>
        <v>9255053</v>
      </c>
      <c r="BE14" s="21" t="str">
        <f>VLOOKUP(BD14,CENY!$B$11:$G$1054,2,FALSE)</f>
        <v>AvanY-bok pravý /v187/h450/ strieborná</v>
      </c>
      <c r="BF14" s="22">
        <f>VLOOKUP(BD14,CENY!$B$11:$G$1054,3,FALSE)</f>
        <v>10</v>
      </c>
      <c r="BG14" s="22"/>
      <c r="BH14" s="23">
        <f>AY9</f>
        <v>0</v>
      </c>
      <c r="BI14" s="326">
        <f t="shared" si="2"/>
        <v>0</v>
      </c>
      <c r="BJ14" s="95">
        <f>VLOOKUP(BD14,CENY!$B$11:$M$2025,12,FALSE)</f>
        <v>357.13297</v>
      </c>
      <c r="BK14" s="95">
        <f t="shared" si="3"/>
        <v>0</v>
      </c>
    </row>
    <row r="15" spans="1:63" ht="14.4" customHeight="1">
      <c r="AU15" s="319">
        <f>OBJ!B71</f>
        <v>9347502</v>
      </c>
      <c r="AV15" s="21" t="str">
        <f>VLOOKUP(AU15,CENY!$B$11:$G$1054,2,FALSE)</f>
        <v>AvanY-design ALprofil Hybrid na bok 270/ strieb.</v>
      </c>
      <c r="AW15" s="22">
        <f>VLOOKUP(AU15,CENY!$B$11:$G$1054,3,FALSE)</f>
        <v>200</v>
      </c>
      <c r="AX15" s="22"/>
      <c r="AY15" s="23">
        <f>IF(FORM!AM18=FORM!AU16,0,4*(O19+O25))</f>
        <v>0</v>
      </c>
      <c r="AZ15" s="326">
        <f t="shared" si="1"/>
        <v>0</v>
      </c>
      <c r="BA15" s="95">
        <f>VLOOKUP(AU15,CENY!$B$11:$M$2025,12,FALSE)</f>
        <v>19.78839</v>
      </c>
      <c r="BB15" s="95">
        <f t="shared" si="0"/>
        <v>0</v>
      </c>
      <c r="BD15" s="319">
        <f>OBJ!B132</f>
        <v>9255054</v>
      </c>
      <c r="BE15" s="21" t="str">
        <f>VLOOKUP(BD15,CENY!$B$11:$G$1054,2,FALSE)</f>
        <v>AvanY-bok ľavý /v187/h500/ strieborná</v>
      </c>
      <c r="BF15" s="22">
        <f>VLOOKUP(BD15,CENY!$B$11:$G$1054,3,FALSE)</f>
        <v>10</v>
      </c>
      <c r="BG15" s="22"/>
      <c r="BH15" s="23">
        <f>AY10</f>
        <v>0</v>
      </c>
      <c r="BI15" s="326">
        <f t="shared" si="2"/>
        <v>0</v>
      </c>
      <c r="BJ15" s="95">
        <f>VLOOKUP(BD15,CENY!$B$11:$M$2025,12,FALSE)</f>
        <v>363.36250999999999</v>
      </c>
      <c r="BK15" s="95">
        <f t="shared" si="3"/>
        <v>0</v>
      </c>
    </row>
    <row r="16" spans="1:63" ht="14.4" customHeight="1">
      <c r="AU16" s="319">
        <f>OBJ!B72</f>
        <v>9347503</v>
      </c>
      <c r="AV16" s="21" t="str">
        <f>VLOOKUP(AU16,CENY!$B$11:$G$1054,2,FALSE)</f>
        <v>AvanY-design ALprofil Hybrid na bok 300/ strieb.</v>
      </c>
      <c r="AW16" s="22">
        <f>VLOOKUP(AU16,CENY!$B$11:$G$1054,3,FALSE)</f>
        <v>200</v>
      </c>
      <c r="AX16" s="22"/>
      <c r="AY16" s="23">
        <f>IF(FORM!AM18=FORM!AU16,0,4*(Q19+Q25))</f>
        <v>0</v>
      </c>
      <c r="AZ16" s="326">
        <f t="shared" si="1"/>
        <v>0</v>
      </c>
      <c r="BA16" s="95">
        <f>VLOOKUP(AU16,CENY!$B$11:$M$2025,12,FALSE)</f>
        <v>20.006769999999999</v>
      </c>
      <c r="BB16" s="95">
        <f t="shared" si="0"/>
        <v>0</v>
      </c>
      <c r="BD16" s="319">
        <f>OBJ!B133</f>
        <v>9255055</v>
      </c>
      <c r="BE16" s="21" t="str">
        <f>VLOOKUP(BD16,CENY!$B$11:$G$1054,2,FALSE)</f>
        <v>AvanY-bok pravý /v187/h500/ strieborná</v>
      </c>
      <c r="BF16" s="22">
        <f>VLOOKUP(BD16,CENY!$B$11:$G$1054,3,FALSE)</f>
        <v>10</v>
      </c>
      <c r="BG16" s="22"/>
      <c r="BH16" s="23">
        <f>AY10</f>
        <v>0</v>
      </c>
      <c r="BI16" s="326">
        <f t="shared" si="2"/>
        <v>0</v>
      </c>
      <c r="BJ16" s="95">
        <f>VLOOKUP(BD16,CENY!$B$11:$M$2025,12,FALSE)</f>
        <v>363.36250999999999</v>
      </c>
      <c r="BK16" s="95">
        <f t="shared" si="3"/>
        <v>0</v>
      </c>
    </row>
    <row r="17" spans="2:63" ht="14.4" customHeight="1" thickBot="1">
      <c r="B17" s="1" t="s">
        <v>284</v>
      </c>
      <c r="O17" s="547" t="str">
        <f>FORM!U18</f>
        <v>flexibilní sety</v>
      </c>
      <c r="P17" s="548"/>
      <c r="Q17" s="548"/>
      <c r="R17" s="548"/>
      <c r="S17" s="548"/>
      <c r="T17" s="548"/>
      <c r="U17" s="548"/>
      <c r="V17" s="548"/>
      <c r="W17" s="548"/>
      <c r="X17" s="548"/>
      <c r="Y17" s="548"/>
      <c r="Z17" s="548"/>
      <c r="AA17" s="548"/>
      <c r="AB17" s="548"/>
      <c r="AC17" s="548"/>
      <c r="AD17" s="548"/>
      <c r="AE17" s="548"/>
      <c r="AF17" s="548"/>
      <c r="AU17" s="319">
        <f>OBJ!B73</f>
        <v>9347504</v>
      </c>
      <c r="AV17" s="21" t="str">
        <f>VLOOKUP(AU17,CENY!$B$11:$G$1054,2,FALSE)</f>
        <v>AvanY-design ALprofil Hybrid na bok 350/ strieb.</v>
      </c>
      <c r="AW17" s="22">
        <f>VLOOKUP(AU17,CENY!$B$11:$G$1054,3,FALSE)</f>
        <v>200</v>
      </c>
      <c r="AX17" s="22"/>
      <c r="AY17" s="23">
        <f>IF(FORM!AM18=FORM!AU16,0,4*(S19+S25))</f>
        <v>0</v>
      </c>
      <c r="AZ17" s="326">
        <f t="shared" si="1"/>
        <v>0</v>
      </c>
      <c r="BA17" s="95">
        <f>VLOOKUP(AU17,CENY!$B$11:$M$2025,12,FALSE)</f>
        <v>20.37642</v>
      </c>
      <c r="BB17" s="95">
        <f t="shared" si="0"/>
        <v>0</v>
      </c>
      <c r="BD17" s="319">
        <f>OBJ!B134</f>
        <v>9255056</v>
      </c>
      <c r="BE17" s="21" t="str">
        <f>VLOOKUP(BD17,CENY!$B$11:$G$1054,2,FALSE)</f>
        <v>AvanY-bok ľavý /v187/h550/ strieborná</v>
      </c>
      <c r="BF17" s="22">
        <f>VLOOKUP(BD17,CENY!$B$11:$G$1054,3,FALSE)</f>
        <v>10</v>
      </c>
      <c r="BG17" s="22"/>
      <c r="BH17" s="23">
        <f>AY11</f>
        <v>0</v>
      </c>
      <c r="BI17" s="326">
        <f t="shared" si="2"/>
        <v>0</v>
      </c>
      <c r="BJ17" s="95">
        <f>VLOOKUP(BD17,CENY!$B$11:$M$2025,12,FALSE)</f>
        <v>379.68511999999998</v>
      </c>
      <c r="BK17" s="95">
        <f t="shared" si="3"/>
        <v>0</v>
      </c>
    </row>
    <row r="18" spans="2:63" ht="14.4" customHeight="1" thickBot="1">
      <c r="B18" s="96"/>
      <c r="C18" s="96"/>
      <c r="D18" s="96"/>
      <c r="E18" s="96"/>
      <c r="F18" s="96"/>
      <c r="G18" s="96"/>
      <c r="H18" s="72"/>
      <c r="I18" s="72"/>
      <c r="J18" s="72"/>
      <c r="K18" s="72"/>
      <c r="L18" s="72"/>
      <c r="M18" s="72"/>
      <c r="N18" s="72" t="str">
        <f>verze!$E$20&amp;" "</f>
        <v xml:space="preserve">Jmenovitá délka: </v>
      </c>
      <c r="O18" s="535">
        <v>270</v>
      </c>
      <c r="P18" s="536"/>
      <c r="Q18" s="535">
        <v>300</v>
      </c>
      <c r="R18" s="536"/>
      <c r="S18" s="535">
        <v>350</v>
      </c>
      <c r="T18" s="536"/>
      <c r="U18" s="535">
        <v>400</v>
      </c>
      <c r="V18" s="536"/>
      <c r="W18" s="535">
        <v>450</v>
      </c>
      <c r="X18" s="536"/>
      <c r="Y18" s="537">
        <v>500</v>
      </c>
      <c r="Z18" s="538"/>
      <c r="AA18" s="535">
        <v>550</v>
      </c>
      <c r="AB18" s="536"/>
      <c r="AC18" s="535">
        <v>600</v>
      </c>
      <c r="AD18" s="536"/>
      <c r="AE18" s="535">
        <v>650</v>
      </c>
      <c r="AF18" s="536"/>
      <c r="AU18" s="319">
        <f>OBJ!B74</f>
        <v>9347505</v>
      </c>
      <c r="AV18" s="21" t="str">
        <f>VLOOKUP(AU18,CENY!$B$11:$G$1054,2,FALSE)</f>
        <v>AvanY-design ALprofil Hybrid na bok 400/ strieb.</v>
      </c>
      <c r="AW18" s="22">
        <f>VLOOKUP(AU18,CENY!$B$11:$G$1054,3,FALSE)</f>
        <v>200</v>
      </c>
      <c r="AX18" s="22"/>
      <c r="AY18" s="23">
        <f>IF(FORM!AM18=FORM!AU16,0,4*(U19+U25))</f>
        <v>0</v>
      </c>
      <c r="AZ18" s="326">
        <f t="shared" si="1"/>
        <v>0</v>
      </c>
      <c r="BA18" s="95">
        <f>VLOOKUP(AU18,CENY!$B$11:$M$2025,12,FALSE)</f>
        <v>20.742249999999999</v>
      </c>
      <c r="BB18" s="95">
        <f t="shared" si="0"/>
        <v>0</v>
      </c>
      <c r="BD18" s="319">
        <f>OBJ!B135</f>
        <v>9255057</v>
      </c>
      <c r="BE18" s="21" t="str">
        <f>VLOOKUP(BD18,CENY!$B$11:$G$1054,2,FALSE)</f>
        <v>AvanY-bok pravý /v187/h550/ strieborná</v>
      </c>
      <c r="BF18" s="22">
        <f>VLOOKUP(BD18,CENY!$B$11:$G$1054,3,FALSE)</f>
        <v>10</v>
      </c>
      <c r="BG18" s="22"/>
      <c r="BH18" s="23">
        <f>AY11</f>
        <v>0</v>
      </c>
      <c r="BI18" s="326">
        <f t="shared" si="2"/>
        <v>0</v>
      </c>
      <c r="BJ18" s="95">
        <f>VLOOKUP(BD18,CENY!$B$11:$M$2025,12,FALSE)</f>
        <v>379.68511999999998</v>
      </c>
      <c r="BK18" s="95">
        <f t="shared" si="3"/>
        <v>0</v>
      </c>
    </row>
    <row r="19" spans="2:63" ht="14.4" customHeight="1" thickBot="1">
      <c r="B19" s="521" t="s">
        <v>290</v>
      </c>
      <c r="C19" s="521"/>
      <c r="D19" s="521"/>
      <c r="E19" s="521"/>
      <c r="F19" s="521"/>
      <c r="G19" s="521"/>
      <c r="H19" s="522" t="str">
        <f>verze!E18</f>
        <v>plnovýsuv</v>
      </c>
      <c r="I19" s="522"/>
      <c r="J19" s="522"/>
      <c r="K19" s="522"/>
      <c r="L19" s="522"/>
      <c r="M19" s="532" t="s">
        <v>287</v>
      </c>
      <c r="N19" s="533"/>
      <c r="O19" s="567"/>
      <c r="P19" s="603"/>
      <c r="Q19" s="604"/>
      <c r="R19" s="568"/>
      <c r="S19" s="567"/>
      <c r="T19" s="568"/>
      <c r="U19" s="567"/>
      <c r="V19" s="568"/>
      <c r="W19" s="567"/>
      <c r="X19" s="568"/>
      <c r="Y19" s="567"/>
      <c r="Z19" s="568"/>
      <c r="AA19" s="567"/>
      <c r="AB19" s="568"/>
      <c r="AC19" s="567"/>
      <c r="AD19" s="603"/>
      <c r="AE19" s="280"/>
      <c r="AF19" s="281"/>
      <c r="AU19" s="319">
        <f>OBJ!B75</f>
        <v>9347506</v>
      </c>
      <c r="AV19" s="21" t="str">
        <f>VLOOKUP(AU19,CENY!$B$11:$G$1054,2,FALSE)</f>
        <v>AvanY-design ALprofil Hybrid na bok 450/ strieb.</v>
      </c>
      <c r="AW19" s="22">
        <f>VLOOKUP(AU19,CENY!$B$11:$G$1054,3,FALSE)</f>
        <v>200</v>
      </c>
      <c r="AX19" s="22"/>
      <c r="AY19" s="23">
        <f>IF(FORM!AM18=FORM!AU16,0,4*(W19+W20+W25))</f>
        <v>0</v>
      </c>
      <c r="AZ19" s="326">
        <f t="shared" si="1"/>
        <v>0</v>
      </c>
      <c r="BA19" s="95">
        <f>VLOOKUP(AU19,CENY!$B$11:$M$2025,12,FALSE)</f>
        <v>21.111910000000002</v>
      </c>
      <c r="BB19" s="95">
        <f t="shared" si="0"/>
        <v>0</v>
      </c>
      <c r="BD19" s="319">
        <f>OBJ!B136</f>
        <v>9255058</v>
      </c>
      <c r="BE19" s="21" t="str">
        <f>VLOOKUP(BD19,CENY!$B$11:$G$1054,2,FALSE)</f>
        <v>AvanY-bok ľavý /v187/h600/ strieborná</v>
      </c>
      <c r="BF19" s="22">
        <f>VLOOKUP(BD19,CENY!$B$11:$G$1054,3,FALSE)</f>
        <v>10</v>
      </c>
      <c r="BG19" s="22"/>
      <c r="BH19" s="23">
        <f>AY12</f>
        <v>0</v>
      </c>
      <c r="BI19" s="326">
        <f t="shared" si="2"/>
        <v>0</v>
      </c>
      <c r="BJ19" s="95">
        <f>VLOOKUP(BD19,CENY!$B$11:$M$2025,12,FALSE)</f>
        <v>389.34050000000002</v>
      </c>
      <c r="BK19" s="95">
        <f t="shared" si="3"/>
        <v>0</v>
      </c>
    </row>
    <row r="20" spans="2:63" ht="14.4" customHeight="1" thickBot="1">
      <c r="B20" s="544" t="s">
        <v>291</v>
      </c>
      <c r="C20" s="544"/>
      <c r="D20" s="544"/>
      <c r="E20" s="544"/>
      <c r="F20" s="544"/>
      <c r="G20" s="544"/>
      <c r="H20" s="545" t="str">
        <f>verze!E18</f>
        <v>plnovýsuv</v>
      </c>
      <c r="I20" s="545"/>
      <c r="J20" s="545"/>
      <c r="K20" s="545"/>
      <c r="L20" s="545"/>
      <c r="M20" s="523" t="s">
        <v>288</v>
      </c>
      <c r="N20" s="524"/>
      <c r="O20" s="518"/>
      <c r="P20" s="519"/>
      <c r="Q20" s="518"/>
      <c r="R20" s="519"/>
      <c r="S20" s="518"/>
      <c r="T20" s="519"/>
      <c r="U20" s="518"/>
      <c r="V20" s="519"/>
      <c r="W20" s="516"/>
      <c r="X20" s="517"/>
      <c r="Y20" s="516"/>
      <c r="Z20" s="517"/>
      <c r="AA20" s="516"/>
      <c r="AB20" s="517"/>
      <c r="AC20" s="516"/>
      <c r="AD20" s="517"/>
      <c r="AE20" s="565"/>
      <c r="AF20" s="605"/>
      <c r="AU20" s="319">
        <f>OBJ!B76</f>
        <v>9347507</v>
      </c>
      <c r="AV20" s="21" t="str">
        <f>VLOOKUP(AU20,CENY!$B$11:$G$1054,2,FALSE)</f>
        <v>AvanY-design ALprofil Hybrid na bok 500/ strieb.</v>
      </c>
      <c r="AW20" s="22">
        <f>VLOOKUP(AU20,CENY!$B$11:$G$1054,3,FALSE)</f>
        <v>200</v>
      </c>
      <c r="AX20" s="22"/>
      <c r="AY20" s="23">
        <f>IF(FORM!AM18=FORM!AU16,0,4*(Y19+Y20+Y25))</f>
        <v>0</v>
      </c>
      <c r="AZ20" s="326">
        <f t="shared" si="1"/>
        <v>0</v>
      </c>
      <c r="BA20" s="95">
        <f>VLOOKUP(AU20,CENY!$B$11:$M$2025,12,FALSE)</f>
        <v>21.479700000000001</v>
      </c>
      <c r="BB20" s="95">
        <f t="shared" si="0"/>
        <v>0</v>
      </c>
      <c r="BD20" s="319">
        <f>OBJ!B137</f>
        <v>9255059</v>
      </c>
      <c r="BE20" s="21" t="str">
        <f>VLOOKUP(BD20,CENY!$B$11:$G$1054,2,FALSE)</f>
        <v>AvanY-bok pravý /v187/h600/ strieborná</v>
      </c>
      <c r="BF20" s="22">
        <f>VLOOKUP(BD20,CENY!$B$11:$G$1054,3,FALSE)</f>
        <v>10</v>
      </c>
      <c r="BG20" s="22"/>
      <c r="BH20" s="23">
        <f>AY12</f>
        <v>0</v>
      </c>
      <c r="BI20" s="326">
        <f t="shared" si="2"/>
        <v>0</v>
      </c>
      <c r="BJ20" s="95">
        <f>VLOOKUP(BD20,CENY!$B$11:$M$2025,12,FALSE)</f>
        <v>389.34050000000002</v>
      </c>
      <c r="BK20" s="95">
        <f t="shared" si="3"/>
        <v>0</v>
      </c>
    </row>
    <row r="21" spans="2:63" ht="14.4" customHeight="1">
      <c r="O21" s="4"/>
      <c r="P21" s="4"/>
      <c r="AU21" s="319">
        <f>OBJ!B77</f>
        <v>9347508</v>
      </c>
      <c r="AV21" s="21" t="str">
        <f>VLOOKUP(AU21,CENY!$B$11:$G$1054,2,FALSE)</f>
        <v>AvanY-design ALprofil Hybrid na bok 550/ strieb.</v>
      </c>
      <c r="AW21" s="22">
        <f>VLOOKUP(AU21,CENY!$B$11:$G$1054,3,FALSE)</f>
        <v>200</v>
      </c>
      <c r="AX21" s="22"/>
      <c r="AY21" s="23">
        <f>IF(FORM!AM18=FORM!AU16,0,4*(AA19+AA20+AA25))</f>
        <v>0</v>
      </c>
      <c r="AZ21" s="326">
        <f t="shared" si="1"/>
        <v>0</v>
      </c>
      <c r="BA21" s="95">
        <f>VLOOKUP(AU21,CENY!$B$11:$M$2025,12,FALSE)</f>
        <v>21.84564</v>
      </c>
      <c r="BB21" s="95">
        <f t="shared" si="0"/>
        <v>0</v>
      </c>
      <c r="BD21" s="319">
        <f>OBJ!B138</f>
        <v>9255060</v>
      </c>
      <c r="BE21" s="21" t="str">
        <f>VLOOKUP(BD21,CENY!$B$11:$G$1054,2,FALSE)</f>
        <v>AvanY-bok ľavý /v187/h650/ strieborná</v>
      </c>
      <c r="BF21" s="22">
        <f>VLOOKUP(BD21,CENY!$B$11:$G$1054,3,FALSE)</f>
        <v>10</v>
      </c>
      <c r="BG21" s="22"/>
      <c r="BH21" s="23">
        <f>AY13</f>
        <v>0</v>
      </c>
      <c r="BI21" s="326">
        <f t="shared" si="2"/>
        <v>0</v>
      </c>
      <c r="BJ21" s="95">
        <f>VLOOKUP(BD21,CENY!$B$11:$M$2025,12,FALSE)</f>
        <v>402.46422999999999</v>
      </c>
      <c r="BK21" s="95">
        <f t="shared" si="3"/>
        <v>0</v>
      </c>
    </row>
    <row r="22" spans="2:63" ht="14.4" customHeight="1">
      <c r="AU22" s="319">
        <f>OBJ!B78</f>
        <v>9347509</v>
      </c>
      <c r="AV22" s="21" t="str">
        <f>VLOOKUP(AU22,CENY!$B$11:$G$1054,2,FALSE)</f>
        <v>AvanY-design ALprofil Hybrid na bok 600/ strieb.</v>
      </c>
      <c r="AW22" s="22">
        <f>VLOOKUP(AU22,CENY!$B$11:$G$1054,3,FALSE)</f>
        <v>200</v>
      </c>
      <c r="AX22" s="22"/>
      <c r="AY22" s="23">
        <f>IF(FORM!AM18=FORM!AU16,0,4*(AC19+AC20+AC25))</f>
        <v>0</v>
      </c>
      <c r="AZ22" s="326">
        <f t="shared" si="1"/>
        <v>0</v>
      </c>
      <c r="BA22" s="95">
        <f>VLOOKUP(AU22,CENY!$B$11:$M$2025,12,FALSE)</f>
        <v>22.79205</v>
      </c>
      <c r="BB22" s="95">
        <f t="shared" si="0"/>
        <v>0</v>
      </c>
      <c r="BD22" s="319">
        <f>OBJ!B139</f>
        <v>9255061</v>
      </c>
      <c r="BE22" s="21" t="str">
        <f>VLOOKUP(BD22,CENY!$B$11:$G$1054,2,FALSE)</f>
        <v>AvanY-bok pravý /v187/h650/ strieborná</v>
      </c>
      <c r="BF22" s="22">
        <f>VLOOKUP(BD22,CENY!$B$11:$G$1054,3,FALSE)</f>
        <v>10</v>
      </c>
      <c r="BG22" s="22"/>
      <c r="BH22" s="23">
        <f>AY13</f>
        <v>0</v>
      </c>
      <c r="BI22" s="326">
        <f t="shared" si="2"/>
        <v>0</v>
      </c>
      <c r="BJ22" s="95">
        <f>VLOOKUP(BD22,CENY!$B$11:$M$2025,12,FALSE)</f>
        <v>402.46422999999999</v>
      </c>
      <c r="BK22" s="95">
        <f t="shared" si="3"/>
        <v>0</v>
      </c>
    </row>
    <row r="23" spans="2:63" ht="14.4" customHeight="1" thickBot="1">
      <c r="B23" s="2" t="s">
        <v>285</v>
      </c>
      <c r="AU23" s="319">
        <f>OBJ!B79</f>
        <v>9347510</v>
      </c>
      <c r="AV23" s="21" t="str">
        <f>VLOOKUP(AU23,CENY!$B$11:$G$1054,2,FALSE)</f>
        <v>AvanY-design ALprofil Hybrid na bok 650/ strieb.</v>
      </c>
      <c r="AW23" s="22">
        <f>VLOOKUP(AU23,CENY!$B$11:$G$1054,3,FALSE)</f>
        <v>200</v>
      </c>
      <c r="AX23" s="22"/>
      <c r="AY23" s="23">
        <f>IF(FORM!AM18=FORM!AU16,0,4*AE20)</f>
        <v>0</v>
      </c>
      <c r="AZ23" s="326">
        <f t="shared" si="1"/>
        <v>0</v>
      </c>
      <c r="BA23" s="95">
        <f>VLOOKUP(AU23,CENY!$B$11:$M$2025,12,FALSE)</f>
        <v>24.580449999999999</v>
      </c>
      <c r="BB23" s="95">
        <f t="shared" si="0"/>
        <v>0</v>
      </c>
      <c r="BD23" s="319"/>
      <c r="BE23" s="21"/>
      <c r="BF23" s="22"/>
      <c r="BG23" s="22"/>
      <c r="BH23" s="23"/>
      <c r="BI23" s="326" t="str">
        <f t="shared" si="2"/>
        <v/>
      </c>
      <c r="BJ23" s="95"/>
      <c r="BK23" s="95" t="str">
        <f t="shared" si="3"/>
        <v/>
      </c>
    </row>
    <row r="24" spans="2:63" ht="14.4" customHeight="1" thickBot="1">
      <c r="B24" s="96"/>
      <c r="C24" s="96"/>
      <c r="D24" s="96"/>
      <c r="E24" s="96"/>
      <c r="F24" s="96"/>
      <c r="G24" s="96"/>
      <c r="H24" s="72"/>
      <c r="I24" s="72"/>
      <c r="J24" s="72"/>
      <c r="K24" s="72"/>
      <c r="L24" s="72"/>
      <c r="M24" s="72"/>
      <c r="N24" s="72" t="str">
        <f>verze!$E$20&amp;" "</f>
        <v xml:space="preserve">Jmenovitá délka: </v>
      </c>
      <c r="O24" s="535">
        <v>270</v>
      </c>
      <c r="P24" s="536"/>
      <c r="Q24" s="535">
        <v>300</v>
      </c>
      <c r="R24" s="536"/>
      <c r="S24" s="535">
        <v>350</v>
      </c>
      <c r="T24" s="536"/>
      <c r="U24" s="535">
        <v>400</v>
      </c>
      <c r="V24" s="536"/>
      <c r="W24" s="535">
        <v>450</v>
      </c>
      <c r="X24" s="536"/>
      <c r="Y24" s="537">
        <v>500</v>
      </c>
      <c r="Z24" s="538"/>
      <c r="AA24" s="535">
        <v>550</v>
      </c>
      <c r="AB24" s="536"/>
      <c r="AC24" s="535">
        <v>600</v>
      </c>
      <c r="AD24" s="536"/>
      <c r="AU24" s="319"/>
      <c r="AV24" s="21"/>
      <c r="AW24" s="22"/>
      <c r="AX24" s="22"/>
      <c r="AY24" s="23"/>
      <c r="AZ24" s="326" t="str">
        <f t="shared" si="1"/>
        <v/>
      </c>
      <c r="BA24" s="95"/>
      <c r="BB24" s="95" t="str">
        <f t="shared" si="0"/>
        <v/>
      </c>
      <c r="BD24" s="319">
        <f>OBJ!B141</f>
        <v>9255838</v>
      </c>
      <c r="BE24" s="21" t="str">
        <f>VLOOKUP(BD24,CENY!$B$11:$G$1054,2,FALSE)</f>
        <v>AvanY-prích.čela k naskrutk./ v187-251</v>
      </c>
      <c r="BF24" s="22">
        <f>VLOOKUP(BD24,CENY!$B$11:$G$1054,3,FALSE)</f>
        <v>200</v>
      </c>
      <c r="BG24" s="22"/>
      <c r="BH24" s="23">
        <f>4*(SUM(O19:AD19)+SUM(W20:AF20)+SUM(O25:AD25))</f>
        <v>0</v>
      </c>
      <c r="BI24" s="326">
        <f t="shared" si="2"/>
        <v>0</v>
      </c>
      <c r="BJ24" s="95">
        <f>VLOOKUP(BD24,CENY!$B$11:$M$2025,12,FALSE)</f>
        <v>49.383429999999997</v>
      </c>
      <c r="BK24" s="95">
        <f t="shared" si="3"/>
        <v>0</v>
      </c>
    </row>
    <row r="25" spans="2:63" ht="14.4" customHeight="1" thickBot="1">
      <c r="B25" s="521" t="s">
        <v>372</v>
      </c>
      <c r="C25" s="521"/>
      <c r="D25" s="521"/>
      <c r="E25" s="521"/>
      <c r="F25" s="521"/>
      <c r="G25" s="521"/>
      <c r="H25" s="522" t="str">
        <f>verze!E18</f>
        <v>plnovýsuv</v>
      </c>
      <c r="I25" s="522"/>
      <c r="J25" s="522"/>
      <c r="K25" s="522"/>
      <c r="L25" s="522"/>
      <c r="M25" s="532" t="s">
        <v>1</v>
      </c>
      <c r="N25" s="533"/>
      <c r="O25" s="567"/>
      <c r="P25" s="603"/>
      <c r="Q25" s="604"/>
      <c r="R25" s="603"/>
      <c r="S25" s="604"/>
      <c r="T25" s="568"/>
      <c r="U25" s="604"/>
      <c r="V25" s="568"/>
      <c r="W25" s="604"/>
      <c r="X25" s="568"/>
      <c r="Y25" s="604"/>
      <c r="Z25" s="568"/>
      <c r="AA25" s="604"/>
      <c r="AB25" s="568"/>
      <c r="AC25" s="516"/>
      <c r="AD25" s="602"/>
      <c r="AU25" s="319">
        <f>OBJ!B243</f>
        <v>9318186</v>
      </c>
      <c r="AV25" s="21" t="str">
        <f>VLOOKUP(AU25,CENY!$B$11:$G$1054,2,FALSE)</f>
        <v>Actro You(L) 270/SiSy 40kg; EB21</v>
      </c>
      <c r="AW25" s="22">
        <f>VLOOKUP(AU25,CENY!$B$11:$G$1054,3,FALSE)</f>
        <v>1</v>
      </c>
      <c r="AX25" s="362">
        <v>8</v>
      </c>
      <c r="AY25" s="23">
        <f>O19</f>
        <v>0</v>
      </c>
      <c r="AZ25" s="326">
        <f t="shared" si="1"/>
        <v>0</v>
      </c>
      <c r="BA25" s="95">
        <f>VLOOKUP(AU25,CENY!$B$11:$M$2025,12,FALSE)</f>
        <v>657.45060999999998</v>
      </c>
      <c r="BB25" s="95">
        <f t="shared" si="0"/>
        <v>0</v>
      </c>
      <c r="BD25" s="319">
        <f>OBJ!B48</f>
        <v>9257702</v>
      </c>
      <c r="BE25" s="21" t="str">
        <f>VLOOKUP(BD25,CENY!$B$11:$G$1054,2,FALSE)</f>
        <v>AvanY-stabilizátor chrbáta</v>
      </c>
      <c r="BF25" s="22">
        <f>VLOOKUP(BD25,CENY!$B$11:$G$1054,3,FALSE)</f>
        <v>200</v>
      </c>
      <c r="BG25" s="22"/>
      <c r="BH25" s="23">
        <f>0*(SUM(O19:AD19)+SUM(W20:AF20)+SUM(O25:AD25))</f>
        <v>0</v>
      </c>
      <c r="BI25" s="326">
        <f t="shared" si="2"/>
        <v>0</v>
      </c>
      <c r="BJ25" s="95">
        <f>VLOOKUP(BD25,CENY!$B$11:$M$2025,12,FALSE)</f>
        <v>15.54837</v>
      </c>
      <c r="BK25" s="95">
        <f t="shared" si="3"/>
        <v>0</v>
      </c>
    </row>
    <row r="26" spans="2:63" ht="14.4" customHeight="1" thickBot="1">
      <c r="O26" s="342"/>
      <c r="P26" s="343"/>
      <c r="Q26" s="342"/>
      <c r="R26" s="343"/>
      <c r="S26" s="342"/>
      <c r="T26" s="343"/>
      <c r="U26" s="342"/>
      <c r="V26" s="343"/>
      <c r="W26" s="342"/>
      <c r="X26" s="343"/>
      <c r="Y26" s="342"/>
      <c r="Z26" s="343"/>
      <c r="AA26" s="342"/>
      <c r="AB26" s="343"/>
      <c r="AC26" s="342"/>
      <c r="AD26" s="343"/>
      <c r="AU26" s="319">
        <f>OBJ!B244</f>
        <v>9318187</v>
      </c>
      <c r="AV26" s="21" t="str">
        <f>VLOOKUP(AU26,CENY!$B$11:$G$1054,2,FALSE)</f>
        <v>Actro You(L) 300/SiSy 40kg; EB21</v>
      </c>
      <c r="AW26" s="22">
        <f>VLOOKUP(AU26,CENY!$B$11:$G$1054,3,FALSE)</f>
        <v>1</v>
      </c>
      <c r="AX26" s="362">
        <v>8</v>
      </c>
      <c r="AY26" s="23">
        <f>Q19</f>
        <v>0</v>
      </c>
      <c r="AZ26" s="326">
        <f t="shared" si="1"/>
        <v>0</v>
      </c>
      <c r="BA26" s="95">
        <f>VLOOKUP(AU26,CENY!$B$11:$M$2025,12,FALSE)</f>
        <v>657.45060999999998</v>
      </c>
      <c r="BB26" s="95">
        <f t="shared" si="0"/>
        <v>0</v>
      </c>
      <c r="BD26" s="20"/>
      <c r="BE26" s="21"/>
      <c r="BF26" s="22"/>
      <c r="BG26" s="22"/>
      <c r="BH26" s="23"/>
      <c r="BI26" s="326" t="str">
        <f t="shared" si="2"/>
        <v/>
      </c>
      <c r="BJ26" s="95"/>
      <c r="BK26" s="95" t="str">
        <f t="shared" si="3"/>
        <v/>
      </c>
    </row>
    <row r="27" spans="2:63" ht="14.4" customHeight="1">
      <c r="B27" s="366" t="str">
        <f>verze!E201</f>
        <v>SiSy = tlumení Silent System</v>
      </c>
      <c r="AU27" s="319">
        <f>OBJ!B245</f>
        <v>9318188</v>
      </c>
      <c r="AV27" s="21" t="str">
        <f>VLOOKUP(AU27,CENY!$B$11:$G$1054,2,FALSE)</f>
        <v>Actro You(L) 350/SiSy 40kg; EB21</v>
      </c>
      <c r="AW27" s="22">
        <f>VLOOKUP(AU27,CENY!$B$11:$G$1054,3,FALSE)</f>
        <v>1</v>
      </c>
      <c r="AX27" s="362">
        <v>8</v>
      </c>
      <c r="AY27" s="23">
        <f>S19</f>
        <v>0</v>
      </c>
      <c r="AZ27" s="326">
        <f t="shared" si="1"/>
        <v>0</v>
      </c>
      <c r="BA27" s="95">
        <f>VLOOKUP(AU27,CENY!$B$11:$M$2025,12,FALSE)</f>
        <v>657.45060999999998</v>
      </c>
      <c r="BB27" s="95">
        <f t="shared" si="0"/>
        <v>0</v>
      </c>
      <c r="BD27" s="319">
        <f>OBJ!B71</f>
        <v>9347502</v>
      </c>
      <c r="BE27" s="21" t="str">
        <f>VLOOKUP(BD27,CENY!$B$11:$G$1054,2,FALSE)</f>
        <v>AvanY-design ALprofil Hybrid na bok 270/ strieb.</v>
      </c>
      <c r="BF27" s="22">
        <f>VLOOKUP(BD27,CENY!$B$11:$G$1054,3,FALSE)</f>
        <v>200</v>
      </c>
      <c r="BG27" s="22"/>
      <c r="BH27" s="23">
        <f>4*(O19+O25)</f>
        <v>0</v>
      </c>
      <c r="BI27" s="326">
        <f t="shared" si="2"/>
        <v>0</v>
      </c>
      <c r="BJ27" s="95">
        <f>VLOOKUP(BD27,CENY!$B$11:$M$2025,12,FALSE)</f>
        <v>19.78839</v>
      </c>
      <c r="BK27" s="95">
        <f t="shared" si="3"/>
        <v>0</v>
      </c>
    </row>
    <row r="28" spans="2:63" ht="14.4" customHeight="1">
      <c r="B28" s="366"/>
      <c r="O28" s="341" t="str">
        <f>verze!E189</f>
        <v>Maximální výška korpusu skříňky = 750mm.   Maximální šířka korpusu skříňky = 300mm.</v>
      </c>
      <c r="AU28" s="319">
        <f>OBJ!B246</f>
        <v>9318190</v>
      </c>
      <c r="AV28" s="21" t="str">
        <f>VLOOKUP(AU28,CENY!$B$11:$G$1054,2,FALSE)</f>
        <v>Actro You(L) 400/SiSy 40kg; EB21</v>
      </c>
      <c r="AW28" s="22">
        <f>VLOOKUP(AU28,CENY!$B$11:$G$1054,3,FALSE)</f>
        <v>1</v>
      </c>
      <c r="AX28" s="362">
        <v>8</v>
      </c>
      <c r="AY28" s="23">
        <f>U19</f>
        <v>0</v>
      </c>
      <c r="AZ28" s="326">
        <f t="shared" si="1"/>
        <v>0</v>
      </c>
      <c r="BA28" s="95">
        <f>VLOOKUP(AU28,CENY!$B$11:$M$2025,12,FALSE)</f>
        <v>664.73978</v>
      </c>
      <c r="BB28" s="95">
        <f t="shared" si="0"/>
        <v>0</v>
      </c>
      <c r="BD28" s="319">
        <f>OBJ!B72</f>
        <v>9347503</v>
      </c>
      <c r="BE28" s="21" t="str">
        <f>VLOOKUP(BD28,CENY!$B$11:$G$1054,2,FALSE)</f>
        <v>AvanY-design ALprofil Hybrid na bok 300/ strieb.</v>
      </c>
      <c r="BF28" s="22">
        <f>VLOOKUP(BD28,CENY!$B$11:$G$1054,3,FALSE)</f>
        <v>200</v>
      </c>
      <c r="BG28" s="22"/>
      <c r="BH28" s="23">
        <f>4*(Q19+Q25)</f>
        <v>0</v>
      </c>
      <c r="BI28" s="326">
        <f t="shared" si="2"/>
        <v>0</v>
      </c>
      <c r="BJ28" s="95">
        <f>VLOOKUP(BD28,CENY!$B$11:$M$2025,12,FALSE)</f>
        <v>20.006769999999999</v>
      </c>
      <c r="BK28" s="95">
        <f t="shared" si="3"/>
        <v>0</v>
      </c>
    </row>
    <row r="29" spans="2:63" ht="14.4" customHeight="1">
      <c r="B29" s="366"/>
      <c r="Q29" s="341"/>
      <c r="AU29" s="319">
        <f>OBJ!B247</f>
        <v>9318191</v>
      </c>
      <c r="AV29" s="21" t="str">
        <f>VLOOKUP(AU29,CENY!$B$11:$G$1054,2,FALSE)</f>
        <v>Actro You(L) 450/SiSy 40kg; EB21</v>
      </c>
      <c r="AW29" s="22">
        <f>VLOOKUP(AU29,CENY!$B$11:$G$1054,3,FALSE)</f>
        <v>1</v>
      </c>
      <c r="AX29" s="362">
        <v>10</v>
      </c>
      <c r="AY29" s="23">
        <f>W19</f>
        <v>0</v>
      </c>
      <c r="AZ29" s="326">
        <f t="shared" si="1"/>
        <v>0</v>
      </c>
      <c r="BA29" s="95">
        <f>VLOOKUP(AU29,CENY!$B$11:$M$2025,12,FALSE)</f>
        <v>671.97520999999995</v>
      </c>
      <c r="BB29" s="95">
        <f t="shared" si="0"/>
        <v>0</v>
      </c>
      <c r="BD29" s="319">
        <f>OBJ!B73</f>
        <v>9347504</v>
      </c>
      <c r="BE29" s="21" t="str">
        <f>VLOOKUP(BD29,CENY!$B$11:$G$1054,2,FALSE)</f>
        <v>AvanY-design ALprofil Hybrid na bok 350/ strieb.</v>
      </c>
      <c r="BF29" s="22">
        <f>VLOOKUP(BD29,CENY!$B$11:$G$1054,3,FALSE)</f>
        <v>200</v>
      </c>
      <c r="BG29" s="22"/>
      <c r="BH29" s="23">
        <f>4*(S19+S25)</f>
        <v>0</v>
      </c>
      <c r="BI29" s="326">
        <f t="shared" si="2"/>
        <v>0</v>
      </c>
      <c r="BJ29" s="95">
        <f>VLOOKUP(BD29,CENY!$B$11:$M$2025,12,FALSE)</f>
        <v>20.37642</v>
      </c>
      <c r="BK29" s="95">
        <f t="shared" si="3"/>
        <v>0</v>
      </c>
    </row>
    <row r="30" spans="2:63" ht="14.4" customHeight="1">
      <c r="AU30" s="319">
        <f>OBJ!B248</f>
        <v>9318192</v>
      </c>
      <c r="AV30" s="21" t="str">
        <f>VLOOKUP(AU30,CENY!$B$11:$G$1054,2,FALSE)</f>
        <v>Actro You(L) 500/SiSy 40kg; EB21</v>
      </c>
      <c r="AW30" s="22">
        <f>VLOOKUP(AU30,CENY!$B$11:$G$1054,3,FALSE)</f>
        <v>1</v>
      </c>
      <c r="AX30" s="362">
        <v>10</v>
      </c>
      <c r="AY30" s="23">
        <f>Y19</f>
        <v>0</v>
      </c>
      <c r="AZ30" s="326">
        <f t="shared" si="1"/>
        <v>0</v>
      </c>
      <c r="BA30" s="95">
        <f>VLOOKUP(AU30,CENY!$B$11:$M$2025,12,FALSE)</f>
        <v>164.23333</v>
      </c>
      <c r="BB30" s="95">
        <f t="shared" si="0"/>
        <v>0</v>
      </c>
      <c r="BD30" s="319">
        <f>OBJ!B74</f>
        <v>9347505</v>
      </c>
      <c r="BE30" s="21" t="str">
        <f>VLOOKUP(BD30,CENY!$B$11:$G$1054,2,FALSE)</f>
        <v>AvanY-design ALprofil Hybrid na bok 400/ strieb.</v>
      </c>
      <c r="BF30" s="22">
        <f>VLOOKUP(BD30,CENY!$B$11:$G$1054,3,FALSE)</f>
        <v>200</v>
      </c>
      <c r="BG30" s="22"/>
      <c r="BH30" s="23">
        <f>4*(U19+U25)</f>
        <v>0</v>
      </c>
      <c r="BI30" s="326">
        <f t="shared" si="2"/>
        <v>0</v>
      </c>
      <c r="BJ30" s="95">
        <f>VLOOKUP(BD30,CENY!$B$11:$M$2025,12,FALSE)</f>
        <v>20.742249999999999</v>
      </c>
      <c r="BK30" s="95">
        <f t="shared" si="3"/>
        <v>0</v>
      </c>
    </row>
    <row r="31" spans="2:63" ht="14.4" customHeight="1">
      <c r="AU31" s="319">
        <f>OBJ!B249</f>
        <v>9318194</v>
      </c>
      <c r="AV31" s="21" t="str">
        <f>VLOOKUP(AU31,CENY!$B$11:$G$1054,2,FALSE)</f>
        <v>Actro You(L) 550/SiSy 40kg; EB21</v>
      </c>
      <c r="AW31" s="22">
        <f>VLOOKUP(AU31,CENY!$B$11:$G$1054,3,FALSE)</f>
        <v>1</v>
      </c>
      <c r="AX31" s="362">
        <v>10</v>
      </c>
      <c r="AY31" s="23">
        <f>AA19</f>
        <v>0</v>
      </c>
      <c r="AZ31" s="326">
        <f t="shared" si="1"/>
        <v>0</v>
      </c>
      <c r="BA31" s="95">
        <f>VLOOKUP(AU31,CENY!$B$11:$M$2025,12,FALSE)</f>
        <v>173.62268</v>
      </c>
      <c r="BB31" s="95">
        <f t="shared" si="0"/>
        <v>0</v>
      </c>
      <c r="BD31" s="319">
        <f>OBJ!B75</f>
        <v>9347506</v>
      </c>
      <c r="BE31" s="21" t="str">
        <f>VLOOKUP(BD31,CENY!$B$11:$G$1054,2,FALSE)</f>
        <v>AvanY-design ALprofil Hybrid na bok 450/ strieb.</v>
      </c>
      <c r="BF31" s="22">
        <f>VLOOKUP(BD31,CENY!$B$11:$G$1054,3,FALSE)</f>
        <v>200</v>
      </c>
      <c r="BG31" s="22"/>
      <c r="BH31" s="23">
        <f>4*(W19+W20+W25)</f>
        <v>0</v>
      </c>
      <c r="BI31" s="326">
        <f t="shared" si="2"/>
        <v>0</v>
      </c>
      <c r="BJ31" s="95">
        <f>VLOOKUP(BD31,CENY!$B$11:$M$2025,12,FALSE)</f>
        <v>21.111910000000002</v>
      </c>
      <c r="BK31" s="95">
        <f t="shared" si="3"/>
        <v>0</v>
      </c>
    </row>
    <row r="32" spans="2:63" ht="14.4" customHeight="1">
      <c r="AU32" s="319">
        <f>OBJ!B250</f>
        <v>9318196</v>
      </c>
      <c r="AV32" s="21" t="str">
        <f>VLOOKUP(AU32,CENY!$B$11:$G$1054,2,FALSE)</f>
        <v>Actro You(L) 600/SiSy 40kg; EB21</v>
      </c>
      <c r="AW32" s="22">
        <f>VLOOKUP(AU32,CENY!$B$11:$G$1054,3,FALSE)</f>
        <v>1</v>
      </c>
      <c r="AX32" s="362">
        <v>10</v>
      </c>
      <c r="AY32" s="23">
        <f>AC19</f>
        <v>0</v>
      </c>
      <c r="AZ32" s="326">
        <f t="shared" si="1"/>
        <v>0</v>
      </c>
      <c r="BA32" s="95">
        <f>VLOOKUP(AU32,CENY!$B$11:$M$2025,12,FALSE)</f>
        <v>726.70140000000004</v>
      </c>
      <c r="BB32" s="95">
        <f t="shared" si="0"/>
        <v>0</v>
      </c>
      <c r="BD32" s="319">
        <f>OBJ!B76</f>
        <v>9347507</v>
      </c>
      <c r="BE32" s="21" t="str">
        <f>VLOOKUP(BD32,CENY!$B$11:$G$1054,2,FALSE)</f>
        <v>AvanY-design ALprofil Hybrid na bok 500/ strieb.</v>
      </c>
      <c r="BF32" s="22">
        <f>VLOOKUP(BD32,CENY!$B$11:$G$1054,3,FALSE)</f>
        <v>200</v>
      </c>
      <c r="BG32" s="22"/>
      <c r="BH32" s="23">
        <f>4*(Y19+Y20+Y25)</f>
        <v>0</v>
      </c>
      <c r="BI32" s="326">
        <f t="shared" si="2"/>
        <v>0</v>
      </c>
      <c r="BJ32" s="95">
        <f>VLOOKUP(BD32,CENY!$B$11:$M$2025,12,FALSE)</f>
        <v>21.479700000000001</v>
      </c>
      <c r="BK32" s="95">
        <f t="shared" si="3"/>
        <v>0</v>
      </c>
    </row>
    <row r="33" spans="47:63" ht="14.4" customHeight="1">
      <c r="AU33" s="319"/>
      <c r="AV33" s="21"/>
      <c r="AW33" s="22"/>
      <c r="AX33" s="22"/>
      <c r="AY33" s="23"/>
      <c r="AZ33" s="326" t="str">
        <f t="shared" si="1"/>
        <v/>
      </c>
      <c r="BA33" s="95"/>
      <c r="BB33" s="95" t="str">
        <f t="shared" si="0"/>
        <v/>
      </c>
      <c r="BD33" s="319">
        <f>OBJ!B77</f>
        <v>9347508</v>
      </c>
      <c r="BE33" s="21" t="str">
        <f>VLOOKUP(BD33,CENY!$B$11:$G$1054,2,FALSE)</f>
        <v>AvanY-design ALprofil Hybrid na bok 550/ strieb.</v>
      </c>
      <c r="BF33" s="22">
        <f>VLOOKUP(BD33,CENY!$B$11:$G$1054,3,FALSE)</f>
        <v>200</v>
      </c>
      <c r="BG33" s="22"/>
      <c r="BH33" s="23">
        <f>4*(AA19+AA20+AA25)</f>
        <v>0</v>
      </c>
      <c r="BI33" s="326">
        <f t="shared" si="2"/>
        <v>0</v>
      </c>
      <c r="BJ33" s="95">
        <f>VLOOKUP(BD33,CENY!$B$11:$M$2025,12,FALSE)</f>
        <v>21.84564</v>
      </c>
      <c r="BK33" s="95">
        <f t="shared" si="3"/>
        <v>0</v>
      </c>
    </row>
    <row r="34" spans="47:63" ht="14.4" customHeight="1">
      <c r="AU34" s="319">
        <f>OBJ!B268</f>
        <v>9318215</v>
      </c>
      <c r="AV34" s="21" t="str">
        <f>VLOOKUP(AU34,CENY!$B$11:$G$1054,2,FALSE)</f>
        <v>Actro You(XL) 450/SiSy 70kg; EB21</v>
      </c>
      <c r="AW34" s="22">
        <f>VLOOKUP(AU34,CENY!$B$11:$G$1054,3,FALSE)</f>
        <v>1</v>
      </c>
      <c r="AX34" s="362">
        <v>10</v>
      </c>
      <c r="AY34" s="23">
        <f>W20</f>
        <v>0</v>
      </c>
      <c r="AZ34" s="326">
        <f t="shared" si="1"/>
        <v>0</v>
      </c>
      <c r="BA34" s="95">
        <f>VLOOKUP(AU34,CENY!$B$11:$M$2025,12,FALSE)</f>
        <v>197.37184999999999</v>
      </c>
      <c r="BB34" s="95">
        <f t="shared" si="0"/>
        <v>0</v>
      </c>
      <c r="BD34" s="319">
        <f>OBJ!B78</f>
        <v>9347509</v>
      </c>
      <c r="BE34" s="21" t="str">
        <f>VLOOKUP(BD34,CENY!$B$11:$G$1054,2,FALSE)</f>
        <v>AvanY-design ALprofil Hybrid na bok 600/ strieb.</v>
      </c>
      <c r="BF34" s="22">
        <f>VLOOKUP(BD34,CENY!$B$11:$G$1054,3,FALSE)</f>
        <v>200</v>
      </c>
      <c r="BG34" s="22"/>
      <c r="BH34" s="23">
        <f>4*(AC19+AC20+AC25)</f>
        <v>0</v>
      </c>
      <c r="BI34" s="326">
        <f t="shared" si="2"/>
        <v>0</v>
      </c>
      <c r="BJ34" s="95">
        <f>VLOOKUP(BD34,CENY!$B$11:$M$2025,12,FALSE)</f>
        <v>22.79205</v>
      </c>
      <c r="BK34" s="95">
        <f t="shared" si="3"/>
        <v>0</v>
      </c>
    </row>
    <row r="35" spans="47:63" ht="14.4" customHeight="1">
      <c r="AU35" s="319">
        <f>OBJ!B269</f>
        <v>9318216</v>
      </c>
      <c r="AV35" s="21" t="str">
        <f>VLOOKUP(AU35,CENY!$B$11:$G$1054,2,FALSE)</f>
        <v>Actro You(XL) 500/SiSy 70kg; EB21</v>
      </c>
      <c r="AW35" s="22">
        <f>VLOOKUP(AU35,CENY!$B$11:$G$1054,3,FALSE)</f>
        <v>1</v>
      </c>
      <c r="AX35" s="362">
        <v>10</v>
      </c>
      <c r="AY35" s="23">
        <f>Y20</f>
        <v>0</v>
      </c>
      <c r="AZ35" s="326">
        <f t="shared" si="1"/>
        <v>0</v>
      </c>
      <c r="BA35" s="95">
        <f>VLOOKUP(AU35,CENY!$B$11:$M$2025,12,FALSE)</f>
        <v>823.68502000000001</v>
      </c>
      <c r="BB35" s="95">
        <f t="shared" si="0"/>
        <v>0</v>
      </c>
      <c r="BD35" s="319">
        <f>OBJ!B79</f>
        <v>9347510</v>
      </c>
      <c r="BE35" s="21" t="str">
        <f>VLOOKUP(BD35,CENY!$B$11:$G$1054,2,FALSE)</f>
        <v>AvanY-design ALprofil Hybrid na bok 650/ strieb.</v>
      </c>
      <c r="BF35" s="22">
        <f>VLOOKUP(BD35,CENY!$B$11:$G$1054,3,FALSE)</f>
        <v>200</v>
      </c>
      <c r="BG35" s="22"/>
      <c r="BH35" s="23">
        <f>4*AE20</f>
        <v>0</v>
      </c>
      <c r="BI35" s="326">
        <f t="shared" si="2"/>
        <v>0</v>
      </c>
      <c r="BJ35" s="95">
        <f>VLOOKUP(BD35,CENY!$B$11:$M$2025,12,FALSE)</f>
        <v>24.580449999999999</v>
      </c>
      <c r="BK35" s="95">
        <f t="shared" si="3"/>
        <v>0</v>
      </c>
    </row>
    <row r="36" spans="47:63" ht="14.4" customHeight="1">
      <c r="AU36" s="319">
        <f>OBJ!B270</f>
        <v>9318217</v>
      </c>
      <c r="AV36" s="21" t="str">
        <f>VLOOKUP(AU36,CENY!$B$11:$G$1054,2,FALSE)</f>
        <v>Actro You(XL) 550/SiSy 70kg; EB21</v>
      </c>
      <c r="AW36" s="22">
        <f>VLOOKUP(AU36,CENY!$B$11:$G$1054,3,FALSE)</f>
        <v>1</v>
      </c>
      <c r="AX36" s="362">
        <v>10</v>
      </c>
      <c r="AY36" s="23">
        <f>AA20</f>
        <v>0</v>
      </c>
      <c r="AZ36" s="326">
        <f t="shared" si="1"/>
        <v>0</v>
      </c>
      <c r="BA36" s="95">
        <f>VLOOKUP(AU36,CENY!$B$11:$M$2025,12,FALSE)</f>
        <v>862.82307000000003</v>
      </c>
      <c r="BB36" s="95">
        <f t="shared" si="0"/>
        <v>0</v>
      </c>
      <c r="BD36" s="319"/>
      <c r="BE36" s="21"/>
      <c r="BF36" s="22"/>
      <c r="BG36" s="22"/>
      <c r="BH36" s="23"/>
      <c r="BI36" s="326" t="str">
        <f t="shared" si="2"/>
        <v/>
      </c>
      <c r="BJ36" s="95"/>
      <c r="BK36" s="95" t="str">
        <f t="shared" si="3"/>
        <v/>
      </c>
    </row>
    <row r="37" spans="47:63" ht="14.4" customHeight="1">
      <c r="AU37" s="319">
        <f>OBJ!B271</f>
        <v>9318218</v>
      </c>
      <c r="AV37" s="21" t="str">
        <f>VLOOKUP(AU37,CENY!$B$11:$G$1054,2,FALSE)</f>
        <v>Actro You(XL) 600/SiSy 70kg; EB21</v>
      </c>
      <c r="AW37" s="22">
        <f>VLOOKUP(AU37,CENY!$B$11:$G$1054,3,FALSE)</f>
        <v>1</v>
      </c>
      <c r="AX37" s="362">
        <v>10</v>
      </c>
      <c r="AY37" s="23">
        <f>AC20</f>
        <v>0</v>
      </c>
      <c r="AZ37" s="326">
        <f t="shared" si="1"/>
        <v>0</v>
      </c>
      <c r="BA37" s="95">
        <f>VLOOKUP(AU37,CENY!$B$11:$M$2025,12,FALSE)</f>
        <v>941.88580999999999</v>
      </c>
      <c r="BB37" s="95">
        <f t="shared" si="0"/>
        <v>0</v>
      </c>
      <c r="BD37" s="319">
        <f>OBJ!B251</f>
        <v>9318167</v>
      </c>
      <c r="BE37" s="21" t="str">
        <f>VLOOKUP(BD37,CENY!$B$11:$G$1054,2,FALSE)</f>
        <v>Actro You(L) 270/SiSy 40kg; EB21; ľavý</v>
      </c>
      <c r="BF37" s="22">
        <f>VLOOKUP(BD37,CENY!$B$11:$G$1054,3,FALSE)</f>
        <v>10</v>
      </c>
      <c r="BG37" s="22"/>
      <c r="BH37" s="23">
        <f>AY25</f>
        <v>0</v>
      </c>
      <c r="BI37" s="326">
        <f t="shared" si="2"/>
        <v>0</v>
      </c>
      <c r="BJ37" s="95">
        <f>VLOOKUP(BD37,CENY!$B$11:$M$2025,12,FALSE)</f>
        <v>298.88173999999998</v>
      </c>
      <c r="BK37" s="95">
        <f t="shared" si="3"/>
        <v>0</v>
      </c>
    </row>
    <row r="38" spans="47:63" ht="14.4" customHeight="1">
      <c r="AU38" s="319">
        <f>OBJ!B272</f>
        <v>9318219</v>
      </c>
      <c r="AV38" s="21" t="str">
        <f>VLOOKUP(AU38,CENY!$B$11:$G$1054,2,FALSE)</f>
        <v>Actro You(XL) 650/SiSy 70kg; EB21</v>
      </c>
      <c r="AW38" s="22">
        <f>VLOOKUP(AU38,CENY!$B$11:$G$1054,3,FALSE)</f>
        <v>1</v>
      </c>
      <c r="AX38" s="362">
        <v>10</v>
      </c>
      <c r="AY38" s="23">
        <f>AE20</f>
        <v>0</v>
      </c>
      <c r="AZ38" s="326">
        <f t="shared" si="1"/>
        <v>0</v>
      </c>
      <c r="BA38" s="95">
        <f>VLOOKUP(AU38,CENY!$B$11:$M$2025,12,FALSE)</f>
        <v>977.56314999999995</v>
      </c>
      <c r="BB38" s="95">
        <f t="shared" si="0"/>
        <v>0</v>
      </c>
      <c r="BD38" s="319">
        <f>OBJ!B252</f>
        <v>9318170</v>
      </c>
      <c r="BE38" s="21" t="str">
        <f>VLOOKUP(BD38,CENY!$B$11:$G$1054,2,FALSE)</f>
        <v>Actro You(L) 270/SiSy 40kg; EB21; pravý</v>
      </c>
      <c r="BF38" s="22">
        <f>VLOOKUP(BD38,CENY!$B$11:$G$1054,3,FALSE)</f>
        <v>10</v>
      </c>
      <c r="BG38" s="22"/>
      <c r="BH38" s="23">
        <f>AY25</f>
        <v>0</v>
      </c>
      <c r="BI38" s="326">
        <f t="shared" si="2"/>
        <v>0</v>
      </c>
      <c r="BJ38" s="95">
        <f>VLOOKUP(BD38,CENY!$B$11:$M$2025,12,FALSE)</f>
        <v>298.88173999999998</v>
      </c>
      <c r="BK38" s="95">
        <f t="shared" si="3"/>
        <v>0</v>
      </c>
    </row>
    <row r="39" spans="47:63" ht="14.4" customHeight="1">
      <c r="AU39" s="319"/>
      <c r="AV39" s="21"/>
      <c r="AW39" s="22"/>
      <c r="AX39" s="22"/>
      <c r="AY39" s="23"/>
      <c r="AZ39" s="326" t="str">
        <f t="shared" si="1"/>
        <v/>
      </c>
      <c r="BA39" s="95"/>
      <c r="BB39" s="95" t="str">
        <f t="shared" si="0"/>
        <v/>
      </c>
      <c r="BD39" s="319">
        <f>OBJ!B253</f>
        <v>9318171</v>
      </c>
      <c r="BE39" s="21" t="str">
        <f>VLOOKUP(BD39,CENY!$B$11:$G$1054,2,FALSE)</f>
        <v>Actro You(L) 300/SiSy 40kg; EB21; ľavý</v>
      </c>
      <c r="BF39" s="22">
        <f>VLOOKUP(BD39,CENY!$B$11:$G$1054,3,FALSE)</f>
        <v>10</v>
      </c>
      <c r="BG39" s="22"/>
      <c r="BH39" s="23">
        <f>AY26</f>
        <v>0</v>
      </c>
      <c r="BI39" s="326">
        <f t="shared" si="2"/>
        <v>0</v>
      </c>
      <c r="BJ39" s="95">
        <f>VLOOKUP(BD39,CENY!$B$11:$M$2025,12,FALSE)</f>
        <v>298.88173999999998</v>
      </c>
      <c r="BK39" s="95">
        <f t="shared" si="3"/>
        <v>0</v>
      </c>
    </row>
    <row r="40" spans="47:63" ht="14.4" customHeight="1">
      <c r="AU40" s="319">
        <f>OBJ!B304</f>
        <v>9256883</v>
      </c>
      <c r="AV40" s="21" t="str">
        <f>VLOOKUP(AU40,CENY!$B$11:$G$1054,2,FALSE)</f>
        <v>Quadro You(M) 270/SiSy 20kg; EB21</v>
      </c>
      <c r="AW40" s="22">
        <f>VLOOKUP(AU40,CENY!$B$11:$G$1054,3,FALSE)</f>
        <v>1</v>
      </c>
      <c r="AX40" s="362">
        <v>8</v>
      </c>
      <c r="AY40" s="23">
        <f>O25</f>
        <v>0</v>
      </c>
      <c r="AZ40" s="326">
        <f t="shared" si="1"/>
        <v>0</v>
      </c>
      <c r="BA40" s="95">
        <f>VLOOKUP(AU40,CENY!$B$11:$M$2025,12,FALSE)</f>
        <v>478.60127999999997</v>
      </c>
      <c r="BB40" s="95">
        <f t="shared" si="0"/>
        <v>0</v>
      </c>
      <c r="BD40" s="319">
        <f>OBJ!B254</f>
        <v>9318172</v>
      </c>
      <c r="BE40" s="21" t="str">
        <f>VLOOKUP(BD40,CENY!$B$11:$G$1054,2,FALSE)</f>
        <v>Actro You(L) 300/SiSy 40kg; EB21; pravý</v>
      </c>
      <c r="BF40" s="22">
        <f>VLOOKUP(BD40,CENY!$B$11:$G$1054,3,FALSE)</f>
        <v>10</v>
      </c>
      <c r="BG40" s="22"/>
      <c r="BH40" s="23">
        <f>AY26</f>
        <v>0</v>
      </c>
      <c r="BI40" s="326">
        <f t="shared" si="2"/>
        <v>0</v>
      </c>
      <c r="BJ40" s="95">
        <f>VLOOKUP(BD40,CENY!$B$11:$M$2025,12,FALSE)</f>
        <v>298.88173999999998</v>
      </c>
      <c r="BK40" s="95">
        <f t="shared" si="3"/>
        <v>0</v>
      </c>
    </row>
    <row r="41" spans="47:63" ht="14.4" customHeight="1">
      <c r="AU41" s="319">
        <f>OBJ!B305</f>
        <v>9256884</v>
      </c>
      <c r="AV41" s="21" t="str">
        <f>VLOOKUP(AU41,CENY!$B$11:$G$1054,2,FALSE)</f>
        <v>Quadro You(M) 300/SiSy 20kg; EB21</v>
      </c>
      <c r="AW41" s="22">
        <f>VLOOKUP(AU41,CENY!$B$11:$G$1054,3,FALSE)</f>
        <v>1</v>
      </c>
      <c r="AX41" s="362">
        <v>8</v>
      </c>
      <c r="AY41" s="23">
        <f>Q25</f>
        <v>0</v>
      </c>
      <c r="AZ41" s="326">
        <f t="shared" si="1"/>
        <v>0</v>
      </c>
      <c r="BA41" s="95">
        <f>VLOOKUP(AU41,CENY!$B$11:$M$2025,12,FALSE)</f>
        <v>479.57344999999998</v>
      </c>
      <c r="BB41" s="95">
        <f t="shared" si="0"/>
        <v>0</v>
      </c>
      <c r="BD41" s="319">
        <f>OBJ!B255</f>
        <v>9318173</v>
      </c>
      <c r="BE41" s="21" t="str">
        <f>VLOOKUP(BD41,CENY!$B$11:$G$1054,2,FALSE)</f>
        <v>Actro You(L) 350/SiSy 40kg; EB21; ľavý</v>
      </c>
      <c r="BF41" s="22">
        <f>VLOOKUP(BD41,CENY!$B$11:$G$1054,3,FALSE)</f>
        <v>10</v>
      </c>
      <c r="BG41" s="22"/>
      <c r="BH41" s="23">
        <f>AY27</f>
        <v>0</v>
      </c>
      <c r="BI41" s="326">
        <f t="shared" si="2"/>
        <v>0</v>
      </c>
      <c r="BJ41" s="95">
        <f>VLOOKUP(BD41,CENY!$B$11:$M$2025,12,FALSE)</f>
        <v>298.88173999999998</v>
      </c>
      <c r="BK41" s="95">
        <f t="shared" si="3"/>
        <v>0</v>
      </c>
    </row>
    <row r="42" spans="47:63" ht="14.4" customHeight="1">
      <c r="AU42" s="319">
        <f>OBJ!B306</f>
        <v>9256886</v>
      </c>
      <c r="AV42" s="21" t="str">
        <f>VLOOKUP(AU42,CENY!$B$11:$G$1054,2,FALSE)</f>
        <v>Quadro You(M) 350/SiSy 25kg; EB21</v>
      </c>
      <c r="AW42" s="22">
        <f>VLOOKUP(AU42,CENY!$B$11:$G$1054,3,FALSE)</f>
        <v>1</v>
      </c>
      <c r="AX42" s="362">
        <v>8</v>
      </c>
      <c r="AY42" s="23">
        <f>S25</f>
        <v>0</v>
      </c>
      <c r="AZ42" s="326">
        <f t="shared" si="1"/>
        <v>0</v>
      </c>
      <c r="BA42" s="95">
        <f>VLOOKUP(AU42,CENY!$B$11:$M$2025,12,FALSE)</f>
        <v>489.27857</v>
      </c>
      <c r="BB42" s="95">
        <f t="shared" si="0"/>
        <v>0</v>
      </c>
      <c r="BD42" s="319">
        <f>OBJ!B256</f>
        <v>9318174</v>
      </c>
      <c r="BE42" s="21" t="str">
        <f>VLOOKUP(BD42,CENY!$B$11:$G$1054,2,FALSE)</f>
        <v>Actro You(L) 350/SiSy 40kg; EB21; pravý</v>
      </c>
      <c r="BF42" s="22">
        <f>VLOOKUP(BD42,CENY!$B$11:$G$1054,3,FALSE)</f>
        <v>10</v>
      </c>
      <c r="BG42" s="22"/>
      <c r="BH42" s="23">
        <f>AY27</f>
        <v>0</v>
      </c>
      <c r="BI42" s="326">
        <f t="shared" si="2"/>
        <v>0</v>
      </c>
      <c r="BJ42" s="95">
        <f>VLOOKUP(BD42,CENY!$B$11:$M$2025,12,FALSE)</f>
        <v>298.88173999999998</v>
      </c>
      <c r="BK42" s="95">
        <f t="shared" si="3"/>
        <v>0</v>
      </c>
    </row>
    <row r="43" spans="47:63" ht="14.4" customHeight="1">
      <c r="AU43" s="319">
        <f>OBJ!B307</f>
        <v>9256888</v>
      </c>
      <c r="AV43" s="21" t="str">
        <f>VLOOKUP(AU43,CENY!$B$11:$G$1054,2,FALSE)</f>
        <v>Quadro You(M) 400/SiSy 30kg; EB21</v>
      </c>
      <c r="AW43" s="22">
        <f>VLOOKUP(AU43,CENY!$B$11:$G$1054,3,FALSE)</f>
        <v>1</v>
      </c>
      <c r="AX43" s="362">
        <v>8</v>
      </c>
      <c r="AY43" s="23">
        <f>U25</f>
        <v>0</v>
      </c>
      <c r="AZ43" s="326">
        <f t="shared" si="1"/>
        <v>0</v>
      </c>
      <c r="BA43" s="95">
        <f>VLOOKUP(AU43,CENY!$B$11:$M$2025,12,FALSE)</f>
        <v>498.97861999999998</v>
      </c>
      <c r="BB43" s="95">
        <f t="shared" si="0"/>
        <v>0</v>
      </c>
      <c r="BD43" s="319">
        <f>OBJ!B257</f>
        <v>9318175</v>
      </c>
      <c r="BE43" s="21" t="str">
        <f>VLOOKUP(BD43,CENY!$B$11:$G$1054,2,FALSE)</f>
        <v>Actro You(L) 400/SiSy 40kg; EB21; ľavý</v>
      </c>
      <c r="BF43" s="22">
        <f>VLOOKUP(BD43,CENY!$B$11:$G$1054,3,FALSE)</f>
        <v>10</v>
      </c>
      <c r="BG43" s="22"/>
      <c r="BH43" s="23">
        <f>AY28</f>
        <v>0</v>
      </c>
      <c r="BI43" s="326">
        <f t="shared" si="2"/>
        <v>0</v>
      </c>
      <c r="BJ43" s="95">
        <f>VLOOKUP(BD43,CENY!$B$11:$M$2025,12,FALSE)</f>
        <v>302.69770999999997</v>
      </c>
      <c r="BK43" s="95">
        <f t="shared" si="3"/>
        <v>0</v>
      </c>
    </row>
    <row r="44" spans="47:63" ht="14.4" customHeight="1">
      <c r="AU44" s="319">
        <f>OBJ!B308</f>
        <v>9256890</v>
      </c>
      <c r="AV44" s="21" t="str">
        <f>VLOOKUP(AU44,CENY!$B$11:$G$1054,2,FALSE)</f>
        <v>Quadro You(M) 450/SiSy 30kg; EB21</v>
      </c>
      <c r="AW44" s="22">
        <f>VLOOKUP(AU44,CENY!$B$11:$G$1054,3,FALSE)</f>
        <v>1</v>
      </c>
      <c r="AX44" s="362">
        <v>8</v>
      </c>
      <c r="AY44" s="23">
        <f>W25</f>
        <v>0</v>
      </c>
      <c r="AZ44" s="326">
        <f t="shared" si="1"/>
        <v>0</v>
      </c>
      <c r="BA44" s="95">
        <f>VLOOKUP(AU44,CENY!$B$11:$M$2025,12,FALSE)</f>
        <v>122.98869999999999</v>
      </c>
      <c r="BB44" s="95">
        <f t="shared" si="0"/>
        <v>0</v>
      </c>
      <c r="BD44" s="319">
        <f>OBJ!B258</f>
        <v>9318176</v>
      </c>
      <c r="BE44" s="21" t="str">
        <f>VLOOKUP(BD44,CENY!$B$11:$G$1054,2,FALSE)</f>
        <v>Actro You(L) 400/SiSy 40kg; EB21; pravý</v>
      </c>
      <c r="BF44" s="22">
        <f>VLOOKUP(BD44,CENY!$B$11:$G$1054,3,FALSE)</f>
        <v>10</v>
      </c>
      <c r="BG44" s="22"/>
      <c r="BH44" s="23">
        <f>AY28</f>
        <v>0</v>
      </c>
      <c r="BI44" s="326">
        <f t="shared" si="2"/>
        <v>0</v>
      </c>
      <c r="BJ44" s="95">
        <f>VLOOKUP(BD44,CENY!$B$11:$M$2025,12,FALSE)</f>
        <v>302.69770999999997</v>
      </c>
      <c r="BK44" s="95">
        <f t="shared" si="3"/>
        <v>0</v>
      </c>
    </row>
    <row r="45" spans="47:63" ht="14.4" customHeight="1">
      <c r="AU45" s="319">
        <f>OBJ!B309</f>
        <v>9256892</v>
      </c>
      <c r="AV45" s="21" t="str">
        <f>VLOOKUP(AU45,CENY!$B$11:$G$1054,2,FALSE)</f>
        <v>Quadro You(M) 500/SiSy 30kg; EB21</v>
      </c>
      <c r="AW45" s="22">
        <f>VLOOKUP(AU45,CENY!$B$11:$G$1054,3,FALSE)</f>
        <v>1</v>
      </c>
      <c r="AX45" s="362">
        <v>8</v>
      </c>
      <c r="AY45" s="23">
        <f>Y25</f>
        <v>0</v>
      </c>
      <c r="AZ45" s="326">
        <f t="shared" si="1"/>
        <v>0</v>
      </c>
      <c r="BA45" s="95">
        <f>VLOOKUP(AU45,CENY!$B$11:$M$2025,12,FALSE)</f>
        <v>504.59701000000001</v>
      </c>
      <c r="BB45" s="95">
        <f t="shared" si="0"/>
        <v>0</v>
      </c>
      <c r="BD45" s="319">
        <f>OBJ!B259</f>
        <v>9318177</v>
      </c>
      <c r="BE45" s="21" t="str">
        <f>VLOOKUP(BD45,CENY!$B$11:$G$1054,2,FALSE)</f>
        <v>Actro You(L) 450/SiSy 40kg; EB21; ľavý</v>
      </c>
      <c r="BF45" s="22">
        <f>VLOOKUP(BD45,CENY!$B$11:$G$1054,3,FALSE)</f>
        <v>10</v>
      </c>
      <c r="BG45" s="22"/>
      <c r="BH45" s="23">
        <f>AY29</f>
        <v>0</v>
      </c>
      <c r="BI45" s="326">
        <f t="shared" si="2"/>
        <v>0</v>
      </c>
      <c r="BJ45" s="95">
        <f>VLOOKUP(BD45,CENY!$B$11:$M$2025,12,FALSE)</f>
        <v>298.33073999999999</v>
      </c>
      <c r="BK45" s="95">
        <f t="shared" si="3"/>
        <v>0</v>
      </c>
    </row>
    <row r="46" spans="47:63" ht="14.4" customHeight="1">
      <c r="AU46" s="319">
        <f>OBJ!B310</f>
        <v>9256894</v>
      </c>
      <c r="AV46" s="21" t="str">
        <f>VLOOKUP(AU46,CENY!$B$11:$G$1054,2,FALSE)</f>
        <v>Quadro You(M) 550/SiSy 30kg; EB21</v>
      </c>
      <c r="AW46" s="22">
        <f>VLOOKUP(AU46,CENY!$B$11:$G$1054,3,FALSE)</f>
        <v>1</v>
      </c>
      <c r="AX46" s="362">
        <v>8</v>
      </c>
      <c r="AY46" s="23">
        <f>AA25</f>
        <v>0</v>
      </c>
      <c r="AZ46" s="326">
        <f t="shared" si="1"/>
        <v>0</v>
      </c>
      <c r="BA46" s="95">
        <f>VLOOKUP(AU46,CENY!$B$11:$M$2025,12,FALSE)</f>
        <v>127.68105</v>
      </c>
      <c r="BB46" s="95">
        <f t="shared" si="0"/>
        <v>0</v>
      </c>
      <c r="BD46" s="319">
        <f>OBJ!B260</f>
        <v>9318178</v>
      </c>
      <c r="BE46" s="21" t="str">
        <f>VLOOKUP(BD46,CENY!$B$11:$G$1054,2,FALSE)</f>
        <v>Actro You(L) 450/SiSy 40kg; EB21; pravý</v>
      </c>
      <c r="BF46" s="22">
        <f>VLOOKUP(BD46,CENY!$B$11:$G$1054,3,FALSE)</f>
        <v>10</v>
      </c>
      <c r="BG46" s="22"/>
      <c r="BH46" s="23">
        <f>AY29</f>
        <v>0</v>
      </c>
      <c r="BI46" s="326">
        <f t="shared" si="2"/>
        <v>0</v>
      </c>
      <c r="BJ46" s="95">
        <f>VLOOKUP(BD46,CENY!$B$11:$M$2025,12,FALSE)</f>
        <v>298.33073999999999</v>
      </c>
      <c r="BK46" s="95">
        <f t="shared" si="3"/>
        <v>0</v>
      </c>
    </row>
    <row r="47" spans="47:63" ht="14.4" customHeight="1">
      <c r="AU47" s="319">
        <f>OBJ!B311</f>
        <v>9256896</v>
      </c>
      <c r="AV47" s="21" t="str">
        <f>VLOOKUP(AU47,CENY!$B$11:$G$1054,2,FALSE)</f>
        <v>Quadro You(M) 600/SiSy 25kg; EB21</v>
      </c>
      <c r="AW47" s="22">
        <f>VLOOKUP(AU47,CENY!$B$11:$G$1054,3,FALSE)</f>
        <v>1</v>
      </c>
      <c r="AX47" s="362">
        <v>8</v>
      </c>
      <c r="AY47" s="23">
        <f>AC25</f>
        <v>0</v>
      </c>
      <c r="AZ47" s="326">
        <f t="shared" si="1"/>
        <v>0</v>
      </c>
      <c r="BA47" s="95">
        <f>VLOOKUP(AU47,CENY!$B$11:$M$2025,12,FALSE)</f>
        <v>537.79395</v>
      </c>
      <c r="BB47" s="95">
        <f t="shared" si="0"/>
        <v>0</v>
      </c>
      <c r="BD47" s="319">
        <f>OBJ!B261</f>
        <v>9318179</v>
      </c>
      <c r="BE47" s="21" t="str">
        <f>VLOOKUP(BD47,CENY!$B$11:$G$1054,2,FALSE)</f>
        <v>Actro You(L) 500/SiSy 40kg; EB21; ľavý</v>
      </c>
      <c r="BF47" s="22">
        <f>VLOOKUP(BD47,CENY!$B$11:$G$1054,3,FALSE)</f>
        <v>10</v>
      </c>
      <c r="BG47" s="22"/>
      <c r="BH47" s="23">
        <f>AY30</f>
        <v>0</v>
      </c>
      <c r="BI47" s="326">
        <f t="shared" si="2"/>
        <v>0</v>
      </c>
      <c r="BJ47" s="95">
        <f>VLOOKUP(BD47,CENY!$B$11:$M$2025,12,FALSE)</f>
        <v>296.00905</v>
      </c>
      <c r="BK47" s="95">
        <f t="shared" si="3"/>
        <v>0</v>
      </c>
    </row>
    <row r="48" spans="47:63" ht="14.4" customHeight="1">
      <c r="AU48" s="319"/>
      <c r="AV48" s="21"/>
      <c r="AW48" s="22"/>
      <c r="AX48" s="22"/>
      <c r="AY48" s="23"/>
      <c r="AZ48" s="326" t="str">
        <f t="shared" si="1"/>
        <v/>
      </c>
      <c r="BA48" s="95"/>
      <c r="BB48" s="95" t="str">
        <f t="shared" si="0"/>
        <v/>
      </c>
      <c r="BD48" s="319">
        <f>OBJ!B262</f>
        <v>9318180</v>
      </c>
      <c r="BE48" s="21" t="str">
        <f>VLOOKUP(BD48,CENY!$B$11:$G$1054,2,FALSE)</f>
        <v>Actro You(L) 500/SiSy 40kg; EB21; pravý</v>
      </c>
      <c r="BF48" s="22">
        <f>VLOOKUP(BD48,CENY!$B$11:$G$1054,3,FALSE)</f>
        <v>10</v>
      </c>
      <c r="BG48" s="22"/>
      <c r="BH48" s="23">
        <f>AY30</f>
        <v>0</v>
      </c>
      <c r="BI48" s="326">
        <f t="shared" si="2"/>
        <v>0</v>
      </c>
      <c r="BJ48" s="95">
        <f>VLOOKUP(BD48,CENY!$B$11:$M$2025,12,FALSE)</f>
        <v>296.00905</v>
      </c>
      <c r="BK48" s="95">
        <f t="shared" si="3"/>
        <v>0</v>
      </c>
    </row>
    <row r="49" spans="47:63" ht="14.4" customHeight="1">
      <c r="AU49" s="442">
        <f>OBJ!B141</f>
        <v>9255838</v>
      </c>
      <c r="AV49" s="443" t="str">
        <f>VLOOKUP(AU49,CENY!$B$11:$G$1054,2,FALSE)</f>
        <v>AvanY-prích.čela k naskrutk./ v187-251</v>
      </c>
      <c r="AW49" s="22">
        <f>VLOOKUP(AU49,CENY!$B$11:$G$1054,3,FALSE)</f>
        <v>200</v>
      </c>
      <c r="AX49" s="22"/>
      <c r="AY49" s="68">
        <f>4*(SUM(O19:AD19)+SUM(W20:AF20)+SUM(O25:AD25))</f>
        <v>0</v>
      </c>
      <c r="AZ49" s="326">
        <f t="shared" si="1"/>
        <v>0</v>
      </c>
      <c r="BA49" s="95">
        <f>VLOOKUP(AU49,CENY!$B$11:$M$2025,12,FALSE)</f>
        <v>49.383429999999997</v>
      </c>
      <c r="BB49" s="95">
        <f t="shared" si="0"/>
        <v>0</v>
      </c>
      <c r="BD49" s="319">
        <f>OBJ!B263</f>
        <v>9318181</v>
      </c>
      <c r="BE49" s="21" t="str">
        <f>VLOOKUP(BD49,CENY!$B$11:$G$1054,2,FALSE)</f>
        <v>Actro You(L) 550/SiSy 40kg; EB21; ľavý</v>
      </c>
      <c r="BF49" s="22">
        <f>VLOOKUP(BD49,CENY!$B$11:$G$1054,3,FALSE)</f>
        <v>10</v>
      </c>
      <c r="BG49" s="22"/>
      <c r="BH49" s="23">
        <f>AY31</f>
        <v>0</v>
      </c>
      <c r="BI49" s="326">
        <f t="shared" si="2"/>
        <v>0</v>
      </c>
      <c r="BJ49" s="95">
        <f>VLOOKUP(BD49,CENY!$B$11:$M$2025,12,FALSE)</f>
        <v>321.83461999999997</v>
      </c>
      <c r="BK49" s="95">
        <f t="shared" si="3"/>
        <v>0</v>
      </c>
    </row>
    <row r="50" spans="47:63" ht="14.4" customHeight="1">
      <c r="AU50" s="319"/>
      <c r="AV50" s="21"/>
      <c r="AW50" s="22"/>
      <c r="AX50" s="22"/>
      <c r="AY50" s="23"/>
      <c r="AZ50" s="326" t="str">
        <f t="shared" si="1"/>
        <v/>
      </c>
      <c r="BA50" s="95"/>
      <c r="BB50" s="95" t="str">
        <f t="shared" si="0"/>
        <v/>
      </c>
      <c r="BD50" s="319">
        <f>OBJ!B264</f>
        <v>9318182</v>
      </c>
      <c r="BE50" s="21" t="str">
        <f>VLOOKUP(BD50,CENY!$B$11:$G$1054,2,FALSE)</f>
        <v>Actro You(L) 550/SiSy 40kg; EB21; pravý</v>
      </c>
      <c r="BF50" s="22">
        <f>VLOOKUP(BD50,CENY!$B$11:$G$1054,3,FALSE)</f>
        <v>10</v>
      </c>
      <c r="BG50" s="22"/>
      <c r="BH50" s="23">
        <f>AY31</f>
        <v>0</v>
      </c>
      <c r="BI50" s="326">
        <f t="shared" si="2"/>
        <v>0</v>
      </c>
      <c r="BJ50" s="95">
        <f>VLOOKUP(BD50,CENY!$B$11:$M$2025,12,FALSE)</f>
        <v>321.83461999999997</v>
      </c>
      <c r="BK50" s="95">
        <f t="shared" si="3"/>
        <v>0</v>
      </c>
    </row>
    <row r="51" spans="47:63" ht="14.4" customHeight="1">
      <c r="AU51" s="320">
        <f>OBJ!B214</f>
        <v>0</v>
      </c>
      <c r="AV51" s="321" t="e">
        <f>VLOOKUP(AU51,CENY!$B$11:$G$1054,2,FALSE)</f>
        <v>#N/A</v>
      </c>
      <c r="AW51" s="22" t="e">
        <f>VLOOKUP(AU51,CENY!$B$11:$G$1054,3,FALSE)</f>
        <v>#N/A</v>
      </c>
      <c r="AX51" s="22"/>
      <c r="AY51" s="68">
        <f>IF(FORM!AM21&lt;&gt;FORM!AW16,(4*(SUM(O19:AD19)+SUM(W20:AF20)+SUM(O25:AD25))),0)</f>
        <v>0</v>
      </c>
      <c r="AZ51" s="326">
        <f t="shared" si="1"/>
        <v>0</v>
      </c>
      <c r="BA51" s="324" t="str">
        <f>IF(AU51=0,"",VLOOKUP(AU51,CENY!$B$11:$M$2025,12,FALSE))</f>
        <v/>
      </c>
      <c r="BB51" s="95" t="str">
        <f t="shared" si="0"/>
        <v/>
      </c>
      <c r="BD51" s="319">
        <f>OBJ!B265</f>
        <v>9318183</v>
      </c>
      <c r="BE51" s="21" t="str">
        <f>VLOOKUP(BD51,CENY!$B$11:$G$1054,2,FALSE)</f>
        <v>Actro You(L) 600/SiSy 40kg; EB21; ľavý</v>
      </c>
      <c r="BF51" s="22">
        <f>VLOOKUP(BD51,CENY!$B$11:$G$1054,3,FALSE)</f>
        <v>10</v>
      </c>
      <c r="BG51" s="22"/>
      <c r="BH51" s="23">
        <f>AY32</f>
        <v>0</v>
      </c>
      <c r="BI51" s="326">
        <f t="shared" si="2"/>
        <v>0</v>
      </c>
      <c r="BJ51" s="95">
        <f>VLOOKUP(BD51,CENY!$B$11:$M$2025,12,FALSE)</f>
        <v>326.21229</v>
      </c>
      <c r="BK51" s="95">
        <f t="shared" si="3"/>
        <v>0</v>
      </c>
    </row>
    <row r="52" spans="47:63" ht="14.4" customHeight="1">
      <c r="AU52" s="319"/>
      <c r="AV52" s="21"/>
      <c r="AW52" s="22"/>
      <c r="AX52" s="22"/>
      <c r="AY52" s="23"/>
      <c r="AZ52" s="326" t="str">
        <f t="shared" si="1"/>
        <v/>
      </c>
      <c r="BA52" s="95"/>
      <c r="BB52" s="95" t="str">
        <f t="shared" si="0"/>
        <v/>
      </c>
      <c r="BD52" s="319">
        <f>OBJ!B266</f>
        <v>9318184</v>
      </c>
      <c r="BE52" s="21" t="str">
        <f>VLOOKUP(BD52,CENY!$B$11:$G$1054,2,FALSE)</f>
        <v>Actro You(L) 600/SiSy 40kg; EB21; pravý</v>
      </c>
      <c r="BF52" s="22">
        <f>VLOOKUP(BD52,CENY!$B$11:$G$1054,3,FALSE)</f>
        <v>10</v>
      </c>
      <c r="BG52" s="22"/>
      <c r="BH52" s="23">
        <f>AY32</f>
        <v>0</v>
      </c>
      <c r="BI52" s="326">
        <f t="shared" si="2"/>
        <v>0</v>
      </c>
      <c r="BJ52" s="95">
        <f>VLOOKUP(BD52,CENY!$B$11:$M$2025,12,FALSE)</f>
        <v>326.21229</v>
      </c>
      <c r="BK52" s="95">
        <f t="shared" si="3"/>
        <v>0</v>
      </c>
    </row>
    <row r="53" spans="47:63" ht="14.4" customHeight="1">
      <c r="AU53" s="319"/>
      <c r="AV53" s="21"/>
      <c r="AW53" s="22"/>
      <c r="AX53" s="22"/>
      <c r="AY53" s="23"/>
      <c r="AZ53" s="326" t="str">
        <f t="shared" si="1"/>
        <v/>
      </c>
      <c r="BA53" s="95"/>
      <c r="BB53" s="95" t="str">
        <f t="shared" si="0"/>
        <v/>
      </c>
      <c r="BD53" s="319"/>
      <c r="BE53" s="21"/>
      <c r="BF53" s="22"/>
      <c r="BG53" s="22"/>
      <c r="BH53" s="23"/>
      <c r="BI53" s="326" t="str">
        <f t="shared" si="2"/>
        <v/>
      </c>
      <c r="BJ53" s="95"/>
      <c r="BK53" s="95" t="str">
        <f t="shared" si="3"/>
        <v/>
      </c>
    </row>
    <row r="54" spans="47:63" ht="14.4" customHeight="1">
      <c r="AU54" s="319"/>
      <c r="AV54" s="21"/>
      <c r="AW54" s="22"/>
      <c r="AX54" s="22"/>
      <c r="AY54" s="23"/>
      <c r="AZ54" s="326" t="str">
        <f t="shared" si="1"/>
        <v/>
      </c>
      <c r="BA54" s="95"/>
      <c r="BB54" s="95" t="str">
        <f t="shared" si="0"/>
        <v/>
      </c>
      <c r="BD54" s="319">
        <f>OBJ!B273</f>
        <v>9318198</v>
      </c>
      <c r="BE54" s="21" t="str">
        <f>VLOOKUP(BD54,CENY!$B$11:$G$1054,2,FALSE)</f>
        <v>Actro You(XL) 450/SiSy 70kg; EB21; ľavý</v>
      </c>
      <c r="BF54" s="22">
        <f>VLOOKUP(BD54,CENY!$B$11:$G$1054,3,FALSE)</f>
        <v>10</v>
      </c>
      <c r="BG54" s="22"/>
      <c r="BH54" s="23">
        <f>AY34</f>
        <v>0</v>
      </c>
      <c r="BI54" s="326">
        <f t="shared" si="2"/>
        <v>0</v>
      </c>
      <c r="BJ54" s="95">
        <f>VLOOKUP(BD54,CENY!$B$11:$M$2025,12,FALSE)</f>
        <v>368.62277</v>
      </c>
      <c r="BK54" s="95">
        <f t="shared" si="3"/>
        <v>0</v>
      </c>
    </row>
    <row r="55" spans="47:63" ht="14.4" customHeight="1">
      <c r="AU55" s="319"/>
      <c r="AV55" s="21"/>
      <c r="AW55" s="22"/>
      <c r="AX55" s="22"/>
      <c r="AY55" s="23"/>
      <c r="AZ55" s="326" t="str">
        <f t="shared" si="1"/>
        <v/>
      </c>
      <c r="BA55" s="95"/>
      <c r="BB55" s="95" t="str">
        <f t="shared" si="0"/>
        <v/>
      </c>
      <c r="BD55" s="319">
        <f>OBJ!B274</f>
        <v>9318199</v>
      </c>
      <c r="BE55" s="21" t="str">
        <f>VLOOKUP(BD55,CENY!$B$11:$G$1054,2,FALSE)</f>
        <v>Actro You(XL) 450/SiSy 70kg; EB21; pravý</v>
      </c>
      <c r="BF55" s="22">
        <f>VLOOKUP(BD55,CENY!$B$11:$G$1054,3,FALSE)</f>
        <v>10</v>
      </c>
      <c r="BG55" s="22"/>
      <c r="BH55" s="23">
        <f>AY34</f>
        <v>0</v>
      </c>
      <c r="BI55" s="326">
        <f t="shared" si="2"/>
        <v>0</v>
      </c>
      <c r="BJ55" s="95">
        <f>VLOOKUP(BD55,CENY!$B$11:$M$2025,12,FALSE)</f>
        <v>368.62277</v>
      </c>
      <c r="BK55" s="95">
        <f t="shared" si="3"/>
        <v>0</v>
      </c>
    </row>
    <row r="56" spans="47:63" ht="14.4" customHeight="1">
      <c r="AU56" s="319"/>
      <c r="AV56" s="21"/>
      <c r="AW56" s="22"/>
      <c r="AX56" s="22"/>
      <c r="AY56" s="23"/>
      <c r="AZ56" s="326" t="str">
        <f t="shared" si="1"/>
        <v/>
      </c>
      <c r="BA56" s="95"/>
      <c r="BB56" s="95" t="str">
        <f t="shared" si="0"/>
        <v/>
      </c>
      <c r="BD56" s="319">
        <f>OBJ!B275</f>
        <v>9318201</v>
      </c>
      <c r="BE56" s="21" t="str">
        <f>VLOOKUP(BD56,CENY!$B$11:$G$1054,2,FALSE)</f>
        <v>Actro You(XL) 500/SiSy 70kg; EB21; ľavý</v>
      </c>
      <c r="BF56" s="22">
        <f>VLOOKUP(BD56,CENY!$B$11:$G$1054,3,FALSE)</f>
        <v>10</v>
      </c>
      <c r="BG56" s="22"/>
      <c r="BH56" s="23">
        <f>AY35</f>
        <v>0</v>
      </c>
      <c r="BI56" s="326">
        <f t="shared" si="2"/>
        <v>0</v>
      </c>
      <c r="BJ56" s="95">
        <f>VLOOKUP(BD56,CENY!$B$11:$M$2025,12,FALSE)</f>
        <v>372.33726999999999</v>
      </c>
      <c r="BK56" s="95">
        <f t="shared" si="3"/>
        <v>0</v>
      </c>
    </row>
    <row r="57" spans="47:63" ht="14.4" customHeight="1">
      <c r="AU57" s="319"/>
      <c r="AV57" s="21"/>
      <c r="AW57" s="22"/>
      <c r="AX57" s="22"/>
      <c r="AY57" s="23"/>
      <c r="AZ57" s="326" t="str">
        <f t="shared" si="1"/>
        <v/>
      </c>
      <c r="BA57" s="95"/>
      <c r="BB57" s="95" t="str">
        <f t="shared" si="0"/>
        <v/>
      </c>
      <c r="BD57" s="319">
        <f>OBJ!B276</f>
        <v>9318203</v>
      </c>
      <c r="BE57" s="21" t="str">
        <f>VLOOKUP(BD57,CENY!$B$11:$G$1054,2,FALSE)</f>
        <v>Actro You(XL) 500/SiSy 70kg; EB21; pravý</v>
      </c>
      <c r="BF57" s="22">
        <f>VLOOKUP(BD57,CENY!$B$11:$G$1054,3,FALSE)</f>
        <v>10</v>
      </c>
      <c r="BG57" s="22"/>
      <c r="BH57" s="23">
        <f>AY35</f>
        <v>0</v>
      </c>
      <c r="BI57" s="326">
        <f t="shared" si="2"/>
        <v>0</v>
      </c>
      <c r="BJ57" s="95">
        <f>VLOOKUP(BD57,CENY!$B$11:$M$2025,12,FALSE)</f>
        <v>372.33726999999999</v>
      </c>
      <c r="BK57" s="95">
        <f t="shared" si="3"/>
        <v>0</v>
      </c>
    </row>
    <row r="58" spans="47:63" ht="14.4" customHeight="1">
      <c r="AU58" s="319"/>
      <c r="AV58" s="21"/>
      <c r="AW58" s="22"/>
      <c r="AX58" s="22"/>
      <c r="AY58" s="23"/>
      <c r="AZ58" s="326" t="str">
        <f t="shared" si="1"/>
        <v/>
      </c>
      <c r="BA58" s="95"/>
      <c r="BB58" s="95" t="str">
        <f t="shared" si="0"/>
        <v/>
      </c>
      <c r="BD58" s="319">
        <f>OBJ!B277</f>
        <v>9318208</v>
      </c>
      <c r="BE58" s="21" t="str">
        <f>VLOOKUP(BD58,CENY!$B$11:$G$1054,2,FALSE)</f>
        <v>Actro You(XL) 550/SiSy 70kg; EB21; ľavý</v>
      </c>
      <c r="BF58" s="22">
        <f>VLOOKUP(BD58,CENY!$B$11:$G$1054,3,FALSE)</f>
        <v>10</v>
      </c>
      <c r="BG58" s="22"/>
      <c r="BH58" s="23">
        <f>AY36</f>
        <v>0</v>
      </c>
      <c r="BI58" s="326">
        <f t="shared" si="2"/>
        <v>0</v>
      </c>
      <c r="BJ58" s="95">
        <f>VLOOKUP(BD58,CENY!$B$11:$M$2025,12,FALSE)</f>
        <v>392.11943000000002</v>
      </c>
      <c r="BK58" s="95">
        <f t="shared" si="3"/>
        <v>0</v>
      </c>
    </row>
    <row r="59" spans="47:63" ht="14.4" customHeight="1">
      <c r="AU59" s="20"/>
      <c r="AV59" s="21"/>
      <c r="AW59" s="22"/>
      <c r="AX59" s="22"/>
      <c r="AY59" s="23"/>
      <c r="AZ59" s="326" t="str">
        <f t="shared" si="1"/>
        <v/>
      </c>
      <c r="BA59" s="95"/>
      <c r="BB59" s="95" t="str">
        <f t="shared" ref="BB59:BB91" si="4">IF(BA59="","",BA59*AY59)</f>
        <v/>
      </c>
      <c r="BD59" s="319">
        <f>OBJ!B278</f>
        <v>9318209</v>
      </c>
      <c r="BE59" s="21" t="str">
        <f>VLOOKUP(BD59,CENY!$B$11:$G$1054,2,FALSE)</f>
        <v>Actro You(XL) 550/SiSy 70kg; EB21; pravý</v>
      </c>
      <c r="BF59" s="22">
        <f>VLOOKUP(BD59,CENY!$B$11:$G$1054,3,FALSE)</f>
        <v>10</v>
      </c>
      <c r="BG59" s="22"/>
      <c r="BH59" s="23">
        <f>AY36</f>
        <v>0</v>
      </c>
      <c r="BI59" s="326">
        <f t="shared" si="2"/>
        <v>0</v>
      </c>
      <c r="BJ59" s="95">
        <f>VLOOKUP(BD59,CENY!$B$11:$M$2025,12,FALSE)</f>
        <v>392.11943000000002</v>
      </c>
      <c r="BK59" s="95">
        <f t="shared" si="3"/>
        <v>0</v>
      </c>
    </row>
    <row r="60" spans="47:63" ht="14.4" customHeight="1">
      <c r="AU60" s="20"/>
      <c r="AV60" s="21"/>
      <c r="AW60" s="22"/>
      <c r="AX60" s="22"/>
      <c r="AY60" s="23"/>
      <c r="AZ60" s="326" t="str">
        <f t="shared" ref="AZ60:AZ91" si="5">IF(AY60="","",IF($AW$4=1,AY60,0))</f>
        <v/>
      </c>
      <c r="BA60" s="95"/>
      <c r="BB60" s="95" t="str">
        <f t="shared" si="4"/>
        <v/>
      </c>
      <c r="BD60" s="319">
        <f>OBJ!B279</f>
        <v>9318211</v>
      </c>
      <c r="BE60" s="21" t="str">
        <f>VLOOKUP(BD60,CENY!$B$11:$G$1054,2,FALSE)</f>
        <v>Actro You(XL) 600/SiSy 70kg; EB21; ľavý</v>
      </c>
      <c r="BF60" s="22">
        <f>VLOOKUP(BD60,CENY!$B$11:$G$1054,3,FALSE)</f>
        <v>10</v>
      </c>
      <c r="BG60" s="22"/>
      <c r="BH60" s="23">
        <f>AY37</f>
        <v>0</v>
      </c>
      <c r="BI60" s="326">
        <f t="shared" si="2"/>
        <v>0</v>
      </c>
      <c r="BJ60" s="95">
        <f>VLOOKUP(BD60,CENY!$B$11:$M$2025,12,FALSE)</f>
        <v>443.89010999999999</v>
      </c>
      <c r="BK60" s="95">
        <f t="shared" si="3"/>
        <v>0</v>
      </c>
    </row>
    <row r="61" spans="47:63" ht="14.4" customHeight="1">
      <c r="AU61" s="20"/>
      <c r="AV61" s="21"/>
      <c r="AW61" s="22"/>
      <c r="AX61" s="22"/>
      <c r="AY61" s="23"/>
      <c r="AZ61" s="326" t="str">
        <f t="shared" si="5"/>
        <v/>
      </c>
      <c r="BA61" s="95"/>
      <c r="BB61" s="95" t="str">
        <f t="shared" si="4"/>
        <v/>
      </c>
      <c r="BD61" s="319">
        <f>OBJ!B280</f>
        <v>9318212</v>
      </c>
      <c r="BE61" s="21" t="str">
        <f>VLOOKUP(BD61,CENY!$B$11:$G$1054,2,FALSE)</f>
        <v>Actro You(XL) 600/SiSy 70kg; EB21; pravý</v>
      </c>
      <c r="BF61" s="22">
        <f>VLOOKUP(BD61,CENY!$B$11:$G$1054,3,FALSE)</f>
        <v>10</v>
      </c>
      <c r="BG61" s="22"/>
      <c r="BH61" s="23">
        <f>AY37</f>
        <v>0</v>
      </c>
      <c r="BI61" s="326">
        <f t="shared" si="2"/>
        <v>0</v>
      </c>
      <c r="BJ61" s="95">
        <f>VLOOKUP(BD61,CENY!$B$11:$M$2025,12,FALSE)</f>
        <v>443.89010999999999</v>
      </c>
      <c r="BK61" s="95">
        <f t="shared" si="3"/>
        <v>0</v>
      </c>
    </row>
    <row r="62" spans="47:63" ht="14.4" customHeight="1">
      <c r="AU62" s="20"/>
      <c r="AV62" s="21"/>
      <c r="AW62" s="22"/>
      <c r="AX62" s="22"/>
      <c r="AY62" s="23"/>
      <c r="AZ62" s="326" t="str">
        <f t="shared" si="5"/>
        <v/>
      </c>
      <c r="BA62" s="95"/>
      <c r="BB62" s="95" t="str">
        <f t="shared" si="4"/>
        <v/>
      </c>
      <c r="BD62" s="319">
        <f>OBJ!B281</f>
        <v>9318213</v>
      </c>
      <c r="BE62" s="21" t="str">
        <f>VLOOKUP(BD62,CENY!$B$11:$G$1054,2,FALSE)</f>
        <v>Actro You(XL) 650/SiSy 70kg; EB21; ľavý</v>
      </c>
      <c r="BF62" s="22">
        <f>VLOOKUP(BD62,CENY!$B$11:$G$1054,3,FALSE)</f>
        <v>5</v>
      </c>
      <c r="BG62" s="22"/>
      <c r="BH62" s="23">
        <f>AY38</f>
        <v>0</v>
      </c>
      <c r="BI62" s="326">
        <f t="shared" si="2"/>
        <v>0</v>
      </c>
      <c r="BJ62" s="95">
        <f>VLOOKUP(BD62,CENY!$B$11:$M$2025,12,FALSE)</f>
        <v>462.41142000000002</v>
      </c>
      <c r="BK62" s="95">
        <f t="shared" si="3"/>
        <v>0</v>
      </c>
    </row>
    <row r="63" spans="47:63" ht="14.4" customHeight="1">
      <c r="AU63" s="20"/>
      <c r="AV63" s="21"/>
      <c r="AW63" s="22"/>
      <c r="AX63" s="22"/>
      <c r="AY63" s="23"/>
      <c r="AZ63" s="326" t="str">
        <f t="shared" si="5"/>
        <v/>
      </c>
      <c r="BA63" s="95"/>
      <c r="BB63" s="95" t="str">
        <f t="shared" si="4"/>
        <v/>
      </c>
      <c r="BD63" s="319">
        <f>OBJ!B282</f>
        <v>9318214</v>
      </c>
      <c r="BE63" s="21" t="str">
        <f>VLOOKUP(BD63,CENY!$B$11:$G$1054,2,FALSE)</f>
        <v>Actro You(XL) 650/SiSy 70kg; EB21; pravý</v>
      </c>
      <c r="BF63" s="22">
        <f>VLOOKUP(BD63,CENY!$B$11:$G$1054,3,FALSE)</f>
        <v>5</v>
      </c>
      <c r="BG63" s="22"/>
      <c r="BH63" s="23">
        <f>AY38</f>
        <v>0</v>
      </c>
      <c r="BI63" s="326">
        <f t="shared" ref="BI63:BI83" si="6">IF(BH63="","",IF($AW$4=0,BH63,0))</f>
        <v>0</v>
      </c>
      <c r="BJ63" s="95">
        <f>VLOOKUP(BD63,CENY!$B$11:$M$2025,12,FALSE)</f>
        <v>462.41142000000002</v>
      </c>
      <c r="BK63" s="95">
        <f t="shared" ref="BK63:BK83" si="7">IF(BJ63="","",BJ63*BH63)</f>
        <v>0</v>
      </c>
    </row>
    <row r="64" spans="47:63" ht="14.4" customHeight="1">
      <c r="AU64" s="20"/>
      <c r="AV64" s="21"/>
      <c r="AW64" s="22"/>
      <c r="AX64" s="22"/>
      <c r="AY64" s="23"/>
      <c r="AZ64" s="326" t="str">
        <f t="shared" si="5"/>
        <v/>
      </c>
      <c r="BA64" s="95"/>
      <c r="BB64" s="95" t="str">
        <f t="shared" si="4"/>
        <v/>
      </c>
      <c r="BD64" s="319"/>
      <c r="BE64" s="21"/>
      <c r="BF64" s="22"/>
      <c r="BG64" s="22"/>
      <c r="BH64" s="23"/>
      <c r="BI64" s="326" t="str">
        <f t="shared" si="6"/>
        <v/>
      </c>
      <c r="BJ64" s="95"/>
      <c r="BK64" s="95" t="str">
        <f t="shared" si="7"/>
        <v/>
      </c>
    </row>
    <row r="65" spans="47:63" ht="14.4" customHeight="1">
      <c r="AU65" s="20"/>
      <c r="AV65" s="21"/>
      <c r="AW65" s="22"/>
      <c r="AX65" s="22"/>
      <c r="AY65" s="23"/>
      <c r="AZ65" s="326" t="str">
        <f t="shared" si="5"/>
        <v/>
      </c>
      <c r="BA65" s="95"/>
      <c r="BB65" s="95" t="str">
        <f t="shared" si="4"/>
        <v/>
      </c>
      <c r="BD65" s="319">
        <f>OBJ!B312</f>
        <v>9256854</v>
      </c>
      <c r="BE65" s="21" t="str">
        <f>VLOOKUP(BD65,CENY!$B$11:$G$1054,2,FALSE)</f>
        <v>Quadro You(M) 270/SiSy 20kg; EB21; ľavý</v>
      </c>
      <c r="BF65" s="22">
        <f>VLOOKUP(BD65,CENY!$B$11:$G$1054,3,FALSE)</f>
        <v>20</v>
      </c>
      <c r="BG65" s="22"/>
      <c r="BH65" s="23">
        <f>AY40</f>
        <v>0</v>
      </c>
      <c r="BI65" s="326">
        <f t="shared" si="6"/>
        <v>0</v>
      </c>
      <c r="BJ65" s="95">
        <f>VLOOKUP(BD65,CENY!$B$11:$M$2025,12,FALSE)</f>
        <v>223.77942999999999</v>
      </c>
      <c r="BK65" s="95">
        <f t="shared" si="7"/>
        <v>0</v>
      </c>
    </row>
    <row r="66" spans="47:63" ht="14.4" customHeight="1">
      <c r="AU66" s="20"/>
      <c r="AV66" s="21"/>
      <c r="AW66" s="22"/>
      <c r="AX66" s="22"/>
      <c r="AY66" s="23"/>
      <c r="AZ66" s="326" t="str">
        <f t="shared" si="5"/>
        <v/>
      </c>
      <c r="BA66" s="95"/>
      <c r="BB66" s="95" t="str">
        <f t="shared" si="4"/>
        <v/>
      </c>
      <c r="BD66" s="319">
        <f>OBJ!B313</f>
        <v>9256855</v>
      </c>
      <c r="BE66" s="21" t="str">
        <f>VLOOKUP(BD66,CENY!$B$11:$G$1054,2,FALSE)</f>
        <v>Quadro You(M) 270/SiSy 20kg; EB21; pravý</v>
      </c>
      <c r="BF66" s="22">
        <f>VLOOKUP(BD66,CENY!$B$11:$G$1054,3,FALSE)</f>
        <v>20</v>
      </c>
      <c r="BG66" s="22"/>
      <c r="BH66" s="23">
        <f>AY40</f>
        <v>0</v>
      </c>
      <c r="BI66" s="326">
        <f t="shared" si="6"/>
        <v>0</v>
      </c>
      <c r="BJ66" s="95">
        <f>VLOOKUP(BD66,CENY!$B$11:$M$2025,12,FALSE)</f>
        <v>223.77942999999999</v>
      </c>
      <c r="BK66" s="95">
        <f t="shared" si="7"/>
        <v>0</v>
      </c>
    </row>
    <row r="67" spans="47:63" ht="14.4" customHeight="1">
      <c r="AU67" s="20"/>
      <c r="AV67" s="21"/>
      <c r="AW67" s="22"/>
      <c r="AX67" s="22"/>
      <c r="AY67" s="23"/>
      <c r="AZ67" s="326" t="str">
        <f t="shared" si="5"/>
        <v/>
      </c>
      <c r="BA67" s="95"/>
      <c r="BB67" s="95" t="str">
        <f t="shared" si="4"/>
        <v/>
      </c>
      <c r="BD67" s="319">
        <f>OBJ!B314</f>
        <v>9256856</v>
      </c>
      <c r="BE67" s="21" t="str">
        <f>VLOOKUP(BD67,CENY!$B$11:$G$1054,2,FALSE)</f>
        <v>Quadro You(M) 300/SiSy 20kg; EB21; ľavý</v>
      </c>
      <c r="BF67" s="22">
        <f>VLOOKUP(BD67,CENY!$B$11:$G$1054,3,FALSE)</f>
        <v>20</v>
      </c>
      <c r="BG67" s="22"/>
      <c r="BH67" s="23">
        <f>AY41</f>
        <v>0</v>
      </c>
      <c r="BI67" s="326">
        <f t="shared" si="6"/>
        <v>0</v>
      </c>
      <c r="BJ67" s="95">
        <f>VLOOKUP(BD67,CENY!$B$11:$M$2025,12,FALSE)</f>
        <v>224.26065</v>
      </c>
      <c r="BK67" s="95">
        <f t="shared" si="7"/>
        <v>0</v>
      </c>
    </row>
    <row r="68" spans="47:63" ht="14.4" customHeight="1">
      <c r="AU68" s="20"/>
      <c r="AV68" s="21"/>
      <c r="AW68" s="22"/>
      <c r="AX68" s="22"/>
      <c r="AY68" s="23"/>
      <c r="AZ68" s="326" t="str">
        <f t="shared" si="5"/>
        <v/>
      </c>
      <c r="BA68" s="95"/>
      <c r="BB68" s="95" t="str">
        <f t="shared" si="4"/>
        <v/>
      </c>
      <c r="BD68" s="319">
        <f>OBJ!B315</f>
        <v>9256857</v>
      </c>
      <c r="BE68" s="21" t="str">
        <f>VLOOKUP(BD68,CENY!$B$11:$G$1054,2,FALSE)</f>
        <v>Quadro You(M) 300/SiSy 20kg; EB21; pravý</v>
      </c>
      <c r="BF68" s="22">
        <f>VLOOKUP(BD68,CENY!$B$11:$G$1054,3,FALSE)</f>
        <v>20</v>
      </c>
      <c r="BG68" s="22"/>
      <c r="BH68" s="23">
        <f>AY41</f>
        <v>0</v>
      </c>
      <c r="BI68" s="326">
        <f t="shared" si="6"/>
        <v>0</v>
      </c>
      <c r="BJ68" s="95">
        <f>VLOOKUP(BD68,CENY!$B$11:$M$2025,12,FALSE)</f>
        <v>224.26065</v>
      </c>
      <c r="BK68" s="95">
        <f t="shared" si="7"/>
        <v>0</v>
      </c>
    </row>
    <row r="69" spans="47:63" ht="14.4" customHeight="1">
      <c r="AU69" s="20"/>
      <c r="AV69" s="21"/>
      <c r="AW69" s="22"/>
      <c r="AX69" s="22"/>
      <c r="AY69" s="23"/>
      <c r="AZ69" s="326" t="str">
        <f t="shared" si="5"/>
        <v/>
      </c>
      <c r="BA69" s="95"/>
      <c r="BB69" s="95" t="str">
        <f t="shared" si="4"/>
        <v/>
      </c>
      <c r="BD69" s="319">
        <f>OBJ!B316</f>
        <v>9256860</v>
      </c>
      <c r="BE69" s="21" t="str">
        <f>VLOOKUP(BD69,CENY!$B$11:$G$1054,2,FALSE)</f>
        <v>Quadro You(M) 350/SiSy 25kg; EB21; ľavý</v>
      </c>
      <c r="BF69" s="22">
        <f>VLOOKUP(BD69,CENY!$B$11:$G$1054,3,FALSE)</f>
        <v>20</v>
      </c>
      <c r="BG69" s="22"/>
      <c r="BH69" s="23">
        <f>AY42</f>
        <v>0</v>
      </c>
      <c r="BI69" s="326">
        <f t="shared" si="6"/>
        <v>0</v>
      </c>
      <c r="BJ69" s="95">
        <f>VLOOKUP(BD69,CENY!$B$11:$M$2025,12,FALSE)</f>
        <v>229.11434</v>
      </c>
      <c r="BK69" s="95">
        <f t="shared" si="7"/>
        <v>0</v>
      </c>
    </row>
    <row r="70" spans="47:63" ht="14.4" customHeight="1">
      <c r="AU70" s="20"/>
      <c r="AV70" s="21"/>
      <c r="AW70" s="22"/>
      <c r="AX70" s="22"/>
      <c r="AY70" s="23"/>
      <c r="AZ70" s="326" t="str">
        <f t="shared" si="5"/>
        <v/>
      </c>
      <c r="BA70" s="95"/>
      <c r="BB70" s="95" t="str">
        <f t="shared" si="4"/>
        <v/>
      </c>
      <c r="BD70" s="319">
        <f>OBJ!B317</f>
        <v>9256861</v>
      </c>
      <c r="BE70" s="21" t="str">
        <f>VLOOKUP(BD70,CENY!$B$11:$G$1054,2,FALSE)</f>
        <v>Quadro You(M) 350/SiSy 25kg; EB21; pravý</v>
      </c>
      <c r="BF70" s="22">
        <f>VLOOKUP(BD70,CENY!$B$11:$G$1054,3,FALSE)</f>
        <v>20</v>
      </c>
      <c r="BG70" s="22"/>
      <c r="BH70" s="23">
        <f>AY42</f>
        <v>0</v>
      </c>
      <c r="BI70" s="326">
        <f t="shared" si="6"/>
        <v>0</v>
      </c>
      <c r="BJ70" s="95">
        <f>VLOOKUP(BD70,CENY!$B$11:$M$2025,12,FALSE)</f>
        <v>229.11434</v>
      </c>
      <c r="BK70" s="95">
        <f t="shared" si="7"/>
        <v>0</v>
      </c>
    </row>
    <row r="71" spans="47:63" ht="14.4" customHeight="1">
      <c r="AU71" s="20"/>
      <c r="AV71" s="21"/>
      <c r="AW71" s="22"/>
      <c r="AX71" s="22"/>
      <c r="AY71" s="23"/>
      <c r="AZ71" s="326" t="str">
        <f t="shared" si="5"/>
        <v/>
      </c>
      <c r="BA71" s="95"/>
      <c r="BB71" s="95" t="str">
        <f t="shared" si="4"/>
        <v/>
      </c>
      <c r="BD71" s="319">
        <f>OBJ!B318</f>
        <v>9256864</v>
      </c>
      <c r="BE71" s="21" t="str">
        <f>VLOOKUP(BD71,CENY!$B$11:$G$1054,2,FALSE)</f>
        <v>Quadro You(M) 400/SiSy 30kg; EB21; ľavý</v>
      </c>
      <c r="BF71" s="22">
        <f>VLOOKUP(BD71,CENY!$B$11:$G$1054,3,FALSE)</f>
        <v>20</v>
      </c>
      <c r="BG71" s="22"/>
      <c r="BH71" s="23">
        <f>AY43</f>
        <v>0</v>
      </c>
      <c r="BI71" s="326">
        <f t="shared" si="6"/>
        <v>0</v>
      </c>
      <c r="BJ71" s="95">
        <f>VLOOKUP(BD71,CENY!$B$11:$M$2025,12,FALSE)</f>
        <v>233.96566000000001</v>
      </c>
      <c r="BK71" s="95">
        <f t="shared" si="7"/>
        <v>0</v>
      </c>
    </row>
    <row r="72" spans="47:63" ht="14.4" customHeight="1">
      <c r="AU72" s="20"/>
      <c r="AV72" s="21"/>
      <c r="AW72" s="22"/>
      <c r="AX72" s="22"/>
      <c r="AY72" s="23"/>
      <c r="AZ72" s="326" t="str">
        <f t="shared" si="5"/>
        <v/>
      </c>
      <c r="BA72" s="95"/>
      <c r="BB72" s="95" t="str">
        <f t="shared" si="4"/>
        <v/>
      </c>
      <c r="BD72" s="319">
        <f>OBJ!B319</f>
        <v>9256865</v>
      </c>
      <c r="BE72" s="21" t="str">
        <f>VLOOKUP(BD72,CENY!$B$11:$G$1054,2,FALSE)</f>
        <v>Quadro You(M) 400/SiSy 30kg; EB21; pravý</v>
      </c>
      <c r="BF72" s="22">
        <f>VLOOKUP(BD72,CENY!$B$11:$G$1054,3,FALSE)</f>
        <v>20</v>
      </c>
      <c r="BG72" s="22"/>
      <c r="BH72" s="23">
        <f>AY43</f>
        <v>0</v>
      </c>
      <c r="BI72" s="326">
        <f t="shared" si="6"/>
        <v>0</v>
      </c>
      <c r="BJ72" s="95">
        <f>VLOOKUP(BD72,CENY!$B$11:$M$2025,12,FALSE)</f>
        <v>233.96566000000001</v>
      </c>
      <c r="BK72" s="95">
        <f t="shared" si="7"/>
        <v>0</v>
      </c>
    </row>
    <row r="73" spans="47:63" ht="14.4" customHeight="1">
      <c r="AU73" s="20"/>
      <c r="AV73" s="21"/>
      <c r="AW73" s="22"/>
      <c r="AX73" s="22"/>
      <c r="AY73" s="23"/>
      <c r="AZ73" s="326" t="str">
        <f t="shared" si="5"/>
        <v/>
      </c>
      <c r="BA73" s="95"/>
      <c r="BB73" s="95" t="str">
        <f t="shared" si="4"/>
        <v/>
      </c>
      <c r="BD73" s="319">
        <f>OBJ!B320</f>
        <v>9256868</v>
      </c>
      <c r="BE73" s="21" t="str">
        <f>VLOOKUP(BD73,CENY!$B$11:$G$1054,2,FALSE)</f>
        <v>Quadro You(M) 450/SiSy 30kg; EB21; ľavý</v>
      </c>
      <c r="BF73" s="22">
        <f>VLOOKUP(BD73,CENY!$B$11:$G$1054,3,FALSE)</f>
        <v>20</v>
      </c>
      <c r="BG73" s="22"/>
      <c r="BH73" s="23">
        <f>AY44</f>
        <v>0</v>
      </c>
      <c r="BI73" s="326">
        <f t="shared" si="6"/>
        <v>0</v>
      </c>
      <c r="BJ73" s="95">
        <f>VLOOKUP(BD73,CENY!$B$11:$M$2025,12,FALSE)</f>
        <v>238.81201999999999</v>
      </c>
      <c r="BK73" s="95">
        <f t="shared" si="7"/>
        <v>0</v>
      </c>
    </row>
    <row r="74" spans="47:63" ht="14.4" customHeight="1">
      <c r="AU74" s="20"/>
      <c r="AV74" s="21"/>
      <c r="AW74" s="22"/>
      <c r="AX74" s="22"/>
      <c r="AY74" s="23"/>
      <c r="AZ74" s="326" t="str">
        <f t="shared" si="5"/>
        <v/>
      </c>
      <c r="BA74" s="95"/>
      <c r="BB74" s="95" t="str">
        <f t="shared" si="4"/>
        <v/>
      </c>
      <c r="BD74" s="319">
        <f>OBJ!B321</f>
        <v>9256869</v>
      </c>
      <c r="BE74" s="21" t="str">
        <f>VLOOKUP(BD74,CENY!$B$11:$G$1054,2,FALSE)</f>
        <v>Quadro You(M) 450/SiSy 30kg; EB21; pravý</v>
      </c>
      <c r="BF74" s="22">
        <f>VLOOKUP(BD74,CENY!$B$11:$G$1054,3,FALSE)</f>
        <v>20</v>
      </c>
      <c r="BG74" s="22"/>
      <c r="BH74" s="23">
        <f>AY44</f>
        <v>0</v>
      </c>
      <c r="BI74" s="326">
        <f t="shared" si="6"/>
        <v>0</v>
      </c>
      <c r="BJ74" s="95">
        <f>VLOOKUP(BD74,CENY!$B$11:$M$2025,12,FALSE)</f>
        <v>238.81201999999999</v>
      </c>
      <c r="BK74" s="95">
        <f t="shared" si="7"/>
        <v>0</v>
      </c>
    </row>
    <row r="75" spans="47:63" ht="14.4" customHeight="1">
      <c r="AU75" s="20"/>
      <c r="AV75" s="21"/>
      <c r="AW75" s="22"/>
      <c r="AX75" s="22"/>
      <c r="AY75" s="23"/>
      <c r="AZ75" s="326" t="str">
        <f t="shared" si="5"/>
        <v/>
      </c>
      <c r="BA75" s="95"/>
      <c r="BB75" s="95" t="str">
        <f t="shared" si="4"/>
        <v/>
      </c>
      <c r="BD75" s="319">
        <f>OBJ!B322</f>
        <v>9256872</v>
      </c>
      <c r="BE75" s="21" t="str">
        <f>VLOOKUP(BD75,CENY!$B$11:$G$1054,2,FALSE)</f>
        <v>Quadro You(M) 500/SiSy 30kg; EB21; ľavý</v>
      </c>
      <c r="BF75" s="22">
        <f>VLOOKUP(BD75,CENY!$B$11:$G$1054,3,FALSE)</f>
        <v>20</v>
      </c>
      <c r="BG75" s="22"/>
      <c r="BH75" s="23">
        <f>AY45</f>
        <v>0</v>
      </c>
      <c r="BI75" s="326">
        <f t="shared" si="6"/>
        <v>0</v>
      </c>
      <c r="BJ75" s="95">
        <f>VLOOKUP(BD75,CENY!$B$11:$M$2025,12,FALSE)</f>
        <v>237.18776</v>
      </c>
      <c r="BK75" s="95">
        <f t="shared" si="7"/>
        <v>0</v>
      </c>
    </row>
    <row r="76" spans="47:63" ht="14.4" customHeight="1">
      <c r="AU76" s="20"/>
      <c r="AV76" s="21"/>
      <c r="AW76" s="22"/>
      <c r="AX76" s="22"/>
      <c r="AY76" s="23"/>
      <c r="AZ76" s="326" t="str">
        <f t="shared" si="5"/>
        <v/>
      </c>
      <c r="BA76" s="95"/>
      <c r="BB76" s="95" t="str">
        <f t="shared" si="4"/>
        <v/>
      </c>
      <c r="BD76" s="319">
        <f>OBJ!B323</f>
        <v>9256873</v>
      </c>
      <c r="BE76" s="21" t="str">
        <f>VLOOKUP(BD76,CENY!$B$11:$G$1054,2,FALSE)</f>
        <v>Quadro You(M) 500/SiSy 30kg; EB21; pravý</v>
      </c>
      <c r="BF76" s="22">
        <f>VLOOKUP(BD76,CENY!$B$11:$G$1054,3,FALSE)</f>
        <v>20</v>
      </c>
      <c r="BG76" s="22"/>
      <c r="BH76" s="23">
        <f>AY45</f>
        <v>0</v>
      </c>
      <c r="BI76" s="326">
        <f t="shared" si="6"/>
        <v>0</v>
      </c>
      <c r="BJ76" s="95">
        <f>VLOOKUP(BD76,CENY!$B$11:$M$2025,12,FALSE)</f>
        <v>237.18776</v>
      </c>
      <c r="BK76" s="95">
        <f t="shared" si="7"/>
        <v>0</v>
      </c>
    </row>
    <row r="77" spans="47:63" ht="14.4" customHeight="1">
      <c r="AU77" s="20"/>
      <c r="AV77" s="21"/>
      <c r="AW77" s="22"/>
      <c r="AX77" s="22"/>
      <c r="AY77" s="23"/>
      <c r="AZ77" s="326" t="str">
        <f t="shared" si="5"/>
        <v/>
      </c>
      <c r="BA77" s="95"/>
      <c r="BB77" s="95" t="str">
        <f t="shared" si="4"/>
        <v/>
      </c>
      <c r="BD77" s="319">
        <f>OBJ!B324</f>
        <v>9256876</v>
      </c>
      <c r="BE77" s="21" t="str">
        <f>VLOOKUP(BD77,CENY!$B$11:$G$1054,2,FALSE)</f>
        <v>Quadro You(M) 550/SiSy 30kg; EB21; ľavý</v>
      </c>
      <c r="BF77" s="22">
        <f>VLOOKUP(BD77,CENY!$B$11:$G$1054,3,FALSE)</f>
        <v>20</v>
      </c>
      <c r="BG77" s="22"/>
      <c r="BH77" s="23">
        <f>AY46</f>
        <v>0</v>
      </c>
      <c r="BI77" s="326">
        <f t="shared" si="6"/>
        <v>0</v>
      </c>
      <c r="BJ77" s="95">
        <f>VLOOKUP(BD77,CENY!$B$11:$M$2025,12,FALSE)</f>
        <v>241.90996999999999</v>
      </c>
      <c r="BK77" s="95">
        <f t="shared" si="7"/>
        <v>0</v>
      </c>
    </row>
    <row r="78" spans="47:63" ht="14.4" customHeight="1">
      <c r="AU78" s="20"/>
      <c r="AV78" s="21"/>
      <c r="AW78" s="22"/>
      <c r="AX78" s="22"/>
      <c r="AY78" s="23"/>
      <c r="AZ78" s="326" t="str">
        <f t="shared" si="5"/>
        <v/>
      </c>
      <c r="BA78" s="95"/>
      <c r="BB78" s="95" t="str">
        <f t="shared" si="4"/>
        <v/>
      </c>
      <c r="BD78" s="319">
        <f>OBJ!B325</f>
        <v>9256877</v>
      </c>
      <c r="BE78" s="21" t="str">
        <f>VLOOKUP(BD78,CENY!$B$11:$G$1054,2,FALSE)</f>
        <v>Quadro You(M) 550/SiSy 30kg; EB21; pravý</v>
      </c>
      <c r="BF78" s="22">
        <f>VLOOKUP(BD78,CENY!$B$11:$G$1054,3,FALSE)</f>
        <v>20</v>
      </c>
      <c r="BG78" s="22"/>
      <c r="BH78" s="23">
        <f>AY46</f>
        <v>0</v>
      </c>
      <c r="BI78" s="326">
        <f t="shared" si="6"/>
        <v>0</v>
      </c>
      <c r="BJ78" s="95">
        <f>VLOOKUP(BD78,CENY!$B$11:$M$2025,12,FALSE)</f>
        <v>248.51953</v>
      </c>
      <c r="BK78" s="95">
        <f t="shared" si="7"/>
        <v>0</v>
      </c>
    </row>
    <row r="79" spans="47:63" ht="14.4" customHeight="1">
      <c r="AU79" s="20"/>
      <c r="AV79" s="21"/>
      <c r="AW79" s="22"/>
      <c r="AX79" s="22"/>
      <c r="AY79" s="23"/>
      <c r="AZ79" s="326" t="str">
        <f t="shared" si="5"/>
        <v/>
      </c>
      <c r="BA79" s="95"/>
      <c r="BB79" s="95" t="str">
        <f t="shared" si="4"/>
        <v/>
      </c>
      <c r="BD79" s="319">
        <f>OBJ!B326</f>
        <v>9256880</v>
      </c>
      <c r="BE79" s="21" t="str">
        <f>VLOOKUP(BD79,CENY!$B$11:$G$1054,2,FALSE)</f>
        <v>Quadro You(M) 600/SiSy 25kg; EB21; ľavý</v>
      </c>
      <c r="BF79" s="22">
        <f>VLOOKUP(BD79,CENY!$B$11:$G$1054,3,FALSE)</f>
        <v>20</v>
      </c>
      <c r="BG79" s="22"/>
      <c r="BH79" s="23">
        <f>AY47</f>
        <v>0</v>
      </c>
      <c r="BI79" s="326">
        <f t="shared" si="6"/>
        <v>0</v>
      </c>
      <c r="BJ79" s="95">
        <f>VLOOKUP(BD79,CENY!$B$11:$M$2025,12,FALSE)</f>
        <v>253.36837</v>
      </c>
      <c r="BK79" s="95">
        <f t="shared" si="7"/>
        <v>0</v>
      </c>
    </row>
    <row r="80" spans="47:63" ht="14.4" customHeight="1">
      <c r="AU80" s="20"/>
      <c r="AV80" s="21"/>
      <c r="AW80" s="22"/>
      <c r="AX80" s="22"/>
      <c r="AY80" s="23"/>
      <c r="AZ80" s="326" t="str">
        <f t="shared" si="5"/>
        <v/>
      </c>
      <c r="BA80" s="95"/>
      <c r="BB80" s="95" t="str">
        <f t="shared" si="4"/>
        <v/>
      </c>
      <c r="BD80" s="319">
        <f>OBJ!B327</f>
        <v>9256881</v>
      </c>
      <c r="BE80" s="21" t="str">
        <f>VLOOKUP(BD80,CENY!$B$11:$G$1054,2,FALSE)</f>
        <v>Quadro You(M) 600/SiSy 25kg; EB21; pravý</v>
      </c>
      <c r="BF80" s="22">
        <f>VLOOKUP(BD80,CENY!$B$11:$G$1054,3,FALSE)</f>
        <v>20</v>
      </c>
      <c r="BG80" s="22"/>
      <c r="BH80" s="23">
        <f>AY47</f>
        <v>0</v>
      </c>
      <c r="BI80" s="326">
        <f t="shared" si="6"/>
        <v>0</v>
      </c>
      <c r="BJ80" s="95">
        <f>VLOOKUP(BD80,CENY!$B$11:$M$2025,12,FALSE)</f>
        <v>253.36837</v>
      </c>
      <c r="BK80" s="95">
        <f t="shared" si="7"/>
        <v>0</v>
      </c>
    </row>
    <row r="81" spans="47:63" ht="14.4" customHeight="1">
      <c r="AU81" s="20"/>
      <c r="AV81" s="21"/>
      <c r="AW81" s="22"/>
      <c r="AX81" s="22"/>
      <c r="AY81" s="23"/>
      <c r="AZ81" s="326" t="str">
        <f t="shared" si="5"/>
        <v/>
      </c>
      <c r="BA81" s="95"/>
      <c r="BB81" s="95" t="str">
        <f t="shared" si="4"/>
        <v/>
      </c>
      <c r="BD81" s="319"/>
      <c r="BE81" s="21"/>
      <c r="BF81" s="22"/>
      <c r="BG81" s="22"/>
      <c r="BH81" s="23"/>
      <c r="BI81" s="326" t="str">
        <f t="shared" si="6"/>
        <v/>
      </c>
      <c r="BJ81" s="95"/>
      <c r="BK81" s="95" t="str">
        <f t="shared" si="7"/>
        <v/>
      </c>
    </row>
    <row r="82" spans="47:63" ht="14.4" customHeight="1">
      <c r="AU82" s="20"/>
      <c r="AV82" s="21"/>
      <c r="AW82" s="22"/>
      <c r="AX82" s="22"/>
      <c r="AY82" s="23"/>
      <c r="AZ82" s="326" t="str">
        <f t="shared" si="5"/>
        <v/>
      </c>
      <c r="BA82" s="95"/>
      <c r="BB82" s="95" t="str">
        <f t="shared" si="4"/>
        <v/>
      </c>
      <c r="BD82" s="319">
        <f>OBJ!B214</f>
        <v>0</v>
      </c>
      <c r="BE82" s="21" t="e">
        <f>VLOOKUP(BD82,CENY!$B$11:$G$1054,2,FALSE)</f>
        <v>#N/A</v>
      </c>
      <c r="BF82" s="22" t="e">
        <f>VLOOKUP(BD82,CENY!$B$11:$G$1054,3,FALSE)</f>
        <v>#N/A</v>
      </c>
      <c r="BG82" s="22"/>
      <c r="BH82" s="23">
        <f>AY51</f>
        <v>0</v>
      </c>
      <c r="BI82" s="326">
        <f t="shared" si="6"/>
        <v>0</v>
      </c>
      <c r="BJ82" s="324" t="str">
        <f>IF(BD82=0,"",VLOOKUP(BD82,CENY!$B$11:$M$2025,12,FALSE))</f>
        <v/>
      </c>
      <c r="BK82" s="95" t="str">
        <f>IF(BJ82="","",BJ82*BH82)</f>
        <v/>
      </c>
    </row>
    <row r="83" spans="47:63" ht="14.4" customHeight="1">
      <c r="AU83" s="20"/>
      <c r="AV83" s="21"/>
      <c r="AW83" s="22"/>
      <c r="AX83" s="22"/>
      <c r="AY83" s="23"/>
      <c r="AZ83" s="326" t="str">
        <f t="shared" si="5"/>
        <v/>
      </c>
      <c r="BA83" s="95"/>
      <c r="BB83" s="95" t="str">
        <f t="shared" si="4"/>
        <v/>
      </c>
      <c r="BD83" s="319"/>
      <c r="BE83" s="21"/>
      <c r="BF83" s="22"/>
      <c r="BG83" s="22"/>
      <c r="BH83" s="23"/>
      <c r="BI83" s="326" t="str">
        <f t="shared" si="6"/>
        <v/>
      </c>
      <c r="BJ83" s="95"/>
      <c r="BK83" s="95" t="str">
        <f t="shared" si="7"/>
        <v/>
      </c>
    </row>
    <row r="84" spans="47:63" ht="14.4" customHeight="1">
      <c r="AU84" s="319">
        <f>OBJ!B361</f>
        <v>45167</v>
      </c>
      <c r="AV84" s="21" t="str">
        <f>VLOOKUP(AU84,CENY!$B$11:$G$1054,2,FALSE)</f>
        <v>Skrutka s polgul.hlavou 3,5x12mm</v>
      </c>
      <c r="AW84" s="22">
        <f>VLOOKUP(AU84,CENY!$B$11:$G$1054,3,FALSE)</f>
        <v>200</v>
      </c>
      <c r="AX84" s="22"/>
      <c r="AY84" s="23">
        <f>SUMPRODUCT(AX5:AX13,AY5:AY13)</f>
        <v>0</v>
      </c>
      <c r="AZ84" s="326">
        <f t="shared" si="5"/>
        <v>0</v>
      </c>
      <c r="BA84" s="95">
        <f>VLOOKUP(AU84,CENY!$B$11:$M$2025,12,FALSE)</f>
        <v>0.84719999999999995</v>
      </c>
      <c r="BB84" s="95">
        <f t="shared" si="4"/>
        <v>0</v>
      </c>
      <c r="BC84" s="86" t="s">
        <v>396</v>
      </c>
      <c r="BD84" s="319">
        <f>OBJ!B361</f>
        <v>45167</v>
      </c>
      <c r="BE84" s="21" t="str">
        <f>VLOOKUP(BD84,CENY!$B$11:$G$1054,2,FALSE)</f>
        <v>Skrutka s polgul.hlavou 3,5x12mm</v>
      </c>
      <c r="BF84" s="22">
        <f>VLOOKUP(BD84,CENY!$B$11:$G$1054,3,FALSE)</f>
        <v>200</v>
      </c>
      <c r="BG84" s="22"/>
      <c r="BH84" s="23">
        <f>AY84</f>
        <v>0</v>
      </c>
      <c r="BI84" s="326">
        <f>IF(BH84="","",IF($AW$4=0,BH84,0))</f>
        <v>0</v>
      </c>
      <c r="BJ84" s="95">
        <f>VLOOKUP(BD84,CENY!$B$11:$M$2025,12,FALSE)</f>
        <v>0.84719999999999995</v>
      </c>
      <c r="BK84" s="95">
        <f>IF(BJ84="","",BJ84*BH84)</f>
        <v>0</v>
      </c>
    </row>
    <row r="85" spans="47:63" ht="14.4" customHeight="1">
      <c r="AU85" s="319">
        <f>OBJ!B362</f>
        <v>45168</v>
      </c>
      <c r="AV85" s="21" t="str">
        <f>VLOOKUP(AU85,CENY!$B$11:$G$1054,2,FALSE)</f>
        <v>Skrutka s polgul.hlavou 3,5x20mm</v>
      </c>
      <c r="AW85" s="22">
        <f>VLOOKUP(AU85,CENY!$B$11:$G$1054,3,FALSE)</f>
        <v>200</v>
      </c>
      <c r="AX85" s="22"/>
      <c r="AY85" s="360">
        <v>0</v>
      </c>
      <c r="AZ85" s="326">
        <f t="shared" si="5"/>
        <v>0</v>
      </c>
      <c r="BA85" s="95">
        <f>VLOOKUP(AU85,CENY!$B$11:$M$2025,12,FALSE)</f>
        <v>1.2154199999999999</v>
      </c>
      <c r="BB85" s="95">
        <f t="shared" si="4"/>
        <v>0</v>
      </c>
      <c r="BC85" s="86" t="s">
        <v>397</v>
      </c>
      <c r="BD85" s="319">
        <f>OBJ!B362</f>
        <v>45168</v>
      </c>
      <c r="BE85" s="21" t="str">
        <f>VLOOKUP(BD85,CENY!$B$11:$G$1054,2,FALSE)</f>
        <v>Skrutka s polgul.hlavou 3,5x20mm</v>
      </c>
      <c r="BF85" s="22">
        <f>VLOOKUP(BD85,CENY!$B$11:$G$1054,3,FALSE)</f>
        <v>200</v>
      </c>
      <c r="BG85" s="22"/>
      <c r="BH85" s="360">
        <f>IF(FORM!$AM$8=FORM!$AU$10,BH24*4,0)</f>
        <v>0</v>
      </c>
      <c r="BI85" s="326">
        <f>IF(BH85="","",IF($AW$4=0,BH85,0))</f>
        <v>0</v>
      </c>
      <c r="BJ85" s="95">
        <f>VLOOKUP(BD85,CENY!$B$11:$M$2025,12,FALSE)</f>
        <v>1.2154199999999999</v>
      </c>
      <c r="BK85" s="95">
        <f>IF(BJ85="","",BJ85*BH85)</f>
        <v>0</v>
      </c>
    </row>
    <row r="86" spans="47:63" ht="14.4" customHeight="1">
      <c r="AU86" s="319">
        <f>OBJ!B363</f>
        <v>9278224</v>
      </c>
      <c r="AV86" s="21" t="str">
        <f>VLOOKUP(AU86,CENY!$B$11:$G$1054,2,FALSE)</f>
        <v>Skrutka s polgul.hlavou 3,5x30mm</v>
      </c>
      <c r="AW86" s="22">
        <f>VLOOKUP(AU86,CENY!$B$11:$G$1054,3,FALSE)</f>
        <v>200</v>
      </c>
      <c r="AX86" s="22"/>
      <c r="AY86" s="360">
        <v>0</v>
      </c>
      <c r="AZ86" s="326">
        <f t="shared" si="5"/>
        <v>0</v>
      </c>
      <c r="BA86" s="95">
        <f>VLOOKUP(AU86,CENY!$B$11:$M$2025,12,FALSE)</f>
        <v>0.89337999999999995</v>
      </c>
      <c r="BB86" s="95">
        <f t="shared" si="4"/>
        <v>0</v>
      </c>
      <c r="BC86" s="86" t="s">
        <v>398</v>
      </c>
      <c r="BD86" s="319">
        <f>OBJ!B363</f>
        <v>9278224</v>
      </c>
      <c r="BE86" s="21" t="str">
        <f>VLOOKUP(BD86,CENY!$B$11:$G$1054,2,FALSE)</f>
        <v>Skrutka s polgul.hlavou 3,5x30mm</v>
      </c>
      <c r="BF86" s="22">
        <f>VLOOKUP(BD86,CENY!$B$11:$G$1054,3,FALSE)</f>
        <v>200</v>
      </c>
      <c r="BG86" s="22"/>
      <c r="BH86" s="360">
        <f>2*SUM(BH5:BH22)</f>
        <v>0</v>
      </c>
      <c r="BI86" s="326">
        <f>IF(BH86="","",IF($AW$4=0,BH86,0))</f>
        <v>0</v>
      </c>
      <c r="BJ86" s="95">
        <f>VLOOKUP(BD86,CENY!$B$11:$M$2025,12,FALSE)</f>
        <v>0.89337999999999995</v>
      </c>
      <c r="BK86" s="95">
        <f>IF(BJ86="","",BJ86*BH86)</f>
        <v>0</v>
      </c>
    </row>
    <row r="87" spans="47:63" ht="14.4" customHeight="1">
      <c r="AU87" s="319">
        <f>OBJ!B364</f>
        <v>9279197</v>
      </c>
      <c r="AV87" s="21" t="str">
        <f>VLOOKUP(AU87,CENY!$B$11:$G$1054,2,FALSE)</f>
        <v>Skrutka s polgul.hlavou M3,5x12mm</v>
      </c>
      <c r="AW87" s="22">
        <f>VLOOKUP(AU87,CENY!$B$11:$G$1054,3,FALSE)</f>
        <v>1000</v>
      </c>
      <c r="AX87" s="22"/>
      <c r="AY87" s="68">
        <v>0</v>
      </c>
      <c r="AZ87" s="326">
        <f t="shared" si="5"/>
        <v>0</v>
      </c>
      <c r="BA87" s="95">
        <f>VLOOKUP(AU87,CENY!$B$11:$M$2025,12,FALSE)</f>
        <v>0</v>
      </c>
      <c r="BB87" s="95">
        <f t="shared" si="4"/>
        <v>0</v>
      </c>
      <c r="BC87" s="86" t="s">
        <v>399</v>
      </c>
      <c r="BD87" s="319">
        <f>OBJ!B364</f>
        <v>9279197</v>
      </c>
      <c r="BE87" s="21" t="str">
        <f>VLOOKUP(BD87,CENY!$B$11:$G$1054,2,FALSE)</f>
        <v>Skrutka s polgul.hlavou M3,5x12mm</v>
      </c>
      <c r="BF87" s="22">
        <f>VLOOKUP(BD87,CENY!$B$11:$G$1054,3,FALSE)</f>
        <v>1000</v>
      </c>
      <c r="BG87" s="22"/>
      <c r="BH87" s="68">
        <f>AY87</f>
        <v>0</v>
      </c>
      <c r="BI87" s="326">
        <f>IF(BH87="","",IF($AW$4=0,BH87,0))</f>
        <v>0</v>
      </c>
      <c r="BJ87" s="95">
        <f>VLOOKUP(BD87,CENY!$B$11:$M$2025,12,FALSE)</f>
        <v>0</v>
      </c>
      <c r="BK87" s="95">
        <f>IF(BJ87="","",BJ87*BH87)</f>
        <v>0</v>
      </c>
    </row>
    <row r="88" spans="47:63" ht="14.4" customHeight="1">
      <c r="AU88" s="319">
        <f>OBJ!B365</f>
        <v>9137114</v>
      </c>
      <c r="AV88" s="21" t="str">
        <f>VLOOKUP(AU88,CENY!$B$11:$G$1054,2,FALSE)</f>
        <v>EURO-skrutka  6,0x14mm / niklovaná</v>
      </c>
      <c r="AW88" s="22">
        <f>VLOOKUP(AU88,CENY!$B$11:$G$1054,3,FALSE)</f>
        <v>200</v>
      </c>
      <c r="AX88" s="22"/>
      <c r="AY88" s="23">
        <f>SUMPRODUCT(AX25:AX47,AY25:AY47)</f>
        <v>0</v>
      </c>
      <c r="AZ88" s="326">
        <f t="shared" si="5"/>
        <v>0</v>
      </c>
      <c r="BA88" s="95">
        <f>VLOOKUP(AU88,CENY!$B$11:$M$2025,12,FALSE)</f>
        <v>1.8839300000000001</v>
      </c>
      <c r="BB88" s="95">
        <f t="shared" si="4"/>
        <v>0</v>
      </c>
      <c r="BC88" s="86" t="s">
        <v>400</v>
      </c>
      <c r="BD88" s="319">
        <f>OBJ!B365</f>
        <v>9137114</v>
      </c>
      <c r="BE88" s="21" t="str">
        <f>VLOOKUP(BD88,CENY!$B$11:$G$1054,2,FALSE)</f>
        <v>EURO-skrutka  6,0x14mm / niklovaná</v>
      </c>
      <c r="BF88" s="22">
        <f>VLOOKUP(BD88,CENY!$B$11:$G$1054,3,FALSE)</f>
        <v>200</v>
      </c>
      <c r="BG88" s="22"/>
      <c r="BH88" s="23">
        <f>AY88</f>
        <v>0</v>
      </c>
      <c r="BI88" s="326">
        <f>IF(BH88="","",IF($AW$4=0,BH88,0))</f>
        <v>0</v>
      </c>
      <c r="BJ88" s="95">
        <f>VLOOKUP(BD88,CENY!$B$11:$M$2025,12,FALSE)</f>
        <v>1.8839300000000001</v>
      </c>
      <c r="BK88" s="95">
        <f>IF(BJ88="","",BJ88*BH88)</f>
        <v>0</v>
      </c>
    </row>
    <row r="89" spans="47:63" ht="14.4" customHeight="1">
      <c r="AU89" s="20"/>
      <c r="AV89" s="21"/>
      <c r="AW89" s="22"/>
      <c r="AX89" s="22"/>
      <c r="AY89" s="23"/>
      <c r="AZ89" s="326"/>
      <c r="BA89" s="95"/>
      <c r="BB89" s="95"/>
      <c r="BD89" s="319"/>
      <c r="BE89" s="21"/>
      <c r="BF89" s="22"/>
      <c r="BG89" s="22"/>
      <c r="BH89" s="23"/>
      <c r="BI89" s="326"/>
      <c r="BJ89" s="95"/>
      <c r="BK89" s="95"/>
    </row>
    <row r="90" spans="47:63" ht="14.4" customHeight="1">
      <c r="AU90" s="20"/>
      <c r="AV90" s="21"/>
      <c r="AW90" s="22"/>
      <c r="AX90" s="22"/>
      <c r="AY90" s="23"/>
      <c r="AZ90" s="326" t="str">
        <f t="shared" si="5"/>
        <v/>
      </c>
      <c r="BA90" s="95"/>
      <c r="BB90" s="95" t="str">
        <f t="shared" si="4"/>
        <v/>
      </c>
      <c r="BD90" s="319"/>
      <c r="BE90" s="21"/>
      <c r="BF90" s="22"/>
      <c r="BG90" s="22"/>
      <c r="BH90" s="23"/>
      <c r="BI90" s="326" t="str">
        <f>IF(BH90="","",IF($AW$4=0,BH90,0))</f>
        <v/>
      </c>
      <c r="BJ90" s="95"/>
      <c r="BK90" s="95" t="str">
        <f>IF(BJ90="","",BJ90*BH90)</f>
        <v/>
      </c>
    </row>
    <row r="91" spans="47:63" ht="14.4" customHeight="1">
      <c r="AU91" s="20"/>
      <c r="AV91" s="21"/>
      <c r="AW91" s="22"/>
      <c r="AX91" s="22"/>
      <c r="AY91" s="23"/>
      <c r="AZ91" s="326" t="str">
        <f t="shared" si="5"/>
        <v/>
      </c>
      <c r="BA91" s="95"/>
      <c r="BB91" s="95" t="str">
        <f t="shared" si="4"/>
        <v/>
      </c>
      <c r="BD91" s="319"/>
      <c r="BE91" s="21"/>
      <c r="BF91" s="22"/>
      <c r="BG91" s="22"/>
      <c r="BH91" s="23"/>
      <c r="BI91" s="326" t="str">
        <f>IF(BH91="","",IF($AW$4=0,BH91,0))</f>
        <v/>
      </c>
      <c r="BJ91" s="95"/>
      <c r="BK91" s="95" t="str">
        <f>IF(BJ91="","",BJ91*BH91)</f>
        <v/>
      </c>
    </row>
    <row r="92" spans="47:63" ht="14.4" customHeight="1"/>
    <row r="93" spans="47:63" ht="14.4" customHeight="1"/>
    <row r="94" spans="47:63" ht="14.4" customHeight="1"/>
    <row r="95" spans="47:63" ht="14.4" customHeight="1"/>
    <row r="96" spans="47:63" ht="14.4" customHeight="1"/>
    <row r="97" ht="14.4" customHeight="1"/>
    <row r="98" ht="14.4" customHeight="1"/>
    <row r="99" ht="14.4" customHeight="1"/>
  </sheetData>
  <sheetProtection algorithmName="SHA-512" hashValue="9vFWDGQgpjWPfYKC9r0Z5a0gDvjZNZElrSgD4KLSvXpb3eTOzcz89gj4HBsy0GXmQmCWZa191c3GWzJ0jsWIcA==" saltValue="Qq3NnrBdCkXLpW9Jfz6d7Q==" spinCount="100000" sheet="1" objects="1" scenarios="1"/>
  <mergeCells count="77">
    <mergeCell ref="U2:Y2"/>
    <mergeCell ref="AA2:AE2"/>
    <mergeCell ref="AI2:AM2"/>
    <mergeCell ref="AO2:AR2"/>
    <mergeCell ref="B6:E6"/>
    <mergeCell ref="F6:K6"/>
    <mergeCell ref="O2:S2"/>
    <mergeCell ref="B7:E7"/>
    <mergeCell ref="F7:K7"/>
    <mergeCell ref="B8:E8"/>
    <mergeCell ref="F8:K8"/>
    <mergeCell ref="B2:E2"/>
    <mergeCell ref="G2:K2"/>
    <mergeCell ref="B9:E9"/>
    <mergeCell ref="F9:K9"/>
    <mergeCell ref="B10:E10"/>
    <mergeCell ref="F10:K10"/>
    <mergeCell ref="B11:E11"/>
    <mergeCell ref="F11:K11"/>
    <mergeCell ref="B12:E12"/>
    <mergeCell ref="F12:I12"/>
    <mergeCell ref="J12:K12"/>
    <mergeCell ref="B13:E13"/>
    <mergeCell ref="F13:I13"/>
    <mergeCell ref="J13:K13"/>
    <mergeCell ref="S19:T19"/>
    <mergeCell ref="O17:AF17"/>
    <mergeCell ref="O18:P18"/>
    <mergeCell ref="Q18:R18"/>
    <mergeCell ref="S18:T18"/>
    <mergeCell ref="U18:V18"/>
    <mergeCell ref="W18:X18"/>
    <mergeCell ref="Y18:Z18"/>
    <mergeCell ref="AA18:AB18"/>
    <mergeCell ref="AC18:AD18"/>
    <mergeCell ref="AE18:AF18"/>
    <mergeCell ref="U19:V19"/>
    <mergeCell ref="W19:X19"/>
    <mergeCell ref="Y19:Z19"/>
    <mergeCell ref="AA19:AB19"/>
    <mergeCell ref="AC19:AD19"/>
    <mergeCell ref="B19:G19"/>
    <mergeCell ref="H19:L19"/>
    <mergeCell ref="M19:N19"/>
    <mergeCell ref="O19:P19"/>
    <mergeCell ref="Q19:R19"/>
    <mergeCell ref="B20:G20"/>
    <mergeCell ref="H20:L20"/>
    <mergeCell ref="M20:N20"/>
    <mergeCell ref="O20:P20"/>
    <mergeCell ref="Q20:R20"/>
    <mergeCell ref="S25:T25"/>
    <mergeCell ref="AE20:AF20"/>
    <mergeCell ref="O24:P24"/>
    <mergeCell ref="Q24:R24"/>
    <mergeCell ref="S24:T24"/>
    <mergeCell ref="U24:V24"/>
    <mergeCell ref="W24:X24"/>
    <mergeCell ref="Y24:Z24"/>
    <mergeCell ref="AA24:AB24"/>
    <mergeCell ref="AC24:AD24"/>
    <mergeCell ref="S20:T20"/>
    <mergeCell ref="U20:V20"/>
    <mergeCell ref="W20:X20"/>
    <mergeCell ref="Y20:Z20"/>
    <mergeCell ref="AA20:AB20"/>
    <mergeCell ref="AC20:AD20"/>
    <mergeCell ref="B25:G25"/>
    <mergeCell ref="H25:L25"/>
    <mergeCell ref="M25:N25"/>
    <mergeCell ref="O25:P25"/>
    <mergeCell ref="Q25:R25"/>
    <mergeCell ref="U25:V25"/>
    <mergeCell ref="W25:X25"/>
    <mergeCell ref="Y25:Z25"/>
    <mergeCell ref="AA25:AB25"/>
    <mergeCell ref="AC25:AD25"/>
  </mergeCells>
  <conditionalFormatting sqref="BH5:BI5 AY5:AZ5 BH6:BH24 AY6:AY42 BH26:BH65 AY89:AZ91 BI89:BI91 BI6:BI82 AZ6:AZ83 AY69:AY83 BH83:BI83">
    <cfRule type="cellIs" dxfId="333" priority="30" stopIfTrue="1" operator="equal">
      <formula>0</formula>
    </cfRule>
  </conditionalFormatting>
  <conditionalFormatting sqref="O17:AF17 O19:T19 W20:AF20 O25:T25">
    <cfRule type="expression" dxfId="332" priority="29" stopIfTrue="1">
      <formula>$AW$4=0</formula>
    </cfRule>
  </conditionalFormatting>
  <conditionalFormatting sqref="AY50 AY52:AY54">
    <cfRule type="cellIs" dxfId="331" priority="28" stopIfTrue="1" operator="equal">
      <formula>0</formula>
    </cfRule>
  </conditionalFormatting>
  <conditionalFormatting sqref="AY55">
    <cfRule type="cellIs" dxfId="330" priority="27" stopIfTrue="1" operator="equal">
      <formula>0</formula>
    </cfRule>
  </conditionalFormatting>
  <conditionalFormatting sqref="AY59:AY68">
    <cfRule type="cellIs" dxfId="329" priority="26" stopIfTrue="1" operator="equal">
      <formula>0</formula>
    </cfRule>
  </conditionalFormatting>
  <conditionalFormatting sqref="BH25">
    <cfRule type="cellIs" dxfId="328" priority="25" stopIfTrue="1" operator="equal">
      <formula>0</formula>
    </cfRule>
  </conditionalFormatting>
  <conditionalFormatting sqref="AY43:AY48">
    <cfRule type="cellIs" dxfId="327" priority="24" stopIfTrue="1" operator="equal">
      <formula>0</formula>
    </cfRule>
  </conditionalFormatting>
  <conditionalFormatting sqref="AY49">
    <cfRule type="cellIs" dxfId="326" priority="23" stopIfTrue="1" operator="equal">
      <formula>0</formula>
    </cfRule>
  </conditionalFormatting>
  <conditionalFormatting sqref="AY56:AY58">
    <cfRule type="cellIs" dxfId="325" priority="22" stopIfTrue="1" operator="equal">
      <formula>0</formula>
    </cfRule>
  </conditionalFormatting>
  <conditionalFormatting sqref="BH81">
    <cfRule type="cellIs" dxfId="324" priority="21" stopIfTrue="1" operator="equal">
      <formula>0</formula>
    </cfRule>
  </conditionalFormatting>
  <conditionalFormatting sqref="BH89:BH91">
    <cfRule type="cellIs" dxfId="323" priority="20" stopIfTrue="1" operator="equal">
      <formula>0</formula>
    </cfRule>
  </conditionalFormatting>
  <conditionalFormatting sqref="BH66:BH80">
    <cfRule type="cellIs" dxfId="322" priority="18" stopIfTrue="1" operator="equal">
      <formula>0</formula>
    </cfRule>
  </conditionalFormatting>
  <conditionalFormatting sqref="AY51">
    <cfRule type="cellIs" dxfId="321" priority="17" stopIfTrue="1" operator="equal">
      <formula>0</formula>
    </cfRule>
  </conditionalFormatting>
  <conditionalFormatting sqref="BH82">
    <cfRule type="cellIs" dxfId="320" priority="16" stopIfTrue="1" operator="equal">
      <formula>0</formula>
    </cfRule>
  </conditionalFormatting>
  <conditionalFormatting sqref="F13:K13">
    <cfRule type="expression" dxfId="319" priority="15" stopIfTrue="1">
      <formula>$AW$4=1</formula>
    </cfRule>
  </conditionalFormatting>
  <conditionalFormatting sqref="U19:AD19">
    <cfRule type="expression" dxfId="318" priority="11" stopIfTrue="1">
      <formula>$AW$4=0</formula>
    </cfRule>
  </conditionalFormatting>
  <conditionalFormatting sqref="AC25:AD25">
    <cfRule type="expression" dxfId="317" priority="6" stopIfTrue="1">
      <formula>$AW$4=0</formula>
    </cfRule>
  </conditionalFormatting>
  <conditionalFormatting sqref="U25:V25">
    <cfRule type="expression" dxfId="316" priority="10" stopIfTrue="1">
      <formula>$AW$4=0</formula>
    </cfRule>
  </conditionalFormatting>
  <conditionalFormatting sqref="W25:X25">
    <cfRule type="expression" dxfId="315" priority="9" stopIfTrue="1">
      <formula>$AW$4=0</formula>
    </cfRule>
  </conditionalFormatting>
  <conditionalFormatting sqref="Y25:Z25">
    <cfRule type="expression" dxfId="314" priority="8" stopIfTrue="1">
      <formula>$AW$4=0</formula>
    </cfRule>
  </conditionalFormatting>
  <conditionalFormatting sqref="AA25:AB25">
    <cfRule type="expression" dxfId="313" priority="7" stopIfTrue="1">
      <formula>$AW$4=0</formula>
    </cfRule>
  </conditionalFormatting>
  <conditionalFormatting sqref="AZ84:AZ88">
    <cfRule type="cellIs" dxfId="312" priority="5" stopIfTrue="1" operator="equal">
      <formula>0</formula>
    </cfRule>
  </conditionalFormatting>
  <conditionalFormatting sqref="AY84:AY88">
    <cfRule type="cellIs" dxfId="311" priority="4" stopIfTrue="1" operator="equal">
      <formula>0</formula>
    </cfRule>
  </conditionalFormatting>
  <conditionalFormatting sqref="BH84 BH87:BH88">
    <cfRule type="cellIs" dxfId="310" priority="3" stopIfTrue="1" operator="equal">
      <formula>0</formula>
    </cfRule>
  </conditionalFormatting>
  <conditionalFormatting sqref="BI84:BI88">
    <cfRule type="cellIs" dxfId="309" priority="2" stopIfTrue="1" operator="equal">
      <formula>0</formula>
    </cfRule>
  </conditionalFormatting>
  <conditionalFormatting sqref="BH85:BH86">
    <cfRule type="cellIs" dxfId="308" priority="1" stopIfTrue="1" operator="equal">
      <formula>0</formula>
    </cfRule>
  </conditionalFormatting>
  <hyperlinks>
    <hyperlink ref="M4" location="MENU!A1" display="MENU!A1" xr:uid="{00000000-0004-0000-1200-000000000000}"/>
    <hyperlink ref="M10" location="OBJ!A1" display="OBJ!A1" xr:uid="{00000000-0004-0000-1200-000001000000}"/>
    <hyperlink ref="M9" location="suhrn!A1" display="suhrn!A1" xr:uid="{00000000-0004-0000-1200-000002000000}"/>
    <hyperlink ref="O2:S2" location="MENU!A5" display="MENU!A5" xr:uid="{00000000-0004-0000-1200-000003000000}"/>
  </hyperlinks>
  <printOptions horizontalCentered="1"/>
  <pageMargins left="0.19685039370078741" right="0.19685039370078741" top="0.19685039370078741" bottom="0.19685039370078741" header="0.31496062992125984" footer="0.31496062992125984"/>
  <pageSetup paperSize="9" orientation="landscape" r:id="rId1"/>
  <headerFooter>
    <oddHeader>&amp;R&amp;"Aptos"&amp;10&amp;K000000 Restricted&amp;1#_x000D_</oddHeader>
  </headerFooter>
  <drawing r:id="rId2"/>
  <legacyDrawing r:id="rId3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List10">
    <tabColor theme="9" tint="-0.249977111117893"/>
  </sheetPr>
  <dimension ref="A1:BK86"/>
  <sheetViews>
    <sheetView showGridLines="0" showRowColHeaders="0" zoomScale="95" zoomScaleNormal="95" workbookViewId="0"/>
  </sheetViews>
  <sheetFormatPr defaultColWidth="9" defaultRowHeight="13.8"/>
  <cols>
    <col min="1" max="1" width="3.59765625" style="86" customWidth="1"/>
    <col min="2" max="4" width="3.09765625" style="86" customWidth="1"/>
    <col min="5" max="5" width="7.59765625" style="86" customWidth="1"/>
    <col min="6" max="44" width="3.09765625" style="86" customWidth="1"/>
    <col min="45" max="45" width="3.59765625" style="86" customWidth="1"/>
    <col min="46" max="46" width="9" style="86" customWidth="1"/>
    <col min="47" max="47" width="9" style="86" hidden="1" customWidth="1"/>
    <col min="48" max="48" width="32.5" style="86" hidden="1" customWidth="1"/>
    <col min="49" max="49" width="4.3984375" style="86" hidden="1" customWidth="1"/>
    <col min="50" max="50" width="2" style="86" hidden="1" customWidth="1"/>
    <col min="51" max="52" width="4.59765625" style="86" hidden="1" customWidth="1"/>
    <col min="53" max="54" width="9" style="86" hidden="1" customWidth="1"/>
    <col min="55" max="55" width="2.59765625" style="86" hidden="1" customWidth="1"/>
    <col min="56" max="56" width="9" style="86" hidden="1" customWidth="1"/>
    <col min="57" max="57" width="33.8984375" style="86" hidden="1" customWidth="1"/>
    <col min="58" max="58" width="4.3984375" style="86" hidden="1" customWidth="1"/>
    <col min="59" max="59" width="2" style="86" hidden="1" customWidth="1"/>
    <col min="60" max="61" width="4.59765625" style="86" hidden="1" customWidth="1"/>
    <col min="62" max="63" width="9" style="86" hidden="1" customWidth="1"/>
    <col min="64" max="75" width="9" style="86" customWidth="1"/>
    <col min="76" max="16384" width="9" style="86"/>
  </cols>
  <sheetData>
    <row r="1" spans="1:63" ht="12.9" customHeight="1" thickBot="1">
      <c r="A1" s="86" t="s">
        <v>1301</v>
      </c>
      <c r="AU1" s="140"/>
      <c r="AV1" s="279"/>
      <c r="AW1" s="279"/>
      <c r="AX1" s="140"/>
      <c r="AY1" s="140"/>
      <c r="AZ1" s="140"/>
      <c r="BA1" s="140"/>
      <c r="BB1" s="140"/>
      <c r="BC1" s="140"/>
      <c r="BD1" s="140"/>
      <c r="BE1" s="140"/>
      <c r="BF1" s="140"/>
      <c r="BG1" s="140"/>
      <c r="BH1" s="140"/>
      <c r="BI1" s="140"/>
      <c r="BJ1" s="140"/>
      <c r="BK1" s="140"/>
    </row>
    <row r="2" spans="1:63" ht="23.1" customHeight="1" thickBot="1">
      <c r="B2" s="475" t="str">
        <f>verze!E13</f>
        <v>&lt;&lt;  zpět</v>
      </c>
      <c r="C2" s="476"/>
      <c r="D2" s="476"/>
      <c r="E2" s="477"/>
      <c r="G2" s="513" t="str">
        <f>verze!E6</f>
        <v xml:space="preserve"> Úvod</v>
      </c>
      <c r="H2" s="514"/>
      <c r="I2" s="514"/>
      <c r="J2" s="514"/>
      <c r="K2" s="515"/>
      <c r="O2" s="500" t="str">
        <f>verze!E7</f>
        <v xml:space="preserve"> Výběr zásuvek</v>
      </c>
      <c r="P2" s="501"/>
      <c r="Q2" s="501"/>
      <c r="R2" s="501"/>
      <c r="S2" s="502"/>
      <c r="U2" s="513" t="str">
        <f>verze!E8</f>
        <v xml:space="preserve"> </v>
      </c>
      <c r="V2" s="514"/>
      <c r="W2" s="514"/>
      <c r="X2" s="514"/>
      <c r="Y2" s="515"/>
      <c r="AA2" s="513" t="str">
        <f>verze!E9</f>
        <v xml:space="preserve"> </v>
      </c>
      <c r="AB2" s="514"/>
      <c r="AC2" s="514"/>
      <c r="AD2" s="514"/>
      <c r="AE2" s="515"/>
      <c r="AI2" s="513" t="str">
        <f>verze!E10</f>
        <v xml:space="preserve"> Objednávka</v>
      </c>
      <c r="AJ2" s="514"/>
      <c r="AK2" s="514"/>
      <c r="AL2" s="514"/>
      <c r="AM2" s="515"/>
      <c r="AO2" s="475" t="str">
        <f>verze!E14</f>
        <v>vpřed  &gt;&gt;</v>
      </c>
      <c r="AP2" s="476"/>
      <c r="AQ2" s="476"/>
      <c r="AR2" s="477"/>
      <c r="AV2" s="143"/>
      <c r="AW2" s="143"/>
    </row>
    <row r="3" spans="1:63" ht="12.9" customHeight="1">
      <c r="AV3" s="143"/>
      <c r="AW3" s="143"/>
    </row>
    <row r="4" spans="1:63" ht="23.1" customHeight="1">
      <c r="A4" s="89"/>
      <c r="B4" s="93" t="str">
        <f>verze!E206&amp;" AVANTECH YOU  187 Inlay / 187 Inlay"</f>
        <v>Zásuvka AVANTECH YOU  187 Inlay / 187 Inlay</v>
      </c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U4" s="94" t="s">
        <v>33</v>
      </c>
      <c r="AW4" s="285">
        <f>IF(FORM!AU13=FORM!U18,1,0)</f>
        <v>1</v>
      </c>
      <c r="BB4" s="322">
        <f>SUM(BB5:BB939)</f>
        <v>0</v>
      </c>
      <c r="BD4" s="94" t="s">
        <v>34</v>
      </c>
      <c r="BK4" s="322">
        <f>SUM(BK5:BK932)</f>
        <v>0</v>
      </c>
    </row>
    <row r="5" spans="1:63" ht="14.4" customHeight="1">
      <c r="AU5" s="319">
        <f>OBJ!B168</f>
        <v>9353283</v>
      </c>
      <c r="AV5" s="21" t="str">
        <f>VLOOKUP(AU5,CENY!$B$11:$G$1054,2,FALSE)</f>
        <v>AvanY-sólo boky Inlay-NW 187/350mm/strieb.</v>
      </c>
      <c r="AW5" s="22">
        <f>VLOOKUP(AU5,CENY!$B$11:$G$1054,3,FALSE)</f>
        <v>1</v>
      </c>
      <c r="AX5" s="362">
        <v>6</v>
      </c>
      <c r="AY5" s="23">
        <f>2*(S19+S25)</f>
        <v>0</v>
      </c>
      <c r="AZ5" s="326">
        <f t="shared" ref="AZ5:AZ61" si="0">IF(AY5="","",IF($AW$4=1,AY5,0))</f>
        <v>0</v>
      </c>
      <c r="BA5" s="95">
        <f>VLOOKUP(AU5,CENY!$B$11:$M$2025,12,FALSE)</f>
        <v>840.18591000000004</v>
      </c>
      <c r="BB5" s="95">
        <f t="shared" ref="BB5:BB60" si="1">IF(BA5="","",BA5*AY5)</f>
        <v>0</v>
      </c>
      <c r="BD5" s="319">
        <f>OBJ!B176</f>
        <v>9257131</v>
      </c>
      <c r="BE5" s="21" t="str">
        <f>VLOOKUP(BD5,CENY!$B$11:$G$1054,2,FALSE)</f>
        <v>AvanY-bok Inlay ľavý /v187/h350/ strieb.</v>
      </c>
      <c r="BF5" s="22">
        <f>VLOOKUP(BD5,CENY!$B$11:$G$1054,3,FALSE)</f>
        <v>10</v>
      </c>
      <c r="BG5" s="22"/>
      <c r="BH5" s="23">
        <f>AY5</f>
        <v>0</v>
      </c>
      <c r="BI5" s="326">
        <f t="shared" ref="BI5:BI55" si="2">IF(BH5="","",IF($AW$4=0,BH5,0))</f>
        <v>0</v>
      </c>
      <c r="BJ5" s="95">
        <f>VLOOKUP(BD5,CENY!$B$11:$M$2025,12,FALSE)</f>
        <v>380.11588</v>
      </c>
      <c r="BK5" s="95">
        <f t="shared" ref="BK5:BK55" si="3">IF(BJ5="","",BJ5*BH5)</f>
        <v>0</v>
      </c>
    </row>
    <row r="6" spans="1:63" ht="14.4" customHeight="1">
      <c r="B6" s="549" t="str">
        <f>" "&amp;verze!E90</f>
        <v xml:space="preserve"> bočnice:</v>
      </c>
      <c r="C6" s="549"/>
      <c r="D6" s="549"/>
      <c r="E6" s="549"/>
      <c r="F6" s="564" t="s">
        <v>390</v>
      </c>
      <c r="G6" s="564"/>
      <c r="H6" s="564"/>
      <c r="I6" s="564"/>
      <c r="J6" s="564"/>
      <c r="K6" s="564"/>
      <c r="AU6" s="319">
        <f>OBJ!B169</f>
        <v>9353284</v>
      </c>
      <c r="AV6" s="21" t="str">
        <f>VLOOKUP(AU6,CENY!$B$11:$G$1054,2,FALSE)</f>
        <v>AvanY-sólo boky Inlay-NW 187/400mm/strieb.</v>
      </c>
      <c r="AW6" s="22">
        <f>VLOOKUP(AU6,CENY!$B$11:$G$1054,3,FALSE)</f>
        <v>1</v>
      </c>
      <c r="AX6" s="362">
        <v>6</v>
      </c>
      <c r="AY6" s="23">
        <f>2*(U19+U25)</f>
        <v>0</v>
      </c>
      <c r="AZ6" s="326">
        <f t="shared" si="0"/>
        <v>0</v>
      </c>
      <c r="BA6" s="95">
        <f>VLOOKUP(AU6,CENY!$B$11:$M$2025,12,FALSE)</f>
        <v>852.13201000000004</v>
      </c>
      <c r="BB6" s="95">
        <f t="shared" si="1"/>
        <v>0</v>
      </c>
      <c r="BD6" s="319">
        <f>OBJ!B177</f>
        <v>9257132</v>
      </c>
      <c r="BE6" s="21" t="str">
        <f>VLOOKUP(BD6,CENY!$B$11:$G$1054,2,FALSE)</f>
        <v>AvanY-bok Inlay pravý /v187/h350/ strieb.</v>
      </c>
      <c r="BF6" s="22">
        <f>VLOOKUP(BD6,CENY!$B$11:$G$1054,3,FALSE)</f>
        <v>10</v>
      </c>
      <c r="BG6" s="22"/>
      <c r="BH6" s="23">
        <f>AY5</f>
        <v>0</v>
      </c>
      <c r="BI6" s="326">
        <f t="shared" si="2"/>
        <v>0</v>
      </c>
      <c r="BJ6" s="95">
        <f>VLOOKUP(BD6,CENY!$B$11:$M$2025,12,FALSE)</f>
        <v>380.11588</v>
      </c>
      <c r="BK6" s="95">
        <f t="shared" si="3"/>
        <v>0</v>
      </c>
    </row>
    <row r="7" spans="1:63" ht="14.4" customHeight="1">
      <c r="B7" s="549" t="str">
        <f>" "&amp;verze!E56</f>
        <v xml:space="preserve"> barva:</v>
      </c>
      <c r="C7" s="549"/>
      <c r="D7" s="549"/>
      <c r="E7" s="549"/>
      <c r="F7" s="564" t="str">
        <f>" "&amp;FORM!U8</f>
        <v xml:space="preserve"> stříbrná</v>
      </c>
      <c r="G7" s="564"/>
      <c r="H7" s="564"/>
      <c r="I7" s="564"/>
      <c r="J7" s="564"/>
      <c r="K7" s="564"/>
      <c r="AU7" s="319">
        <f>OBJ!B170</f>
        <v>9353285</v>
      </c>
      <c r="AV7" s="21" t="str">
        <f>VLOOKUP(AU7,CENY!$B$11:$G$1054,2,FALSE)</f>
        <v>AvanY-sólo boky Inlay-NW 187/450mm/strieb.</v>
      </c>
      <c r="AW7" s="22">
        <f>VLOOKUP(AU7,CENY!$B$11:$G$1054,3,FALSE)</f>
        <v>1</v>
      </c>
      <c r="AX7" s="362">
        <v>6</v>
      </c>
      <c r="AY7" s="23">
        <f>2*(W19+W20+W25)</f>
        <v>0</v>
      </c>
      <c r="AZ7" s="326">
        <f t="shared" si="0"/>
        <v>0</v>
      </c>
      <c r="BA7" s="95">
        <f>VLOOKUP(AU7,CENY!$B$11:$M$2025,12,FALSE)</f>
        <v>841.09733000000006</v>
      </c>
      <c r="BB7" s="95">
        <f t="shared" si="1"/>
        <v>0</v>
      </c>
      <c r="BD7" s="319">
        <f>OBJ!B178</f>
        <v>9257133</v>
      </c>
      <c r="BE7" s="21" t="str">
        <f>VLOOKUP(BD7,CENY!$B$11:$G$1054,2,FALSE)</f>
        <v>AvanY-bok Inlay ľavý /v187/h400/ strieb.</v>
      </c>
      <c r="BF7" s="22">
        <f>VLOOKUP(BD7,CENY!$B$11:$G$1054,3,FALSE)</f>
        <v>10</v>
      </c>
      <c r="BG7" s="22"/>
      <c r="BH7" s="23">
        <f>AY6</f>
        <v>0</v>
      </c>
      <c r="BI7" s="326">
        <f t="shared" si="2"/>
        <v>0</v>
      </c>
      <c r="BJ7" s="95">
        <f>VLOOKUP(BD7,CENY!$B$11:$M$2025,12,FALSE)</f>
        <v>386.98174</v>
      </c>
      <c r="BK7" s="95">
        <f t="shared" si="3"/>
        <v>0</v>
      </c>
    </row>
    <row r="8" spans="1:63" ht="14.4" customHeight="1">
      <c r="B8" s="549" t="str">
        <f>" "&amp;verze!E70</f>
        <v xml:space="preserve"> dekorativní profil:</v>
      </c>
      <c r="C8" s="549"/>
      <c r="D8" s="549"/>
      <c r="E8" s="549"/>
      <c r="F8" s="564" t="str">
        <f>" "&amp;FORM!AM18</f>
        <v xml:space="preserve"> v barvě bočnice</v>
      </c>
      <c r="G8" s="564"/>
      <c r="H8" s="564"/>
      <c r="I8" s="564"/>
      <c r="J8" s="564"/>
      <c r="K8" s="564"/>
      <c r="AU8" s="319">
        <f>OBJ!B171</f>
        <v>9353286</v>
      </c>
      <c r="AV8" s="21" t="str">
        <f>VLOOKUP(AU8,CENY!$B$11:$G$1054,2,FALSE)</f>
        <v>AvanY-sólo boky Inlay-NW 187/500mm/strieb.</v>
      </c>
      <c r="AW8" s="22">
        <f>VLOOKUP(AU8,CENY!$B$11:$G$1054,3,FALSE)</f>
        <v>1</v>
      </c>
      <c r="AX8" s="362">
        <v>8</v>
      </c>
      <c r="AY8" s="23">
        <f>2*(Y19+Y20+Y25)</f>
        <v>0</v>
      </c>
      <c r="AZ8" s="326">
        <f t="shared" si="0"/>
        <v>0</v>
      </c>
      <c r="BA8" s="95">
        <f>VLOOKUP(AU8,CENY!$B$11:$M$2025,12,FALSE)</f>
        <v>852.72563000000002</v>
      </c>
      <c r="BB8" s="95">
        <f t="shared" si="1"/>
        <v>0</v>
      </c>
      <c r="BD8" s="319">
        <f>OBJ!B179</f>
        <v>9257134</v>
      </c>
      <c r="BE8" s="21" t="str">
        <f>VLOOKUP(BD8,CENY!$B$11:$G$1054,2,FALSE)</f>
        <v>AvanY-bok Inlay pravý /v187/h400/ strieb.</v>
      </c>
      <c r="BF8" s="22">
        <f>VLOOKUP(BD8,CENY!$B$11:$G$1054,3,FALSE)</f>
        <v>10</v>
      </c>
      <c r="BG8" s="22"/>
      <c r="BH8" s="23">
        <f>AY6</f>
        <v>0</v>
      </c>
      <c r="BI8" s="326">
        <f t="shared" si="2"/>
        <v>0</v>
      </c>
      <c r="BJ8" s="95">
        <f>VLOOKUP(BD8,CENY!$B$11:$M$2025,12,FALSE)</f>
        <v>386.98174</v>
      </c>
      <c r="BK8" s="95">
        <f t="shared" si="3"/>
        <v>0</v>
      </c>
    </row>
    <row r="9" spans="1:63" ht="14.4" customHeight="1">
      <c r="B9" s="550"/>
      <c r="C9" s="558"/>
      <c r="D9" s="558"/>
      <c r="E9" s="559"/>
      <c r="F9" s="560"/>
      <c r="G9" s="561"/>
      <c r="H9" s="561"/>
      <c r="I9" s="561"/>
      <c r="J9" s="561"/>
      <c r="K9" s="562"/>
      <c r="AU9" s="319">
        <f>OBJ!B172</f>
        <v>9353287</v>
      </c>
      <c r="AV9" s="21" t="str">
        <f>VLOOKUP(AU9,CENY!$B$11:$G$1054,2,FALSE)</f>
        <v>AvanY-sólo boky Inlay-NW 187/550mm/strieb.</v>
      </c>
      <c r="AW9" s="22">
        <f>VLOOKUP(AU9,CENY!$B$11:$G$1054,3,FALSE)</f>
        <v>1</v>
      </c>
      <c r="AX9" s="362">
        <v>8</v>
      </c>
      <c r="AY9" s="23">
        <f>2*(AA19+AA20+AA25)</f>
        <v>0</v>
      </c>
      <c r="AZ9" s="326">
        <f t="shared" si="0"/>
        <v>0</v>
      </c>
      <c r="BA9" s="95">
        <f>VLOOKUP(AU9,CENY!$B$11:$M$2025,12,FALSE)</f>
        <v>887.97243000000003</v>
      </c>
      <c r="BB9" s="95">
        <f t="shared" si="1"/>
        <v>0</v>
      </c>
      <c r="BD9" s="319">
        <f>OBJ!B180</f>
        <v>9257135</v>
      </c>
      <c r="BE9" s="21" t="str">
        <f>VLOOKUP(BD9,CENY!$B$11:$G$1054,2,FALSE)</f>
        <v>AvanY-bok Inlay ľavý /v187/h450/ strieb.</v>
      </c>
      <c r="BF9" s="22">
        <f>VLOOKUP(BD9,CENY!$B$11:$G$1054,3,FALSE)</f>
        <v>10</v>
      </c>
      <c r="BG9" s="22"/>
      <c r="BH9" s="23">
        <f>AY7</f>
        <v>0</v>
      </c>
      <c r="BI9" s="326">
        <f t="shared" si="2"/>
        <v>0</v>
      </c>
      <c r="BJ9" s="95">
        <f>VLOOKUP(BD9,CENY!$B$11:$M$2025,12,FALSE)</f>
        <v>393.85784000000001</v>
      </c>
      <c r="BK9" s="95">
        <f t="shared" si="3"/>
        <v>0</v>
      </c>
    </row>
    <row r="10" spans="1:63" ht="14.4" customHeight="1">
      <c r="B10" s="549" t="str">
        <f>" "&amp;verze!E57</f>
        <v xml:space="preserve"> čelní kování:</v>
      </c>
      <c r="C10" s="549"/>
      <c r="D10" s="549"/>
      <c r="E10" s="549"/>
      <c r="F10" s="563" t="str">
        <f>" "&amp;FORM!AM8</f>
        <v xml:space="preserve"> na vruty</v>
      </c>
      <c r="G10" s="563"/>
      <c r="H10" s="563"/>
      <c r="I10" s="563"/>
      <c r="J10" s="563"/>
      <c r="K10" s="563"/>
      <c r="AU10" s="319">
        <f>OBJ!B173</f>
        <v>9353288</v>
      </c>
      <c r="AV10" s="21" t="str">
        <f>VLOOKUP(AU10,CENY!$B$11:$G$1054,2,FALSE)</f>
        <v>AvanY-sólo boky Inlay-NW 187/600mm/strieb.</v>
      </c>
      <c r="AW10" s="22">
        <f>VLOOKUP(AU10,CENY!$B$11:$G$1054,3,FALSE)</f>
        <v>1</v>
      </c>
      <c r="AX10" s="362">
        <v>8</v>
      </c>
      <c r="AY10" s="23">
        <f>2*(AC19+AC20+AC25)</f>
        <v>0</v>
      </c>
      <c r="AZ10" s="326">
        <f t="shared" si="0"/>
        <v>0</v>
      </c>
      <c r="BA10" s="95">
        <f>VLOOKUP(AU10,CENY!$B$11:$M$2025,12,FALSE)</f>
        <v>905.98955999999998</v>
      </c>
      <c r="BB10" s="95">
        <f t="shared" si="1"/>
        <v>0</v>
      </c>
      <c r="BD10" s="319">
        <f>OBJ!B181</f>
        <v>9257136</v>
      </c>
      <c r="BE10" s="21" t="str">
        <f>VLOOKUP(BD10,CENY!$B$11:$G$1054,2,FALSE)</f>
        <v>AvanY-bok Inlay pravý /v187/h450/ strieb.</v>
      </c>
      <c r="BF10" s="22">
        <f>VLOOKUP(BD10,CENY!$B$11:$G$1054,3,FALSE)</f>
        <v>10</v>
      </c>
      <c r="BG10" s="22"/>
      <c r="BH10" s="23">
        <f>AY7</f>
        <v>0</v>
      </c>
      <c r="BI10" s="326">
        <f t="shared" si="2"/>
        <v>0</v>
      </c>
      <c r="BJ10" s="95">
        <f>VLOOKUP(BD10,CENY!$B$11:$M$2025,12,FALSE)</f>
        <v>393.85784000000001</v>
      </c>
      <c r="BK10" s="95">
        <f t="shared" si="3"/>
        <v>0</v>
      </c>
    </row>
    <row r="11" spans="1:63" ht="14.4" customHeight="1">
      <c r="B11" s="549" t="str">
        <f>" "&amp;verze!E76</f>
        <v xml:space="preserve"> krytka:</v>
      </c>
      <c r="C11" s="549"/>
      <c r="D11" s="549"/>
      <c r="E11" s="549"/>
      <c r="F11" s="563" t="str">
        <f>" "&amp;FORM!AM21</f>
        <v xml:space="preserve"> žádná</v>
      </c>
      <c r="G11" s="563"/>
      <c r="H11" s="563"/>
      <c r="I11" s="563"/>
      <c r="J11" s="563"/>
      <c r="K11" s="563"/>
      <c r="AU11" s="319">
        <f>OBJ!B174</f>
        <v>9353289</v>
      </c>
      <c r="AV11" s="21" t="str">
        <f>VLOOKUP(AU11,CENY!$B$11:$G$1054,2,FALSE)</f>
        <v>AvanY-sólo boky Inlay-NW 187/650mm/strieb.</v>
      </c>
      <c r="AW11" s="22">
        <f>VLOOKUP(AU11,CENY!$B$11:$G$1054,3,FALSE)</f>
        <v>1</v>
      </c>
      <c r="AX11" s="362">
        <v>10</v>
      </c>
      <c r="AY11" s="23">
        <f>2*(AE20)</f>
        <v>0</v>
      </c>
      <c r="AZ11" s="326">
        <f t="shared" si="0"/>
        <v>0</v>
      </c>
      <c r="BA11" s="95">
        <f>VLOOKUP(AU11,CENY!$B$11:$M$2025,12,FALSE)</f>
        <v>930.49195999999995</v>
      </c>
      <c r="BB11" s="95">
        <f t="shared" si="1"/>
        <v>0</v>
      </c>
      <c r="BD11" s="319">
        <f>OBJ!B182</f>
        <v>9257137</v>
      </c>
      <c r="BE11" s="21" t="str">
        <f>VLOOKUP(BD11,CENY!$B$11:$G$1054,2,FALSE)</f>
        <v>AvanY-bok Inlay ľavý /v187/h500/ strieb.</v>
      </c>
      <c r="BF11" s="22">
        <f>VLOOKUP(BD11,CENY!$B$11:$G$1054,3,FALSE)</f>
        <v>10</v>
      </c>
      <c r="BG11" s="22"/>
      <c r="BH11" s="23">
        <f>AY8</f>
        <v>0</v>
      </c>
      <c r="BI11" s="326">
        <f t="shared" si="2"/>
        <v>0</v>
      </c>
      <c r="BJ11" s="95">
        <f>VLOOKUP(BD11,CENY!$B$11:$M$2025,12,FALSE)</f>
        <v>390.06617</v>
      </c>
      <c r="BK11" s="95">
        <f t="shared" si="3"/>
        <v>0</v>
      </c>
    </row>
    <row r="12" spans="1:63" ht="14.4" customHeight="1" thickBot="1">
      <c r="B12" s="549"/>
      <c r="C12" s="549"/>
      <c r="D12" s="549"/>
      <c r="E12" s="550"/>
      <c r="F12" s="551"/>
      <c r="G12" s="552"/>
      <c r="H12" s="552"/>
      <c r="I12" s="552"/>
      <c r="J12" s="553"/>
      <c r="K12" s="554"/>
      <c r="AU12" s="319"/>
      <c r="AV12" s="21"/>
      <c r="AW12" s="22"/>
      <c r="AX12" s="22"/>
      <c r="AY12" s="23"/>
      <c r="AZ12" s="326" t="str">
        <f t="shared" si="0"/>
        <v/>
      </c>
      <c r="BA12" s="95"/>
      <c r="BB12" s="95" t="str">
        <f t="shared" si="1"/>
        <v/>
      </c>
      <c r="BD12" s="319">
        <f>OBJ!B183</f>
        <v>9257138</v>
      </c>
      <c r="BE12" s="21" t="str">
        <f>VLOOKUP(BD12,CENY!$B$11:$G$1054,2,FALSE)</f>
        <v>AvanY-bok Inlay pravý /v187/h500/ strieb.</v>
      </c>
      <c r="BF12" s="22">
        <f>VLOOKUP(BD12,CENY!$B$11:$G$1054,3,FALSE)</f>
        <v>10</v>
      </c>
      <c r="BG12" s="22"/>
      <c r="BH12" s="23">
        <f>AY8</f>
        <v>0</v>
      </c>
      <c r="BI12" s="326">
        <f t="shared" si="2"/>
        <v>0</v>
      </c>
      <c r="BJ12" s="95">
        <f>VLOOKUP(BD12,CENY!$B$11:$M$2025,12,FALSE)</f>
        <v>390.06617</v>
      </c>
      <c r="BK12" s="95">
        <f t="shared" si="3"/>
        <v>0</v>
      </c>
    </row>
    <row r="13" spans="1:63" ht="14.4" customHeight="1">
      <c r="B13" s="549" t="str">
        <f>" "&amp;verze!E92</f>
        <v xml:space="preserve"> cena kování:</v>
      </c>
      <c r="C13" s="549"/>
      <c r="D13" s="549"/>
      <c r="E13" s="550"/>
      <c r="F13" s="555">
        <f>IF(AW4=1,BB4,BK4)</f>
        <v>0</v>
      </c>
      <c r="G13" s="555"/>
      <c r="H13" s="555"/>
      <c r="I13" s="555"/>
      <c r="J13" s="556" t="str">
        <f>IF(verze!E1="CZK","CZK","EUR")</f>
        <v>CZK</v>
      </c>
      <c r="K13" s="557"/>
      <c r="AU13" s="319">
        <f>OBJ!B216</f>
        <v>9283178</v>
      </c>
      <c r="AV13" s="21" t="str">
        <f>VLOOKUP(AU13,CENY!$B$11:$G$1054,2,FALSE)</f>
        <v>AvanY-Inlay sklenené boky 350mm; 2 x sklo</v>
      </c>
      <c r="AW13" s="22">
        <f>VLOOKUP(AU13,CENY!$B$11:$G$1054,3,FALSE)</f>
        <v>1</v>
      </c>
      <c r="AX13" s="22"/>
      <c r="AY13" s="23">
        <f>2*(S19+S25)</f>
        <v>0</v>
      </c>
      <c r="AZ13" s="326">
        <f t="shared" si="0"/>
        <v>0</v>
      </c>
      <c r="BA13" s="95">
        <f>VLOOKUP(AU13,CENY!$B$11:$M$2025,12,FALSE)</f>
        <v>825.32597999999996</v>
      </c>
      <c r="BB13" s="95">
        <f t="shared" si="1"/>
        <v>0</v>
      </c>
      <c r="BD13" s="319">
        <f>OBJ!B184</f>
        <v>9257139</v>
      </c>
      <c r="BE13" s="21" t="str">
        <f>VLOOKUP(BD13,CENY!$B$11:$G$1054,2,FALSE)</f>
        <v>AvanY-bok Inlay ľavý /v187/h550/ strieb.</v>
      </c>
      <c r="BF13" s="22">
        <f>VLOOKUP(BD13,CENY!$B$11:$G$1054,3,FALSE)</f>
        <v>10</v>
      </c>
      <c r="BG13" s="22"/>
      <c r="BH13" s="23">
        <f>AY9</f>
        <v>0</v>
      </c>
      <c r="BI13" s="326">
        <f t="shared" si="2"/>
        <v>0</v>
      </c>
      <c r="BJ13" s="95">
        <f>VLOOKUP(BD13,CENY!$B$11:$M$2025,12,FALSE)</f>
        <v>407.58967999999999</v>
      </c>
      <c r="BK13" s="95">
        <f t="shared" si="3"/>
        <v>0</v>
      </c>
    </row>
    <row r="14" spans="1:63" ht="14.4" customHeight="1">
      <c r="AU14" s="319">
        <f>OBJ!B217</f>
        <v>9283179</v>
      </c>
      <c r="AV14" s="21" t="str">
        <f>VLOOKUP(AU14,CENY!$B$11:$G$1054,2,FALSE)</f>
        <v>AvanY-Inlay sklenené boky 400mm; 2 x sklo</v>
      </c>
      <c r="AW14" s="22">
        <f>VLOOKUP(AU14,CENY!$B$11:$G$1054,3,FALSE)</f>
        <v>1</v>
      </c>
      <c r="AX14" s="22"/>
      <c r="AY14" s="23">
        <f>2*(U19+U25)</f>
        <v>0</v>
      </c>
      <c r="AZ14" s="326">
        <f t="shared" si="0"/>
        <v>0</v>
      </c>
      <c r="BA14" s="95">
        <f>VLOOKUP(AU14,CENY!$B$11:$M$2025,12,FALSE)</f>
        <v>872.05524000000003</v>
      </c>
      <c r="BB14" s="95">
        <f t="shared" si="1"/>
        <v>0</v>
      </c>
      <c r="BD14" s="319">
        <f>OBJ!B185</f>
        <v>9257140</v>
      </c>
      <c r="BE14" s="21" t="str">
        <f>VLOOKUP(BD14,CENY!$B$11:$G$1054,2,FALSE)</f>
        <v>AvanY-bok Inlay pravý /v187/h550/ strieb.</v>
      </c>
      <c r="BF14" s="22">
        <f>VLOOKUP(BD14,CENY!$B$11:$G$1054,3,FALSE)</f>
        <v>10</v>
      </c>
      <c r="BG14" s="22"/>
      <c r="BH14" s="23">
        <f>AY9</f>
        <v>0</v>
      </c>
      <c r="BI14" s="326">
        <f t="shared" si="2"/>
        <v>0</v>
      </c>
      <c r="BJ14" s="95">
        <f>VLOOKUP(BD14,CENY!$B$11:$M$2025,12,FALSE)</f>
        <v>407.58967999999999</v>
      </c>
      <c r="BK14" s="95">
        <f t="shared" si="3"/>
        <v>0</v>
      </c>
    </row>
    <row r="15" spans="1:63" ht="14.4" customHeight="1">
      <c r="AU15" s="319">
        <f>OBJ!B218</f>
        <v>9283180</v>
      </c>
      <c r="AV15" s="21" t="str">
        <f>VLOOKUP(AU15,CENY!$B$11:$G$1054,2,FALSE)</f>
        <v>AvanY-Inlay sklenené boky 450mm; 2 x sklo</v>
      </c>
      <c r="AW15" s="22">
        <f>VLOOKUP(AU15,CENY!$B$11:$G$1054,3,FALSE)</f>
        <v>1</v>
      </c>
      <c r="AX15" s="22"/>
      <c r="AY15" s="23">
        <f>2*(W19+W20+W25)</f>
        <v>0</v>
      </c>
      <c r="AZ15" s="326">
        <f t="shared" si="0"/>
        <v>0</v>
      </c>
      <c r="BA15" s="95">
        <f>VLOOKUP(AU15,CENY!$B$11:$M$2025,12,FALSE)</f>
        <v>918.78985999999998</v>
      </c>
      <c r="BB15" s="95">
        <f t="shared" si="1"/>
        <v>0</v>
      </c>
      <c r="BD15" s="319">
        <f>OBJ!B186</f>
        <v>9257141</v>
      </c>
      <c r="BE15" s="21" t="str">
        <f>VLOOKUP(BD15,CENY!$B$11:$G$1054,2,FALSE)</f>
        <v>AvanY-bok Inlay ľavý /v187/h600/ strieb.</v>
      </c>
      <c r="BF15" s="22">
        <f>VLOOKUP(BD15,CENY!$B$11:$G$1054,3,FALSE)</f>
        <v>10</v>
      </c>
      <c r="BG15" s="22"/>
      <c r="BH15" s="23">
        <f>AY10</f>
        <v>0</v>
      </c>
      <c r="BI15" s="326">
        <f t="shared" si="2"/>
        <v>0</v>
      </c>
      <c r="BJ15" s="95">
        <f>VLOOKUP(BD15,CENY!$B$11:$M$2025,12,FALSE)</f>
        <v>417.95686000000001</v>
      </c>
      <c r="BK15" s="95">
        <f t="shared" si="3"/>
        <v>0</v>
      </c>
    </row>
    <row r="16" spans="1:63" ht="14.4" customHeight="1">
      <c r="AU16" s="319">
        <f>OBJ!B219</f>
        <v>9283181</v>
      </c>
      <c r="AV16" s="21" t="str">
        <f>VLOOKUP(AU16,CENY!$B$11:$G$1054,2,FALSE)</f>
        <v>AvanY-Inlay sklenené boky 500mm; 2 x sklo</v>
      </c>
      <c r="AW16" s="22">
        <f>VLOOKUP(AU16,CENY!$B$11:$G$1054,3,FALSE)</f>
        <v>1</v>
      </c>
      <c r="AX16" s="22"/>
      <c r="AY16" s="23">
        <f>2*(Y19+Y20+Y25)</f>
        <v>0</v>
      </c>
      <c r="AZ16" s="326">
        <f t="shared" si="0"/>
        <v>0</v>
      </c>
      <c r="BA16" s="95">
        <f>VLOOKUP(AU16,CENY!$B$11:$M$2025,12,FALSE)</f>
        <v>965.52719000000002</v>
      </c>
      <c r="BB16" s="95">
        <f t="shared" si="1"/>
        <v>0</v>
      </c>
      <c r="BD16" s="319">
        <f>OBJ!B187</f>
        <v>9257142</v>
      </c>
      <c r="BE16" s="21" t="str">
        <f>VLOOKUP(BD16,CENY!$B$11:$G$1054,2,FALSE)</f>
        <v>AvanY-bok Inlay pravý /v187/h600/ strieb.</v>
      </c>
      <c r="BF16" s="22">
        <f>VLOOKUP(BD16,CENY!$B$11:$G$1054,3,FALSE)</f>
        <v>10</v>
      </c>
      <c r="BG16" s="22"/>
      <c r="BH16" s="23">
        <f>AY10</f>
        <v>0</v>
      </c>
      <c r="BI16" s="326">
        <f t="shared" si="2"/>
        <v>0</v>
      </c>
      <c r="BJ16" s="95">
        <f>VLOOKUP(BD16,CENY!$B$11:$M$2025,12,FALSE)</f>
        <v>417.95686000000001</v>
      </c>
      <c r="BK16" s="95">
        <f t="shared" si="3"/>
        <v>0</v>
      </c>
    </row>
    <row r="17" spans="2:63" ht="14.4" customHeight="1" thickBot="1">
      <c r="B17" s="1" t="s">
        <v>284</v>
      </c>
      <c r="O17" s="547" t="str">
        <f>FORM!U18</f>
        <v>flexibilní sety</v>
      </c>
      <c r="P17" s="548"/>
      <c r="Q17" s="548"/>
      <c r="R17" s="548"/>
      <c r="S17" s="548"/>
      <c r="T17" s="548"/>
      <c r="U17" s="548"/>
      <c r="V17" s="548"/>
      <c r="W17" s="548"/>
      <c r="X17" s="548"/>
      <c r="Y17" s="548"/>
      <c r="Z17" s="548"/>
      <c r="AA17" s="548"/>
      <c r="AB17" s="548"/>
      <c r="AC17" s="548"/>
      <c r="AD17" s="548"/>
      <c r="AE17" s="548"/>
      <c r="AF17" s="548"/>
      <c r="AU17" s="319">
        <f>OBJ!B220</f>
        <v>9283182</v>
      </c>
      <c r="AV17" s="21" t="str">
        <f>VLOOKUP(AU17,CENY!$B$11:$G$1054,2,FALSE)</f>
        <v>AvanY-Inlay sklenené boky 550mm; 2 x sklo</v>
      </c>
      <c r="AW17" s="22">
        <f>VLOOKUP(AU17,CENY!$B$11:$G$1054,3,FALSE)</f>
        <v>1</v>
      </c>
      <c r="AX17" s="22"/>
      <c r="AY17" s="23">
        <f>2*(AA19+AA20+AA25)</f>
        <v>0</v>
      </c>
      <c r="AZ17" s="326">
        <f t="shared" si="0"/>
        <v>0</v>
      </c>
      <c r="BA17" s="95">
        <f>VLOOKUP(AU17,CENY!$B$11:$M$2025,12,FALSE)</f>
        <v>1058.9617900000001</v>
      </c>
      <c r="BB17" s="95">
        <f t="shared" si="1"/>
        <v>0</v>
      </c>
      <c r="BD17" s="319">
        <f>OBJ!B188</f>
        <v>9257143</v>
      </c>
      <c r="BE17" s="21" t="str">
        <f>VLOOKUP(BD17,CENY!$B$11:$G$1054,2,FALSE)</f>
        <v>AvanY-bok Inlay ľavý /v187/h650/ strieb.</v>
      </c>
      <c r="BF17" s="22">
        <f>VLOOKUP(BD17,CENY!$B$11:$G$1054,3,FALSE)</f>
        <v>10</v>
      </c>
      <c r="BG17" s="22"/>
      <c r="BH17" s="23">
        <f>AY11</f>
        <v>0</v>
      </c>
      <c r="BI17" s="326">
        <f t="shared" si="2"/>
        <v>0</v>
      </c>
      <c r="BJ17" s="95">
        <f>VLOOKUP(BD17,CENY!$B$11:$M$2025,12,FALSE)</f>
        <v>432.04088000000002</v>
      </c>
      <c r="BK17" s="95">
        <f t="shared" si="3"/>
        <v>0</v>
      </c>
    </row>
    <row r="18" spans="2:63" ht="14.4" customHeight="1" thickBot="1">
      <c r="B18" s="96"/>
      <c r="C18" s="96"/>
      <c r="D18" s="96"/>
      <c r="E18" s="96"/>
      <c r="F18" s="96"/>
      <c r="G18" s="96"/>
      <c r="H18" s="72"/>
      <c r="I18" s="72"/>
      <c r="J18" s="72"/>
      <c r="K18" s="72"/>
      <c r="L18" s="72"/>
      <c r="M18" s="72"/>
      <c r="N18" s="72" t="str">
        <f>verze!$E$20&amp;" "</f>
        <v xml:space="preserve">Jmenovitá délka: </v>
      </c>
      <c r="O18" s="535">
        <v>270</v>
      </c>
      <c r="P18" s="536"/>
      <c r="Q18" s="535">
        <v>300</v>
      </c>
      <c r="R18" s="536"/>
      <c r="S18" s="535">
        <v>350</v>
      </c>
      <c r="T18" s="536"/>
      <c r="U18" s="535">
        <v>400</v>
      </c>
      <c r="V18" s="536"/>
      <c r="W18" s="535">
        <v>450</v>
      </c>
      <c r="X18" s="536"/>
      <c r="Y18" s="537">
        <v>500</v>
      </c>
      <c r="Z18" s="538"/>
      <c r="AA18" s="535">
        <v>550</v>
      </c>
      <c r="AB18" s="536"/>
      <c r="AC18" s="535">
        <v>600</v>
      </c>
      <c r="AD18" s="536"/>
      <c r="AE18" s="535">
        <v>650</v>
      </c>
      <c r="AF18" s="536"/>
      <c r="AU18" s="319">
        <f>OBJ!B221</f>
        <v>9283183</v>
      </c>
      <c r="AV18" s="21" t="str">
        <f>VLOOKUP(AU18,CENY!$B$11:$G$1054,2,FALSE)</f>
        <v>AvanY-Inlay sklenené boky 600mm; 2 x sklo</v>
      </c>
      <c r="AW18" s="22">
        <f>VLOOKUP(AU18,CENY!$B$11:$G$1054,3,FALSE)</f>
        <v>1</v>
      </c>
      <c r="AX18" s="22"/>
      <c r="AY18" s="23">
        <f>2*(AC19+AC20+AC25)</f>
        <v>0</v>
      </c>
      <c r="AZ18" s="326">
        <f t="shared" si="0"/>
        <v>0</v>
      </c>
      <c r="BA18" s="95">
        <f>VLOOKUP(AU18,CENY!$B$11:$M$2025,12,FALSE)</f>
        <v>1152.39642</v>
      </c>
      <c r="BB18" s="95">
        <f t="shared" si="1"/>
        <v>0</v>
      </c>
      <c r="BD18" s="319">
        <f>OBJ!B189</f>
        <v>9257144</v>
      </c>
      <c r="BE18" s="21" t="str">
        <f>VLOOKUP(BD18,CENY!$B$11:$G$1054,2,FALSE)</f>
        <v>AvanY-bok Inlay pravý /v187/h650/ strieb.</v>
      </c>
      <c r="BF18" s="22">
        <f>VLOOKUP(BD18,CENY!$B$11:$G$1054,3,FALSE)</f>
        <v>10</v>
      </c>
      <c r="BG18" s="22"/>
      <c r="BH18" s="23">
        <f>AY11</f>
        <v>0</v>
      </c>
      <c r="BI18" s="326">
        <f t="shared" si="2"/>
        <v>0</v>
      </c>
      <c r="BJ18" s="95">
        <f>VLOOKUP(BD18,CENY!$B$11:$M$2025,12,FALSE)</f>
        <v>432.04088000000002</v>
      </c>
      <c r="BK18" s="95">
        <f t="shared" si="3"/>
        <v>0</v>
      </c>
    </row>
    <row r="19" spans="2:63" ht="14.4" customHeight="1" thickBot="1">
      <c r="B19" s="521" t="s">
        <v>290</v>
      </c>
      <c r="C19" s="521"/>
      <c r="D19" s="521"/>
      <c r="E19" s="521"/>
      <c r="F19" s="521"/>
      <c r="G19" s="521"/>
      <c r="H19" s="522" t="str">
        <f>verze!E18</f>
        <v>plnovýsuv</v>
      </c>
      <c r="I19" s="522"/>
      <c r="J19" s="522"/>
      <c r="K19" s="522"/>
      <c r="L19" s="522"/>
      <c r="M19" s="532" t="s">
        <v>287</v>
      </c>
      <c r="N19" s="533"/>
      <c r="O19" s="280"/>
      <c r="P19" s="281"/>
      <c r="Q19" s="280"/>
      <c r="R19" s="281"/>
      <c r="S19" s="567"/>
      <c r="T19" s="568"/>
      <c r="U19" s="567"/>
      <c r="V19" s="568"/>
      <c r="W19" s="567"/>
      <c r="X19" s="568"/>
      <c r="Y19" s="567"/>
      <c r="Z19" s="568"/>
      <c r="AA19" s="567"/>
      <c r="AB19" s="568"/>
      <c r="AC19" s="567"/>
      <c r="AD19" s="603"/>
      <c r="AE19" s="280"/>
      <c r="AF19" s="281"/>
      <c r="AU19" s="319">
        <f>OBJ!B222</f>
        <v>9283184</v>
      </c>
      <c r="AV19" s="21" t="str">
        <f>VLOOKUP(AU19,CENY!$B$11:$G$1054,2,FALSE)</f>
        <v>AvanY-Inlay sklenené boky 650mm; 2 x sklo</v>
      </c>
      <c r="AW19" s="22">
        <f>VLOOKUP(AU19,CENY!$B$11:$G$1054,3,FALSE)</f>
        <v>1</v>
      </c>
      <c r="AX19" s="22"/>
      <c r="AY19" s="23">
        <f>2*AE20</f>
        <v>0</v>
      </c>
      <c r="AZ19" s="326">
        <f t="shared" si="0"/>
        <v>0</v>
      </c>
      <c r="BA19" s="95">
        <f>VLOOKUP(AU19,CENY!$B$11:$M$2025,12,FALSE)</f>
        <v>1245.8336200000001</v>
      </c>
      <c r="BB19" s="95">
        <f t="shared" si="1"/>
        <v>0</v>
      </c>
      <c r="BD19" s="319"/>
      <c r="BE19" s="21"/>
      <c r="BF19" s="22"/>
      <c r="BG19" s="22"/>
      <c r="BH19" s="23"/>
      <c r="BI19" s="326" t="str">
        <f t="shared" si="2"/>
        <v/>
      </c>
      <c r="BJ19" s="95"/>
      <c r="BK19" s="95" t="str">
        <f t="shared" si="3"/>
        <v/>
      </c>
    </row>
    <row r="20" spans="2:63" ht="14.4" customHeight="1" thickBot="1">
      <c r="B20" s="544" t="s">
        <v>291</v>
      </c>
      <c r="C20" s="544"/>
      <c r="D20" s="544"/>
      <c r="E20" s="544"/>
      <c r="F20" s="544"/>
      <c r="G20" s="544"/>
      <c r="H20" s="545" t="str">
        <f>verze!E18</f>
        <v>plnovýsuv</v>
      </c>
      <c r="I20" s="545"/>
      <c r="J20" s="545"/>
      <c r="K20" s="545"/>
      <c r="L20" s="545"/>
      <c r="M20" s="523" t="s">
        <v>288</v>
      </c>
      <c r="N20" s="524"/>
      <c r="O20" s="518"/>
      <c r="P20" s="519"/>
      <c r="Q20" s="518"/>
      <c r="R20" s="519"/>
      <c r="S20" s="518"/>
      <c r="T20" s="519"/>
      <c r="U20" s="518"/>
      <c r="V20" s="519"/>
      <c r="W20" s="516"/>
      <c r="X20" s="517"/>
      <c r="Y20" s="516"/>
      <c r="Z20" s="517"/>
      <c r="AA20" s="516"/>
      <c r="AB20" s="517"/>
      <c r="AC20" s="516"/>
      <c r="AD20" s="517"/>
      <c r="AE20" s="565"/>
      <c r="AF20" s="605"/>
      <c r="AU20" s="319"/>
      <c r="AV20" s="21"/>
      <c r="AW20" s="22"/>
      <c r="AX20" s="22"/>
      <c r="AY20" s="23"/>
      <c r="AZ20" s="326" t="str">
        <f t="shared" si="0"/>
        <v/>
      </c>
      <c r="BA20" s="95"/>
      <c r="BB20" s="95" t="str">
        <f t="shared" si="1"/>
        <v/>
      </c>
      <c r="BD20" s="319">
        <f>OBJ!B191</f>
        <v>9257257</v>
      </c>
      <c r="BE20" s="21" t="str">
        <f>VLOOKUP(BD20,CENY!$B$11:$G$1054,2,FALSE)</f>
        <v>AvanY-prích.čela Inlay k naskrutk./ v187</v>
      </c>
      <c r="BF20" s="22">
        <f>VLOOKUP(BD20,CENY!$B$11:$G$1054,3,FALSE)</f>
        <v>100</v>
      </c>
      <c r="BG20" s="22"/>
      <c r="BH20" s="23">
        <f>4*(SUM(O19:AD19)+SUM(W20:AF20)+SUM(O25:AD25))</f>
        <v>0</v>
      </c>
      <c r="BI20" s="326">
        <f t="shared" si="2"/>
        <v>0</v>
      </c>
      <c r="BJ20" s="95">
        <f>VLOOKUP(BD20,CENY!$B$11:$M$2025,12,FALSE)</f>
        <v>50.732700000000001</v>
      </c>
      <c r="BK20" s="95">
        <f t="shared" si="3"/>
        <v>0</v>
      </c>
    </row>
    <row r="21" spans="2:63" ht="14.4" customHeight="1">
      <c r="O21" s="4"/>
      <c r="P21" s="4"/>
      <c r="AU21" s="319">
        <f>OBJ!B245</f>
        <v>9318188</v>
      </c>
      <c r="AV21" s="21" t="str">
        <f>VLOOKUP(AU21,CENY!$B$11:$G$1054,2,FALSE)</f>
        <v>Actro You(L) 350/SiSy 40kg; EB21</v>
      </c>
      <c r="AW21" s="22">
        <f>VLOOKUP(AU21,CENY!$B$11:$G$1054,3,FALSE)</f>
        <v>1</v>
      </c>
      <c r="AX21" s="362">
        <v>8</v>
      </c>
      <c r="AY21" s="23">
        <f>S19</f>
        <v>0</v>
      </c>
      <c r="AZ21" s="326">
        <f t="shared" si="0"/>
        <v>0</v>
      </c>
      <c r="BA21" s="95">
        <f>VLOOKUP(AU21,CENY!$B$11:$M$2025,12,FALSE)</f>
        <v>657.45060999999998</v>
      </c>
      <c r="BB21" s="95">
        <f t="shared" si="1"/>
        <v>0</v>
      </c>
      <c r="BD21" s="319">
        <f>OBJ!B48</f>
        <v>9257702</v>
      </c>
      <c r="BE21" s="21" t="str">
        <f>VLOOKUP(BD21,CENY!$B$11:$G$1054,2,FALSE)</f>
        <v>AvanY-stabilizátor chrbáta</v>
      </c>
      <c r="BF21" s="22">
        <f>VLOOKUP(BD21,CENY!$B$11:$G$1054,3,FALSE)</f>
        <v>200</v>
      </c>
      <c r="BG21" s="22"/>
      <c r="BH21" s="23">
        <f>0*(SUM(O19:AD19)+SUM(W20:AF20)+SUM(O25:AD25))</f>
        <v>0</v>
      </c>
      <c r="BI21" s="326">
        <f t="shared" si="2"/>
        <v>0</v>
      </c>
      <c r="BJ21" s="95">
        <f>VLOOKUP(BD21,CENY!$B$11:$M$2025,12,FALSE)</f>
        <v>15.54837</v>
      </c>
      <c r="BK21" s="95">
        <f t="shared" si="3"/>
        <v>0</v>
      </c>
    </row>
    <row r="22" spans="2:63" ht="14.4" customHeight="1">
      <c r="AU22" s="319">
        <f>OBJ!B246</f>
        <v>9318190</v>
      </c>
      <c r="AV22" s="21" t="str">
        <f>VLOOKUP(AU22,CENY!$B$11:$G$1054,2,FALSE)</f>
        <v>Actro You(L) 400/SiSy 40kg; EB21</v>
      </c>
      <c r="AW22" s="22">
        <f>VLOOKUP(AU22,CENY!$B$11:$G$1054,3,FALSE)</f>
        <v>1</v>
      </c>
      <c r="AX22" s="362">
        <v>8</v>
      </c>
      <c r="AY22" s="23">
        <f>U19</f>
        <v>0</v>
      </c>
      <c r="AZ22" s="326">
        <f t="shared" si="0"/>
        <v>0</v>
      </c>
      <c r="BA22" s="95">
        <f>VLOOKUP(AU22,CENY!$B$11:$M$2025,12,FALSE)</f>
        <v>664.73978</v>
      </c>
      <c r="BB22" s="95">
        <f t="shared" si="1"/>
        <v>0</v>
      </c>
      <c r="BD22" s="20"/>
      <c r="BE22" s="21"/>
      <c r="BF22" s="22"/>
      <c r="BG22" s="22"/>
      <c r="BH22" s="23"/>
      <c r="BI22" s="326" t="str">
        <f t="shared" si="2"/>
        <v/>
      </c>
      <c r="BJ22" s="95"/>
      <c r="BK22" s="95" t="str">
        <f t="shared" si="3"/>
        <v/>
      </c>
    </row>
    <row r="23" spans="2:63" ht="14.4" customHeight="1" thickBot="1">
      <c r="B23" s="2" t="s">
        <v>285</v>
      </c>
      <c r="AU23" s="319">
        <f>OBJ!B247</f>
        <v>9318191</v>
      </c>
      <c r="AV23" s="21" t="str">
        <f>VLOOKUP(AU23,CENY!$B$11:$G$1054,2,FALSE)</f>
        <v>Actro You(L) 450/SiSy 40kg; EB21</v>
      </c>
      <c r="AW23" s="22">
        <f>VLOOKUP(AU23,CENY!$B$11:$G$1054,3,FALSE)</f>
        <v>1</v>
      </c>
      <c r="AX23" s="362">
        <v>10</v>
      </c>
      <c r="AY23" s="23">
        <f>W19</f>
        <v>0</v>
      </c>
      <c r="AZ23" s="326">
        <f t="shared" si="0"/>
        <v>0</v>
      </c>
      <c r="BA23" s="95">
        <f>VLOOKUP(AU23,CENY!$B$11:$M$2025,12,FALSE)</f>
        <v>671.97520999999995</v>
      </c>
      <c r="BB23" s="95">
        <f t="shared" si="1"/>
        <v>0</v>
      </c>
      <c r="BD23" s="319">
        <f>OBJ!B216</f>
        <v>9283178</v>
      </c>
      <c r="BE23" s="21" t="str">
        <f>VLOOKUP(BD23,CENY!$B$11:$G$1054,2,FALSE)</f>
        <v>AvanY-Inlay sklenené boky 350mm; 2 x sklo</v>
      </c>
      <c r="BF23" s="22">
        <f>VLOOKUP(BD23,CENY!$B$11:$G$1054,3,FALSE)</f>
        <v>1</v>
      </c>
      <c r="BG23" s="22"/>
      <c r="BH23" s="23">
        <f>AY13</f>
        <v>0</v>
      </c>
      <c r="BI23" s="326">
        <f t="shared" si="2"/>
        <v>0</v>
      </c>
      <c r="BJ23" s="95">
        <f>VLOOKUP(BD23,CENY!$B$11:$M$2025,12,FALSE)</f>
        <v>825.32597999999996</v>
      </c>
      <c r="BK23" s="95">
        <f t="shared" si="3"/>
        <v>0</v>
      </c>
    </row>
    <row r="24" spans="2:63" ht="14.4" customHeight="1" thickBot="1">
      <c r="B24" s="96"/>
      <c r="C24" s="96"/>
      <c r="D24" s="96"/>
      <c r="E24" s="96"/>
      <c r="F24" s="96"/>
      <c r="G24" s="96"/>
      <c r="H24" s="72"/>
      <c r="I24" s="72"/>
      <c r="J24" s="72"/>
      <c r="K24" s="72"/>
      <c r="L24" s="72"/>
      <c r="M24" s="72"/>
      <c r="N24" s="72" t="str">
        <f>verze!$E$20&amp;" "</f>
        <v xml:space="preserve">Jmenovitá délka: </v>
      </c>
      <c r="O24" s="535">
        <v>270</v>
      </c>
      <c r="P24" s="536"/>
      <c r="Q24" s="535">
        <v>300</v>
      </c>
      <c r="R24" s="536"/>
      <c r="S24" s="535">
        <v>350</v>
      </c>
      <c r="T24" s="536"/>
      <c r="U24" s="535">
        <v>400</v>
      </c>
      <c r="V24" s="536"/>
      <c r="W24" s="535">
        <v>450</v>
      </c>
      <c r="X24" s="536"/>
      <c r="Y24" s="537">
        <v>500</v>
      </c>
      <c r="Z24" s="538"/>
      <c r="AA24" s="535">
        <v>550</v>
      </c>
      <c r="AB24" s="536"/>
      <c r="AC24" s="535">
        <v>600</v>
      </c>
      <c r="AD24" s="536"/>
      <c r="AU24" s="319">
        <f>OBJ!B248</f>
        <v>9318192</v>
      </c>
      <c r="AV24" s="21" t="str">
        <f>VLOOKUP(AU24,CENY!$B$11:$G$1054,2,FALSE)</f>
        <v>Actro You(L) 500/SiSy 40kg; EB21</v>
      </c>
      <c r="AW24" s="22">
        <f>VLOOKUP(AU24,CENY!$B$11:$G$1054,3,FALSE)</f>
        <v>1</v>
      </c>
      <c r="AX24" s="362">
        <v>10</v>
      </c>
      <c r="AY24" s="23">
        <f>Y19</f>
        <v>0</v>
      </c>
      <c r="AZ24" s="326">
        <f t="shared" si="0"/>
        <v>0</v>
      </c>
      <c r="BA24" s="95">
        <f>VLOOKUP(AU24,CENY!$B$11:$M$2025,12,FALSE)</f>
        <v>164.23333</v>
      </c>
      <c r="BB24" s="95">
        <f t="shared" si="1"/>
        <v>0</v>
      </c>
      <c r="BD24" s="319">
        <f>OBJ!B217</f>
        <v>9283179</v>
      </c>
      <c r="BE24" s="21" t="str">
        <f>VLOOKUP(BD24,CENY!$B$11:$G$1054,2,FALSE)</f>
        <v>AvanY-Inlay sklenené boky 400mm; 2 x sklo</v>
      </c>
      <c r="BF24" s="22">
        <f>VLOOKUP(BD24,CENY!$B$11:$G$1054,3,FALSE)</f>
        <v>1</v>
      </c>
      <c r="BG24" s="22"/>
      <c r="BH24" s="23">
        <f t="shared" ref="BH24:BH29" si="4">AY14</f>
        <v>0</v>
      </c>
      <c r="BI24" s="326">
        <f t="shared" si="2"/>
        <v>0</v>
      </c>
      <c r="BJ24" s="95">
        <f>VLOOKUP(BD24,CENY!$B$11:$M$2025,12,FALSE)</f>
        <v>872.05524000000003</v>
      </c>
      <c r="BK24" s="95">
        <f t="shared" si="3"/>
        <v>0</v>
      </c>
    </row>
    <row r="25" spans="2:63" ht="14.4" customHeight="1" thickBot="1">
      <c r="B25" s="521" t="s">
        <v>372</v>
      </c>
      <c r="C25" s="521"/>
      <c r="D25" s="521"/>
      <c r="E25" s="521"/>
      <c r="F25" s="521"/>
      <c r="G25" s="521"/>
      <c r="H25" s="522" t="str">
        <f>verze!E18</f>
        <v>plnovýsuv</v>
      </c>
      <c r="I25" s="522"/>
      <c r="J25" s="522"/>
      <c r="K25" s="522"/>
      <c r="L25" s="522"/>
      <c r="M25" s="532" t="s">
        <v>1</v>
      </c>
      <c r="N25" s="533"/>
      <c r="O25" s="280"/>
      <c r="P25" s="281"/>
      <c r="Q25" s="280"/>
      <c r="R25" s="281"/>
      <c r="S25" s="604"/>
      <c r="T25" s="568"/>
      <c r="U25" s="604"/>
      <c r="V25" s="568"/>
      <c r="W25" s="604"/>
      <c r="X25" s="568"/>
      <c r="Y25" s="604"/>
      <c r="Z25" s="568"/>
      <c r="AA25" s="604"/>
      <c r="AB25" s="568"/>
      <c r="AC25" s="516"/>
      <c r="AD25" s="602"/>
      <c r="AU25" s="319">
        <f>OBJ!B249</f>
        <v>9318194</v>
      </c>
      <c r="AV25" s="21" t="str">
        <f>VLOOKUP(AU25,CENY!$B$11:$G$1054,2,FALSE)</f>
        <v>Actro You(L) 550/SiSy 40kg; EB21</v>
      </c>
      <c r="AW25" s="22">
        <f>VLOOKUP(AU25,CENY!$B$11:$G$1054,3,FALSE)</f>
        <v>1</v>
      </c>
      <c r="AX25" s="362">
        <v>10</v>
      </c>
      <c r="AY25" s="23">
        <f>AA19</f>
        <v>0</v>
      </c>
      <c r="AZ25" s="326">
        <f t="shared" si="0"/>
        <v>0</v>
      </c>
      <c r="BA25" s="95">
        <f>VLOOKUP(AU25,CENY!$B$11:$M$2025,12,FALSE)</f>
        <v>173.62268</v>
      </c>
      <c r="BB25" s="95">
        <f t="shared" si="1"/>
        <v>0</v>
      </c>
      <c r="BD25" s="319">
        <f>OBJ!B218</f>
        <v>9283180</v>
      </c>
      <c r="BE25" s="21" t="str">
        <f>VLOOKUP(BD25,CENY!$B$11:$G$1054,2,FALSE)</f>
        <v>AvanY-Inlay sklenené boky 450mm; 2 x sklo</v>
      </c>
      <c r="BF25" s="22">
        <f>VLOOKUP(BD25,CENY!$B$11:$G$1054,3,FALSE)</f>
        <v>1</v>
      </c>
      <c r="BG25" s="22"/>
      <c r="BH25" s="23">
        <f t="shared" si="4"/>
        <v>0</v>
      </c>
      <c r="BI25" s="326">
        <f t="shared" si="2"/>
        <v>0</v>
      </c>
      <c r="BJ25" s="95">
        <f>VLOOKUP(BD25,CENY!$B$11:$M$2025,12,FALSE)</f>
        <v>918.78985999999998</v>
      </c>
      <c r="BK25" s="95">
        <f t="shared" si="3"/>
        <v>0</v>
      </c>
    </row>
    <row r="26" spans="2:63" ht="14.4" customHeight="1" thickBot="1">
      <c r="O26" s="342"/>
      <c r="P26" s="343"/>
      <c r="Q26" s="342"/>
      <c r="R26" s="343"/>
      <c r="S26" s="342"/>
      <c r="T26" s="343"/>
      <c r="U26" s="342"/>
      <c r="V26" s="343"/>
      <c r="W26" s="342"/>
      <c r="X26" s="343"/>
      <c r="Y26" s="342"/>
      <c r="Z26" s="343"/>
      <c r="AA26" s="342"/>
      <c r="AB26" s="343"/>
      <c r="AC26" s="342"/>
      <c r="AD26" s="343"/>
      <c r="AU26" s="319">
        <f>OBJ!B250</f>
        <v>9318196</v>
      </c>
      <c r="AV26" s="21" t="str">
        <f>VLOOKUP(AU26,CENY!$B$11:$G$1054,2,FALSE)</f>
        <v>Actro You(L) 600/SiSy 40kg; EB21</v>
      </c>
      <c r="AW26" s="22">
        <f>VLOOKUP(AU26,CENY!$B$11:$G$1054,3,FALSE)</f>
        <v>1</v>
      </c>
      <c r="AX26" s="362">
        <v>10</v>
      </c>
      <c r="AY26" s="23">
        <f>AC19</f>
        <v>0</v>
      </c>
      <c r="AZ26" s="326">
        <f t="shared" si="0"/>
        <v>0</v>
      </c>
      <c r="BA26" s="95">
        <f>VLOOKUP(AU26,CENY!$B$11:$M$2025,12,FALSE)</f>
        <v>726.70140000000004</v>
      </c>
      <c r="BB26" s="95">
        <f t="shared" si="1"/>
        <v>0</v>
      </c>
      <c r="BD26" s="319">
        <f>OBJ!B219</f>
        <v>9283181</v>
      </c>
      <c r="BE26" s="21" t="str">
        <f>VLOOKUP(BD26,CENY!$B$11:$G$1054,2,FALSE)</f>
        <v>AvanY-Inlay sklenené boky 500mm; 2 x sklo</v>
      </c>
      <c r="BF26" s="22">
        <f>VLOOKUP(BD26,CENY!$B$11:$G$1054,3,FALSE)</f>
        <v>1</v>
      </c>
      <c r="BG26" s="22"/>
      <c r="BH26" s="23">
        <f t="shared" si="4"/>
        <v>0</v>
      </c>
      <c r="BI26" s="326">
        <f t="shared" si="2"/>
        <v>0</v>
      </c>
      <c r="BJ26" s="95">
        <f>VLOOKUP(BD26,CENY!$B$11:$M$2025,12,FALSE)</f>
        <v>965.52719000000002</v>
      </c>
      <c r="BK26" s="95">
        <f t="shared" si="3"/>
        <v>0</v>
      </c>
    </row>
    <row r="27" spans="2:63" ht="14.4" customHeight="1">
      <c r="B27" s="366" t="str">
        <f>verze!E201</f>
        <v>SiSy = tlumení Silent System</v>
      </c>
      <c r="AU27" s="319"/>
      <c r="AV27" s="21"/>
      <c r="AW27" s="22"/>
      <c r="AX27" s="22"/>
      <c r="AY27" s="23"/>
      <c r="AZ27" s="326" t="str">
        <f t="shared" si="0"/>
        <v/>
      </c>
      <c r="BA27" s="95"/>
      <c r="BB27" s="95" t="str">
        <f t="shared" si="1"/>
        <v/>
      </c>
      <c r="BD27" s="319">
        <f>OBJ!B220</f>
        <v>9283182</v>
      </c>
      <c r="BE27" s="21" t="str">
        <f>VLOOKUP(BD27,CENY!$B$11:$G$1054,2,FALSE)</f>
        <v>AvanY-Inlay sklenené boky 550mm; 2 x sklo</v>
      </c>
      <c r="BF27" s="22">
        <f>VLOOKUP(BD27,CENY!$B$11:$G$1054,3,FALSE)</f>
        <v>1</v>
      </c>
      <c r="BG27" s="22"/>
      <c r="BH27" s="23">
        <f t="shared" si="4"/>
        <v>0</v>
      </c>
      <c r="BI27" s="326">
        <f t="shared" si="2"/>
        <v>0</v>
      </c>
      <c r="BJ27" s="95">
        <f>VLOOKUP(BD27,CENY!$B$11:$M$2025,12,FALSE)</f>
        <v>1058.9617900000001</v>
      </c>
      <c r="BK27" s="95">
        <f t="shared" si="3"/>
        <v>0</v>
      </c>
    </row>
    <row r="28" spans="2:63" ht="14.4" customHeight="1">
      <c r="B28" s="366"/>
      <c r="O28" s="341" t="str">
        <f>verze!E189</f>
        <v>Maximální výška korpusu skříňky = 750mm.   Maximální šířka korpusu skříňky = 300mm.</v>
      </c>
      <c r="AU28" s="319">
        <f>OBJ!B268</f>
        <v>9318215</v>
      </c>
      <c r="AV28" s="21" t="str">
        <f>VLOOKUP(AU28,CENY!$B$11:$G$1054,2,FALSE)</f>
        <v>Actro You(XL) 450/SiSy 70kg; EB21</v>
      </c>
      <c r="AW28" s="22">
        <f>VLOOKUP(AU28,CENY!$B$11:$G$1054,3,FALSE)</f>
        <v>1</v>
      </c>
      <c r="AX28" s="362">
        <v>10</v>
      </c>
      <c r="AY28" s="23">
        <f>W20</f>
        <v>0</v>
      </c>
      <c r="AZ28" s="326">
        <f t="shared" si="0"/>
        <v>0</v>
      </c>
      <c r="BA28" s="95">
        <f>VLOOKUP(AU28,CENY!$B$11:$M$2025,12,FALSE)</f>
        <v>197.37184999999999</v>
      </c>
      <c r="BB28" s="95">
        <f t="shared" si="1"/>
        <v>0</v>
      </c>
      <c r="BD28" s="319">
        <f>OBJ!B221</f>
        <v>9283183</v>
      </c>
      <c r="BE28" s="21" t="str">
        <f>VLOOKUP(BD28,CENY!$B$11:$G$1054,2,FALSE)</f>
        <v>AvanY-Inlay sklenené boky 600mm; 2 x sklo</v>
      </c>
      <c r="BF28" s="22">
        <f>VLOOKUP(BD28,CENY!$B$11:$G$1054,3,FALSE)</f>
        <v>1</v>
      </c>
      <c r="BG28" s="22"/>
      <c r="BH28" s="23">
        <f t="shared" si="4"/>
        <v>0</v>
      </c>
      <c r="BI28" s="326">
        <f t="shared" si="2"/>
        <v>0</v>
      </c>
      <c r="BJ28" s="95">
        <f>VLOOKUP(BD28,CENY!$B$11:$M$2025,12,FALSE)</f>
        <v>1152.39642</v>
      </c>
      <c r="BK28" s="95">
        <f t="shared" si="3"/>
        <v>0</v>
      </c>
    </row>
    <row r="29" spans="2:63" ht="14.4" customHeight="1">
      <c r="B29" s="366"/>
      <c r="Q29" s="341"/>
      <c r="AU29" s="319">
        <f>OBJ!B269</f>
        <v>9318216</v>
      </c>
      <c r="AV29" s="21" t="str">
        <f>VLOOKUP(AU29,CENY!$B$11:$G$1054,2,FALSE)</f>
        <v>Actro You(XL) 500/SiSy 70kg; EB21</v>
      </c>
      <c r="AW29" s="22">
        <f>VLOOKUP(AU29,CENY!$B$11:$G$1054,3,FALSE)</f>
        <v>1</v>
      </c>
      <c r="AX29" s="362">
        <v>10</v>
      </c>
      <c r="AY29" s="23">
        <f>Y20</f>
        <v>0</v>
      </c>
      <c r="AZ29" s="326">
        <f t="shared" si="0"/>
        <v>0</v>
      </c>
      <c r="BA29" s="95">
        <f>VLOOKUP(AU29,CENY!$B$11:$M$2025,12,FALSE)</f>
        <v>823.68502000000001</v>
      </c>
      <c r="BB29" s="95">
        <f t="shared" si="1"/>
        <v>0</v>
      </c>
      <c r="BD29" s="319">
        <f>OBJ!B222</f>
        <v>9283184</v>
      </c>
      <c r="BE29" s="21" t="str">
        <f>VLOOKUP(BD29,CENY!$B$11:$G$1054,2,FALSE)</f>
        <v>AvanY-Inlay sklenené boky 650mm; 2 x sklo</v>
      </c>
      <c r="BF29" s="22">
        <f>VLOOKUP(BD29,CENY!$B$11:$G$1054,3,FALSE)</f>
        <v>1</v>
      </c>
      <c r="BG29" s="22"/>
      <c r="BH29" s="23">
        <f t="shared" si="4"/>
        <v>0</v>
      </c>
      <c r="BI29" s="326">
        <f t="shared" si="2"/>
        <v>0</v>
      </c>
      <c r="BJ29" s="95">
        <f>VLOOKUP(BD29,CENY!$B$11:$M$2025,12,FALSE)</f>
        <v>1245.8336200000001</v>
      </c>
      <c r="BK29" s="95">
        <f t="shared" si="3"/>
        <v>0</v>
      </c>
    </row>
    <row r="30" spans="2:63" ht="14.4" customHeight="1">
      <c r="AU30" s="319">
        <f>OBJ!B270</f>
        <v>9318217</v>
      </c>
      <c r="AV30" s="21" t="str">
        <f>VLOOKUP(AU30,CENY!$B$11:$G$1054,2,FALSE)</f>
        <v>Actro You(XL) 550/SiSy 70kg; EB21</v>
      </c>
      <c r="AW30" s="22">
        <f>VLOOKUP(AU30,CENY!$B$11:$G$1054,3,FALSE)</f>
        <v>1</v>
      </c>
      <c r="AX30" s="362">
        <v>10</v>
      </c>
      <c r="AY30" s="23">
        <f>AA20</f>
        <v>0</v>
      </c>
      <c r="AZ30" s="326">
        <f t="shared" si="0"/>
        <v>0</v>
      </c>
      <c r="BA30" s="95">
        <f>VLOOKUP(AU30,CENY!$B$11:$M$2025,12,FALSE)</f>
        <v>862.82307000000003</v>
      </c>
      <c r="BB30" s="95">
        <f t="shared" si="1"/>
        <v>0</v>
      </c>
      <c r="BD30" s="319"/>
      <c r="BE30" s="21"/>
      <c r="BF30" s="22"/>
      <c r="BG30" s="22"/>
      <c r="BH30" s="23"/>
      <c r="BI30" s="326" t="str">
        <f t="shared" si="2"/>
        <v/>
      </c>
      <c r="BJ30" s="95"/>
      <c r="BK30" s="95" t="str">
        <f t="shared" si="3"/>
        <v/>
      </c>
    </row>
    <row r="31" spans="2:63" ht="14.4" customHeight="1">
      <c r="AU31" s="319">
        <f>OBJ!B271</f>
        <v>9318218</v>
      </c>
      <c r="AV31" s="21" t="str">
        <f>VLOOKUP(AU31,CENY!$B$11:$G$1054,2,FALSE)</f>
        <v>Actro You(XL) 600/SiSy 70kg; EB21</v>
      </c>
      <c r="AW31" s="22">
        <f>VLOOKUP(AU31,CENY!$B$11:$G$1054,3,FALSE)</f>
        <v>1</v>
      </c>
      <c r="AX31" s="362">
        <v>10</v>
      </c>
      <c r="AY31" s="23">
        <f>AC20</f>
        <v>0</v>
      </c>
      <c r="AZ31" s="326">
        <f t="shared" si="0"/>
        <v>0</v>
      </c>
      <c r="BA31" s="95">
        <f>VLOOKUP(AU31,CENY!$B$11:$M$2025,12,FALSE)</f>
        <v>941.88580999999999</v>
      </c>
      <c r="BB31" s="95">
        <f t="shared" si="1"/>
        <v>0</v>
      </c>
      <c r="BD31" s="319">
        <f>OBJ!B255</f>
        <v>9318173</v>
      </c>
      <c r="BE31" s="21" t="str">
        <f>VLOOKUP(BD31,CENY!$B$11:$G$1054,2,FALSE)</f>
        <v>Actro You(L) 350/SiSy 40kg; EB21; ľavý</v>
      </c>
      <c r="BF31" s="22">
        <f>VLOOKUP(BD31,CENY!$B$11:$G$1054,3,FALSE)</f>
        <v>10</v>
      </c>
      <c r="BG31" s="22"/>
      <c r="BH31" s="23">
        <f>AY21</f>
        <v>0</v>
      </c>
      <c r="BI31" s="326">
        <f t="shared" si="2"/>
        <v>0</v>
      </c>
      <c r="BJ31" s="95">
        <f>VLOOKUP(BD31,CENY!$B$11:$M$2025,12,FALSE)</f>
        <v>298.88173999999998</v>
      </c>
      <c r="BK31" s="95">
        <f t="shared" si="3"/>
        <v>0</v>
      </c>
    </row>
    <row r="32" spans="2:63" ht="14.4" customHeight="1">
      <c r="AU32" s="319">
        <f>OBJ!B272</f>
        <v>9318219</v>
      </c>
      <c r="AV32" s="21" t="str">
        <f>VLOOKUP(AU32,CENY!$B$11:$G$1054,2,FALSE)</f>
        <v>Actro You(XL) 650/SiSy 70kg; EB21</v>
      </c>
      <c r="AW32" s="22">
        <f>VLOOKUP(AU32,CENY!$B$11:$G$1054,3,FALSE)</f>
        <v>1</v>
      </c>
      <c r="AX32" s="362">
        <v>10</v>
      </c>
      <c r="AY32" s="23">
        <f>AE20</f>
        <v>0</v>
      </c>
      <c r="AZ32" s="326">
        <f t="shared" si="0"/>
        <v>0</v>
      </c>
      <c r="BA32" s="95">
        <f>VLOOKUP(AU32,CENY!$B$11:$M$2025,12,FALSE)</f>
        <v>977.56314999999995</v>
      </c>
      <c r="BB32" s="95">
        <f t="shared" si="1"/>
        <v>0</v>
      </c>
      <c r="BD32" s="319">
        <f>OBJ!B256</f>
        <v>9318174</v>
      </c>
      <c r="BE32" s="21" t="str">
        <f>VLOOKUP(BD32,CENY!$B$11:$G$1054,2,FALSE)</f>
        <v>Actro You(L) 350/SiSy 40kg; EB21; pravý</v>
      </c>
      <c r="BF32" s="22">
        <f>VLOOKUP(BD32,CENY!$B$11:$G$1054,3,FALSE)</f>
        <v>10</v>
      </c>
      <c r="BG32" s="22"/>
      <c r="BH32" s="23">
        <f>AY21</f>
        <v>0</v>
      </c>
      <c r="BI32" s="326">
        <f t="shared" si="2"/>
        <v>0</v>
      </c>
      <c r="BJ32" s="95">
        <f>VLOOKUP(BD32,CENY!$B$11:$M$2025,12,FALSE)</f>
        <v>298.88173999999998</v>
      </c>
      <c r="BK32" s="95">
        <f t="shared" si="3"/>
        <v>0</v>
      </c>
    </row>
    <row r="33" spans="47:63" ht="14.4" customHeight="1">
      <c r="AU33" s="319"/>
      <c r="AV33" s="21"/>
      <c r="AW33" s="22"/>
      <c r="AX33" s="22"/>
      <c r="AY33" s="23"/>
      <c r="AZ33" s="326" t="str">
        <f t="shared" si="0"/>
        <v/>
      </c>
      <c r="BA33" s="95"/>
      <c r="BB33" s="95" t="str">
        <f t="shared" si="1"/>
        <v/>
      </c>
      <c r="BD33" s="319">
        <f>OBJ!B257</f>
        <v>9318175</v>
      </c>
      <c r="BE33" s="21" t="str">
        <f>VLOOKUP(BD33,CENY!$B$11:$G$1054,2,FALSE)</f>
        <v>Actro You(L) 400/SiSy 40kg; EB21; ľavý</v>
      </c>
      <c r="BF33" s="22">
        <f>VLOOKUP(BD33,CENY!$B$11:$G$1054,3,FALSE)</f>
        <v>10</v>
      </c>
      <c r="BG33" s="22"/>
      <c r="BH33" s="23">
        <f>AY22</f>
        <v>0</v>
      </c>
      <c r="BI33" s="326">
        <f t="shared" si="2"/>
        <v>0</v>
      </c>
      <c r="BJ33" s="95">
        <f>VLOOKUP(BD33,CENY!$B$11:$M$2025,12,FALSE)</f>
        <v>302.69770999999997</v>
      </c>
      <c r="BK33" s="95">
        <f t="shared" si="3"/>
        <v>0</v>
      </c>
    </row>
    <row r="34" spans="47:63" ht="14.4" customHeight="1">
      <c r="AU34" s="319">
        <f>OBJ!B306</f>
        <v>9256886</v>
      </c>
      <c r="AV34" s="21" t="str">
        <f>VLOOKUP(AU34,CENY!$B$11:$G$1054,2,FALSE)</f>
        <v>Quadro You(M) 350/SiSy 25kg; EB21</v>
      </c>
      <c r="AW34" s="22">
        <f>VLOOKUP(AU34,CENY!$B$11:$G$1054,3,FALSE)</f>
        <v>1</v>
      </c>
      <c r="AX34" s="362">
        <v>8</v>
      </c>
      <c r="AY34" s="23">
        <f>S25</f>
        <v>0</v>
      </c>
      <c r="AZ34" s="326">
        <f t="shared" si="0"/>
        <v>0</v>
      </c>
      <c r="BA34" s="95">
        <f>VLOOKUP(AU34,CENY!$B$11:$M$2025,12,FALSE)</f>
        <v>489.27857</v>
      </c>
      <c r="BB34" s="95">
        <f t="shared" si="1"/>
        <v>0</v>
      </c>
      <c r="BD34" s="319">
        <f>OBJ!B258</f>
        <v>9318176</v>
      </c>
      <c r="BE34" s="21" t="str">
        <f>VLOOKUP(BD34,CENY!$B$11:$G$1054,2,FALSE)</f>
        <v>Actro You(L) 400/SiSy 40kg; EB21; pravý</v>
      </c>
      <c r="BF34" s="22">
        <f>VLOOKUP(BD34,CENY!$B$11:$G$1054,3,FALSE)</f>
        <v>10</v>
      </c>
      <c r="BG34" s="22"/>
      <c r="BH34" s="23">
        <f>AY22</f>
        <v>0</v>
      </c>
      <c r="BI34" s="326">
        <f t="shared" si="2"/>
        <v>0</v>
      </c>
      <c r="BJ34" s="95">
        <f>VLOOKUP(BD34,CENY!$B$11:$M$2025,12,FALSE)</f>
        <v>302.69770999999997</v>
      </c>
      <c r="BK34" s="95">
        <f t="shared" si="3"/>
        <v>0</v>
      </c>
    </row>
    <row r="35" spans="47:63" ht="14.4" customHeight="1">
      <c r="AU35" s="319">
        <f>OBJ!B307</f>
        <v>9256888</v>
      </c>
      <c r="AV35" s="21" t="str">
        <f>VLOOKUP(AU35,CENY!$B$11:$G$1054,2,FALSE)</f>
        <v>Quadro You(M) 400/SiSy 30kg; EB21</v>
      </c>
      <c r="AW35" s="22">
        <f>VLOOKUP(AU35,CENY!$B$11:$G$1054,3,FALSE)</f>
        <v>1</v>
      </c>
      <c r="AX35" s="362">
        <v>8</v>
      </c>
      <c r="AY35" s="23">
        <f>U25</f>
        <v>0</v>
      </c>
      <c r="AZ35" s="326">
        <f t="shared" si="0"/>
        <v>0</v>
      </c>
      <c r="BA35" s="95">
        <f>VLOOKUP(AU35,CENY!$B$11:$M$2025,12,FALSE)</f>
        <v>498.97861999999998</v>
      </c>
      <c r="BB35" s="95">
        <f t="shared" si="1"/>
        <v>0</v>
      </c>
      <c r="BD35" s="319">
        <f>OBJ!B259</f>
        <v>9318177</v>
      </c>
      <c r="BE35" s="21" t="str">
        <f>VLOOKUP(BD35,CENY!$B$11:$G$1054,2,FALSE)</f>
        <v>Actro You(L) 450/SiSy 40kg; EB21; ľavý</v>
      </c>
      <c r="BF35" s="22">
        <f>VLOOKUP(BD35,CENY!$B$11:$G$1054,3,FALSE)</f>
        <v>10</v>
      </c>
      <c r="BG35" s="22"/>
      <c r="BH35" s="23">
        <f>AY23</f>
        <v>0</v>
      </c>
      <c r="BI35" s="326">
        <f t="shared" si="2"/>
        <v>0</v>
      </c>
      <c r="BJ35" s="95">
        <f>VLOOKUP(BD35,CENY!$B$11:$M$2025,12,FALSE)</f>
        <v>298.33073999999999</v>
      </c>
      <c r="BK35" s="95">
        <f t="shared" si="3"/>
        <v>0</v>
      </c>
    </row>
    <row r="36" spans="47:63" ht="14.4" customHeight="1">
      <c r="AU36" s="319">
        <f>OBJ!B308</f>
        <v>9256890</v>
      </c>
      <c r="AV36" s="21" t="str">
        <f>VLOOKUP(AU36,CENY!$B$11:$G$1054,2,FALSE)</f>
        <v>Quadro You(M) 450/SiSy 30kg; EB21</v>
      </c>
      <c r="AW36" s="22">
        <f>VLOOKUP(AU36,CENY!$B$11:$G$1054,3,FALSE)</f>
        <v>1</v>
      </c>
      <c r="AX36" s="362">
        <v>8</v>
      </c>
      <c r="AY36" s="23">
        <f>W25</f>
        <v>0</v>
      </c>
      <c r="AZ36" s="326">
        <f t="shared" si="0"/>
        <v>0</v>
      </c>
      <c r="BA36" s="95">
        <f>VLOOKUP(AU36,CENY!$B$11:$M$2025,12,FALSE)</f>
        <v>122.98869999999999</v>
      </c>
      <c r="BB36" s="95">
        <f t="shared" si="1"/>
        <v>0</v>
      </c>
      <c r="BD36" s="319">
        <f>OBJ!B260</f>
        <v>9318178</v>
      </c>
      <c r="BE36" s="21" t="str">
        <f>VLOOKUP(BD36,CENY!$B$11:$G$1054,2,FALSE)</f>
        <v>Actro You(L) 450/SiSy 40kg; EB21; pravý</v>
      </c>
      <c r="BF36" s="22">
        <f>VLOOKUP(BD36,CENY!$B$11:$G$1054,3,FALSE)</f>
        <v>10</v>
      </c>
      <c r="BG36" s="22"/>
      <c r="BH36" s="23">
        <f>AY23</f>
        <v>0</v>
      </c>
      <c r="BI36" s="326">
        <f t="shared" si="2"/>
        <v>0</v>
      </c>
      <c r="BJ36" s="95">
        <f>VLOOKUP(BD36,CENY!$B$11:$M$2025,12,FALSE)</f>
        <v>298.33073999999999</v>
      </c>
      <c r="BK36" s="95">
        <f t="shared" si="3"/>
        <v>0</v>
      </c>
    </row>
    <row r="37" spans="47:63" ht="14.4" customHeight="1">
      <c r="AU37" s="319">
        <f>OBJ!B309</f>
        <v>9256892</v>
      </c>
      <c r="AV37" s="21" t="str">
        <f>VLOOKUP(AU37,CENY!$B$11:$G$1054,2,FALSE)</f>
        <v>Quadro You(M) 500/SiSy 30kg; EB21</v>
      </c>
      <c r="AW37" s="22">
        <f>VLOOKUP(AU37,CENY!$B$11:$G$1054,3,FALSE)</f>
        <v>1</v>
      </c>
      <c r="AX37" s="362">
        <v>8</v>
      </c>
      <c r="AY37" s="23">
        <f>Y25</f>
        <v>0</v>
      </c>
      <c r="AZ37" s="326">
        <f t="shared" si="0"/>
        <v>0</v>
      </c>
      <c r="BA37" s="95">
        <f>VLOOKUP(AU37,CENY!$B$11:$M$2025,12,FALSE)</f>
        <v>504.59701000000001</v>
      </c>
      <c r="BB37" s="95">
        <f t="shared" si="1"/>
        <v>0</v>
      </c>
      <c r="BD37" s="319">
        <f>OBJ!B261</f>
        <v>9318179</v>
      </c>
      <c r="BE37" s="21" t="str">
        <f>VLOOKUP(BD37,CENY!$B$11:$G$1054,2,FALSE)</f>
        <v>Actro You(L) 500/SiSy 40kg; EB21; ľavý</v>
      </c>
      <c r="BF37" s="22">
        <f>VLOOKUP(BD37,CENY!$B$11:$G$1054,3,FALSE)</f>
        <v>10</v>
      </c>
      <c r="BG37" s="22"/>
      <c r="BH37" s="23">
        <f>AY24</f>
        <v>0</v>
      </c>
      <c r="BI37" s="326">
        <f t="shared" si="2"/>
        <v>0</v>
      </c>
      <c r="BJ37" s="95">
        <f>VLOOKUP(BD37,CENY!$B$11:$M$2025,12,FALSE)</f>
        <v>296.00905</v>
      </c>
      <c r="BK37" s="95">
        <f t="shared" si="3"/>
        <v>0</v>
      </c>
    </row>
    <row r="38" spans="47:63" ht="14.4" customHeight="1">
      <c r="AU38" s="319">
        <f>OBJ!B310</f>
        <v>9256894</v>
      </c>
      <c r="AV38" s="21" t="str">
        <f>VLOOKUP(AU38,CENY!$B$11:$G$1054,2,FALSE)</f>
        <v>Quadro You(M) 550/SiSy 30kg; EB21</v>
      </c>
      <c r="AW38" s="22">
        <f>VLOOKUP(AU38,CENY!$B$11:$G$1054,3,FALSE)</f>
        <v>1</v>
      </c>
      <c r="AX38" s="362">
        <v>8</v>
      </c>
      <c r="AY38" s="23">
        <f>AA25</f>
        <v>0</v>
      </c>
      <c r="AZ38" s="326">
        <f t="shared" si="0"/>
        <v>0</v>
      </c>
      <c r="BA38" s="95">
        <f>VLOOKUP(AU38,CENY!$B$11:$M$2025,12,FALSE)</f>
        <v>127.68105</v>
      </c>
      <c r="BB38" s="95">
        <f t="shared" si="1"/>
        <v>0</v>
      </c>
      <c r="BD38" s="319">
        <f>OBJ!B262</f>
        <v>9318180</v>
      </c>
      <c r="BE38" s="21" t="str">
        <f>VLOOKUP(BD38,CENY!$B$11:$G$1054,2,FALSE)</f>
        <v>Actro You(L) 500/SiSy 40kg; EB21; pravý</v>
      </c>
      <c r="BF38" s="22">
        <f>VLOOKUP(BD38,CENY!$B$11:$G$1054,3,FALSE)</f>
        <v>10</v>
      </c>
      <c r="BG38" s="22"/>
      <c r="BH38" s="23">
        <f>AY24</f>
        <v>0</v>
      </c>
      <c r="BI38" s="326">
        <f t="shared" si="2"/>
        <v>0</v>
      </c>
      <c r="BJ38" s="95">
        <f>VLOOKUP(BD38,CENY!$B$11:$M$2025,12,FALSE)</f>
        <v>296.00905</v>
      </c>
      <c r="BK38" s="95">
        <f t="shared" si="3"/>
        <v>0</v>
      </c>
    </row>
    <row r="39" spans="47:63" ht="14.4" customHeight="1">
      <c r="AU39" s="319">
        <f>OBJ!B311</f>
        <v>9256896</v>
      </c>
      <c r="AV39" s="21" t="str">
        <f>VLOOKUP(AU39,CENY!$B$11:$G$1054,2,FALSE)</f>
        <v>Quadro You(M) 600/SiSy 25kg; EB21</v>
      </c>
      <c r="AW39" s="22">
        <f>VLOOKUP(AU39,CENY!$B$11:$G$1054,3,FALSE)</f>
        <v>1</v>
      </c>
      <c r="AX39" s="362">
        <v>8</v>
      </c>
      <c r="AY39" s="23">
        <f>AC25</f>
        <v>0</v>
      </c>
      <c r="AZ39" s="326">
        <f t="shared" si="0"/>
        <v>0</v>
      </c>
      <c r="BA39" s="95">
        <f>VLOOKUP(AU39,CENY!$B$11:$M$2025,12,FALSE)</f>
        <v>537.79395</v>
      </c>
      <c r="BB39" s="95">
        <f t="shared" si="1"/>
        <v>0</v>
      </c>
      <c r="BD39" s="319">
        <f>OBJ!B263</f>
        <v>9318181</v>
      </c>
      <c r="BE39" s="21" t="str">
        <f>VLOOKUP(BD39,CENY!$B$11:$G$1054,2,FALSE)</f>
        <v>Actro You(L) 550/SiSy 40kg; EB21; ľavý</v>
      </c>
      <c r="BF39" s="22">
        <f>VLOOKUP(BD39,CENY!$B$11:$G$1054,3,FALSE)</f>
        <v>10</v>
      </c>
      <c r="BG39" s="22"/>
      <c r="BH39" s="23">
        <f>AY25</f>
        <v>0</v>
      </c>
      <c r="BI39" s="326">
        <f t="shared" si="2"/>
        <v>0</v>
      </c>
      <c r="BJ39" s="95">
        <f>VLOOKUP(BD39,CENY!$B$11:$M$2025,12,FALSE)</f>
        <v>321.83461999999997</v>
      </c>
      <c r="BK39" s="95">
        <f t="shared" si="3"/>
        <v>0</v>
      </c>
    </row>
    <row r="40" spans="47:63" ht="14.4" customHeight="1">
      <c r="AU40" s="319"/>
      <c r="AV40" s="21"/>
      <c r="AW40" s="22"/>
      <c r="AX40" s="22"/>
      <c r="AY40" s="23"/>
      <c r="AZ40" s="326" t="str">
        <f t="shared" si="0"/>
        <v/>
      </c>
      <c r="BA40" s="95"/>
      <c r="BB40" s="95" t="str">
        <f t="shared" si="1"/>
        <v/>
      </c>
      <c r="BD40" s="319">
        <f>OBJ!B264</f>
        <v>9318182</v>
      </c>
      <c r="BE40" s="21" t="str">
        <f>VLOOKUP(BD40,CENY!$B$11:$G$1054,2,FALSE)</f>
        <v>Actro You(L) 550/SiSy 40kg; EB21; pravý</v>
      </c>
      <c r="BF40" s="22">
        <f>VLOOKUP(BD40,CENY!$B$11:$G$1054,3,FALSE)</f>
        <v>10</v>
      </c>
      <c r="BG40" s="22"/>
      <c r="BH40" s="23">
        <f>AY25</f>
        <v>0</v>
      </c>
      <c r="BI40" s="326">
        <f t="shared" si="2"/>
        <v>0</v>
      </c>
      <c r="BJ40" s="95">
        <f>VLOOKUP(BD40,CENY!$B$11:$M$2025,12,FALSE)</f>
        <v>321.83461999999997</v>
      </c>
      <c r="BK40" s="95">
        <f t="shared" si="3"/>
        <v>0</v>
      </c>
    </row>
    <row r="41" spans="47:63" ht="14.4" customHeight="1">
      <c r="AU41" s="442">
        <f>OBJ!B191</f>
        <v>9257257</v>
      </c>
      <c r="AV41" s="443" t="str">
        <f>VLOOKUP(AU41,CENY!$B$11:$G$1054,2,FALSE)</f>
        <v>AvanY-prích.čela Inlay k naskrutk./ v187</v>
      </c>
      <c r="AW41" s="22">
        <f>VLOOKUP(AU41,CENY!$B$11:$G$1054,3,FALSE)</f>
        <v>100</v>
      </c>
      <c r="AX41" s="22"/>
      <c r="AY41" s="68">
        <f>4*(SUM(O19:AD19)+SUM(W20:AF20)+SUM(O25:AD25))</f>
        <v>0</v>
      </c>
      <c r="AZ41" s="326">
        <f t="shared" si="0"/>
        <v>0</v>
      </c>
      <c r="BA41" s="95">
        <f>VLOOKUP(AU41,CENY!$B$11:$M$2025,12,FALSE)</f>
        <v>50.732700000000001</v>
      </c>
      <c r="BB41" s="95">
        <f t="shared" si="1"/>
        <v>0</v>
      </c>
      <c r="BD41" s="319">
        <f>OBJ!B265</f>
        <v>9318183</v>
      </c>
      <c r="BE41" s="21" t="str">
        <f>VLOOKUP(BD41,CENY!$B$11:$G$1054,2,FALSE)</f>
        <v>Actro You(L) 600/SiSy 40kg; EB21; ľavý</v>
      </c>
      <c r="BF41" s="22">
        <f>VLOOKUP(BD41,CENY!$B$11:$G$1054,3,FALSE)</f>
        <v>10</v>
      </c>
      <c r="BG41" s="22"/>
      <c r="BH41" s="23">
        <f>AY26</f>
        <v>0</v>
      </c>
      <c r="BI41" s="326">
        <f t="shared" si="2"/>
        <v>0</v>
      </c>
      <c r="BJ41" s="95">
        <f>VLOOKUP(BD41,CENY!$B$11:$M$2025,12,FALSE)</f>
        <v>326.21229</v>
      </c>
      <c r="BK41" s="95">
        <f t="shared" si="3"/>
        <v>0</v>
      </c>
    </row>
    <row r="42" spans="47:63" ht="14.4" customHeight="1">
      <c r="AU42" s="319"/>
      <c r="AV42" s="21"/>
      <c r="AW42" s="22"/>
      <c r="AX42" s="22"/>
      <c r="AY42" s="23"/>
      <c r="AZ42" s="326" t="str">
        <f t="shared" si="0"/>
        <v/>
      </c>
      <c r="BA42" s="95"/>
      <c r="BB42" s="95" t="str">
        <f t="shared" si="1"/>
        <v/>
      </c>
      <c r="BD42" s="319">
        <f>OBJ!B266</f>
        <v>9318184</v>
      </c>
      <c r="BE42" s="21" t="str">
        <f>VLOOKUP(BD42,CENY!$B$11:$G$1054,2,FALSE)</f>
        <v>Actro You(L) 600/SiSy 40kg; EB21; pravý</v>
      </c>
      <c r="BF42" s="22">
        <f>VLOOKUP(BD42,CENY!$B$11:$G$1054,3,FALSE)</f>
        <v>10</v>
      </c>
      <c r="BG42" s="22"/>
      <c r="BH42" s="23">
        <f>AY26</f>
        <v>0</v>
      </c>
      <c r="BI42" s="326">
        <f t="shared" si="2"/>
        <v>0</v>
      </c>
      <c r="BJ42" s="95">
        <f>VLOOKUP(BD42,CENY!$B$11:$M$2025,12,FALSE)</f>
        <v>326.21229</v>
      </c>
      <c r="BK42" s="95">
        <f t="shared" si="3"/>
        <v>0</v>
      </c>
    </row>
    <row r="43" spans="47:63" ht="14.4" customHeight="1">
      <c r="AU43" s="320">
        <f>OBJ!B214</f>
        <v>0</v>
      </c>
      <c r="AV43" s="321" t="e">
        <f>VLOOKUP(AU43,CENY!$B$11:$G$1054,2,FALSE)</f>
        <v>#N/A</v>
      </c>
      <c r="AW43" s="22" t="e">
        <f>VLOOKUP(AU43,CENY!$B$11:$G$1054,3,FALSE)</f>
        <v>#N/A</v>
      </c>
      <c r="AX43" s="22"/>
      <c r="AY43" s="68">
        <f>IF(FORM!AM21&lt;&gt;FORM!AW16,(4*(SUM(O19:AD19)+SUM(W20:AF20)+SUM(O25:AD25))),0)</f>
        <v>0</v>
      </c>
      <c r="AZ43" s="326">
        <f t="shared" si="0"/>
        <v>0</v>
      </c>
      <c r="BA43" s="324" t="str">
        <f>IF(AU43=0,"",VLOOKUP(AU43,CENY!$B$11:$M$2025,12,FALSE))</f>
        <v/>
      </c>
      <c r="BB43" s="95" t="str">
        <f t="shared" si="1"/>
        <v/>
      </c>
      <c r="BD43" s="319"/>
      <c r="BE43" s="21"/>
      <c r="BF43" s="22"/>
      <c r="BG43" s="22"/>
      <c r="BH43" s="23"/>
      <c r="BI43" s="326" t="str">
        <f t="shared" si="2"/>
        <v/>
      </c>
      <c r="BJ43" s="95"/>
      <c r="BK43" s="95" t="str">
        <f t="shared" si="3"/>
        <v/>
      </c>
    </row>
    <row r="44" spans="47:63" ht="14.4" customHeight="1">
      <c r="AU44" s="319"/>
      <c r="AV44" s="21"/>
      <c r="AW44" s="22"/>
      <c r="AX44" s="22"/>
      <c r="AY44" s="23"/>
      <c r="AZ44" s="326" t="str">
        <f t="shared" si="0"/>
        <v/>
      </c>
      <c r="BA44" s="95"/>
      <c r="BB44" s="95" t="str">
        <f t="shared" si="1"/>
        <v/>
      </c>
      <c r="BD44" s="319">
        <f>OBJ!B273</f>
        <v>9318198</v>
      </c>
      <c r="BE44" s="21" t="str">
        <f>VLOOKUP(BD44,CENY!$B$11:$G$1054,2,FALSE)</f>
        <v>Actro You(XL) 450/SiSy 70kg; EB21; ľavý</v>
      </c>
      <c r="BF44" s="22">
        <f>VLOOKUP(BD44,CENY!$B$11:$G$1054,3,FALSE)</f>
        <v>10</v>
      </c>
      <c r="BG44" s="22"/>
      <c r="BH44" s="23">
        <f>AY28</f>
        <v>0</v>
      </c>
      <c r="BI44" s="326">
        <f t="shared" si="2"/>
        <v>0</v>
      </c>
      <c r="BJ44" s="95">
        <f>VLOOKUP(BD44,CENY!$B$11:$M$2025,12,FALSE)</f>
        <v>368.62277</v>
      </c>
      <c r="BK44" s="95">
        <f t="shared" si="3"/>
        <v>0</v>
      </c>
    </row>
    <row r="45" spans="47:63" ht="14.4" customHeight="1">
      <c r="AU45" s="319"/>
      <c r="AV45" s="21"/>
      <c r="AW45" s="22"/>
      <c r="AX45" s="22"/>
      <c r="AY45" s="23"/>
      <c r="AZ45" s="326" t="str">
        <f t="shared" si="0"/>
        <v/>
      </c>
      <c r="BA45" s="95"/>
      <c r="BB45" s="95" t="str">
        <f t="shared" si="1"/>
        <v/>
      </c>
      <c r="BD45" s="319">
        <f>OBJ!B274</f>
        <v>9318199</v>
      </c>
      <c r="BE45" s="21" t="str">
        <f>VLOOKUP(BD45,CENY!$B$11:$G$1054,2,FALSE)</f>
        <v>Actro You(XL) 450/SiSy 70kg; EB21; pravý</v>
      </c>
      <c r="BF45" s="22">
        <f>VLOOKUP(BD45,CENY!$B$11:$G$1054,3,FALSE)</f>
        <v>10</v>
      </c>
      <c r="BG45" s="22"/>
      <c r="BH45" s="23">
        <f>AY28</f>
        <v>0</v>
      </c>
      <c r="BI45" s="326">
        <f t="shared" si="2"/>
        <v>0</v>
      </c>
      <c r="BJ45" s="95">
        <f>VLOOKUP(BD45,CENY!$B$11:$M$2025,12,FALSE)</f>
        <v>368.62277</v>
      </c>
      <c r="BK45" s="95">
        <f t="shared" si="3"/>
        <v>0</v>
      </c>
    </row>
    <row r="46" spans="47:63" ht="14.4" customHeight="1">
      <c r="AU46" s="319"/>
      <c r="AV46" s="21"/>
      <c r="AW46" s="22"/>
      <c r="AX46" s="22"/>
      <c r="AY46" s="23"/>
      <c r="AZ46" s="326" t="str">
        <f t="shared" si="0"/>
        <v/>
      </c>
      <c r="BA46" s="95"/>
      <c r="BB46" s="95" t="str">
        <f t="shared" si="1"/>
        <v/>
      </c>
      <c r="BD46" s="319">
        <f>OBJ!B275</f>
        <v>9318201</v>
      </c>
      <c r="BE46" s="21" t="str">
        <f>VLOOKUP(BD46,CENY!$B$11:$G$1054,2,FALSE)</f>
        <v>Actro You(XL) 500/SiSy 70kg; EB21; ľavý</v>
      </c>
      <c r="BF46" s="22">
        <f>VLOOKUP(BD46,CENY!$B$11:$G$1054,3,FALSE)</f>
        <v>10</v>
      </c>
      <c r="BG46" s="22"/>
      <c r="BH46" s="23">
        <f>AY29</f>
        <v>0</v>
      </c>
      <c r="BI46" s="326">
        <f t="shared" si="2"/>
        <v>0</v>
      </c>
      <c r="BJ46" s="95">
        <f>VLOOKUP(BD46,CENY!$B$11:$M$2025,12,FALSE)</f>
        <v>372.33726999999999</v>
      </c>
      <c r="BK46" s="95">
        <f t="shared" si="3"/>
        <v>0</v>
      </c>
    </row>
    <row r="47" spans="47:63" ht="14.4" customHeight="1">
      <c r="AU47" s="319"/>
      <c r="AV47" s="21"/>
      <c r="AW47" s="22"/>
      <c r="AX47" s="22"/>
      <c r="AY47" s="23"/>
      <c r="AZ47" s="326" t="str">
        <f t="shared" si="0"/>
        <v/>
      </c>
      <c r="BA47" s="95"/>
      <c r="BB47" s="95" t="str">
        <f t="shared" si="1"/>
        <v/>
      </c>
      <c r="BD47" s="319">
        <f>OBJ!B276</f>
        <v>9318203</v>
      </c>
      <c r="BE47" s="21" t="str">
        <f>VLOOKUP(BD47,CENY!$B$11:$G$1054,2,FALSE)</f>
        <v>Actro You(XL) 500/SiSy 70kg; EB21; pravý</v>
      </c>
      <c r="BF47" s="22">
        <f>VLOOKUP(BD47,CENY!$B$11:$G$1054,3,FALSE)</f>
        <v>10</v>
      </c>
      <c r="BG47" s="22"/>
      <c r="BH47" s="23">
        <f>AY29</f>
        <v>0</v>
      </c>
      <c r="BI47" s="326">
        <f t="shared" si="2"/>
        <v>0</v>
      </c>
      <c r="BJ47" s="95">
        <f>VLOOKUP(BD47,CENY!$B$11:$M$2025,12,FALSE)</f>
        <v>372.33726999999999</v>
      </c>
      <c r="BK47" s="95">
        <f t="shared" si="3"/>
        <v>0</v>
      </c>
    </row>
    <row r="48" spans="47:63" ht="14.4" customHeight="1">
      <c r="AU48" s="319"/>
      <c r="AV48" s="21"/>
      <c r="AW48" s="22"/>
      <c r="AX48" s="22"/>
      <c r="AY48" s="23"/>
      <c r="AZ48" s="326" t="str">
        <f t="shared" si="0"/>
        <v/>
      </c>
      <c r="BA48" s="95"/>
      <c r="BB48" s="95" t="str">
        <f t="shared" si="1"/>
        <v/>
      </c>
      <c r="BD48" s="319">
        <f>OBJ!B277</f>
        <v>9318208</v>
      </c>
      <c r="BE48" s="21" t="str">
        <f>VLOOKUP(BD48,CENY!$B$11:$G$1054,2,FALSE)</f>
        <v>Actro You(XL) 550/SiSy 70kg; EB21; ľavý</v>
      </c>
      <c r="BF48" s="22">
        <f>VLOOKUP(BD48,CENY!$B$11:$G$1054,3,FALSE)</f>
        <v>10</v>
      </c>
      <c r="BG48" s="22"/>
      <c r="BH48" s="23">
        <f>AY30</f>
        <v>0</v>
      </c>
      <c r="BI48" s="326">
        <f t="shared" si="2"/>
        <v>0</v>
      </c>
      <c r="BJ48" s="95">
        <f>VLOOKUP(BD48,CENY!$B$11:$M$2025,12,FALSE)</f>
        <v>392.11943000000002</v>
      </c>
      <c r="BK48" s="95">
        <f t="shared" si="3"/>
        <v>0</v>
      </c>
    </row>
    <row r="49" spans="47:63" ht="14.4" customHeight="1">
      <c r="AU49" s="319"/>
      <c r="AV49" s="21"/>
      <c r="AW49" s="22"/>
      <c r="AX49" s="22"/>
      <c r="AY49" s="23"/>
      <c r="AZ49" s="326" t="str">
        <f t="shared" si="0"/>
        <v/>
      </c>
      <c r="BA49" s="95"/>
      <c r="BB49" s="95" t="str">
        <f t="shared" si="1"/>
        <v/>
      </c>
      <c r="BD49" s="319">
        <f>OBJ!B278</f>
        <v>9318209</v>
      </c>
      <c r="BE49" s="21" t="str">
        <f>VLOOKUP(BD49,CENY!$B$11:$G$1054,2,FALSE)</f>
        <v>Actro You(XL) 550/SiSy 70kg; EB21; pravý</v>
      </c>
      <c r="BF49" s="22">
        <f>VLOOKUP(BD49,CENY!$B$11:$G$1054,3,FALSE)</f>
        <v>10</v>
      </c>
      <c r="BG49" s="22"/>
      <c r="BH49" s="23">
        <f>AY30</f>
        <v>0</v>
      </c>
      <c r="BI49" s="326">
        <f t="shared" si="2"/>
        <v>0</v>
      </c>
      <c r="BJ49" s="95">
        <f>VLOOKUP(BD49,CENY!$B$11:$M$2025,12,FALSE)</f>
        <v>392.11943000000002</v>
      </c>
      <c r="BK49" s="95">
        <f t="shared" si="3"/>
        <v>0</v>
      </c>
    </row>
    <row r="50" spans="47:63" ht="14.4" customHeight="1">
      <c r="AU50" s="319"/>
      <c r="AV50" s="21"/>
      <c r="AW50" s="22"/>
      <c r="AX50" s="22"/>
      <c r="AY50" s="23"/>
      <c r="AZ50" s="326" t="str">
        <f t="shared" si="0"/>
        <v/>
      </c>
      <c r="BA50" s="95"/>
      <c r="BB50" s="95" t="str">
        <f t="shared" si="1"/>
        <v/>
      </c>
      <c r="BD50" s="319">
        <f>OBJ!B279</f>
        <v>9318211</v>
      </c>
      <c r="BE50" s="21" t="str">
        <f>VLOOKUP(BD50,CENY!$B$11:$G$1054,2,FALSE)</f>
        <v>Actro You(XL) 600/SiSy 70kg; EB21; ľavý</v>
      </c>
      <c r="BF50" s="22">
        <f>VLOOKUP(BD50,CENY!$B$11:$G$1054,3,FALSE)</f>
        <v>10</v>
      </c>
      <c r="BG50" s="22"/>
      <c r="BH50" s="23">
        <f>AY31</f>
        <v>0</v>
      </c>
      <c r="BI50" s="326">
        <f t="shared" si="2"/>
        <v>0</v>
      </c>
      <c r="BJ50" s="95">
        <f>VLOOKUP(BD50,CENY!$B$11:$M$2025,12,FALSE)</f>
        <v>443.89010999999999</v>
      </c>
      <c r="BK50" s="95">
        <f t="shared" si="3"/>
        <v>0</v>
      </c>
    </row>
    <row r="51" spans="47:63" ht="14.4" customHeight="1">
      <c r="AU51" s="20"/>
      <c r="AV51" s="21"/>
      <c r="AW51" s="22"/>
      <c r="AX51" s="22"/>
      <c r="AY51" s="23"/>
      <c r="AZ51" s="326" t="str">
        <f t="shared" si="0"/>
        <v/>
      </c>
      <c r="BA51" s="95"/>
      <c r="BB51" s="95" t="str">
        <f t="shared" si="1"/>
        <v/>
      </c>
      <c r="BD51" s="319">
        <f>OBJ!B280</f>
        <v>9318212</v>
      </c>
      <c r="BE51" s="21" t="str">
        <f>VLOOKUP(BD51,CENY!$B$11:$G$1054,2,FALSE)</f>
        <v>Actro You(XL) 600/SiSy 70kg; EB21; pravý</v>
      </c>
      <c r="BF51" s="22">
        <f>VLOOKUP(BD51,CENY!$B$11:$G$1054,3,FALSE)</f>
        <v>10</v>
      </c>
      <c r="BG51" s="22"/>
      <c r="BH51" s="23">
        <f>AY31</f>
        <v>0</v>
      </c>
      <c r="BI51" s="326">
        <f t="shared" si="2"/>
        <v>0</v>
      </c>
      <c r="BJ51" s="95">
        <f>VLOOKUP(BD51,CENY!$B$11:$M$2025,12,FALSE)</f>
        <v>443.89010999999999</v>
      </c>
      <c r="BK51" s="95">
        <f t="shared" si="3"/>
        <v>0</v>
      </c>
    </row>
    <row r="52" spans="47:63" ht="14.4" customHeight="1">
      <c r="AU52" s="20"/>
      <c r="AV52" s="21"/>
      <c r="AW52" s="22"/>
      <c r="AX52" s="22"/>
      <c r="AY52" s="23"/>
      <c r="AZ52" s="326" t="str">
        <f t="shared" si="0"/>
        <v/>
      </c>
      <c r="BA52" s="95"/>
      <c r="BB52" s="95" t="str">
        <f t="shared" si="1"/>
        <v/>
      </c>
      <c r="BD52" s="319">
        <f>OBJ!B281</f>
        <v>9318213</v>
      </c>
      <c r="BE52" s="21" t="str">
        <f>VLOOKUP(BD52,CENY!$B$11:$G$1054,2,FALSE)</f>
        <v>Actro You(XL) 650/SiSy 70kg; EB21; ľavý</v>
      </c>
      <c r="BF52" s="22">
        <f>VLOOKUP(BD52,CENY!$B$11:$G$1054,3,FALSE)</f>
        <v>5</v>
      </c>
      <c r="BG52" s="22"/>
      <c r="BH52" s="23">
        <f>AY32</f>
        <v>0</v>
      </c>
      <c r="BI52" s="326">
        <f t="shared" si="2"/>
        <v>0</v>
      </c>
      <c r="BJ52" s="95">
        <f>VLOOKUP(BD52,CENY!$B$11:$M$2025,12,FALSE)</f>
        <v>462.41142000000002</v>
      </c>
      <c r="BK52" s="95">
        <f t="shared" si="3"/>
        <v>0</v>
      </c>
    </row>
    <row r="53" spans="47:63" ht="14.4" customHeight="1">
      <c r="AU53" s="20"/>
      <c r="AV53" s="21"/>
      <c r="AW53" s="22"/>
      <c r="AX53" s="22"/>
      <c r="AY53" s="23"/>
      <c r="AZ53" s="326" t="str">
        <f t="shared" si="0"/>
        <v/>
      </c>
      <c r="BA53" s="95"/>
      <c r="BB53" s="95" t="str">
        <f t="shared" si="1"/>
        <v/>
      </c>
      <c r="BD53" s="319">
        <f>OBJ!B282</f>
        <v>9318214</v>
      </c>
      <c r="BE53" s="21" t="str">
        <f>VLOOKUP(BD53,CENY!$B$11:$G$1054,2,FALSE)</f>
        <v>Actro You(XL) 650/SiSy 70kg; EB21; pravý</v>
      </c>
      <c r="BF53" s="22">
        <f>VLOOKUP(BD53,CENY!$B$11:$G$1054,3,FALSE)</f>
        <v>5</v>
      </c>
      <c r="BG53" s="22"/>
      <c r="BH53" s="23">
        <f>AY32</f>
        <v>0</v>
      </c>
      <c r="BI53" s="326">
        <f t="shared" si="2"/>
        <v>0</v>
      </c>
      <c r="BJ53" s="95">
        <f>VLOOKUP(BD53,CENY!$B$11:$M$2025,12,FALSE)</f>
        <v>462.41142000000002</v>
      </c>
      <c r="BK53" s="95">
        <f t="shared" si="3"/>
        <v>0</v>
      </c>
    </row>
    <row r="54" spans="47:63" ht="14.4" customHeight="1">
      <c r="AU54" s="20"/>
      <c r="AV54" s="21"/>
      <c r="AW54" s="22"/>
      <c r="AX54" s="22"/>
      <c r="AY54" s="23"/>
      <c r="AZ54" s="326" t="str">
        <f t="shared" si="0"/>
        <v/>
      </c>
      <c r="BA54" s="95"/>
      <c r="BB54" s="95" t="str">
        <f t="shared" si="1"/>
        <v/>
      </c>
      <c r="BD54" s="319"/>
      <c r="BE54" s="21"/>
      <c r="BF54" s="22"/>
      <c r="BG54" s="22"/>
      <c r="BH54" s="23"/>
      <c r="BI54" s="326" t="str">
        <f t="shared" si="2"/>
        <v/>
      </c>
      <c r="BJ54" s="95"/>
      <c r="BK54" s="95" t="str">
        <f t="shared" si="3"/>
        <v/>
      </c>
    </row>
    <row r="55" spans="47:63" ht="14.4" customHeight="1">
      <c r="AU55" s="20"/>
      <c r="AV55" s="21"/>
      <c r="AW55" s="22"/>
      <c r="AX55" s="22"/>
      <c r="AY55" s="23"/>
      <c r="AZ55" s="326" t="str">
        <f t="shared" si="0"/>
        <v/>
      </c>
      <c r="BA55" s="95"/>
      <c r="BB55" s="95" t="str">
        <f t="shared" si="1"/>
        <v/>
      </c>
      <c r="BD55" s="319">
        <f>OBJ!B316</f>
        <v>9256860</v>
      </c>
      <c r="BE55" s="21" t="str">
        <f>VLOOKUP(BD55,CENY!$B$11:$G$1054,2,FALSE)</f>
        <v>Quadro You(M) 350/SiSy 25kg; EB21; ľavý</v>
      </c>
      <c r="BF55" s="22">
        <f>VLOOKUP(BD55,CENY!$B$11:$G$1054,3,FALSE)</f>
        <v>20</v>
      </c>
      <c r="BG55" s="22"/>
      <c r="BH55" s="23">
        <f>AY34</f>
        <v>0</v>
      </c>
      <c r="BI55" s="326">
        <f t="shared" si="2"/>
        <v>0</v>
      </c>
      <c r="BJ55" s="95">
        <f>VLOOKUP(BD55,CENY!$B$11:$M$2025,12,FALSE)</f>
        <v>229.11434</v>
      </c>
      <c r="BK55" s="95">
        <f t="shared" si="3"/>
        <v>0</v>
      </c>
    </row>
    <row r="56" spans="47:63" ht="14.4" customHeight="1">
      <c r="AU56" s="20"/>
      <c r="AV56" s="21"/>
      <c r="AW56" s="22"/>
      <c r="AX56" s="22"/>
      <c r="AY56" s="23"/>
      <c r="AZ56" s="326" t="str">
        <f t="shared" si="0"/>
        <v/>
      </c>
      <c r="BA56" s="95"/>
      <c r="BB56" s="95" t="str">
        <f t="shared" si="1"/>
        <v/>
      </c>
      <c r="BD56" s="319">
        <f>OBJ!B317</f>
        <v>9256861</v>
      </c>
      <c r="BE56" s="21" t="str">
        <f>VLOOKUP(BD56,CENY!$B$11:$G$1054,2,FALSE)</f>
        <v>Quadro You(M) 350/SiSy 25kg; EB21; pravý</v>
      </c>
      <c r="BF56" s="22">
        <f>VLOOKUP(BD56,CENY!$B$11:$G$1054,3,FALSE)</f>
        <v>20</v>
      </c>
      <c r="BG56" s="22"/>
      <c r="BH56" s="23">
        <f>AY34</f>
        <v>0</v>
      </c>
      <c r="BI56" s="326">
        <f t="shared" ref="BI56:BI80" si="5">IF(BH56="","",IF($AW$4=0,BH56,0))</f>
        <v>0</v>
      </c>
      <c r="BJ56" s="95">
        <f>VLOOKUP(BD56,CENY!$B$11:$M$2025,12,FALSE)</f>
        <v>229.11434</v>
      </c>
      <c r="BK56" s="95">
        <f t="shared" ref="BK56:BK80" si="6">IF(BJ56="","",BJ56*BH56)</f>
        <v>0</v>
      </c>
    </row>
    <row r="57" spans="47:63" ht="14.4" customHeight="1">
      <c r="AU57" s="20"/>
      <c r="AV57" s="21"/>
      <c r="AW57" s="22"/>
      <c r="AX57" s="22"/>
      <c r="AY57" s="23"/>
      <c r="AZ57" s="326" t="str">
        <f t="shared" si="0"/>
        <v/>
      </c>
      <c r="BA57" s="95"/>
      <c r="BB57" s="95" t="str">
        <f t="shared" si="1"/>
        <v/>
      </c>
      <c r="BD57" s="319">
        <f>OBJ!B318</f>
        <v>9256864</v>
      </c>
      <c r="BE57" s="21" t="str">
        <f>VLOOKUP(BD57,CENY!$B$11:$G$1054,2,FALSE)</f>
        <v>Quadro You(M) 400/SiSy 30kg; EB21; ľavý</v>
      </c>
      <c r="BF57" s="22">
        <f>VLOOKUP(BD57,CENY!$B$11:$G$1054,3,FALSE)</f>
        <v>20</v>
      </c>
      <c r="BG57" s="22"/>
      <c r="BH57" s="23">
        <f>AY35</f>
        <v>0</v>
      </c>
      <c r="BI57" s="326">
        <f t="shared" si="5"/>
        <v>0</v>
      </c>
      <c r="BJ57" s="95">
        <f>VLOOKUP(BD57,CENY!$B$11:$M$2025,12,FALSE)</f>
        <v>233.96566000000001</v>
      </c>
      <c r="BK57" s="95">
        <f t="shared" si="6"/>
        <v>0</v>
      </c>
    </row>
    <row r="58" spans="47:63" ht="14.4" customHeight="1">
      <c r="AU58" s="20"/>
      <c r="AV58" s="21"/>
      <c r="AW58" s="22"/>
      <c r="AX58" s="22"/>
      <c r="AY58" s="23"/>
      <c r="AZ58" s="326" t="str">
        <f t="shared" si="0"/>
        <v/>
      </c>
      <c r="BA58" s="95"/>
      <c r="BB58" s="95" t="str">
        <f t="shared" si="1"/>
        <v/>
      </c>
      <c r="BD58" s="319">
        <f>OBJ!B319</f>
        <v>9256865</v>
      </c>
      <c r="BE58" s="21" t="str">
        <f>VLOOKUP(BD58,CENY!$B$11:$G$1054,2,FALSE)</f>
        <v>Quadro You(M) 400/SiSy 30kg; EB21; pravý</v>
      </c>
      <c r="BF58" s="22">
        <f>VLOOKUP(BD58,CENY!$B$11:$G$1054,3,FALSE)</f>
        <v>20</v>
      </c>
      <c r="BG58" s="22"/>
      <c r="BH58" s="23">
        <f>AY35</f>
        <v>0</v>
      </c>
      <c r="BI58" s="326">
        <f t="shared" si="5"/>
        <v>0</v>
      </c>
      <c r="BJ58" s="95">
        <f>VLOOKUP(BD58,CENY!$B$11:$M$2025,12,FALSE)</f>
        <v>233.96566000000001</v>
      </c>
      <c r="BK58" s="95">
        <f t="shared" si="6"/>
        <v>0</v>
      </c>
    </row>
    <row r="59" spans="47:63" ht="14.4" customHeight="1">
      <c r="AU59" s="20"/>
      <c r="AV59" s="21"/>
      <c r="AW59" s="22"/>
      <c r="AX59" s="22"/>
      <c r="AY59" s="23"/>
      <c r="AZ59" s="326" t="str">
        <f t="shared" si="0"/>
        <v/>
      </c>
      <c r="BA59" s="95"/>
      <c r="BB59" s="95" t="str">
        <f t="shared" si="1"/>
        <v/>
      </c>
      <c r="BD59" s="319">
        <f>OBJ!B320</f>
        <v>9256868</v>
      </c>
      <c r="BE59" s="21" t="str">
        <f>VLOOKUP(BD59,CENY!$B$11:$G$1054,2,FALSE)</f>
        <v>Quadro You(M) 450/SiSy 30kg; EB21; ľavý</v>
      </c>
      <c r="BF59" s="22">
        <f>VLOOKUP(BD59,CENY!$B$11:$G$1054,3,FALSE)</f>
        <v>20</v>
      </c>
      <c r="BG59" s="22"/>
      <c r="BH59" s="23">
        <f>AY36</f>
        <v>0</v>
      </c>
      <c r="BI59" s="326">
        <f t="shared" si="5"/>
        <v>0</v>
      </c>
      <c r="BJ59" s="95">
        <f>VLOOKUP(BD59,CENY!$B$11:$M$2025,12,FALSE)</f>
        <v>238.81201999999999</v>
      </c>
      <c r="BK59" s="95">
        <f t="shared" si="6"/>
        <v>0</v>
      </c>
    </row>
    <row r="60" spans="47:63" ht="14.4" customHeight="1">
      <c r="AU60" s="20"/>
      <c r="AV60" s="21"/>
      <c r="AW60" s="22"/>
      <c r="AX60" s="22"/>
      <c r="AY60" s="23"/>
      <c r="AZ60" s="326" t="str">
        <f t="shared" si="0"/>
        <v/>
      </c>
      <c r="BA60" s="95"/>
      <c r="BB60" s="95" t="str">
        <f t="shared" si="1"/>
        <v/>
      </c>
      <c r="BD60" s="319">
        <f>OBJ!B321</f>
        <v>9256869</v>
      </c>
      <c r="BE60" s="21" t="str">
        <f>VLOOKUP(BD60,CENY!$B$11:$G$1054,2,FALSE)</f>
        <v>Quadro You(M) 450/SiSy 30kg; EB21; pravý</v>
      </c>
      <c r="BF60" s="22">
        <f>VLOOKUP(BD60,CENY!$B$11:$G$1054,3,FALSE)</f>
        <v>20</v>
      </c>
      <c r="BG60" s="22"/>
      <c r="BH60" s="23">
        <f>AY36</f>
        <v>0</v>
      </c>
      <c r="BI60" s="326">
        <f t="shared" si="5"/>
        <v>0</v>
      </c>
      <c r="BJ60" s="95">
        <f>VLOOKUP(BD60,CENY!$B$11:$M$2025,12,FALSE)</f>
        <v>238.81201999999999</v>
      </c>
      <c r="BK60" s="95">
        <f t="shared" si="6"/>
        <v>0</v>
      </c>
    </row>
    <row r="61" spans="47:63" ht="14.4" customHeight="1">
      <c r="AU61" s="20"/>
      <c r="AV61" s="21"/>
      <c r="AW61" s="22"/>
      <c r="AX61" s="22"/>
      <c r="AY61" s="23"/>
      <c r="AZ61" s="326" t="str">
        <f t="shared" si="0"/>
        <v/>
      </c>
      <c r="BA61" s="95"/>
      <c r="BB61" s="95" t="str">
        <f t="shared" ref="BB61:BB82" si="7">IF(BA61="","",BA61*AY61)</f>
        <v/>
      </c>
      <c r="BD61" s="319">
        <f>OBJ!B322</f>
        <v>9256872</v>
      </c>
      <c r="BE61" s="21" t="str">
        <f>VLOOKUP(BD61,CENY!$B$11:$G$1054,2,FALSE)</f>
        <v>Quadro You(M) 500/SiSy 30kg; EB21; ľavý</v>
      </c>
      <c r="BF61" s="22">
        <f>VLOOKUP(BD61,CENY!$B$11:$G$1054,3,FALSE)</f>
        <v>20</v>
      </c>
      <c r="BG61" s="22"/>
      <c r="BH61" s="23">
        <f>AY37</f>
        <v>0</v>
      </c>
      <c r="BI61" s="326">
        <f t="shared" si="5"/>
        <v>0</v>
      </c>
      <c r="BJ61" s="95">
        <f>VLOOKUP(BD61,CENY!$B$11:$M$2025,12,FALSE)</f>
        <v>237.18776</v>
      </c>
      <c r="BK61" s="95">
        <f t="shared" si="6"/>
        <v>0</v>
      </c>
    </row>
    <row r="62" spans="47:63" ht="14.4" customHeight="1">
      <c r="AU62" s="20"/>
      <c r="AV62" s="21"/>
      <c r="AW62" s="22"/>
      <c r="AX62" s="22"/>
      <c r="AY62" s="23"/>
      <c r="AZ62" s="326" t="str">
        <f t="shared" ref="AZ62:AZ82" si="8">IF(AY62="","",IF($AW$4=1,AY62,0))</f>
        <v/>
      </c>
      <c r="BA62" s="95"/>
      <c r="BB62" s="95" t="str">
        <f t="shared" si="7"/>
        <v/>
      </c>
      <c r="BD62" s="319">
        <f>OBJ!B323</f>
        <v>9256873</v>
      </c>
      <c r="BE62" s="21" t="str">
        <f>VLOOKUP(BD62,CENY!$B$11:$G$1054,2,FALSE)</f>
        <v>Quadro You(M) 500/SiSy 30kg; EB21; pravý</v>
      </c>
      <c r="BF62" s="22">
        <f>VLOOKUP(BD62,CENY!$B$11:$G$1054,3,FALSE)</f>
        <v>20</v>
      </c>
      <c r="BG62" s="22"/>
      <c r="BH62" s="23">
        <f>AY37</f>
        <v>0</v>
      </c>
      <c r="BI62" s="326">
        <f t="shared" si="5"/>
        <v>0</v>
      </c>
      <c r="BJ62" s="95">
        <f>VLOOKUP(BD62,CENY!$B$11:$M$2025,12,FALSE)</f>
        <v>237.18776</v>
      </c>
      <c r="BK62" s="95">
        <f t="shared" si="6"/>
        <v>0</v>
      </c>
    </row>
    <row r="63" spans="47:63" ht="14.4" customHeight="1">
      <c r="AU63" s="20"/>
      <c r="AV63" s="21"/>
      <c r="AW63" s="22"/>
      <c r="AX63" s="22"/>
      <c r="AY63" s="23"/>
      <c r="AZ63" s="326" t="str">
        <f t="shared" si="8"/>
        <v/>
      </c>
      <c r="BA63" s="95"/>
      <c r="BB63" s="95" t="str">
        <f t="shared" si="7"/>
        <v/>
      </c>
      <c r="BD63" s="319">
        <f>OBJ!B324</f>
        <v>9256876</v>
      </c>
      <c r="BE63" s="21" t="str">
        <f>VLOOKUP(BD63,CENY!$B$11:$G$1054,2,FALSE)</f>
        <v>Quadro You(M) 550/SiSy 30kg; EB21; ľavý</v>
      </c>
      <c r="BF63" s="22">
        <f>VLOOKUP(BD63,CENY!$B$11:$G$1054,3,FALSE)</f>
        <v>20</v>
      </c>
      <c r="BG63" s="22"/>
      <c r="BH63" s="23">
        <f>AY38</f>
        <v>0</v>
      </c>
      <c r="BI63" s="326">
        <f t="shared" si="5"/>
        <v>0</v>
      </c>
      <c r="BJ63" s="95">
        <f>VLOOKUP(BD63,CENY!$B$11:$M$2025,12,FALSE)</f>
        <v>241.90996999999999</v>
      </c>
      <c r="BK63" s="95">
        <f t="shared" si="6"/>
        <v>0</v>
      </c>
    </row>
    <row r="64" spans="47:63" ht="14.4" customHeight="1">
      <c r="AU64" s="20"/>
      <c r="AV64" s="21"/>
      <c r="AW64" s="22"/>
      <c r="AX64" s="22"/>
      <c r="AY64" s="23"/>
      <c r="AZ64" s="326" t="str">
        <f t="shared" si="8"/>
        <v/>
      </c>
      <c r="BA64" s="95"/>
      <c r="BB64" s="95" t="str">
        <f t="shared" si="7"/>
        <v/>
      </c>
      <c r="BD64" s="319">
        <f>OBJ!B325</f>
        <v>9256877</v>
      </c>
      <c r="BE64" s="21" t="str">
        <f>VLOOKUP(BD64,CENY!$B$11:$G$1054,2,FALSE)</f>
        <v>Quadro You(M) 550/SiSy 30kg; EB21; pravý</v>
      </c>
      <c r="BF64" s="22">
        <f>VLOOKUP(BD64,CENY!$B$11:$G$1054,3,FALSE)</f>
        <v>20</v>
      </c>
      <c r="BG64" s="22"/>
      <c r="BH64" s="23">
        <f>AY38</f>
        <v>0</v>
      </c>
      <c r="BI64" s="326">
        <f t="shared" si="5"/>
        <v>0</v>
      </c>
      <c r="BJ64" s="95">
        <f>VLOOKUP(BD64,CENY!$B$11:$M$2025,12,FALSE)</f>
        <v>248.51953</v>
      </c>
      <c r="BK64" s="95">
        <f t="shared" si="6"/>
        <v>0</v>
      </c>
    </row>
    <row r="65" spans="47:63" ht="14.4" customHeight="1">
      <c r="AU65" s="20"/>
      <c r="AV65" s="21"/>
      <c r="AW65" s="22"/>
      <c r="AX65" s="22"/>
      <c r="AY65" s="23"/>
      <c r="AZ65" s="326" t="str">
        <f t="shared" si="8"/>
        <v/>
      </c>
      <c r="BA65" s="95"/>
      <c r="BB65" s="95" t="str">
        <f t="shared" si="7"/>
        <v/>
      </c>
      <c r="BD65" s="319">
        <f>OBJ!B326</f>
        <v>9256880</v>
      </c>
      <c r="BE65" s="21" t="str">
        <f>VLOOKUP(BD65,CENY!$B$11:$G$1054,2,FALSE)</f>
        <v>Quadro You(M) 600/SiSy 25kg; EB21; ľavý</v>
      </c>
      <c r="BF65" s="22">
        <f>VLOOKUP(BD65,CENY!$B$11:$G$1054,3,FALSE)</f>
        <v>20</v>
      </c>
      <c r="BG65" s="22"/>
      <c r="BH65" s="23">
        <f>AY39</f>
        <v>0</v>
      </c>
      <c r="BI65" s="326">
        <f t="shared" si="5"/>
        <v>0</v>
      </c>
      <c r="BJ65" s="95">
        <f>VLOOKUP(BD65,CENY!$B$11:$M$2025,12,FALSE)</f>
        <v>253.36837</v>
      </c>
      <c r="BK65" s="95">
        <f t="shared" si="6"/>
        <v>0</v>
      </c>
    </row>
    <row r="66" spans="47:63" ht="14.4" customHeight="1">
      <c r="AU66" s="20"/>
      <c r="AV66" s="21"/>
      <c r="AW66" s="22"/>
      <c r="AX66" s="22"/>
      <c r="AY66" s="23"/>
      <c r="AZ66" s="326" t="str">
        <f t="shared" si="8"/>
        <v/>
      </c>
      <c r="BA66" s="95"/>
      <c r="BB66" s="95" t="str">
        <f t="shared" si="7"/>
        <v/>
      </c>
      <c r="BD66" s="319">
        <f>OBJ!B327</f>
        <v>9256881</v>
      </c>
      <c r="BE66" s="21" t="str">
        <f>VLOOKUP(BD66,CENY!$B$11:$G$1054,2,FALSE)</f>
        <v>Quadro You(M) 600/SiSy 25kg; EB21; pravý</v>
      </c>
      <c r="BF66" s="22">
        <f>VLOOKUP(BD66,CENY!$B$11:$G$1054,3,FALSE)</f>
        <v>20</v>
      </c>
      <c r="BG66" s="22"/>
      <c r="BH66" s="23">
        <f>AY39</f>
        <v>0</v>
      </c>
      <c r="BI66" s="326">
        <f t="shared" si="5"/>
        <v>0</v>
      </c>
      <c r="BJ66" s="95">
        <f>VLOOKUP(BD66,CENY!$B$11:$M$2025,12,FALSE)</f>
        <v>253.36837</v>
      </c>
      <c r="BK66" s="95">
        <f t="shared" si="6"/>
        <v>0</v>
      </c>
    </row>
    <row r="67" spans="47:63" ht="14.4" customHeight="1">
      <c r="AU67" s="20"/>
      <c r="AV67" s="21"/>
      <c r="AW67" s="22"/>
      <c r="AX67" s="22"/>
      <c r="AY67" s="23"/>
      <c r="AZ67" s="326" t="str">
        <f t="shared" si="8"/>
        <v/>
      </c>
      <c r="BA67" s="95"/>
      <c r="BB67" s="95" t="str">
        <f t="shared" si="7"/>
        <v/>
      </c>
      <c r="BD67" s="319"/>
      <c r="BE67" s="21"/>
      <c r="BF67" s="22"/>
      <c r="BG67" s="22"/>
      <c r="BH67" s="23"/>
      <c r="BI67" s="326" t="str">
        <f t="shared" si="5"/>
        <v/>
      </c>
      <c r="BJ67" s="95"/>
      <c r="BK67" s="95" t="str">
        <f t="shared" si="6"/>
        <v/>
      </c>
    </row>
    <row r="68" spans="47:63" ht="14.4" customHeight="1">
      <c r="AU68" s="20"/>
      <c r="AV68" s="21"/>
      <c r="AW68" s="22"/>
      <c r="AX68" s="22"/>
      <c r="AY68" s="23"/>
      <c r="AZ68" s="326" t="str">
        <f t="shared" si="8"/>
        <v/>
      </c>
      <c r="BA68" s="95"/>
      <c r="BB68" s="95" t="str">
        <f t="shared" si="7"/>
        <v/>
      </c>
      <c r="BD68" s="319">
        <f>OBJ!B214</f>
        <v>0</v>
      </c>
      <c r="BE68" s="21" t="e">
        <f>VLOOKUP(BD68,CENY!$B$11:$G$1054,2,FALSE)</f>
        <v>#N/A</v>
      </c>
      <c r="BF68" s="22" t="e">
        <f>VLOOKUP(BD68,CENY!$B$11:$G$1054,3,FALSE)</f>
        <v>#N/A</v>
      </c>
      <c r="BG68" s="22"/>
      <c r="BH68" s="23">
        <f>AY43</f>
        <v>0</v>
      </c>
      <c r="BI68" s="326">
        <f t="shared" si="5"/>
        <v>0</v>
      </c>
      <c r="BJ68" s="324" t="str">
        <f>IF(BD68=0,"",VLOOKUP(BD68,CENY!$B$11:$M$2025,12,FALSE))</f>
        <v/>
      </c>
      <c r="BK68" s="95" t="str">
        <f>IF(BJ68="","",BJ68*BH68)</f>
        <v/>
      </c>
    </row>
    <row r="69" spans="47:63" ht="14.4" customHeight="1">
      <c r="AU69" s="20"/>
      <c r="AV69" s="21"/>
      <c r="AW69" s="22"/>
      <c r="AX69" s="22"/>
      <c r="AY69" s="23"/>
      <c r="AZ69" s="326" t="str">
        <f t="shared" si="8"/>
        <v/>
      </c>
      <c r="BA69" s="95"/>
      <c r="BB69" s="95" t="str">
        <f t="shared" si="7"/>
        <v/>
      </c>
      <c r="BD69" s="319"/>
      <c r="BE69" s="21"/>
      <c r="BF69" s="22"/>
      <c r="BG69" s="22"/>
      <c r="BH69" s="23"/>
      <c r="BI69" s="326" t="str">
        <f t="shared" si="5"/>
        <v/>
      </c>
      <c r="BJ69" s="95"/>
      <c r="BK69" s="95" t="str">
        <f t="shared" si="6"/>
        <v/>
      </c>
    </row>
    <row r="70" spans="47:63" ht="14.4" customHeight="1">
      <c r="AU70" s="319">
        <f>OBJ!B361</f>
        <v>45167</v>
      </c>
      <c r="AV70" s="21" t="str">
        <f>VLOOKUP(AU70,CENY!$B$11:$G$1054,2,FALSE)</f>
        <v>Skrutka s polgul.hlavou 3,5x12mm</v>
      </c>
      <c r="AW70" s="22">
        <f>VLOOKUP(AU70,CENY!$B$11:$G$1054,3,FALSE)</f>
        <v>200</v>
      </c>
      <c r="AX70" s="22"/>
      <c r="AY70" s="23">
        <f>SUMPRODUCT(AX5:AX11,AY5:AY11)</f>
        <v>0</v>
      </c>
      <c r="AZ70" s="326">
        <f t="shared" si="8"/>
        <v>0</v>
      </c>
      <c r="BA70" s="95">
        <f>VLOOKUP(AU70,CENY!$B$11:$M$2025,12,FALSE)</f>
        <v>0.84719999999999995</v>
      </c>
      <c r="BB70" s="95">
        <f t="shared" si="7"/>
        <v>0</v>
      </c>
      <c r="BC70" s="86" t="s">
        <v>396</v>
      </c>
      <c r="BD70" s="319">
        <f>OBJ!B361</f>
        <v>45167</v>
      </c>
      <c r="BE70" s="21" t="str">
        <f>VLOOKUP(BD70,CENY!$B$11:$G$1054,2,FALSE)</f>
        <v>Skrutka s polgul.hlavou 3,5x12mm</v>
      </c>
      <c r="BF70" s="22">
        <f>VLOOKUP(BD70,CENY!$B$11:$G$1054,3,FALSE)</f>
        <v>200</v>
      </c>
      <c r="BG70" s="22"/>
      <c r="BH70" s="23">
        <f>AY70</f>
        <v>0</v>
      </c>
      <c r="BI70" s="326">
        <f>IF(BH70="","",IF($AW$4=0,BH70,0))</f>
        <v>0</v>
      </c>
      <c r="BJ70" s="95">
        <f>VLOOKUP(BD70,CENY!$B$11:$M$2025,12,FALSE)</f>
        <v>0.84719999999999995</v>
      </c>
      <c r="BK70" s="95">
        <f>IF(BJ70="","",BJ70*BH70)</f>
        <v>0</v>
      </c>
    </row>
    <row r="71" spans="47:63" ht="14.4" customHeight="1">
      <c r="AU71" s="319">
        <f>OBJ!B362</f>
        <v>45168</v>
      </c>
      <c r="AV71" s="21" t="str">
        <f>VLOOKUP(AU71,CENY!$B$11:$G$1054,2,FALSE)</f>
        <v>Skrutka s polgul.hlavou 3,5x20mm</v>
      </c>
      <c r="AW71" s="22">
        <f>VLOOKUP(AU71,CENY!$B$11:$G$1054,3,FALSE)</f>
        <v>200</v>
      </c>
      <c r="AX71" s="22"/>
      <c r="AY71" s="360">
        <v>0</v>
      </c>
      <c r="AZ71" s="326">
        <f t="shared" si="8"/>
        <v>0</v>
      </c>
      <c r="BA71" s="95">
        <f>VLOOKUP(AU71,CENY!$B$11:$M$2025,12,FALSE)</f>
        <v>1.2154199999999999</v>
      </c>
      <c r="BB71" s="95">
        <f t="shared" si="7"/>
        <v>0</v>
      </c>
      <c r="BC71" s="86" t="s">
        <v>397</v>
      </c>
      <c r="BD71" s="319">
        <f>OBJ!B362</f>
        <v>45168</v>
      </c>
      <c r="BE71" s="21" t="str">
        <f>VLOOKUP(BD71,CENY!$B$11:$G$1054,2,FALSE)</f>
        <v>Skrutka s polgul.hlavou 3,5x20mm</v>
      </c>
      <c r="BF71" s="22">
        <f>VLOOKUP(BD71,CENY!$B$11:$G$1054,3,FALSE)</f>
        <v>200</v>
      </c>
      <c r="BG71" s="22"/>
      <c r="BH71" s="360">
        <f>IF(FORM!$AM$8=FORM!$AU$10,BH20*3,0)</f>
        <v>0</v>
      </c>
      <c r="BI71" s="326">
        <f>IF(BH71="","",IF($AW$4=0,BH71,0))</f>
        <v>0</v>
      </c>
      <c r="BJ71" s="95">
        <f>VLOOKUP(BD71,CENY!$B$11:$M$2025,12,FALSE)</f>
        <v>1.2154199999999999</v>
      </c>
      <c r="BK71" s="95">
        <f>IF(BJ71="","",BJ71*BH71)</f>
        <v>0</v>
      </c>
    </row>
    <row r="72" spans="47:63" ht="14.4" customHeight="1">
      <c r="AU72" s="319">
        <f>OBJ!B363</f>
        <v>9278224</v>
      </c>
      <c r="AV72" s="21" t="str">
        <f>VLOOKUP(AU72,CENY!$B$11:$G$1054,2,FALSE)</f>
        <v>Skrutka s polgul.hlavou 3,5x30mm</v>
      </c>
      <c r="AW72" s="22">
        <f>VLOOKUP(AU72,CENY!$B$11:$G$1054,3,FALSE)</f>
        <v>200</v>
      </c>
      <c r="AX72" s="22"/>
      <c r="AY72" s="360">
        <v>0</v>
      </c>
      <c r="AZ72" s="326">
        <f t="shared" si="8"/>
        <v>0</v>
      </c>
      <c r="BA72" s="95">
        <f>VLOOKUP(AU72,CENY!$B$11:$M$2025,12,FALSE)</f>
        <v>0.89337999999999995</v>
      </c>
      <c r="BB72" s="95">
        <f t="shared" si="7"/>
        <v>0</v>
      </c>
      <c r="BC72" s="86" t="s">
        <v>398</v>
      </c>
      <c r="BD72" s="319">
        <f>OBJ!B363</f>
        <v>9278224</v>
      </c>
      <c r="BE72" s="21" t="str">
        <f>VLOOKUP(BD72,CENY!$B$11:$G$1054,2,FALSE)</f>
        <v>Skrutka s polgul.hlavou 3,5x30mm</v>
      </c>
      <c r="BF72" s="22">
        <f>VLOOKUP(BD72,CENY!$B$11:$G$1054,3,FALSE)</f>
        <v>200</v>
      </c>
      <c r="BG72" s="22"/>
      <c r="BH72" s="360">
        <f>2*SUM(BH5:BH18)</f>
        <v>0</v>
      </c>
      <c r="BI72" s="326">
        <f>IF(BH72="","",IF($AW$4=0,BH72,0))</f>
        <v>0</v>
      </c>
      <c r="BJ72" s="95">
        <f>VLOOKUP(BD72,CENY!$B$11:$M$2025,12,FALSE)</f>
        <v>0.89337999999999995</v>
      </c>
      <c r="BK72" s="95">
        <f>IF(BJ72="","",BJ72*BH72)</f>
        <v>0</v>
      </c>
    </row>
    <row r="73" spans="47:63" ht="14.4" customHeight="1">
      <c r="AU73" s="319">
        <f>OBJ!B364</f>
        <v>9279197</v>
      </c>
      <c r="AV73" s="21" t="str">
        <f>VLOOKUP(AU73,CENY!$B$11:$G$1054,2,FALSE)</f>
        <v>Skrutka s polgul.hlavou M3,5x12mm</v>
      </c>
      <c r="AW73" s="22">
        <f>VLOOKUP(AU73,CENY!$B$11:$G$1054,3,FALSE)</f>
        <v>1000</v>
      </c>
      <c r="AX73" s="22"/>
      <c r="AY73" s="68">
        <v>0</v>
      </c>
      <c r="AZ73" s="326">
        <f t="shared" si="8"/>
        <v>0</v>
      </c>
      <c r="BA73" s="95">
        <f>VLOOKUP(AU73,CENY!$B$11:$M$2025,12,FALSE)</f>
        <v>0</v>
      </c>
      <c r="BB73" s="95">
        <f t="shared" si="7"/>
        <v>0</v>
      </c>
      <c r="BC73" s="86" t="s">
        <v>399</v>
      </c>
      <c r="BD73" s="319">
        <f>OBJ!B364</f>
        <v>9279197</v>
      </c>
      <c r="BE73" s="21" t="str">
        <f>VLOOKUP(BD73,CENY!$B$11:$G$1054,2,FALSE)</f>
        <v>Skrutka s polgul.hlavou M3,5x12mm</v>
      </c>
      <c r="BF73" s="22">
        <f>VLOOKUP(BD73,CENY!$B$11:$G$1054,3,FALSE)</f>
        <v>1000</v>
      </c>
      <c r="BG73" s="22"/>
      <c r="BH73" s="68">
        <f>AY73</f>
        <v>0</v>
      </c>
      <c r="BI73" s="326">
        <f>IF(BH73="","",IF($AW$4=0,BH73,0))</f>
        <v>0</v>
      </c>
      <c r="BJ73" s="95">
        <f>VLOOKUP(BD73,CENY!$B$11:$M$2025,12,FALSE)</f>
        <v>0</v>
      </c>
      <c r="BK73" s="95">
        <f>IF(BJ73="","",BJ73*BH73)</f>
        <v>0</v>
      </c>
    </row>
    <row r="74" spans="47:63" ht="14.4" customHeight="1">
      <c r="AU74" s="319">
        <f>OBJ!B365</f>
        <v>9137114</v>
      </c>
      <c r="AV74" s="21" t="str">
        <f>VLOOKUP(AU74,CENY!$B$11:$G$1054,2,FALSE)</f>
        <v>EURO-skrutka  6,0x14mm / niklovaná</v>
      </c>
      <c r="AW74" s="22">
        <f>VLOOKUP(AU74,CENY!$B$11:$G$1054,3,FALSE)</f>
        <v>200</v>
      </c>
      <c r="AX74" s="22"/>
      <c r="AY74" s="23">
        <f>SUMPRODUCT(AX21:AX39,AY21:AY39)</f>
        <v>0</v>
      </c>
      <c r="AZ74" s="326">
        <f t="shared" si="8"/>
        <v>0</v>
      </c>
      <c r="BA74" s="95">
        <f>VLOOKUP(AU74,CENY!$B$11:$M$2025,12,FALSE)</f>
        <v>1.8839300000000001</v>
      </c>
      <c r="BB74" s="95">
        <f t="shared" si="7"/>
        <v>0</v>
      </c>
      <c r="BC74" s="86" t="s">
        <v>400</v>
      </c>
      <c r="BD74" s="319">
        <f>OBJ!B365</f>
        <v>9137114</v>
      </c>
      <c r="BE74" s="21" t="str">
        <f>VLOOKUP(BD74,CENY!$B$11:$G$1054,2,FALSE)</f>
        <v>EURO-skrutka  6,0x14mm / niklovaná</v>
      </c>
      <c r="BF74" s="22">
        <f>VLOOKUP(BD74,CENY!$B$11:$G$1054,3,FALSE)</f>
        <v>200</v>
      </c>
      <c r="BG74" s="22"/>
      <c r="BH74" s="23">
        <f>AY74</f>
        <v>0</v>
      </c>
      <c r="BI74" s="326">
        <f>IF(BH74="","",IF($AW$4=0,BH74,0))</f>
        <v>0</v>
      </c>
      <c r="BJ74" s="95">
        <f>VLOOKUP(BD74,CENY!$B$11:$M$2025,12,FALSE)</f>
        <v>1.8839300000000001</v>
      </c>
      <c r="BK74" s="95">
        <f>IF(BJ74="","",BJ74*BH74)</f>
        <v>0</v>
      </c>
    </row>
    <row r="75" spans="47:63" ht="14.4" customHeight="1">
      <c r="AU75" s="20"/>
      <c r="AV75" s="21"/>
      <c r="AW75" s="22"/>
      <c r="AX75" s="22"/>
      <c r="AY75" s="23"/>
      <c r="AZ75" s="326" t="str">
        <f t="shared" si="8"/>
        <v/>
      </c>
      <c r="BA75" s="95"/>
      <c r="BB75" s="95" t="str">
        <f t="shared" si="7"/>
        <v/>
      </c>
      <c r="BD75" s="319"/>
      <c r="BE75" s="21"/>
      <c r="BF75" s="22"/>
      <c r="BG75" s="22"/>
      <c r="BH75" s="23"/>
      <c r="BI75" s="326"/>
      <c r="BJ75" s="95"/>
      <c r="BK75" s="95"/>
    </row>
    <row r="76" spans="47:63" ht="14.4" customHeight="1">
      <c r="AU76" s="20"/>
      <c r="AV76" s="21"/>
      <c r="AW76" s="22"/>
      <c r="AX76" s="22"/>
      <c r="AY76" s="23"/>
      <c r="AZ76" s="326" t="str">
        <f t="shared" si="8"/>
        <v/>
      </c>
      <c r="BA76" s="95"/>
      <c r="BB76" s="95" t="str">
        <f t="shared" si="7"/>
        <v/>
      </c>
      <c r="BD76" s="319"/>
      <c r="BE76" s="21"/>
      <c r="BF76" s="22"/>
      <c r="BG76" s="22"/>
      <c r="BH76" s="23"/>
      <c r="BI76" s="326"/>
      <c r="BJ76" s="95"/>
      <c r="BK76" s="95"/>
    </row>
    <row r="77" spans="47:63" ht="14.4" customHeight="1">
      <c r="AU77" s="20"/>
      <c r="AV77" s="21"/>
      <c r="AW77" s="22"/>
      <c r="AX77" s="22"/>
      <c r="AY77" s="23"/>
      <c r="AZ77" s="326" t="str">
        <f t="shared" si="8"/>
        <v/>
      </c>
      <c r="BA77" s="95"/>
      <c r="BB77" s="95" t="str">
        <f t="shared" si="7"/>
        <v/>
      </c>
      <c r="BD77" s="319"/>
      <c r="BE77" s="21"/>
      <c r="BF77" s="22"/>
      <c r="BG77" s="22"/>
      <c r="BH77" s="23"/>
      <c r="BI77" s="326"/>
      <c r="BJ77" s="95"/>
      <c r="BK77" s="95"/>
    </row>
    <row r="78" spans="47:63" ht="14.4" customHeight="1">
      <c r="AU78" s="20"/>
      <c r="AV78" s="21"/>
      <c r="AW78" s="22"/>
      <c r="AX78" s="22"/>
      <c r="AY78" s="23"/>
      <c r="AZ78" s="326" t="str">
        <f t="shared" si="8"/>
        <v/>
      </c>
      <c r="BA78" s="95"/>
      <c r="BB78" s="95" t="str">
        <f t="shared" si="7"/>
        <v/>
      </c>
      <c r="BD78" s="319"/>
      <c r="BE78" s="21"/>
      <c r="BF78" s="22"/>
      <c r="BG78" s="22"/>
      <c r="BH78" s="23"/>
      <c r="BI78" s="326"/>
      <c r="BJ78" s="95"/>
      <c r="BK78" s="95"/>
    </row>
    <row r="79" spans="47:63" ht="14.4" customHeight="1">
      <c r="AU79" s="20"/>
      <c r="AV79" s="21"/>
      <c r="AW79" s="22"/>
      <c r="AX79" s="22"/>
      <c r="AY79" s="23"/>
      <c r="AZ79" s="326" t="str">
        <f t="shared" si="8"/>
        <v/>
      </c>
      <c r="BA79" s="95"/>
      <c r="BB79" s="95" t="str">
        <f t="shared" si="7"/>
        <v/>
      </c>
      <c r="BD79" s="319"/>
      <c r="BE79" s="21"/>
      <c r="BF79" s="22"/>
      <c r="BG79" s="22"/>
      <c r="BH79" s="23"/>
      <c r="BI79" s="326" t="str">
        <f t="shared" si="5"/>
        <v/>
      </c>
      <c r="BJ79" s="95"/>
      <c r="BK79" s="95" t="str">
        <f t="shared" si="6"/>
        <v/>
      </c>
    </row>
    <row r="80" spans="47:63" ht="14.4" customHeight="1">
      <c r="AU80" s="20"/>
      <c r="AV80" s="21"/>
      <c r="AW80" s="22"/>
      <c r="AX80" s="22"/>
      <c r="AY80" s="23"/>
      <c r="AZ80" s="326" t="str">
        <f t="shared" si="8"/>
        <v/>
      </c>
      <c r="BA80" s="95"/>
      <c r="BB80" s="95" t="str">
        <f t="shared" si="7"/>
        <v/>
      </c>
      <c r="BD80" s="319"/>
      <c r="BE80" s="21"/>
      <c r="BF80" s="22"/>
      <c r="BG80" s="22"/>
      <c r="BH80" s="23"/>
      <c r="BI80" s="326" t="str">
        <f t="shared" si="5"/>
        <v/>
      </c>
      <c r="BJ80" s="95"/>
      <c r="BK80" s="95" t="str">
        <f t="shared" si="6"/>
        <v/>
      </c>
    </row>
    <row r="81" spans="47:63" ht="14.4" customHeight="1">
      <c r="AU81" s="20"/>
      <c r="AV81" s="21"/>
      <c r="AW81" s="22"/>
      <c r="AX81" s="22"/>
      <c r="AY81" s="23"/>
      <c r="AZ81" s="326" t="str">
        <f t="shared" si="8"/>
        <v/>
      </c>
      <c r="BA81" s="95"/>
      <c r="BB81" s="95" t="str">
        <f t="shared" si="7"/>
        <v/>
      </c>
      <c r="BD81" s="319"/>
      <c r="BE81" s="21"/>
      <c r="BF81" s="22"/>
      <c r="BG81" s="22"/>
      <c r="BH81" s="23"/>
      <c r="BI81" s="326" t="str">
        <f>IF(BH81="","",IF($AW$4=0,BH81,0))</f>
        <v/>
      </c>
      <c r="BJ81" s="95"/>
      <c r="BK81" s="95" t="str">
        <f>IF(BJ81="","",BJ81*BH81)</f>
        <v/>
      </c>
    </row>
    <row r="82" spans="47:63" ht="14.4" customHeight="1">
      <c r="AU82" s="20"/>
      <c r="AV82" s="21"/>
      <c r="AW82" s="22"/>
      <c r="AX82" s="22"/>
      <c r="AY82" s="23"/>
      <c r="AZ82" s="326" t="str">
        <f t="shared" si="8"/>
        <v/>
      </c>
      <c r="BA82" s="95"/>
      <c r="BB82" s="95" t="str">
        <f t="shared" si="7"/>
        <v/>
      </c>
      <c r="BD82" s="319"/>
      <c r="BE82" s="21"/>
      <c r="BF82" s="22"/>
      <c r="BG82" s="22"/>
      <c r="BH82" s="23"/>
      <c r="BI82" s="326" t="str">
        <f>IF(BH82="","",IF($AW$4=0,BH82,0))</f>
        <v/>
      </c>
      <c r="BJ82" s="95"/>
      <c r="BK82" s="95" t="str">
        <f>IF(BJ82="","",BJ82*BH82)</f>
        <v/>
      </c>
    </row>
    <row r="83" spans="47:63" ht="14.4" customHeight="1"/>
    <row r="84" spans="47:63" ht="14.4" customHeight="1"/>
    <row r="85" spans="47:63" ht="14.4" customHeight="1"/>
    <row r="86" spans="47:63" ht="14.4" customHeight="1"/>
  </sheetData>
  <sheetProtection algorithmName="SHA-512" hashValue="/ptzo+A7SKB1esNl5Am4L86YIJn9LIbZaZdtjn1sWQXMVXo4Si+Wfkfrlx9VaasSalJQcUQk7UEEX3xY3MtGIg==" saltValue="WLgn4Cy8StfiA7Q4YF4s0w==" spinCount="100000" sheet="1" objects="1" scenarios="1"/>
  <mergeCells count="73">
    <mergeCell ref="U2:Y2"/>
    <mergeCell ref="AA2:AE2"/>
    <mergeCell ref="AI2:AM2"/>
    <mergeCell ref="AO2:AR2"/>
    <mergeCell ref="B6:E6"/>
    <mergeCell ref="F6:K6"/>
    <mergeCell ref="O2:S2"/>
    <mergeCell ref="B7:E7"/>
    <mergeCell ref="F7:K7"/>
    <mergeCell ref="B8:E8"/>
    <mergeCell ref="F8:K8"/>
    <mergeCell ref="B2:E2"/>
    <mergeCell ref="G2:K2"/>
    <mergeCell ref="B9:E9"/>
    <mergeCell ref="F9:K9"/>
    <mergeCell ref="B10:E10"/>
    <mergeCell ref="F10:K10"/>
    <mergeCell ref="B11:E11"/>
    <mergeCell ref="F11:K11"/>
    <mergeCell ref="B12:E12"/>
    <mergeCell ref="F12:I12"/>
    <mergeCell ref="J12:K12"/>
    <mergeCell ref="B13:E13"/>
    <mergeCell ref="F13:I13"/>
    <mergeCell ref="J13:K13"/>
    <mergeCell ref="B19:G19"/>
    <mergeCell ref="H19:L19"/>
    <mergeCell ref="M19:N19"/>
    <mergeCell ref="S19:T19"/>
    <mergeCell ref="O17:AF17"/>
    <mergeCell ref="O18:P18"/>
    <mergeCell ref="Q18:R18"/>
    <mergeCell ref="S18:T18"/>
    <mergeCell ref="U18:V18"/>
    <mergeCell ref="W18:X18"/>
    <mergeCell ref="Y18:Z18"/>
    <mergeCell ref="AA18:AB18"/>
    <mergeCell ref="AC18:AD18"/>
    <mergeCell ref="AE18:AF18"/>
    <mergeCell ref="B20:G20"/>
    <mergeCell ref="H20:L20"/>
    <mergeCell ref="M20:N20"/>
    <mergeCell ref="O20:P20"/>
    <mergeCell ref="Q20:R20"/>
    <mergeCell ref="Y20:Z20"/>
    <mergeCell ref="AA20:AB20"/>
    <mergeCell ref="AC20:AD20"/>
    <mergeCell ref="U19:V19"/>
    <mergeCell ref="W19:X19"/>
    <mergeCell ref="Y19:Z19"/>
    <mergeCell ref="AA19:AB19"/>
    <mergeCell ref="AC19:AD19"/>
    <mergeCell ref="B25:G25"/>
    <mergeCell ref="H25:L25"/>
    <mergeCell ref="M25:N25"/>
    <mergeCell ref="S25:T25"/>
    <mergeCell ref="AE20:AF20"/>
    <mergeCell ref="O24:P24"/>
    <mergeCell ref="Q24:R24"/>
    <mergeCell ref="S24:T24"/>
    <mergeCell ref="U24:V24"/>
    <mergeCell ref="W24:X24"/>
    <mergeCell ref="Y24:Z24"/>
    <mergeCell ref="AA24:AB24"/>
    <mergeCell ref="AC24:AD24"/>
    <mergeCell ref="S20:T20"/>
    <mergeCell ref="U20:V20"/>
    <mergeCell ref="W20:X20"/>
    <mergeCell ref="U25:V25"/>
    <mergeCell ref="W25:X25"/>
    <mergeCell ref="Y25:Z25"/>
    <mergeCell ref="AA25:AB25"/>
    <mergeCell ref="AC25:AD25"/>
  </mergeCells>
  <conditionalFormatting sqref="AY5:AY34 AZ5:AZ69 BH5:BH20 BH22:BH66 BI5:BI69 BH69 BH75:BI82 AZ75:AZ82">
    <cfRule type="cellIs" dxfId="307" priority="27" stopIfTrue="1" operator="equal">
      <formula>0</formula>
    </cfRule>
  </conditionalFormatting>
  <conditionalFormatting sqref="O17:AF17 S19:T19 W20:AF20 S25:T25">
    <cfRule type="expression" dxfId="306" priority="26" stopIfTrue="1">
      <formula>$AW$4=0</formula>
    </cfRule>
  </conditionalFormatting>
  <conditionalFormatting sqref="AY42 AY44:AY46">
    <cfRule type="cellIs" dxfId="305" priority="25" stopIfTrue="1" operator="equal">
      <formula>0</formula>
    </cfRule>
  </conditionalFormatting>
  <conditionalFormatting sqref="AY47">
    <cfRule type="cellIs" dxfId="304" priority="24" stopIfTrue="1" operator="equal">
      <formula>0</formula>
    </cfRule>
  </conditionalFormatting>
  <conditionalFormatting sqref="AY51:AY60">
    <cfRule type="cellIs" dxfId="303" priority="23" stopIfTrue="1" operator="equal">
      <formula>0</formula>
    </cfRule>
  </conditionalFormatting>
  <conditionalFormatting sqref="BH21">
    <cfRule type="cellIs" dxfId="302" priority="22" stopIfTrue="1" operator="equal">
      <formula>0</formula>
    </cfRule>
  </conditionalFormatting>
  <conditionalFormatting sqref="AY35:AY40">
    <cfRule type="cellIs" dxfId="301" priority="21" stopIfTrue="1" operator="equal">
      <formula>0</formula>
    </cfRule>
  </conditionalFormatting>
  <conditionalFormatting sqref="AY41">
    <cfRule type="cellIs" dxfId="300" priority="20" stopIfTrue="1" operator="equal">
      <formula>0</formula>
    </cfRule>
  </conditionalFormatting>
  <conditionalFormatting sqref="AY48:AY50">
    <cfRule type="cellIs" dxfId="299" priority="19" stopIfTrue="1" operator="equal">
      <formula>0</formula>
    </cfRule>
  </conditionalFormatting>
  <conditionalFormatting sqref="BH67">
    <cfRule type="cellIs" dxfId="298" priority="18" stopIfTrue="1" operator="equal">
      <formula>0</formula>
    </cfRule>
  </conditionalFormatting>
  <conditionalFormatting sqref="AY61:AY69 AY75:AY82">
    <cfRule type="cellIs" dxfId="297" priority="16" stopIfTrue="1" operator="equal">
      <formula>0</formula>
    </cfRule>
  </conditionalFormatting>
  <conditionalFormatting sqref="AY43">
    <cfRule type="cellIs" dxfId="296" priority="14" stopIfTrue="1" operator="equal">
      <formula>0</formula>
    </cfRule>
  </conditionalFormatting>
  <conditionalFormatting sqref="BH68">
    <cfRule type="cellIs" dxfId="295" priority="13" stopIfTrue="1" operator="equal">
      <formula>0</formula>
    </cfRule>
  </conditionalFormatting>
  <conditionalFormatting sqref="F13:K13">
    <cfRule type="expression" dxfId="294" priority="12" stopIfTrue="1">
      <formula>$AW$4=1</formula>
    </cfRule>
  </conditionalFormatting>
  <conditionalFormatting sqref="U19:AD19">
    <cfRule type="expression" dxfId="293" priority="11" stopIfTrue="1">
      <formula>$AW$4=0</formula>
    </cfRule>
  </conditionalFormatting>
  <conditionalFormatting sqref="AC25:AD25">
    <cfRule type="expression" dxfId="292" priority="6" stopIfTrue="1">
      <formula>$AW$4=0</formula>
    </cfRule>
  </conditionalFormatting>
  <conditionalFormatting sqref="U25:V25">
    <cfRule type="expression" dxfId="291" priority="10" stopIfTrue="1">
      <formula>$AW$4=0</formula>
    </cfRule>
  </conditionalFormatting>
  <conditionalFormatting sqref="W25:X25">
    <cfRule type="expression" dxfId="290" priority="9" stopIfTrue="1">
      <formula>$AW$4=0</formula>
    </cfRule>
  </conditionalFormatting>
  <conditionalFormatting sqref="Y25:Z25">
    <cfRule type="expression" dxfId="289" priority="8" stopIfTrue="1">
      <formula>$AW$4=0</formula>
    </cfRule>
  </conditionalFormatting>
  <conditionalFormatting sqref="AA25:AB25">
    <cfRule type="expression" dxfId="288" priority="7" stopIfTrue="1">
      <formula>$AW$4=0</formula>
    </cfRule>
  </conditionalFormatting>
  <conditionalFormatting sqref="BH71:BH72">
    <cfRule type="cellIs" dxfId="287" priority="1" stopIfTrue="1" operator="equal">
      <formula>0</formula>
    </cfRule>
  </conditionalFormatting>
  <conditionalFormatting sqref="AZ70:AZ74">
    <cfRule type="cellIs" dxfId="286" priority="5" stopIfTrue="1" operator="equal">
      <formula>0</formula>
    </cfRule>
  </conditionalFormatting>
  <conditionalFormatting sqref="AY70:AY74">
    <cfRule type="cellIs" dxfId="285" priority="4" stopIfTrue="1" operator="equal">
      <formula>0</formula>
    </cfRule>
  </conditionalFormatting>
  <conditionalFormatting sqref="BH70 BH73:BH74">
    <cfRule type="cellIs" dxfId="284" priority="3" stopIfTrue="1" operator="equal">
      <formula>0</formula>
    </cfRule>
  </conditionalFormatting>
  <conditionalFormatting sqref="BI70:BI74">
    <cfRule type="cellIs" dxfId="283" priority="2" stopIfTrue="1" operator="equal">
      <formula>0</formula>
    </cfRule>
  </conditionalFormatting>
  <hyperlinks>
    <hyperlink ref="M4" location="MENU!A1" display="MENU!A1" xr:uid="{00000000-0004-0000-1300-000000000000}"/>
    <hyperlink ref="M10" location="OBJ!A1" display="OBJ!A1" xr:uid="{00000000-0004-0000-1300-000001000000}"/>
    <hyperlink ref="M9" location="suhrn!A1" display="suhrn!A1" xr:uid="{00000000-0004-0000-1300-000002000000}"/>
    <hyperlink ref="O2:S2" location="MENU!A5" display="MENU!A5" xr:uid="{00000000-0004-0000-1300-000003000000}"/>
  </hyperlinks>
  <printOptions horizontalCentered="1"/>
  <pageMargins left="0.19685039370078741" right="0.19685039370078741" top="0.19685039370078741" bottom="0.19685039370078741" header="0.31496062992125984" footer="0.31496062992125984"/>
  <pageSetup paperSize="9" orientation="landscape" r:id="rId1"/>
  <headerFooter>
    <oddHeader>&amp;R&amp;"Aptos"&amp;10&amp;K000000 Restricted&amp;1#_x000D_</oddHeader>
  </headerFooter>
  <drawing r:id="rId2"/>
  <legacyDrawing r:id="rId3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List59">
    <tabColor rgb="FF92D050"/>
  </sheetPr>
  <dimension ref="A1:BK159"/>
  <sheetViews>
    <sheetView showGridLines="0" showRowColHeaders="0" zoomScale="95" zoomScaleNormal="95" workbookViewId="0"/>
  </sheetViews>
  <sheetFormatPr defaultColWidth="9" defaultRowHeight="13.8"/>
  <cols>
    <col min="1" max="1" width="3.59765625" style="86" customWidth="1"/>
    <col min="2" max="4" width="3.09765625" style="86" customWidth="1"/>
    <col min="5" max="5" width="7.59765625" style="86" customWidth="1"/>
    <col min="6" max="44" width="3.09765625" style="86" customWidth="1"/>
    <col min="45" max="45" width="3.59765625" style="86" customWidth="1"/>
    <col min="46" max="46" width="9" style="86" customWidth="1"/>
    <col min="47" max="47" width="9" style="86" hidden="1" customWidth="1"/>
    <col min="48" max="48" width="51.3984375" style="86" hidden="1" customWidth="1"/>
    <col min="49" max="49" width="4.3984375" style="86" hidden="1" customWidth="1"/>
    <col min="50" max="50" width="2" style="86" hidden="1" customWidth="1"/>
    <col min="51" max="52" width="4.59765625" style="86" hidden="1" customWidth="1"/>
    <col min="53" max="53" width="9" style="86" hidden="1" customWidth="1"/>
    <col min="54" max="54" width="9.09765625" style="86" hidden="1" customWidth="1"/>
    <col min="55" max="55" width="2.59765625" style="86" hidden="1" customWidth="1"/>
    <col min="56" max="56" width="9" style="86" hidden="1" customWidth="1"/>
    <col min="57" max="57" width="49.8984375" style="86" hidden="1" customWidth="1"/>
    <col min="58" max="58" width="4.3984375" style="86" hidden="1" customWidth="1"/>
    <col min="59" max="59" width="2" style="86" hidden="1" customWidth="1"/>
    <col min="60" max="61" width="4.59765625" style="86" hidden="1" customWidth="1"/>
    <col min="62" max="63" width="9" style="86" hidden="1" customWidth="1"/>
    <col min="64" max="75" width="9" style="86" customWidth="1"/>
    <col min="76" max="16384" width="9" style="86"/>
  </cols>
  <sheetData>
    <row r="1" spans="1:63" ht="12.9" customHeight="1" thickBot="1">
      <c r="AU1" s="140"/>
      <c r="AV1" s="279"/>
      <c r="AW1" s="279"/>
      <c r="AX1" s="140"/>
      <c r="AY1" s="212">
        <f>AQ18</f>
        <v>1</v>
      </c>
      <c r="AZ1" s="367" t="s">
        <v>593</v>
      </c>
      <c r="BA1" s="367"/>
      <c r="BB1" s="140"/>
      <c r="BC1" s="140"/>
      <c r="BD1" s="140"/>
      <c r="BE1" s="140"/>
      <c r="BF1" s="140"/>
      <c r="BG1" s="140"/>
      <c r="BH1" s="140"/>
      <c r="BI1" s="140"/>
      <c r="BJ1" s="140"/>
      <c r="BK1" s="140"/>
    </row>
    <row r="2" spans="1:63" ht="23.1" customHeight="1" thickBot="1">
      <c r="B2" s="475" t="str">
        <f>verze!E13</f>
        <v>&lt;&lt;  zpět</v>
      </c>
      <c r="C2" s="476"/>
      <c r="D2" s="476"/>
      <c r="E2" s="477"/>
      <c r="G2" s="513" t="str">
        <f>verze!E6</f>
        <v xml:space="preserve"> Úvod</v>
      </c>
      <c r="H2" s="514"/>
      <c r="I2" s="514"/>
      <c r="J2" s="514"/>
      <c r="K2" s="515"/>
      <c r="O2" s="500" t="str">
        <f>verze!E7</f>
        <v xml:space="preserve"> Výběr zásuvek</v>
      </c>
      <c r="P2" s="501"/>
      <c r="Q2" s="501"/>
      <c r="R2" s="501"/>
      <c r="S2" s="502"/>
      <c r="U2" s="513" t="str">
        <f>verze!E8</f>
        <v xml:space="preserve"> </v>
      </c>
      <c r="V2" s="514"/>
      <c r="W2" s="514"/>
      <c r="X2" s="514"/>
      <c r="Y2" s="515"/>
      <c r="AA2" s="513" t="str">
        <f>verze!E9</f>
        <v xml:space="preserve"> </v>
      </c>
      <c r="AB2" s="514"/>
      <c r="AC2" s="514"/>
      <c r="AD2" s="514"/>
      <c r="AE2" s="515"/>
      <c r="AI2" s="513" t="str">
        <f>verze!E10</f>
        <v xml:space="preserve"> Objednávka</v>
      </c>
      <c r="AJ2" s="514"/>
      <c r="AK2" s="514"/>
      <c r="AL2" s="514"/>
      <c r="AM2" s="515"/>
      <c r="AO2" s="475" t="str">
        <f>verze!E14</f>
        <v>vpřed  &gt;&gt;</v>
      </c>
      <c r="AP2" s="476"/>
      <c r="AQ2" s="476"/>
      <c r="AR2" s="477"/>
      <c r="AV2" s="143"/>
      <c r="AW2" s="143"/>
      <c r="AY2" s="212">
        <f>AQ21</f>
        <v>0</v>
      </c>
      <c r="AZ2" s="367" t="s">
        <v>591</v>
      </c>
      <c r="BA2" s="367"/>
    </row>
    <row r="3" spans="1:63" ht="12.9" customHeight="1">
      <c r="AV3" s="143"/>
      <c r="AW3" s="143"/>
      <c r="AY3" s="212">
        <f>AQ24</f>
        <v>2</v>
      </c>
      <c r="AZ3" s="367" t="s">
        <v>594</v>
      </c>
      <c r="BA3" s="367"/>
    </row>
    <row r="4" spans="1:63" ht="23.1" customHeight="1">
      <c r="A4" s="89"/>
      <c r="B4" s="93" t="str">
        <f>verze!E206&amp;" AVANTECH YOU  101 / 187"</f>
        <v>Zásuvka AVANTECH YOU  101 / 187</v>
      </c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U4" s="94" t="s">
        <v>33</v>
      </c>
      <c r="AW4" s="285">
        <f>IF(FORM!AU13=FORM!U18,1,0)</f>
        <v>1</v>
      </c>
      <c r="AY4" s="212">
        <f>AQ27</f>
        <v>0</v>
      </c>
      <c r="AZ4" s="367" t="s">
        <v>592</v>
      </c>
      <c r="BA4" s="367"/>
      <c r="BB4" s="322">
        <f>SUM(BB5:BB1007)</f>
        <v>0</v>
      </c>
      <c r="BD4" s="94" t="s">
        <v>34</v>
      </c>
      <c r="BK4" s="322">
        <f>SUM(BK5:BK1009)</f>
        <v>0</v>
      </c>
    </row>
    <row r="5" spans="1:63" ht="14.4" customHeight="1">
      <c r="AU5" s="319">
        <f>OBJ!B39</f>
        <v>9353335</v>
      </c>
      <c r="AV5" s="21" t="str">
        <f>VLOOKUP(AU5,CENY!$B$11:$G$1054,2,FALSE)</f>
        <v>AvanY-sólo oceľ.boky-NW 101/400mm/strieb.</v>
      </c>
      <c r="AW5" s="22">
        <f>VLOOKUP(AU5,CENY!$B$11:$G$1054,3,FALSE)</f>
        <v>1</v>
      </c>
      <c r="AX5" s="362">
        <v>4</v>
      </c>
      <c r="AY5" s="68"/>
      <c r="AZ5" s="326" t="str">
        <f>IF(AY5="","",IF($AW$4=1,AY5,0))</f>
        <v/>
      </c>
      <c r="BA5" s="95">
        <f>VLOOKUP(AU5,CENY!$B$11:$M$2025,12,FALSE)</f>
        <v>545.66444999999999</v>
      </c>
      <c r="BB5" s="95">
        <f t="shared" ref="BB5:BB74" si="0">IF(BA5="","",BA5*AY5)</f>
        <v>0</v>
      </c>
      <c r="BD5" s="319">
        <f>OBJ!B50</f>
        <v>9255008</v>
      </c>
      <c r="BE5" s="21" t="str">
        <f>VLOOKUP(BD5,CENY!$B$11:$G$1054,2,FALSE)</f>
        <v>AvanY-bok ľavý /v101/h270/ strieborná</v>
      </c>
      <c r="BF5" s="22">
        <f>VLOOKUP(BD5,CENY!$B$11:$G$1054,3,FALSE)</f>
        <v>20</v>
      </c>
      <c r="BG5" s="22"/>
      <c r="BH5" s="68"/>
      <c r="BI5" s="326" t="str">
        <f>IF(BH5="","",IF($AW$4=0,BH5,0))</f>
        <v/>
      </c>
      <c r="BJ5" s="95">
        <f>VLOOKUP(BD5,CENY!$B$11:$M$2025,12,FALSE)</f>
        <v>208.07782</v>
      </c>
      <c r="BK5" s="95">
        <f>IF(BJ5="","",BJ5*BH5)</f>
        <v>0</v>
      </c>
    </row>
    <row r="6" spans="1:63" ht="14.4" customHeight="1">
      <c r="B6" s="549" t="str">
        <f>" "&amp;verze!E90</f>
        <v xml:space="preserve"> bočnice:</v>
      </c>
      <c r="C6" s="549"/>
      <c r="D6" s="549"/>
      <c r="E6" s="549"/>
      <c r="F6" s="564" t="s">
        <v>387</v>
      </c>
      <c r="G6" s="564"/>
      <c r="H6" s="564"/>
      <c r="I6" s="564"/>
      <c r="J6" s="564"/>
      <c r="K6" s="564"/>
      <c r="AU6" s="319">
        <f>OBJ!B40</f>
        <v>9353336</v>
      </c>
      <c r="AV6" s="21" t="str">
        <f>VLOOKUP(AU6,CENY!$B$11:$G$1054,2,FALSE)</f>
        <v>AvanY-sólo oceľ.boky-NW 101/450mm/strieb.</v>
      </c>
      <c r="AW6" s="22">
        <f>VLOOKUP(AU6,CENY!$B$11:$G$1054,3,FALSE)</f>
        <v>1</v>
      </c>
      <c r="AX6" s="362">
        <v>4</v>
      </c>
      <c r="AY6" s="68"/>
      <c r="AZ6" s="326" t="str">
        <f t="shared" ref="AZ6:AZ75" si="1">IF(AY6="","",IF($AW$4=1,AY6,0))</f>
        <v/>
      </c>
      <c r="BA6" s="95">
        <f>VLOOKUP(AU6,CENY!$B$11:$M$2025,12,FALSE)</f>
        <v>550.21777999999995</v>
      </c>
      <c r="BB6" s="95">
        <f t="shared" si="0"/>
        <v>0</v>
      </c>
      <c r="BD6" s="319">
        <f>OBJ!B51</f>
        <v>9255009</v>
      </c>
      <c r="BE6" s="21" t="str">
        <f>VLOOKUP(BD6,CENY!$B$11:$G$1054,2,FALSE)</f>
        <v>AvanY-bok pravý /v101/h270/ strieborná</v>
      </c>
      <c r="BF6" s="22">
        <f>VLOOKUP(BD6,CENY!$B$11:$G$1054,3,FALSE)</f>
        <v>20</v>
      </c>
      <c r="BG6" s="22"/>
      <c r="BH6" s="68"/>
      <c r="BI6" s="326" t="str">
        <f t="shared" ref="BI6:BI83" si="2">IF(BH6="","",IF($AW$4=0,BH6,0))</f>
        <v/>
      </c>
      <c r="BJ6" s="95">
        <f>VLOOKUP(BD6,CENY!$B$11:$M$2025,12,FALSE)</f>
        <v>208.07782</v>
      </c>
      <c r="BK6" s="95">
        <f t="shared" ref="BK6:BK83" si="3">IF(BJ6="","",BJ6*BH6)</f>
        <v>0</v>
      </c>
    </row>
    <row r="7" spans="1:63" ht="14.4" customHeight="1">
      <c r="B7" s="549" t="str">
        <f>" "&amp;verze!E56</f>
        <v xml:space="preserve"> barva:</v>
      </c>
      <c r="C7" s="549"/>
      <c r="D7" s="549"/>
      <c r="E7" s="549"/>
      <c r="F7" s="564" t="str">
        <f>" "&amp;FORM!U8</f>
        <v xml:space="preserve"> stříbrná</v>
      </c>
      <c r="G7" s="564"/>
      <c r="H7" s="564"/>
      <c r="I7" s="564"/>
      <c r="J7" s="564"/>
      <c r="K7" s="564"/>
      <c r="AU7" s="319">
        <f>OBJ!B41</f>
        <v>9353337</v>
      </c>
      <c r="AV7" s="21" t="str">
        <f>VLOOKUP(AU7,CENY!$B$11:$G$1054,2,FALSE)</f>
        <v>AvanY-sólo oceľ.boky-NW 101/500mm/strieb.</v>
      </c>
      <c r="AW7" s="22">
        <f>VLOOKUP(AU7,CENY!$B$11:$G$1054,3,FALSE)</f>
        <v>1</v>
      </c>
      <c r="AX7" s="362">
        <v>6</v>
      </c>
      <c r="AY7" s="68"/>
      <c r="AZ7" s="326" t="str">
        <f t="shared" si="1"/>
        <v/>
      </c>
      <c r="BA7" s="95">
        <f>VLOOKUP(AU7,CENY!$B$11:$M$2025,12,FALSE)</f>
        <v>557.82863999999995</v>
      </c>
      <c r="BB7" s="95">
        <f t="shared" si="0"/>
        <v>0</v>
      </c>
      <c r="BD7" s="319">
        <f>OBJ!B52</f>
        <v>9255010</v>
      </c>
      <c r="BE7" s="21" t="str">
        <f>VLOOKUP(BD7,CENY!$B$11:$G$1054,2,FALSE)</f>
        <v>AvanY-bok ľavý /v101/h300/ strieborná</v>
      </c>
      <c r="BF7" s="22">
        <f>VLOOKUP(BD7,CENY!$B$11:$G$1054,3,FALSE)</f>
        <v>20</v>
      </c>
      <c r="BG7" s="22"/>
      <c r="BH7" s="68"/>
      <c r="BI7" s="326" t="str">
        <f t="shared" si="2"/>
        <v/>
      </c>
      <c r="BJ7" s="95">
        <f>VLOOKUP(BD7,CENY!$B$11:$M$2025,12,FALSE)</f>
        <v>210.40101000000001</v>
      </c>
      <c r="BK7" s="95">
        <f t="shared" si="3"/>
        <v>0</v>
      </c>
    </row>
    <row r="8" spans="1:63" ht="14.4" customHeight="1" thickBot="1">
      <c r="B8" s="549" t="str">
        <f>" "&amp;verze!E70</f>
        <v xml:space="preserve"> dekorativní profil:</v>
      </c>
      <c r="C8" s="549"/>
      <c r="D8" s="549"/>
      <c r="E8" s="549"/>
      <c r="F8" s="564" t="str">
        <f>" "&amp;FORM!AM18</f>
        <v xml:space="preserve"> v barvě bočnice</v>
      </c>
      <c r="G8" s="564"/>
      <c r="H8" s="564"/>
      <c r="I8" s="564"/>
      <c r="J8" s="564"/>
      <c r="K8" s="564"/>
      <c r="AU8" s="319">
        <f>OBJ!B42</f>
        <v>9353338</v>
      </c>
      <c r="AV8" s="21" t="str">
        <f>VLOOKUP(AU8,CENY!$B$11:$G$1054,2,FALSE)</f>
        <v>AvanY-sólo oceľ.boky-NW 101/550mm/strieb.</v>
      </c>
      <c r="AW8" s="22">
        <f>VLOOKUP(AU8,CENY!$B$11:$G$1054,3,FALSE)</f>
        <v>1</v>
      </c>
      <c r="AX8" s="362">
        <v>6</v>
      </c>
      <c r="AY8" s="68"/>
      <c r="AZ8" s="326" t="str">
        <f t="shared" si="1"/>
        <v/>
      </c>
      <c r="BA8" s="95">
        <f>VLOOKUP(AU8,CENY!$B$11:$M$2025,12,FALSE)</f>
        <v>565.42625999999996</v>
      </c>
      <c r="BB8" s="95">
        <f t="shared" si="0"/>
        <v>0</v>
      </c>
      <c r="BD8" s="319">
        <f>OBJ!B53</f>
        <v>9255011</v>
      </c>
      <c r="BE8" s="21" t="str">
        <f>VLOOKUP(BD8,CENY!$B$11:$G$1054,2,FALSE)</f>
        <v>AvanY-bok pravý /v101/h300/ strieborná</v>
      </c>
      <c r="BF8" s="22">
        <f>VLOOKUP(BD8,CENY!$B$11:$G$1054,3,FALSE)</f>
        <v>20</v>
      </c>
      <c r="BG8" s="22"/>
      <c r="BH8" s="68"/>
      <c r="BI8" s="326" t="str">
        <f t="shared" si="2"/>
        <v/>
      </c>
      <c r="BJ8" s="95">
        <f>VLOOKUP(BD8,CENY!$B$11:$M$2025,12,FALSE)</f>
        <v>210.40101000000001</v>
      </c>
      <c r="BK8" s="95">
        <f t="shared" si="3"/>
        <v>0</v>
      </c>
    </row>
    <row r="9" spans="1:63" ht="14.4" customHeight="1" thickTop="1">
      <c r="B9" s="550"/>
      <c r="C9" s="558"/>
      <c r="D9" s="558"/>
      <c r="E9" s="559"/>
      <c r="F9" s="560"/>
      <c r="G9" s="561"/>
      <c r="H9" s="561"/>
      <c r="I9" s="561"/>
      <c r="J9" s="561"/>
      <c r="K9" s="562"/>
      <c r="AK9" s="585" t="str">
        <f>verze!E160</f>
        <v>Je nutné natypovat šířky čel ?</v>
      </c>
      <c r="AL9" s="586"/>
      <c r="AM9" s="586"/>
      <c r="AN9" s="586"/>
      <c r="AO9" s="586"/>
      <c r="AP9" s="587"/>
      <c r="AU9" s="319">
        <f>OBJ!B43</f>
        <v>9353339</v>
      </c>
      <c r="AV9" s="21" t="str">
        <f>VLOOKUP(AU9,CENY!$B$11:$G$1054,2,FALSE)</f>
        <v>AvanY-sólo oceľ.boky-NW 101/600mm/strieb.</v>
      </c>
      <c r="AW9" s="22">
        <f>VLOOKUP(AU9,CENY!$B$11:$G$1054,3,FALSE)</f>
        <v>1</v>
      </c>
      <c r="AX9" s="362">
        <v>6</v>
      </c>
      <c r="AY9" s="23">
        <f>SUM(AY1:AY2)*(W20+W22+W28)</f>
        <v>0</v>
      </c>
      <c r="AZ9" s="326">
        <f t="shared" si="1"/>
        <v>0</v>
      </c>
      <c r="BA9" s="95">
        <f>VLOOKUP(AU9,CENY!$B$11:$M$2025,12,FALSE)</f>
        <v>557.79244000000006</v>
      </c>
      <c r="BB9" s="95">
        <f t="shared" si="0"/>
        <v>0</v>
      </c>
      <c r="BD9" s="319">
        <f>OBJ!B54</f>
        <v>9255012</v>
      </c>
      <c r="BE9" s="21" t="str">
        <f>VLOOKUP(BD9,CENY!$B$11:$G$1054,2,FALSE)</f>
        <v>AvanY-bok ľavý /v101/h350/ strieborná</v>
      </c>
      <c r="BF9" s="22">
        <f>VLOOKUP(BD9,CENY!$B$11:$G$1054,3,FALSE)</f>
        <v>20</v>
      </c>
      <c r="BG9" s="22"/>
      <c r="BH9" s="68"/>
      <c r="BI9" s="326" t="str">
        <f t="shared" si="2"/>
        <v/>
      </c>
      <c r="BJ9" s="95">
        <f>VLOOKUP(BD9,CENY!$B$11:$M$2025,12,FALSE)</f>
        <v>214.27737999999999</v>
      </c>
      <c r="BK9" s="95">
        <f t="shared" si="3"/>
        <v>0</v>
      </c>
    </row>
    <row r="10" spans="1:63" ht="14.4" customHeight="1">
      <c r="B10" s="549" t="str">
        <f>" "&amp;verze!E57</f>
        <v xml:space="preserve"> čelní kování:</v>
      </c>
      <c r="C10" s="549"/>
      <c r="D10" s="549"/>
      <c r="E10" s="549"/>
      <c r="F10" s="563" t="str">
        <f>" "&amp;FORM!AM8</f>
        <v xml:space="preserve"> na vruty</v>
      </c>
      <c r="G10" s="563"/>
      <c r="H10" s="563"/>
      <c r="I10" s="563"/>
      <c r="J10" s="563"/>
      <c r="K10" s="563"/>
      <c r="AK10" s="588"/>
      <c r="AL10" s="589"/>
      <c r="AM10" s="589"/>
      <c r="AN10" s="589"/>
      <c r="AO10" s="589"/>
      <c r="AP10" s="590"/>
      <c r="AU10" s="319">
        <f>OBJ!B44</f>
        <v>9353340</v>
      </c>
      <c r="AV10" s="21" t="str">
        <f>VLOOKUP(AU10,CENY!$B$11:$G$1054,2,FALSE)</f>
        <v>AvanY-sólo oceľ.boky-NW 101/650mm/strieb.</v>
      </c>
      <c r="AW10" s="22">
        <f>VLOOKUP(AU10,CENY!$B$11:$G$1054,3,FALSE)</f>
        <v>1</v>
      </c>
      <c r="AX10" s="362">
        <v>8</v>
      </c>
      <c r="AY10" s="23">
        <f>SUM(AY1:AY2)*(Y20+Y22+Y28)</f>
        <v>0</v>
      </c>
      <c r="AZ10" s="326">
        <f t="shared" si="1"/>
        <v>0</v>
      </c>
      <c r="BA10" s="95">
        <f>VLOOKUP(AU10,CENY!$B$11:$M$2025,12,FALSE)</f>
        <v>565.19020999999998</v>
      </c>
      <c r="BB10" s="95">
        <f t="shared" si="0"/>
        <v>0</v>
      </c>
      <c r="BD10" s="319">
        <f>OBJ!B55</f>
        <v>9255013</v>
      </c>
      <c r="BE10" s="21" t="str">
        <f>VLOOKUP(BD10,CENY!$B$11:$G$1054,2,FALSE)</f>
        <v>AvanY-bok pravý /v101/h350/ strieborná</v>
      </c>
      <c r="BF10" s="22">
        <f>VLOOKUP(BD10,CENY!$B$11:$G$1054,3,FALSE)</f>
        <v>20</v>
      </c>
      <c r="BG10" s="22"/>
      <c r="BH10" s="68"/>
      <c r="BI10" s="326" t="str">
        <f t="shared" si="2"/>
        <v/>
      </c>
      <c r="BJ10" s="95">
        <f>VLOOKUP(BD10,CENY!$B$11:$M$2025,12,FALSE)</f>
        <v>214.27737999999999</v>
      </c>
      <c r="BK10" s="95">
        <f t="shared" si="3"/>
        <v>0</v>
      </c>
    </row>
    <row r="11" spans="1:63" ht="14.4" customHeight="1">
      <c r="B11" s="549" t="str">
        <f>" "&amp;verze!E76</f>
        <v xml:space="preserve"> krytka:</v>
      </c>
      <c r="C11" s="549"/>
      <c r="D11" s="549"/>
      <c r="E11" s="549"/>
      <c r="F11" s="563" t="str">
        <f>" "&amp;FORM!AM21</f>
        <v xml:space="preserve"> žádná</v>
      </c>
      <c r="G11" s="563"/>
      <c r="H11" s="563"/>
      <c r="I11" s="563"/>
      <c r="J11" s="563"/>
      <c r="K11" s="563"/>
      <c r="AU11" s="319">
        <f>OBJ!B45</f>
        <v>9353341</v>
      </c>
      <c r="AV11" s="21" t="str">
        <f>VLOOKUP(AU11,CENY!$B$11:$G$1054,2,FALSE)</f>
        <v>AvanY-sólo oceľ.boky-NW 101/270mm/biela</v>
      </c>
      <c r="AW11" s="22">
        <f>VLOOKUP(AU11,CENY!$B$11:$G$1054,3,FALSE)</f>
        <v>1</v>
      </c>
      <c r="AX11" s="362">
        <v>8</v>
      </c>
      <c r="AY11" s="23">
        <f>SUM(AY1:AY2)*(AA20+AA22+AA28)</f>
        <v>0</v>
      </c>
      <c r="AZ11" s="326">
        <f t="shared" si="1"/>
        <v>0</v>
      </c>
      <c r="BA11" s="95">
        <f>VLOOKUP(AU11,CENY!$B$11:$M$2025,12,FALSE)</f>
        <v>588.23680999999999</v>
      </c>
      <c r="BB11" s="95">
        <f t="shared" si="0"/>
        <v>0</v>
      </c>
      <c r="BD11" s="319">
        <f>OBJ!B56</f>
        <v>9255014</v>
      </c>
      <c r="BE11" s="21" t="str">
        <f>VLOOKUP(BD11,CENY!$B$11:$G$1054,2,FALSE)</f>
        <v>AvanY-bok ľavý /v101/h400/ strieborná</v>
      </c>
      <c r="BF11" s="22">
        <f>VLOOKUP(BD11,CENY!$B$11:$G$1054,3,FALSE)</f>
        <v>20</v>
      </c>
      <c r="BG11" s="22"/>
      <c r="BH11" s="68"/>
      <c r="BI11" s="326" t="str">
        <f t="shared" si="2"/>
        <v/>
      </c>
      <c r="BJ11" s="95">
        <f>VLOOKUP(BD11,CENY!$B$11:$M$2025,12,FALSE)</f>
        <v>218.14608000000001</v>
      </c>
      <c r="BK11" s="95">
        <f t="shared" si="3"/>
        <v>0</v>
      </c>
    </row>
    <row r="12" spans="1:63" ht="14.4" customHeight="1" thickBot="1">
      <c r="B12" s="549"/>
      <c r="C12" s="549"/>
      <c r="D12" s="549"/>
      <c r="E12" s="550"/>
      <c r="F12" s="551"/>
      <c r="G12" s="552"/>
      <c r="H12" s="552"/>
      <c r="I12" s="552"/>
      <c r="J12" s="553"/>
      <c r="K12" s="554"/>
      <c r="AU12" s="319">
        <f>OBJ!B46</f>
        <v>9353342</v>
      </c>
      <c r="AV12" s="21" t="str">
        <f>VLOOKUP(AU12,CENY!$B$11:$G$1054,2,FALSE)</f>
        <v>AvanY-sólo oceľ.boky-NW 101/300mm/biela</v>
      </c>
      <c r="AW12" s="22">
        <f>VLOOKUP(AU12,CENY!$B$11:$G$1054,3,FALSE)</f>
        <v>1</v>
      </c>
      <c r="AX12" s="362">
        <v>8</v>
      </c>
      <c r="AY12" s="23">
        <f>SUM(AY1:AY2)*(AC20+AC22+AC28)</f>
        <v>0</v>
      </c>
      <c r="AZ12" s="326">
        <f t="shared" si="1"/>
        <v>0</v>
      </c>
      <c r="BA12" s="95">
        <f>VLOOKUP(AU12,CENY!$B$11:$M$2025,12,FALSE)</f>
        <v>600.62784999999997</v>
      </c>
      <c r="BB12" s="95">
        <f t="shared" si="0"/>
        <v>0</v>
      </c>
      <c r="BD12" s="319">
        <f>OBJ!B57</f>
        <v>9255015</v>
      </c>
      <c r="BE12" s="21" t="str">
        <f>VLOOKUP(BD12,CENY!$B$11:$G$1054,2,FALSE)</f>
        <v>AvanY-bok pravý /v101/h400/ strieborná</v>
      </c>
      <c r="BF12" s="22">
        <f>VLOOKUP(BD12,CENY!$B$11:$G$1054,3,FALSE)</f>
        <v>20</v>
      </c>
      <c r="BG12" s="22"/>
      <c r="BH12" s="68"/>
      <c r="BI12" s="326" t="str">
        <f t="shared" si="2"/>
        <v/>
      </c>
      <c r="BJ12" s="95">
        <f>VLOOKUP(BD12,CENY!$B$11:$M$2025,12,FALSE)</f>
        <v>218.14608000000001</v>
      </c>
      <c r="BK12" s="95">
        <f t="shared" si="3"/>
        <v>0</v>
      </c>
    </row>
    <row r="13" spans="1:63" ht="14.4" customHeight="1">
      <c r="B13" s="549" t="str">
        <f>" "&amp;verze!E92</f>
        <v xml:space="preserve"> cena kování:</v>
      </c>
      <c r="C13" s="549"/>
      <c r="D13" s="549"/>
      <c r="E13" s="550"/>
      <c r="F13" s="555">
        <f>IF(AW4=1,BB4,BK4)</f>
        <v>0</v>
      </c>
      <c r="G13" s="555"/>
      <c r="H13" s="555"/>
      <c r="I13" s="555"/>
      <c r="J13" s="556" t="str">
        <f>IF(verze!E1="CZK","CZK","EUR")</f>
        <v>CZK</v>
      </c>
      <c r="K13" s="557"/>
      <c r="AU13" s="319">
        <f>OBJ!B47</f>
        <v>9353343</v>
      </c>
      <c r="AV13" s="21" t="str">
        <f>VLOOKUP(AU13,CENY!$B$11:$G$1054,2,FALSE)</f>
        <v>AvanY-sólo oceľ.boky-NW 101/350mm/biela</v>
      </c>
      <c r="AW13" s="22">
        <f>VLOOKUP(AU13,CENY!$B$11:$G$1054,3,FALSE)</f>
        <v>1</v>
      </c>
      <c r="AX13" s="362">
        <v>10</v>
      </c>
      <c r="AY13" s="23">
        <f>SUM(AY1:AY2)*(AE22)</f>
        <v>0</v>
      </c>
      <c r="AZ13" s="326">
        <f t="shared" si="1"/>
        <v>0</v>
      </c>
      <c r="BA13" s="95">
        <f>VLOOKUP(AU13,CENY!$B$11:$M$2025,12,FALSE)</f>
        <v>618.65596000000005</v>
      </c>
      <c r="BB13" s="95">
        <f t="shared" si="0"/>
        <v>0</v>
      </c>
      <c r="BD13" s="319">
        <f>OBJ!B58</f>
        <v>9255016</v>
      </c>
      <c r="BE13" s="21" t="str">
        <f>VLOOKUP(BD13,CENY!$B$11:$G$1054,2,FALSE)</f>
        <v>AvanY-bok ľavý /v101/h450/ strieborná</v>
      </c>
      <c r="BF13" s="22">
        <f>VLOOKUP(BD13,CENY!$B$11:$G$1054,3,FALSE)</f>
        <v>20</v>
      </c>
      <c r="BG13" s="22"/>
      <c r="BH13" s="23">
        <f>AY9</f>
        <v>0</v>
      </c>
      <c r="BI13" s="326">
        <f t="shared" si="2"/>
        <v>0</v>
      </c>
      <c r="BJ13" s="95">
        <f>VLOOKUP(BD13,CENY!$B$11:$M$2025,12,FALSE)</f>
        <v>222.02244999999999</v>
      </c>
      <c r="BK13" s="95">
        <f t="shared" si="3"/>
        <v>0</v>
      </c>
    </row>
    <row r="14" spans="1:63" ht="14.4" customHeight="1">
      <c r="AU14" s="319"/>
      <c r="AV14" s="21"/>
      <c r="AW14" s="22"/>
      <c r="AX14" s="362"/>
      <c r="AY14" s="23"/>
      <c r="AZ14" s="326"/>
      <c r="BA14" s="95"/>
      <c r="BB14" s="95"/>
      <c r="BD14" s="319">
        <f>OBJ!B59</f>
        <v>9255017</v>
      </c>
      <c r="BE14" s="21" t="str">
        <f>VLOOKUP(BD14,CENY!$B$11:$G$1054,2,FALSE)</f>
        <v>AvanY-bok pravý /v101/h450/ strieborná</v>
      </c>
      <c r="BF14" s="22">
        <f>VLOOKUP(BD14,CENY!$B$11:$G$1054,3,FALSE)</f>
        <v>20</v>
      </c>
      <c r="BG14" s="22"/>
      <c r="BH14" s="23">
        <f>AY9</f>
        <v>0</v>
      </c>
      <c r="BI14" s="326">
        <f t="shared" si="2"/>
        <v>0</v>
      </c>
      <c r="BJ14" s="95">
        <f>VLOOKUP(BD14,CENY!$B$11:$M$2025,12,FALSE)</f>
        <v>222.02244999999999</v>
      </c>
      <c r="BK14" s="95">
        <f t="shared" si="3"/>
        <v>0</v>
      </c>
    </row>
    <row r="15" spans="1:63" ht="14.4" customHeight="1">
      <c r="AU15" s="319">
        <f>OBJ!B116</f>
        <v>9353357</v>
      </c>
      <c r="AV15" s="21" t="str">
        <f>VLOOKUP(AU15,CENY!$B$11:$G$1054,2,FALSE)</f>
        <v>AvanY-sólo oceľ.boky-NW 187/450mm/strieb.</v>
      </c>
      <c r="AW15" s="22">
        <f>VLOOKUP(AU15,CENY!$B$11:$G$1054,3,FALSE)</f>
        <v>1</v>
      </c>
      <c r="AX15" s="362">
        <v>6</v>
      </c>
      <c r="AY15" s="23">
        <f>SUM(AY3:AY4)*(W20+W22+W28)</f>
        <v>0</v>
      </c>
      <c r="AZ15" s="326">
        <f t="shared" ref="AZ15:AZ19" si="4">IF(AY15="","",IF($AW$4=1,AY15,0))</f>
        <v>0</v>
      </c>
      <c r="BA15" s="95">
        <f>VLOOKUP(AU15,CENY!$B$11:$M$2025,12,FALSE)</f>
        <v>803.01720999999998</v>
      </c>
      <c r="BB15" s="95">
        <f t="shared" ref="BB15:BB19" si="5">IF(BA15="","",BA15*AY15)</f>
        <v>0</v>
      </c>
      <c r="BD15" s="319">
        <f>OBJ!B60</f>
        <v>9255018</v>
      </c>
      <c r="BE15" s="21" t="str">
        <f>VLOOKUP(BD15,CENY!$B$11:$G$1054,2,FALSE)</f>
        <v>AvanY-bok ľavý /v101/h500/ strieborná</v>
      </c>
      <c r="BF15" s="22">
        <f>VLOOKUP(BD15,CENY!$B$11:$G$1054,3,FALSE)</f>
        <v>20</v>
      </c>
      <c r="BG15" s="22"/>
      <c r="BH15" s="23">
        <f>AY10</f>
        <v>0</v>
      </c>
      <c r="BI15" s="326">
        <f t="shared" si="2"/>
        <v>0</v>
      </c>
      <c r="BJ15" s="95">
        <f>VLOOKUP(BD15,CENY!$B$11:$M$2025,12,FALSE)</f>
        <v>219.88341</v>
      </c>
      <c r="BK15" s="95">
        <f t="shared" si="3"/>
        <v>0</v>
      </c>
    </row>
    <row r="16" spans="1:63" ht="14.4" customHeight="1">
      <c r="AB16" s="341"/>
      <c r="AU16" s="319">
        <f>OBJ!B117</f>
        <v>9353358</v>
      </c>
      <c r="AV16" s="21" t="str">
        <f>VLOOKUP(AU16,CENY!$B$11:$G$1054,2,FALSE)</f>
        <v>AvanY-sólo oceľ.boky-NW 187/500mm/strieb.</v>
      </c>
      <c r="AW16" s="22">
        <f>VLOOKUP(AU16,CENY!$B$11:$G$1054,3,FALSE)</f>
        <v>1</v>
      </c>
      <c r="AX16" s="362">
        <v>8</v>
      </c>
      <c r="AY16" s="23">
        <f>SUM(AY3:AY4)*(Y20+Y22+Y28)</f>
        <v>0</v>
      </c>
      <c r="AZ16" s="326">
        <f t="shared" si="4"/>
        <v>0</v>
      </c>
      <c r="BA16" s="95">
        <f>VLOOKUP(AU16,CENY!$B$11:$M$2025,12,FALSE)</f>
        <v>814.69060000000002</v>
      </c>
      <c r="BB16" s="95">
        <f t="shared" si="5"/>
        <v>0</v>
      </c>
      <c r="BD16" s="319">
        <f>OBJ!B61</f>
        <v>9255019</v>
      </c>
      <c r="BE16" s="21" t="str">
        <f>VLOOKUP(BD16,CENY!$B$11:$G$1054,2,FALSE)</f>
        <v>AvanY-bok pravý /v101/h500/ strieborná</v>
      </c>
      <c r="BF16" s="22">
        <f>VLOOKUP(BD16,CENY!$B$11:$G$1054,3,FALSE)</f>
        <v>20</v>
      </c>
      <c r="BG16" s="22"/>
      <c r="BH16" s="23">
        <f>AY10</f>
        <v>0</v>
      </c>
      <c r="BI16" s="326">
        <f t="shared" si="2"/>
        <v>0</v>
      </c>
      <c r="BJ16" s="95">
        <f>VLOOKUP(BD16,CENY!$B$11:$M$2025,12,FALSE)</f>
        <v>219.88341</v>
      </c>
      <c r="BK16" s="95">
        <f t="shared" si="3"/>
        <v>0</v>
      </c>
    </row>
    <row r="17" spans="2:63" ht="14.4" customHeight="1" thickBot="1">
      <c r="B17" s="1" t="s">
        <v>284</v>
      </c>
      <c r="O17" s="547" t="str">
        <f>FORM!U18</f>
        <v>flexibilní sety</v>
      </c>
      <c r="P17" s="548"/>
      <c r="Q17" s="548"/>
      <c r="R17" s="548"/>
      <c r="S17" s="548"/>
      <c r="T17" s="548"/>
      <c r="U17" s="548"/>
      <c r="V17" s="548"/>
      <c r="W17" s="548"/>
      <c r="X17" s="548"/>
      <c r="Y17" s="548"/>
      <c r="Z17" s="548"/>
      <c r="AA17" s="548"/>
      <c r="AB17" s="548"/>
      <c r="AC17" s="548"/>
      <c r="AD17" s="548"/>
      <c r="AE17" s="548"/>
      <c r="AF17" s="548"/>
      <c r="AU17" s="319">
        <f>OBJ!B118</f>
        <v>9353359</v>
      </c>
      <c r="AV17" s="21" t="str">
        <f>VLOOKUP(AU17,CENY!$B$11:$G$1054,2,FALSE)</f>
        <v>AvanY-sólo oceľ.boky-NW 187/550mm/strieb.</v>
      </c>
      <c r="AW17" s="22">
        <f>VLOOKUP(AU17,CENY!$B$11:$G$1054,3,FALSE)</f>
        <v>1</v>
      </c>
      <c r="AX17" s="362">
        <v>8</v>
      </c>
      <c r="AY17" s="23">
        <f>SUM(AY3:AY4)*(AA20+AA22+AA28)</f>
        <v>0</v>
      </c>
      <c r="AZ17" s="326">
        <f t="shared" si="4"/>
        <v>0</v>
      </c>
      <c r="BA17" s="95">
        <f>VLOOKUP(AU17,CENY!$B$11:$M$2025,12,FALSE)</f>
        <v>848.94223999999997</v>
      </c>
      <c r="BB17" s="95">
        <f t="shared" si="5"/>
        <v>0</v>
      </c>
      <c r="BD17" s="319">
        <f>OBJ!B62</f>
        <v>9255020</v>
      </c>
      <c r="BE17" s="21" t="str">
        <f>VLOOKUP(BD17,CENY!$B$11:$G$1054,2,FALSE)</f>
        <v>AvanY-bok ľavý /v101/h550/ strieborná</v>
      </c>
      <c r="BF17" s="22">
        <f>VLOOKUP(BD17,CENY!$B$11:$G$1054,3,FALSE)</f>
        <v>20</v>
      </c>
      <c r="BG17" s="22"/>
      <c r="BH17" s="23">
        <f>AY11</f>
        <v>0</v>
      </c>
      <c r="BI17" s="326">
        <f t="shared" si="2"/>
        <v>0</v>
      </c>
      <c r="BJ17" s="95">
        <f>VLOOKUP(BD17,CENY!$B$11:$M$2025,12,FALSE)</f>
        <v>229.76492999999999</v>
      </c>
      <c r="BK17" s="95">
        <f t="shared" si="3"/>
        <v>0</v>
      </c>
    </row>
    <row r="18" spans="2:63" ht="14.4" customHeight="1" thickBot="1">
      <c r="B18" s="96"/>
      <c r="C18" s="96"/>
      <c r="D18" s="96"/>
      <c r="E18" s="96"/>
      <c r="F18" s="96"/>
      <c r="G18" s="96"/>
      <c r="H18" s="72"/>
      <c r="I18" s="72"/>
      <c r="J18" s="72"/>
      <c r="K18" s="72"/>
      <c r="L18" s="72"/>
      <c r="M18" s="72"/>
      <c r="N18" s="72" t="str">
        <f>verze!$E$20&amp;" "</f>
        <v xml:space="preserve">Jmenovitá délka: </v>
      </c>
      <c r="O18" s="535">
        <v>270</v>
      </c>
      <c r="P18" s="536"/>
      <c r="Q18" s="535">
        <v>300</v>
      </c>
      <c r="R18" s="536"/>
      <c r="S18" s="535">
        <v>350</v>
      </c>
      <c r="T18" s="536"/>
      <c r="U18" s="535">
        <v>400</v>
      </c>
      <c r="V18" s="536"/>
      <c r="W18" s="535">
        <v>450</v>
      </c>
      <c r="X18" s="536"/>
      <c r="Y18" s="537">
        <v>500</v>
      </c>
      <c r="Z18" s="538"/>
      <c r="AA18" s="535">
        <v>550</v>
      </c>
      <c r="AB18" s="536"/>
      <c r="AC18" s="535">
        <v>600</v>
      </c>
      <c r="AD18" s="536"/>
      <c r="AE18" s="535">
        <v>650</v>
      </c>
      <c r="AF18" s="536"/>
      <c r="AP18" s="233" t="s">
        <v>258</v>
      </c>
      <c r="AQ18" s="614">
        <v>1</v>
      </c>
      <c r="AR18" s="615"/>
      <c r="AU18" s="319">
        <f>OBJ!B119</f>
        <v>9353360</v>
      </c>
      <c r="AV18" s="21" t="str">
        <f>VLOOKUP(AU18,CENY!$B$11:$G$1054,2,FALSE)</f>
        <v>AvanY-sólo oceľ.boky-NW 187/600mm/strieb.</v>
      </c>
      <c r="AW18" s="22">
        <f>VLOOKUP(AU18,CENY!$B$11:$G$1054,3,FALSE)</f>
        <v>1</v>
      </c>
      <c r="AX18" s="362">
        <v>8</v>
      </c>
      <c r="AY18" s="23">
        <f>SUM(AY3:AY4)*(AC20+AC22+AC28)</f>
        <v>0</v>
      </c>
      <c r="AZ18" s="326">
        <f t="shared" si="4"/>
        <v>0</v>
      </c>
      <c r="BA18" s="95">
        <f>VLOOKUP(AU18,CENY!$B$11:$M$2025,12,FALSE)</f>
        <v>867.96834999999999</v>
      </c>
      <c r="BB18" s="95">
        <f t="shared" si="5"/>
        <v>0</v>
      </c>
      <c r="BD18" s="319">
        <f>OBJ!B63</f>
        <v>9255021</v>
      </c>
      <c r="BE18" s="21" t="str">
        <f>VLOOKUP(BD18,CENY!$B$11:$G$1054,2,FALSE)</f>
        <v>AvanY-bok pravý /v101/h550/ strieborná</v>
      </c>
      <c r="BF18" s="22">
        <f>VLOOKUP(BD18,CENY!$B$11:$G$1054,3,FALSE)</f>
        <v>20</v>
      </c>
      <c r="BG18" s="22"/>
      <c r="BH18" s="23">
        <f>AY11</f>
        <v>0</v>
      </c>
      <c r="BI18" s="326">
        <f t="shared" si="2"/>
        <v>0</v>
      </c>
      <c r="BJ18" s="95">
        <f>VLOOKUP(BD18,CENY!$B$11:$M$2025,12,FALSE)</f>
        <v>229.76492999999999</v>
      </c>
      <c r="BK18" s="95">
        <f t="shared" si="3"/>
        <v>0</v>
      </c>
    </row>
    <row r="19" spans="2:63" ht="14.4" customHeight="1" thickBot="1">
      <c r="B19" s="530" t="s">
        <v>289</v>
      </c>
      <c r="C19" s="530"/>
      <c r="D19" s="530"/>
      <c r="E19" s="530"/>
      <c r="F19" s="530"/>
      <c r="G19" s="530"/>
      <c r="H19" s="531" t="str">
        <f>verze!E18</f>
        <v>plnovýsuv</v>
      </c>
      <c r="I19" s="531"/>
      <c r="J19" s="531"/>
      <c r="K19" s="531"/>
      <c r="L19" s="531"/>
      <c r="M19" s="532" t="s">
        <v>286</v>
      </c>
      <c r="N19" s="533"/>
      <c r="O19" s="569"/>
      <c r="P19" s="612"/>
      <c r="Q19" s="613"/>
      <c r="R19" s="612"/>
      <c r="S19" s="613"/>
      <c r="T19" s="570"/>
      <c r="U19" s="283"/>
      <c r="V19" s="284"/>
      <c r="W19" s="283"/>
      <c r="X19" s="284"/>
      <c r="Y19" s="283"/>
      <c r="Z19" s="284"/>
      <c r="AA19" s="283"/>
      <c r="AB19" s="284"/>
      <c r="AC19" s="283"/>
      <c r="AD19" s="284"/>
      <c r="AE19" s="280"/>
      <c r="AF19" s="281"/>
      <c r="AU19" s="319">
        <f>OBJ!B120</f>
        <v>9353371</v>
      </c>
      <c r="AV19" s="21" t="str">
        <f>VLOOKUP(AU19,CENY!$B$11:$G$1054,2,FALSE)</f>
        <v>AvanY-sólo oceľ.boky-NW 187/650mm/strieb.</v>
      </c>
      <c r="AW19" s="22">
        <f>VLOOKUP(AU19,CENY!$B$11:$G$1054,3,FALSE)</f>
        <v>1</v>
      </c>
      <c r="AX19" s="362">
        <v>10</v>
      </c>
      <c r="AY19" s="23">
        <f>SUM(AY3:AY4)*(AE22)</f>
        <v>0</v>
      </c>
      <c r="AZ19" s="326">
        <f t="shared" si="4"/>
        <v>0</v>
      </c>
      <c r="BA19" s="95">
        <f>VLOOKUP(AU19,CENY!$B$11:$M$2025,12,FALSE)</f>
        <v>895.00838999999996</v>
      </c>
      <c r="BB19" s="95">
        <f t="shared" si="5"/>
        <v>0</v>
      </c>
      <c r="BD19" s="319">
        <f>OBJ!B64</f>
        <v>9255022</v>
      </c>
      <c r="BE19" s="21" t="str">
        <f>VLOOKUP(BD19,CENY!$B$11:$G$1054,2,FALSE)</f>
        <v>AvanY-bok ľavý /v101/h600/ strieborná</v>
      </c>
      <c r="BF19" s="22">
        <f>VLOOKUP(BD19,CENY!$B$11:$G$1054,3,FALSE)</f>
        <v>20</v>
      </c>
      <c r="BG19" s="22"/>
      <c r="BH19" s="23">
        <f>AY12</f>
        <v>0</v>
      </c>
      <c r="BI19" s="326">
        <f t="shared" si="2"/>
        <v>0</v>
      </c>
      <c r="BJ19" s="95">
        <f>VLOOKUP(BD19,CENY!$B$11:$M$2025,12,FALSE)</f>
        <v>235.60476</v>
      </c>
      <c r="BK19" s="95">
        <f t="shared" si="3"/>
        <v>0</v>
      </c>
    </row>
    <row r="20" spans="2:63" ht="14.4" customHeight="1" thickBot="1">
      <c r="B20" s="521" t="s">
        <v>290</v>
      </c>
      <c r="C20" s="521"/>
      <c r="D20" s="521"/>
      <c r="E20" s="521"/>
      <c r="F20" s="521"/>
      <c r="G20" s="521"/>
      <c r="H20" s="522" t="str">
        <f>verze!E18</f>
        <v>plnovýsuv</v>
      </c>
      <c r="I20" s="522"/>
      <c r="J20" s="522"/>
      <c r="K20" s="522"/>
      <c r="L20" s="522"/>
      <c r="M20" s="523" t="s">
        <v>287</v>
      </c>
      <c r="N20" s="546"/>
      <c r="O20" s="518"/>
      <c r="P20" s="519"/>
      <c r="Q20" s="518"/>
      <c r="R20" s="519"/>
      <c r="S20" s="518"/>
      <c r="T20" s="519"/>
      <c r="U20" s="518"/>
      <c r="V20" s="519"/>
      <c r="W20" s="516"/>
      <c r="X20" s="517"/>
      <c r="Y20" s="516"/>
      <c r="Z20" s="517"/>
      <c r="AA20" s="516"/>
      <c r="AB20" s="517"/>
      <c r="AC20" s="565"/>
      <c r="AD20" s="566"/>
      <c r="AE20" s="518"/>
      <c r="AF20" s="519"/>
      <c r="AU20" s="319"/>
      <c r="AV20" s="21"/>
      <c r="AW20" s="22"/>
      <c r="AX20" s="22"/>
      <c r="AY20" s="23"/>
      <c r="AZ20" s="326" t="str">
        <f t="shared" si="1"/>
        <v/>
      </c>
      <c r="BA20" s="95"/>
      <c r="BB20" s="95" t="str">
        <f t="shared" si="0"/>
        <v/>
      </c>
      <c r="BD20" s="319">
        <f>OBJ!B65</f>
        <v>9255023</v>
      </c>
      <c r="BE20" s="21" t="str">
        <f>VLOOKUP(BD20,CENY!$B$11:$G$1054,2,FALSE)</f>
        <v>AvanY-bok pravý /v101/h600/ strieborná</v>
      </c>
      <c r="BF20" s="22">
        <f>VLOOKUP(BD20,CENY!$B$11:$G$1054,3,FALSE)</f>
        <v>20</v>
      </c>
      <c r="BG20" s="22"/>
      <c r="BH20" s="23">
        <f>AY12</f>
        <v>0</v>
      </c>
      <c r="BI20" s="326">
        <f t="shared" si="2"/>
        <v>0</v>
      </c>
      <c r="BJ20" s="95">
        <f>VLOOKUP(BD20,CENY!$B$11:$M$2025,12,FALSE)</f>
        <v>235.60476</v>
      </c>
      <c r="BK20" s="95">
        <f t="shared" si="3"/>
        <v>0</v>
      </c>
    </row>
    <row r="21" spans="2:63" ht="14.4" customHeight="1" thickBot="1">
      <c r="O21" s="283"/>
      <c r="P21" s="284"/>
      <c r="Q21" s="283"/>
      <c r="R21" s="284"/>
      <c r="S21" s="283"/>
      <c r="T21" s="284"/>
      <c r="U21" s="283"/>
      <c r="V21" s="284"/>
      <c r="W21" s="283"/>
      <c r="X21" s="284"/>
      <c r="Y21" s="283"/>
      <c r="Z21" s="284"/>
      <c r="AA21" s="283"/>
      <c r="AB21" s="284"/>
      <c r="AC21" s="283"/>
      <c r="AD21" s="284"/>
      <c r="AE21" s="283"/>
      <c r="AF21" s="284"/>
      <c r="AP21" s="233" t="s">
        <v>258</v>
      </c>
      <c r="AQ21" s="614">
        <v>0</v>
      </c>
      <c r="AR21" s="615"/>
      <c r="AU21" s="319">
        <f>OBJ!B71</f>
        <v>9347502</v>
      </c>
      <c r="AV21" s="21" t="str">
        <f>VLOOKUP(AU21,CENY!$B$11:$G$1054,2,FALSE)</f>
        <v>AvanY-design ALprofil Hybrid na bok 270/ strieb.</v>
      </c>
      <c r="AW21" s="22">
        <f>VLOOKUP(AU21,CENY!$B$11:$G$1054,3,FALSE)</f>
        <v>200</v>
      </c>
      <c r="AX21" s="22"/>
      <c r="AY21" s="68"/>
      <c r="AZ21" s="326" t="str">
        <f t="shared" si="1"/>
        <v/>
      </c>
      <c r="BA21" s="95">
        <f>VLOOKUP(AU21,CENY!$B$11:$M$2025,12,FALSE)</f>
        <v>19.78839</v>
      </c>
      <c r="BB21" s="95">
        <f t="shared" si="0"/>
        <v>0</v>
      </c>
      <c r="BD21" s="319">
        <f>OBJ!B66</f>
        <v>9255024</v>
      </c>
      <c r="BE21" s="21" t="str">
        <f>VLOOKUP(BD21,CENY!$B$11:$G$1054,2,FALSE)</f>
        <v>AvanY-bok ľavý /v101/h650/ strieborná</v>
      </c>
      <c r="BF21" s="22">
        <f>VLOOKUP(BD21,CENY!$B$11:$G$1054,3,FALSE)</f>
        <v>20</v>
      </c>
      <c r="BG21" s="22"/>
      <c r="BH21" s="23">
        <f>AY13</f>
        <v>0</v>
      </c>
      <c r="BI21" s="326">
        <f t="shared" si="2"/>
        <v>0</v>
      </c>
      <c r="BJ21" s="95">
        <f>VLOOKUP(BD21,CENY!$B$11:$M$2025,12,FALSE)</f>
        <v>243.54496</v>
      </c>
      <c r="BK21" s="95">
        <f t="shared" si="3"/>
        <v>0</v>
      </c>
    </row>
    <row r="22" spans="2:63" ht="14.4" customHeight="1" thickBot="1">
      <c r="B22" s="544" t="s">
        <v>291</v>
      </c>
      <c r="C22" s="544"/>
      <c r="D22" s="544"/>
      <c r="E22" s="544"/>
      <c r="F22" s="544"/>
      <c r="G22" s="544"/>
      <c r="H22" s="545" t="str">
        <f>verze!E18</f>
        <v>plnovýsuv</v>
      </c>
      <c r="I22" s="545"/>
      <c r="J22" s="545"/>
      <c r="K22" s="545"/>
      <c r="L22" s="545"/>
      <c r="M22" s="523" t="s">
        <v>288</v>
      </c>
      <c r="N22" s="524"/>
      <c r="O22" s="518"/>
      <c r="P22" s="519"/>
      <c r="Q22" s="518"/>
      <c r="R22" s="519"/>
      <c r="S22" s="518"/>
      <c r="T22" s="519"/>
      <c r="U22" s="518"/>
      <c r="V22" s="519"/>
      <c r="W22" s="516"/>
      <c r="X22" s="517"/>
      <c r="Y22" s="516"/>
      <c r="Z22" s="517"/>
      <c r="AA22" s="516"/>
      <c r="AB22" s="517"/>
      <c r="AC22" s="516"/>
      <c r="AD22" s="517"/>
      <c r="AE22" s="565"/>
      <c r="AF22" s="566"/>
      <c r="AU22" s="319">
        <f>OBJ!B72</f>
        <v>9347503</v>
      </c>
      <c r="AV22" s="21" t="str">
        <f>VLOOKUP(AU22,CENY!$B$11:$G$1054,2,FALSE)</f>
        <v>AvanY-design ALprofil Hybrid na bok 300/ strieb.</v>
      </c>
      <c r="AW22" s="22">
        <f>VLOOKUP(AU22,CENY!$B$11:$G$1054,3,FALSE)</f>
        <v>200</v>
      </c>
      <c r="AX22" s="22"/>
      <c r="AY22" s="68"/>
      <c r="AZ22" s="326" t="str">
        <f t="shared" si="1"/>
        <v/>
      </c>
      <c r="BA22" s="95">
        <f>VLOOKUP(AU22,CENY!$B$11:$M$2025,12,FALSE)</f>
        <v>20.006769999999999</v>
      </c>
      <c r="BB22" s="95">
        <f t="shared" si="0"/>
        <v>0</v>
      </c>
      <c r="BD22" s="319">
        <f>OBJ!B67</f>
        <v>9255025</v>
      </c>
      <c r="BE22" s="21" t="str">
        <f>VLOOKUP(BD22,CENY!$B$11:$G$1054,2,FALSE)</f>
        <v>AvanY-bok pravý /v101/h650/ strieborná</v>
      </c>
      <c r="BF22" s="22">
        <f>VLOOKUP(BD22,CENY!$B$11:$G$1054,3,FALSE)</f>
        <v>20</v>
      </c>
      <c r="BG22" s="22"/>
      <c r="BH22" s="23">
        <f>AY13</f>
        <v>0</v>
      </c>
      <c r="BI22" s="326">
        <f t="shared" ref="BI22:BI33" si="6">IF(BH22="","",IF($AW$4=0,BH22,0))</f>
        <v>0</v>
      </c>
      <c r="BJ22" s="95">
        <f>VLOOKUP(BD22,CENY!$B$11:$M$2025,12,FALSE)</f>
        <v>243.54496</v>
      </c>
      <c r="BK22" s="95">
        <f t="shared" si="3"/>
        <v>0</v>
      </c>
    </row>
    <row r="23" spans="2:63" ht="14.4" customHeight="1" thickBot="1">
      <c r="O23" s="4"/>
      <c r="P23" s="4"/>
      <c r="AU23" s="319">
        <f>OBJ!B73</f>
        <v>9347504</v>
      </c>
      <c r="AV23" s="21" t="str">
        <f>VLOOKUP(AU23,CENY!$B$11:$G$1054,2,FALSE)</f>
        <v>AvanY-design ALprofil Hybrid na bok 350/ strieb.</v>
      </c>
      <c r="AW23" s="22">
        <f>VLOOKUP(AU23,CENY!$B$11:$G$1054,3,FALSE)</f>
        <v>200</v>
      </c>
      <c r="AX23" s="22"/>
      <c r="AY23" s="68"/>
      <c r="AZ23" s="326" t="str">
        <f t="shared" si="1"/>
        <v/>
      </c>
      <c r="BA23" s="95">
        <f>VLOOKUP(AU23,CENY!$B$11:$M$2025,12,FALSE)</f>
        <v>20.37642</v>
      </c>
      <c r="BB23" s="95">
        <f t="shared" si="0"/>
        <v>0</v>
      </c>
      <c r="BD23" s="319"/>
      <c r="BE23" s="21"/>
      <c r="BF23" s="22"/>
      <c r="BG23" s="22"/>
      <c r="BH23" s="23"/>
      <c r="BI23" s="326" t="str">
        <f t="shared" si="6"/>
        <v/>
      </c>
      <c r="BJ23" s="95"/>
      <c r="BK23" s="95"/>
    </row>
    <row r="24" spans="2:63" ht="14.4" customHeight="1" thickBot="1">
      <c r="AP24" s="233" t="s">
        <v>258</v>
      </c>
      <c r="AQ24" s="614">
        <v>2</v>
      </c>
      <c r="AR24" s="615"/>
      <c r="AU24" s="319">
        <f>OBJ!B74</f>
        <v>9347505</v>
      </c>
      <c r="AV24" s="21" t="str">
        <f>VLOOKUP(AU24,CENY!$B$11:$G$1054,2,FALSE)</f>
        <v>AvanY-design ALprofil Hybrid na bok 400/ strieb.</v>
      </c>
      <c r="AW24" s="22">
        <f>VLOOKUP(AU24,CENY!$B$11:$G$1054,3,FALSE)</f>
        <v>200</v>
      </c>
      <c r="AX24" s="22"/>
      <c r="AY24" s="68"/>
      <c r="AZ24" s="326" t="str">
        <f t="shared" si="1"/>
        <v/>
      </c>
      <c r="BA24" s="95">
        <f>VLOOKUP(AU24,CENY!$B$11:$M$2025,12,FALSE)</f>
        <v>20.742249999999999</v>
      </c>
      <c r="BB24" s="95">
        <f t="shared" si="0"/>
        <v>0</v>
      </c>
      <c r="BD24" s="319">
        <f>OBJ!B130</f>
        <v>9255052</v>
      </c>
      <c r="BE24" s="21" t="str">
        <f>VLOOKUP(BD24,CENY!$B$11:$G$1054,2,FALSE)</f>
        <v>AvanY-bok ľavý /v187/h450/ strieborná</v>
      </c>
      <c r="BF24" s="22">
        <f>VLOOKUP(BD24,CENY!$B$11:$G$1054,3,FALSE)</f>
        <v>10</v>
      </c>
      <c r="BG24" s="22"/>
      <c r="BH24" s="23">
        <f>AY15</f>
        <v>0</v>
      </c>
      <c r="BI24" s="326">
        <f t="shared" si="6"/>
        <v>0</v>
      </c>
      <c r="BJ24" s="95">
        <f>VLOOKUP(BD24,CENY!$B$11:$M$2025,12,FALSE)</f>
        <v>357.13297</v>
      </c>
      <c r="BK24" s="95">
        <f t="shared" ref="BK24:BK33" si="7">IF(BJ24="","",BJ24*BH24)</f>
        <v>0</v>
      </c>
    </row>
    <row r="25" spans="2:63" ht="14.4" customHeight="1" thickBot="1">
      <c r="B25" s="2" t="s">
        <v>285</v>
      </c>
      <c r="AU25" s="319">
        <f>OBJ!B75</f>
        <v>9347506</v>
      </c>
      <c r="AV25" s="21" t="str">
        <f>VLOOKUP(AU25,CENY!$B$11:$G$1054,2,FALSE)</f>
        <v>AvanY-design ALprofil Hybrid na bok 450/ strieb.</v>
      </c>
      <c r="AW25" s="22">
        <f>VLOOKUP(AU25,CENY!$B$11:$G$1054,3,FALSE)</f>
        <v>200</v>
      </c>
      <c r="AX25" s="22"/>
      <c r="AY25" s="23">
        <f>IF(FORM!AM18=FORM!AU16,0,2*SUM(AY1:AY4)*(W20+W22+W28))</f>
        <v>0</v>
      </c>
      <c r="AZ25" s="326">
        <f t="shared" si="1"/>
        <v>0</v>
      </c>
      <c r="BA25" s="95">
        <f>VLOOKUP(AU25,CENY!$B$11:$M$2025,12,FALSE)</f>
        <v>21.111910000000002</v>
      </c>
      <c r="BB25" s="95">
        <f t="shared" si="0"/>
        <v>0</v>
      </c>
      <c r="BD25" s="319">
        <f>OBJ!B131</f>
        <v>9255053</v>
      </c>
      <c r="BE25" s="21" t="str">
        <f>VLOOKUP(BD25,CENY!$B$11:$G$1054,2,FALSE)</f>
        <v>AvanY-bok pravý /v187/h450/ strieborná</v>
      </c>
      <c r="BF25" s="22">
        <f>VLOOKUP(BD25,CENY!$B$11:$G$1054,3,FALSE)</f>
        <v>10</v>
      </c>
      <c r="BG25" s="22"/>
      <c r="BH25" s="23">
        <f>AY15</f>
        <v>0</v>
      </c>
      <c r="BI25" s="326">
        <f t="shared" si="6"/>
        <v>0</v>
      </c>
      <c r="BJ25" s="95">
        <f>VLOOKUP(BD25,CENY!$B$11:$M$2025,12,FALSE)</f>
        <v>357.13297</v>
      </c>
      <c r="BK25" s="95">
        <f t="shared" si="7"/>
        <v>0</v>
      </c>
    </row>
    <row r="26" spans="2:63" ht="14.4" customHeight="1" thickBot="1">
      <c r="B26" s="96"/>
      <c r="C26" s="96"/>
      <c r="D26" s="96"/>
      <c r="E26" s="96"/>
      <c r="F26" s="96"/>
      <c r="G26" s="96"/>
      <c r="H26" s="72"/>
      <c r="I26" s="72"/>
      <c r="J26" s="72"/>
      <c r="K26" s="72"/>
      <c r="L26" s="72"/>
      <c r="M26" s="72"/>
      <c r="N26" s="72" t="str">
        <f>verze!$E$20&amp;" "</f>
        <v xml:space="preserve">Jmenovitá délka: </v>
      </c>
      <c r="O26" s="535">
        <v>270</v>
      </c>
      <c r="P26" s="536"/>
      <c r="Q26" s="535">
        <v>300</v>
      </c>
      <c r="R26" s="536"/>
      <c r="S26" s="535">
        <v>350</v>
      </c>
      <c r="T26" s="536"/>
      <c r="U26" s="535">
        <v>400</v>
      </c>
      <c r="V26" s="536"/>
      <c r="W26" s="535">
        <v>450</v>
      </c>
      <c r="X26" s="536"/>
      <c r="Y26" s="537">
        <v>500</v>
      </c>
      <c r="Z26" s="538"/>
      <c r="AA26" s="535">
        <v>550</v>
      </c>
      <c r="AB26" s="536"/>
      <c r="AC26" s="535">
        <v>600</v>
      </c>
      <c r="AD26" s="536"/>
      <c r="AU26" s="319">
        <f>OBJ!B76</f>
        <v>9347507</v>
      </c>
      <c r="AV26" s="21" t="str">
        <f>VLOOKUP(AU26,CENY!$B$11:$G$1054,2,FALSE)</f>
        <v>AvanY-design ALprofil Hybrid na bok 500/ strieb.</v>
      </c>
      <c r="AW26" s="22">
        <f>VLOOKUP(AU26,CENY!$B$11:$G$1054,3,FALSE)</f>
        <v>200</v>
      </c>
      <c r="AX26" s="22"/>
      <c r="AY26" s="23">
        <f>IF(FORM!AM18=FORM!AU16,0,2*SUM(AY1:AY4)*(Y20+Y22+Y28))</f>
        <v>0</v>
      </c>
      <c r="AZ26" s="326">
        <f t="shared" si="1"/>
        <v>0</v>
      </c>
      <c r="BA26" s="95">
        <f>VLOOKUP(AU26,CENY!$B$11:$M$2025,12,FALSE)</f>
        <v>21.479700000000001</v>
      </c>
      <c r="BB26" s="95">
        <f t="shared" si="0"/>
        <v>0</v>
      </c>
      <c r="BD26" s="319">
        <f>OBJ!B132</f>
        <v>9255054</v>
      </c>
      <c r="BE26" s="21" t="str">
        <f>VLOOKUP(BD26,CENY!$B$11:$G$1054,2,FALSE)</f>
        <v>AvanY-bok ľavý /v187/h500/ strieborná</v>
      </c>
      <c r="BF26" s="22">
        <f>VLOOKUP(BD26,CENY!$B$11:$G$1054,3,FALSE)</f>
        <v>10</v>
      </c>
      <c r="BG26" s="22"/>
      <c r="BH26" s="23">
        <f>AY16</f>
        <v>0</v>
      </c>
      <c r="BI26" s="326">
        <f t="shared" si="6"/>
        <v>0</v>
      </c>
      <c r="BJ26" s="95">
        <f>VLOOKUP(BD26,CENY!$B$11:$M$2025,12,FALSE)</f>
        <v>363.36250999999999</v>
      </c>
      <c r="BK26" s="95">
        <f t="shared" si="7"/>
        <v>0</v>
      </c>
    </row>
    <row r="27" spans="2:63" ht="14.4" customHeight="1" thickBot="1">
      <c r="B27" s="530" t="s">
        <v>292</v>
      </c>
      <c r="C27" s="530"/>
      <c r="D27" s="530"/>
      <c r="E27" s="530"/>
      <c r="F27" s="530"/>
      <c r="G27" s="530"/>
      <c r="H27" s="531" t="str">
        <f>verze!E18</f>
        <v>plnovýsuv</v>
      </c>
      <c r="I27" s="531"/>
      <c r="J27" s="531"/>
      <c r="K27" s="531"/>
      <c r="L27" s="531"/>
      <c r="M27" s="532" t="s">
        <v>286</v>
      </c>
      <c r="N27" s="533"/>
      <c r="O27" s="569"/>
      <c r="P27" s="612"/>
      <c r="Q27" s="613"/>
      <c r="R27" s="612"/>
      <c r="S27" s="613"/>
      <c r="T27" s="570"/>
      <c r="U27" s="283"/>
      <c r="V27" s="284"/>
      <c r="W27" s="283"/>
      <c r="X27" s="284"/>
      <c r="Y27" s="283"/>
      <c r="Z27" s="284"/>
      <c r="AA27" s="283"/>
      <c r="AB27" s="284"/>
      <c r="AC27" s="283"/>
      <c r="AD27" s="284"/>
      <c r="AP27" s="233" t="s">
        <v>258</v>
      </c>
      <c r="AQ27" s="614">
        <v>0</v>
      </c>
      <c r="AR27" s="615"/>
      <c r="AU27" s="319">
        <f>OBJ!B77</f>
        <v>9347508</v>
      </c>
      <c r="AV27" s="21" t="str">
        <f>VLOOKUP(AU27,CENY!$B$11:$G$1054,2,FALSE)</f>
        <v>AvanY-design ALprofil Hybrid na bok 550/ strieb.</v>
      </c>
      <c r="AW27" s="22">
        <f>VLOOKUP(AU27,CENY!$B$11:$G$1054,3,FALSE)</f>
        <v>200</v>
      </c>
      <c r="AX27" s="22"/>
      <c r="AY27" s="23">
        <f>IF(FORM!AM18=FORM!AU16,0,2*SUM(AY1:AY4)*(AA20+AA22+AA28))</f>
        <v>0</v>
      </c>
      <c r="AZ27" s="326">
        <f t="shared" si="1"/>
        <v>0</v>
      </c>
      <c r="BA27" s="95">
        <f>VLOOKUP(AU27,CENY!$B$11:$M$2025,12,FALSE)</f>
        <v>21.84564</v>
      </c>
      <c r="BB27" s="95">
        <f t="shared" si="0"/>
        <v>0</v>
      </c>
      <c r="BD27" s="319">
        <f>OBJ!B133</f>
        <v>9255055</v>
      </c>
      <c r="BE27" s="21" t="str">
        <f>VLOOKUP(BD27,CENY!$B$11:$G$1054,2,FALSE)</f>
        <v>AvanY-bok pravý /v187/h500/ strieborná</v>
      </c>
      <c r="BF27" s="22">
        <f>VLOOKUP(BD27,CENY!$B$11:$G$1054,3,FALSE)</f>
        <v>10</v>
      </c>
      <c r="BG27" s="22"/>
      <c r="BH27" s="23">
        <f>AY16</f>
        <v>0</v>
      </c>
      <c r="BI27" s="326">
        <f t="shared" si="6"/>
        <v>0</v>
      </c>
      <c r="BJ27" s="95">
        <f>VLOOKUP(BD27,CENY!$B$11:$M$2025,12,FALSE)</f>
        <v>363.36250999999999</v>
      </c>
      <c r="BK27" s="95">
        <f t="shared" si="7"/>
        <v>0</v>
      </c>
    </row>
    <row r="28" spans="2:63" ht="14.4" customHeight="1" thickBot="1">
      <c r="B28" s="521" t="s">
        <v>372</v>
      </c>
      <c r="C28" s="521"/>
      <c r="D28" s="521"/>
      <c r="E28" s="521"/>
      <c r="F28" s="521"/>
      <c r="G28" s="521"/>
      <c r="H28" s="522" t="str">
        <f>verze!E18</f>
        <v>plnovýsuv</v>
      </c>
      <c r="I28" s="522"/>
      <c r="J28" s="522"/>
      <c r="K28" s="522"/>
      <c r="L28" s="522"/>
      <c r="M28" s="523" t="s">
        <v>1</v>
      </c>
      <c r="N28" s="524"/>
      <c r="O28" s="518"/>
      <c r="P28" s="519"/>
      <c r="Q28" s="518"/>
      <c r="R28" s="519"/>
      <c r="S28" s="518"/>
      <c r="T28" s="519"/>
      <c r="U28" s="518"/>
      <c r="V28" s="519"/>
      <c r="W28" s="516"/>
      <c r="X28" s="517"/>
      <c r="Y28" s="516"/>
      <c r="Z28" s="517"/>
      <c r="AA28" s="516"/>
      <c r="AB28" s="517"/>
      <c r="AC28" s="516"/>
      <c r="AD28" s="517"/>
      <c r="AU28" s="319">
        <f>OBJ!B78</f>
        <v>9347509</v>
      </c>
      <c r="AV28" s="21" t="str">
        <f>VLOOKUP(AU28,CENY!$B$11:$G$1054,2,FALSE)</f>
        <v>AvanY-design ALprofil Hybrid na bok 600/ strieb.</v>
      </c>
      <c r="AW28" s="22">
        <f>VLOOKUP(AU28,CENY!$B$11:$G$1054,3,FALSE)</f>
        <v>200</v>
      </c>
      <c r="AX28" s="22"/>
      <c r="AY28" s="23">
        <f>IF(FORM!AM18=FORM!AU16,0,2*SUM(AY1:AY4)*(AC20+AC22+AC28))</f>
        <v>0</v>
      </c>
      <c r="AZ28" s="326">
        <f t="shared" si="1"/>
        <v>0</v>
      </c>
      <c r="BA28" s="95">
        <f>VLOOKUP(AU28,CENY!$B$11:$M$2025,12,FALSE)</f>
        <v>22.79205</v>
      </c>
      <c r="BB28" s="95">
        <f t="shared" si="0"/>
        <v>0</v>
      </c>
      <c r="BD28" s="319">
        <f>OBJ!B134</f>
        <v>9255056</v>
      </c>
      <c r="BE28" s="21" t="str">
        <f>VLOOKUP(BD28,CENY!$B$11:$G$1054,2,FALSE)</f>
        <v>AvanY-bok ľavý /v187/h550/ strieborná</v>
      </c>
      <c r="BF28" s="22">
        <f>VLOOKUP(BD28,CENY!$B$11:$G$1054,3,FALSE)</f>
        <v>10</v>
      </c>
      <c r="BG28" s="22"/>
      <c r="BH28" s="23">
        <f>AY17</f>
        <v>0</v>
      </c>
      <c r="BI28" s="326">
        <f t="shared" si="6"/>
        <v>0</v>
      </c>
      <c r="BJ28" s="95">
        <f>VLOOKUP(BD28,CENY!$B$11:$M$2025,12,FALSE)</f>
        <v>379.68511999999998</v>
      </c>
      <c r="BK28" s="95">
        <f t="shared" si="7"/>
        <v>0</v>
      </c>
    </row>
    <row r="29" spans="2:63" ht="14.4" customHeight="1">
      <c r="AU29" s="319">
        <f>OBJ!B79</f>
        <v>9347510</v>
      </c>
      <c r="AV29" s="21" t="str">
        <f>VLOOKUP(AU29,CENY!$B$11:$G$1054,2,FALSE)</f>
        <v>AvanY-design ALprofil Hybrid na bok 650/ strieb.</v>
      </c>
      <c r="AW29" s="22">
        <f>VLOOKUP(AU29,CENY!$B$11:$G$1054,3,FALSE)</f>
        <v>200</v>
      </c>
      <c r="AX29" s="22"/>
      <c r="AY29" s="23">
        <f>IF(FORM!AM18=FORM!AU16,0,2*SUM(AY1:AY4)*AE22)</f>
        <v>0</v>
      </c>
      <c r="AZ29" s="326">
        <f t="shared" si="1"/>
        <v>0</v>
      </c>
      <c r="BA29" s="95">
        <f>VLOOKUP(AU29,CENY!$B$11:$M$2025,12,FALSE)</f>
        <v>24.580449999999999</v>
      </c>
      <c r="BB29" s="95">
        <f t="shared" si="0"/>
        <v>0</v>
      </c>
      <c r="BD29" s="319">
        <f>OBJ!B135</f>
        <v>9255057</v>
      </c>
      <c r="BE29" s="21" t="str">
        <f>VLOOKUP(BD29,CENY!$B$11:$G$1054,2,FALSE)</f>
        <v>AvanY-bok pravý /v187/h550/ strieborná</v>
      </c>
      <c r="BF29" s="22">
        <f>VLOOKUP(BD29,CENY!$B$11:$G$1054,3,FALSE)</f>
        <v>10</v>
      </c>
      <c r="BG29" s="22"/>
      <c r="BH29" s="23">
        <f>AY17</f>
        <v>0</v>
      </c>
      <c r="BI29" s="326">
        <f t="shared" si="6"/>
        <v>0</v>
      </c>
      <c r="BJ29" s="95">
        <f>VLOOKUP(BD29,CENY!$B$11:$M$2025,12,FALSE)</f>
        <v>379.68511999999998</v>
      </c>
      <c r="BK29" s="95">
        <f t="shared" si="7"/>
        <v>0</v>
      </c>
    </row>
    <row r="30" spans="2:63" ht="14.4" customHeight="1">
      <c r="B30" s="366" t="str">
        <f>verze!E201</f>
        <v>SiSy = tlumení Silent System</v>
      </c>
      <c r="AU30" s="319"/>
      <c r="AV30" s="21"/>
      <c r="AW30" s="22"/>
      <c r="AX30" s="22"/>
      <c r="AY30" s="23"/>
      <c r="AZ30" s="326" t="str">
        <f t="shared" si="1"/>
        <v/>
      </c>
      <c r="BA30" s="95"/>
      <c r="BB30" s="95" t="str">
        <f t="shared" si="0"/>
        <v/>
      </c>
      <c r="BD30" s="319">
        <f>OBJ!B136</f>
        <v>9255058</v>
      </c>
      <c r="BE30" s="21" t="str">
        <f>VLOOKUP(BD30,CENY!$B$11:$G$1054,2,FALSE)</f>
        <v>AvanY-bok ľavý /v187/h600/ strieborná</v>
      </c>
      <c r="BF30" s="22">
        <f>VLOOKUP(BD30,CENY!$B$11:$G$1054,3,FALSE)</f>
        <v>10</v>
      </c>
      <c r="BG30" s="22"/>
      <c r="BH30" s="23">
        <f>AY18</f>
        <v>0</v>
      </c>
      <c r="BI30" s="326">
        <f t="shared" si="6"/>
        <v>0</v>
      </c>
      <c r="BJ30" s="95">
        <f>VLOOKUP(BD30,CENY!$B$11:$M$2025,12,FALSE)</f>
        <v>389.34050000000002</v>
      </c>
      <c r="BK30" s="95">
        <f t="shared" si="7"/>
        <v>0</v>
      </c>
    </row>
    <row r="31" spans="2:63" ht="14.4" customHeight="1">
      <c r="AU31" s="319">
        <f>OBJ!B233</f>
        <v>9318154</v>
      </c>
      <c r="AV31" s="21" t="str">
        <f>VLOOKUP(AU31,CENY!$B$11:$G$1054,2,FALSE)</f>
        <v>Actro You(S) 270/SiSy 10kg; EB21</v>
      </c>
      <c r="AW31" s="22">
        <f>VLOOKUP(AU31,CENY!$B$11:$G$1054,3,FALSE)</f>
        <v>1</v>
      </c>
      <c r="AX31" s="362">
        <v>4</v>
      </c>
      <c r="AY31" s="68"/>
      <c r="AZ31" s="326" t="str">
        <f t="shared" si="1"/>
        <v/>
      </c>
      <c r="BA31" s="95">
        <f>VLOOKUP(AU31,CENY!$B$11:$M$2025,12,FALSE)</f>
        <v>657.45060999999998</v>
      </c>
      <c r="BB31" s="95">
        <f t="shared" si="0"/>
        <v>0</v>
      </c>
      <c r="BD31" s="319">
        <f>OBJ!B137</f>
        <v>9255059</v>
      </c>
      <c r="BE31" s="21" t="str">
        <f>VLOOKUP(BD31,CENY!$B$11:$G$1054,2,FALSE)</f>
        <v>AvanY-bok pravý /v187/h600/ strieborná</v>
      </c>
      <c r="BF31" s="22">
        <f>VLOOKUP(BD31,CENY!$B$11:$G$1054,3,FALSE)</f>
        <v>10</v>
      </c>
      <c r="BG31" s="22"/>
      <c r="BH31" s="23">
        <f>AY18</f>
        <v>0</v>
      </c>
      <c r="BI31" s="326">
        <f t="shared" si="6"/>
        <v>0</v>
      </c>
      <c r="BJ31" s="95">
        <f>VLOOKUP(BD31,CENY!$B$11:$M$2025,12,FALSE)</f>
        <v>389.34050000000002</v>
      </c>
      <c r="BK31" s="95">
        <f t="shared" si="7"/>
        <v>0</v>
      </c>
    </row>
    <row r="32" spans="2:63" ht="14.4" customHeight="1">
      <c r="AU32" s="319">
        <f>OBJ!B234</f>
        <v>9318156</v>
      </c>
      <c r="AV32" s="21" t="str">
        <f>VLOOKUP(AU32,CENY!$B$11:$G$1054,2,FALSE)</f>
        <v>Actro You(S) 300/SiSy 10kg; EB21</v>
      </c>
      <c r="AW32" s="22">
        <f>VLOOKUP(AU32,CENY!$B$11:$G$1054,3,FALSE)</f>
        <v>1</v>
      </c>
      <c r="AX32" s="362">
        <v>4</v>
      </c>
      <c r="AY32" s="68"/>
      <c r="AZ32" s="326" t="str">
        <f t="shared" si="1"/>
        <v/>
      </c>
      <c r="BA32" s="95">
        <f>VLOOKUP(AU32,CENY!$B$11:$M$2025,12,FALSE)</f>
        <v>657.45060999999998</v>
      </c>
      <c r="BB32" s="95">
        <f t="shared" si="0"/>
        <v>0</v>
      </c>
      <c r="BD32" s="319">
        <f>OBJ!B138</f>
        <v>9255060</v>
      </c>
      <c r="BE32" s="21" t="str">
        <f>VLOOKUP(BD32,CENY!$B$11:$G$1054,2,FALSE)</f>
        <v>AvanY-bok ľavý /v187/h650/ strieborná</v>
      </c>
      <c r="BF32" s="22">
        <f>VLOOKUP(BD32,CENY!$B$11:$G$1054,3,FALSE)</f>
        <v>10</v>
      </c>
      <c r="BG32" s="22"/>
      <c r="BH32" s="23">
        <f>AY19</f>
        <v>0</v>
      </c>
      <c r="BI32" s="326">
        <f t="shared" si="6"/>
        <v>0</v>
      </c>
      <c r="BJ32" s="95">
        <f>VLOOKUP(BD32,CENY!$B$11:$M$2025,12,FALSE)</f>
        <v>402.46422999999999</v>
      </c>
      <c r="BK32" s="95">
        <f t="shared" si="7"/>
        <v>0</v>
      </c>
    </row>
    <row r="33" spans="47:63" ht="14.4" customHeight="1">
      <c r="AU33" s="319">
        <f>OBJ!B235</f>
        <v>9318160</v>
      </c>
      <c r="AV33" s="21" t="str">
        <f>VLOOKUP(AU33,CENY!$B$11:$G$1054,2,FALSE)</f>
        <v>Actro You(S) 350/SiSy 10kg; EB21</v>
      </c>
      <c r="AW33" s="22">
        <f>VLOOKUP(AU33,CENY!$B$11:$G$1054,3,FALSE)</f>
        <v>1</v>
      </c>
      <c r="AX33" s="362">
        <v>4</v>
      </c>
      <c r="AY33" s="68"/>
      <c r="AZ33" s="326" t="str">
        <f t="shared" si="1"/>
        <v/>
      </c>
      <c r="BA33" s="95">
        <f>VLOOKUP(AU33,CENY!$B$11:$M$2025,12,FALSE)</f>
        <v>657.45060999999998</v>
      </c>
      <c r="BB33" s="95">
        <f t="shared" si="0"/>
        <v>0</v>
      </c>
      <c r="BD33" s="319">
        <f>OBJ!B139</f>
        <v>9255061</v>
      </c>
      <c r="BE33" s="21" t="str">
        <f>VLOOKUP(BD33,CENY!$B$11:$G$1054,2,FALSE)</f>
        <v>AvanY-bok pravý /v187/h650/ strieborná</v>
      </c>
      <c r="BF33" s="22">
        <f>VLOOKUP(BD33,CENY!$B$11:$G$1054,3,FALSE)</f>
        <v>10</v>
      </c>
      <c r="BG33" s="22"/>
      <c r="BH33" s="23">
        <f>AY19</f>
        <v>0</v>
      </c>
      <c r="BI33" s="326">
        <f t="shared" si="6"/>
        <v>0</v>
      </c>
      <c r="BJ33" s="95">
        <f>VLOOKUP(BD33,CENY!$B$11:$M$2025,12,FALSE)</f>
        <v>402.46422999999999</v>
      </c>
      <c r="BK33" s="95">
        <f t="shared" si="7"/>
        <v>0</v>
      </c>
    </row>
    <row r="34" spans="47:63" ht="14.4" customHeight="1">
      <c r="AU34" s="20"/>
      <c r="AV34" s="21"/>
      <c r="AW34" s="22"/>
      <c r="AX34" s="22"/>
      <c r="AY34" s="23"/>
      <c r="AZ34" s="326" t="str">
        <f t="shared" si="1"/>
        <v/>
      </c>
      <c r="BA34" s="95"/>
      <c r="BB34" s="95" t="str">
        <f t="shared" si="0"/>
        <v/>
      </c>
      <c r="BD34" s="319"/>
      <c r="BE34" s="21"/>
      <c r="BF34" s="22"/>
      <c r="BG34" s="22"/>
      <c r="BH34" s="23"/>
      <c r="BI34" s="326" t="str">
        <f t="shared" si="2"/>
        <v/>
      </c>
      <c r="BJ34" s="95"/>
      <c r="BK34" s="95" t="str">
        <f t="shared" si="3"/>
        <v/>
      </c>
    </row>
    <row r="35" spans="47:63" ht="14.4" customHeight="1">
      <c r="AU35" s="319">
        <f>OBJ!B243</f>
        <v>9318186</v>
      </c>
      <c r="AV35" s="21" t="str">
        <f>VLOOKUP(AU35,CENY!$B$11:$G$1054,2,FALSE)</f>
        <v>Actro You(L) 270/SiSy 40kg; EB21</v>
      </c>
      <c r="AW35" s="22">
        <f>VLOOKUP(AU35,CENY!$B$11:$G$1054,3,FALSE)</f>
        <v>1</v>
      </c>
      <c r="AX35" s="362">
        <v>8</v>
      </c>
      <c r="AY35" s="68"/>
      <c r="AZ35" s="326" t="str">
        <f t="shared" si="1"/>
        <v/>
      </c>
      <c r="BA35" s="95">
        <f>VLOOKUP(AU35,CENY!$B$11:$M$2025,12,FALSE)</f>
        <v>657.45060999999998</v>
      </c>
      <c r="BB35" s="95">
        <f t="shared" si="0"/>
        <v>0</v>
      </c>
      <c r="BD35" s="319">
        <f>OBJ!B69</f>
        <v>9255835</v>
      </c>
      <c r="BE35" s="21" t="str">
        <f>VLOOKUP(BD35,CENY!$B$11:$G$1054,2,FALSE)</f>
        <v>AvanY-príchytka čela k naskrutk./ v101</v>
      </c>
      <c r="BF35" s="22">
        <f>VLOOKUP(BD35,CENY!$B$11:$G$1054,3,FALSE)</f>
        <v>200</v>
      </c>
      <c r="BG35" s="22"/>
      <c r="BH35" s="23">
        <f>2*(AY2)*(SUM(W20:AD20)+SUM(W22:AF22)+SUM(W28:AD28))</f>
        <v>0</v>
      </c>
      <c r="BI35" s="326">
        <f t="shared" si="2"/>
        <v>0</v>
      </c>
      <c r="BJ35" s="95">
        <f>VLOOKUP(BD35,CENY!$B$11:$M$2025,12,FALSE)</f>
        <v>24.69378</v>
      </c>
      <c r="BK35" s="95">
        <f t="shared" si="3"/>
        <v>0</v>
      </c>
    </row>
    <row r="36" spans="47:63" ht="14.4" customHeight="1">
      <c r="AU36" s="319">
        <f>OBJ!B244</f>
        <v>9318187</v>
      </c>
      <c r="AV36" s="21" t="str">
        <f>VLOOKUP(AU36,CENY!$B$11:$G$1054,2,FALSE)</f>
        <v>Actro You(L) 300/SiSy 40kg; EB21</v>
      </c>
      <c r="AW36" s="22">
        <f>VLOOKUP(AU36,CENY!$B$11:$G$1054,3,FALSE)</f>
        <v>1</v>
      </c>
      <c r="AX36" s="362">
        <v>8</v>
      </c>
      <c r="AY36" s="68"/>
      <c r="AZ36" s="326" t="str">
        <f t="shared" si="1"/>
        <v/>
      </c>
      <c r="BA36" s="95">
        <f>VLOOKUP(AU36,CENY!$B$11:$M$2025,12,FALSE)</f>
        <v>657.45060999999998</v>
      </c>
      <c r="BB36" s="95">
        <f t="shared" si="0"/>
        <v>0</v>
      </c>
      <c r="BD36" s="319">
        <f>OBJ!B141</f>
        <v>9255838</v>
      </c>
      <c r="BE36" s="21" t="str">
        <f>VLOOKUP(BD36,CENY!$B$11:$G$1054,2,FALSE)</f>
        <v>AvanY-prích.čela k naskrutk./ v187-251</v>
      </c>
      <c r="BF36" s="22">
        <f>VLOOKUP(BD36,CENY!$B$11:$G$1054,3,FALSE)</f>
        <v>200</v>
      </c>
      <c r="BG36" s="22"/>
      <c r="BH36" s="23">
        <f>2*(AY4)*(SUM(W20:AD20)+SUM(W22:AF22)+SUM(W28:AD28))</f>
        <v>0</v>
      </c>
      <c r="BI36" s="326">
        <f t="shared" si="2"/>
        <v>0</v>
      </c>
      <c r="BJ36" s="95">
        <f>VLOOKUP(BD36,CENY!$B$11:$M$2025,12,FALSE)</f>
        <v>49.383429999999997</v>
      </c>
      <c r="BK36" s="95">
        <f t="shared" ref="BK36" si="8">IF(BJ36="","",BJ36*BH36)</f>
        <v>0</v>
      </c>
    </row>
    <row r="37" spans="47:63" ht="14.4" customHeight="1">
      <c r="AU37" s="319">
        <f>OBJ!B245</f>
        <v>9318188</v>
      </c>
      <c r="AV37" s="21" t="str">
        <f>VLOOKUP(AU37,CENY!$B$11:$G$1054,2,FALSE)</f>
        <v>Actro You(L) 350/SiSy 40kg; EB21</v>
      </c>
      <c r="AW37" s="22">
        <f>VLOOKUP(AU37,CENY!$B$11:$G$1054,3,FALSE)</f>
        <v>1</v>
      </c>
      <c r="AX37" s="362">
        <v>8</v>
      </c>
      <c r="AY37" s="68"/>
      <c r="AZ37" s="326" t="str">
        <f t="shared" si="1"/>
        <v/>
      </c>
      <c r="BA37" s="95">
        <f>VLOOKUP(AU37,CENY!$B$11:$M$2025,12,FALSE)</f>
        <v>657.45060999999998</v>
      </c>
      <c r="BB37" s="95">
        <f t="shared" si="0"/>
        <v>0</v>
      </c>
      <c r="BD37" s="320">
        <v>9255835</v>
      </c>
      <c r="BE37" s="321" t="str">
        <f>VLOOKUP(BD37,CENY!$B$11:$G$1054,2,FALSE)</f>
        <v>AvanY-príchytka čela k naskrutk./ v101</v>
      </c>
      <c r="BF37" s="22">
        <f>VLOOKUP(BD37,CENY!$B$11:$G$1054,3,FALSE)</f>
        <v>200</v>
      </c>
      <c r="BG37" s="22"/>
      <c r="BH37" s="68">
        <f>2*(AY1)*(SUM(W20:AD20)+SUM(W22:AF22)+SUM(W28:AD28))</f>
        <v>0</v>
      </c>
      <c r="BI37" s="326">
        <f t="shared" ref="BI37:BI38" si="9">IF(BH37="","",IF($AW$4=0,BH37,0))</f>
        <v>0</v>
      </c>
      <c r="BJ37" s="95">
        <f>VLOOKUP(BD37,CENY!$B$11:$M$2025,12,FALSE)</f>
        <v>24.69378</v>
      </c>
      <c r="BK37" s="95">
        <f t="shared" ref="BK37:BK38" si="10">IF(BJ37="","",BJ37*BH37)</f>
        <v>0</v>
      </c>
    </row>
    <row r="38" spans="47:63" ht="14.4" customHeight="1">
      <c r="AU38" s="319">
        <f>OBJ!B246</f>
        <v>9318190</v>
      </c>
      <c r="AV38" s="21" t="str">
        <f>VLOOKUP(AU38,CENY!$B$11:$G$1054,2,FALSE)</f>
        <v>Actro You(L) 400/SiSy 40kg; EB21</v>
      </c>
      <c r="AW38" s="22">
        <f>VLOOKUP(AU38,CENY!$B$11:$G$1054,3,FALSE)</f>
        <v>1</v>
      </c>
      <c r="AX38" s="362">
        <v>8</v>
      </c>
      <c r="AY38" s="68"/>
      <c r="AZ38" s="326" t="str">
        <f t="shared" si="1"/>
        <v/>
      </c>
      <c r="BA38" s="95">
        <f>VLOOKUP(AU38,CENY!$B$11:$M$2025,12,FALSE)</f>
        <v>664.73978</v>
      </c>
      <c r="BB38" s="95">
        <f t="shared" si="0"/>
        <v>0</v>
      </c>
      <c r="BD38" s="320">
        <v>9255838</v>
      </c>
      <c r="BE38" s="321" t="str">
        <f>VLOOKUP(BD38,CENY!$B$11:$G$1054,2,FALSE)</f>
        <v>AvanY-prích.čela k naskrutk./ v187-251</v>
      </c>
      <c r="BF38" s="22">
        <f>VLOOKUP(BD38,CENY!$B$11:$G$1054,3,FALSE)</f>
        <v>200</v>
      </c>
      <c r="BG38" s="22"/>
      <c r="BH38" s="68">
        <f>2*(AY3)*(SUM(W20:AD20)+SUM(W22:AF22)+SUM(W28:AD28))</f>
        <v>0</v>
      </c>
      <c r="BI38" s="326">
        <f t="shared" si="9"/>
        <v>0</v>
      </c>
      <c r="BJ38" s="95">
        <f>VLOOKUP(BD38,CENY!$B$11:$M$2025,12,FALSE)</f>
        <v>49.383429999999997</v>
      </c>
      <c r="BK38" s="95">
        <f t="shared" si="10"/>
        <v>0</v>
      </c>
    </row>
    <row r="39" spans="47:63" ht="14.4" customHeight="1">
      <c r="AU39" s="319">
        <f>OBJ!B247</f>
        <v>9318191</v>
      </c>
      <c r="AV39" s="21" t="str">
        <f>VLOOKUP(AU39,CENY!$B$11:$G$1054,2,FALSE)</f>
        <v>Actro You(L) 450/SiSy 40kg; EB21</v>
      </c>
      <c r="AW39" s="22">
        <f>VLOOKUP(AU39,CENY!$B$11:$G$1054,3,FALSE)</f>
        <v>1</v>
      </c>
      <c r="AX39" s="362">
        <v>10</v>
      </c>
      <c r="AY39" s="23">
        <f>IF((AY2+AY4)&gt;1,SUM(AY1:AY4)*W20-1*W20,SUM(AY1:AY4)*W20)</f>
        <v>0</v>
      </c>
      <c r="AZ39" s="326">
        <f t="shared" si="1"/>
        <v>0</v>
      </c>
      <c r="BA39" s="95">
        <f>VLOOKUP(AU39,CENY!$B$11:$M$2025,12,FALSE)</f>
        <v>671.97520999999995</v>
      </c>
      <c r="BB39" s="95">
        <f t="shared" si="0"/>
        <v>0</v>
      </c>
      <c r="BD39" s="319">
        <f>OBJ!B48</f>
        <v>9257702</v>
      </c>
      <c r="BE39" s="21" t="str">
        <f>VLOOKUP(BD39,CENY!$B$11:$G$1054,2,FALSE)</f>
        <v>AvanY-stabilizátor chrbáta</v>
      </c>
      <c r="BF39" s="22">
        <f>VLOOKUP(BD39,CENY!$B$11:$G$1054,3,FALSE)</f>
        <v>200</v>
      </c>
      <c r="BG39" s="22"/>
      <c r="BH39" s="23">
        <f>2*(SUM(AY1:AY4)*(SUM(W20:AD20)+SUM(W22:AF22)+SUM(W28:AD28)))</f>
        <v>0</v>
      </c>
      <c r="BI39" s="326">
        <f t="shared" si="2"/>
        <v>0</v>
      </c>
      <c r="BJ39" s="95">
        <f>VLOOKUP(BD39,CENY!$B$11:$M$2025,12,FALSE)</f>
        <v>15.54837</v>
      </c>
      <c r="BK39" s="95">
        <f t="shared" si="3"/>
        <v>0</v>
      </c>
    </row>
    <row r="40" spans="47:63" ht="14.4" customHeight="1">
      <c r="AU40" s="319">
        <f>OBJ!B248</f>
        <v>9318192</v>
      </c>
      <c r="AV40" s="21" t="str">
        <f>VLOOKUP(AU40,CENY!$B$11:$G$1054,2,FALSE)</f>
        <v>Actro You(L) 500/SiSy 40kg; EB21</v>
      </c>
      <c r="AW40" s="22">
        <f>VLOOKUP(AU40,CENY!$B$11:$G$1054,3,FALSE)</f>
        <v>1</v>
      </c>
      <c r="AX40" s="362">
        <v>10</v>
      </c>
      <c r="AY40" s="23">
        <f>IF((AY2+AY4)&gt;1,SUM(AY1:AY4)*Y20-1*Y20,SUM(AY1:AY4)*Y20)</f>
        <v>0</v>
      </c>
      <c r="AZ40" s="326">
        <f t="shared" si="1"/>
        <v>0</v>
      </c>
      <c r="BA40" s="95">
        <f>VLOOKUP(AU40,CENY!$B$11:$M$2025,12,FALSE)</f>
        <v>164.23333</v>
      </c>
      <c r="BB40" s="95">
        <f t="shared" si="0"/>
        <v>0</v>
      </c>
      <c r="BD40" s="20"/>
      <c r="BE40" s="21"/>
      <c r="BF40" s="22"/>
      <c r="BG40" s="22"/>
      <c r="BH40" s="23"/>
      <c r="BI40" s="326" t="str">
        <f t="shared" si="2"/>
        <v/>
      </c>
      <c r="BJ40" s="95"/>
      <c r="BK40" s="95" t="str">
        <f t="shared" si="3"/>
        <v/>
      </c>
    </row>
    <row r="41" spans="47:63" ht="14.4" customHeight="1">
      <c r="AU41" s="319">
        <f>OBJ!B249</f>
        <v>9318194</v>
      </c>
      <c r="AV41" s="21" t="str">
        <f>VLOOKUP(AU41,CENY!$B$11:$G$1054,2,FALSE)</f>
        <v>Actro You(L) 550/SiSy 40kg; EB21</v>
      </c>
      <c r="AW41" s="22">
        <f>VLOOKUP(AU41,CENY!$B$11:$G$1054,3,FALSE)</f>
        <v>1</v>
      </c>
      <c r="AX41" s="362">
        <v>10</v>
      </c>
      <c r="AY41" s="23">
        <f>IF((AY2+AY4)&gt;1,SUM(AY1:AY4)*AA20-1*AA20,SUM(AY1:AY4)*AA20)</f>
        <v>0</v>
      </c>
      <c r="AZ41" s="326">
        <f t="shared" si="1"/>
        <v>0</v>
      </c>
      <c r="BA41" s="95">
        <f>VLOOKUP(AU41,CENY!$B$11:$M$2025,12,FALSE)</f>
        <v>173.62268</v>
      </c>
      <c r="BB41" s="95">
        <f t="shared" si="0"/>
        <v>0</v>
      </c>
      <c r="BD41" s="319">
        <f>OBJ!B71</f>
        <v>9347502</v>
      </c>
      <c r="BE41" s="21" t="str">
        <f>VLOOKUP(BD41,CENY!$B$11:$G$1054,2,FALSE)</f>
        <v>AvanY-design ALprofil Hybrid na bok 270/ strieb.</v>
      </c>
      <c r="BF41" s="22">
        <f>VLOOKUP(BD41,CENY!$B$11:$G$1054,3,FALSE)</f>
        <v>200</v>
      </c>
      <c r="BG41" s="22"/>
      <c r="BH41" s="68"/>
      <c r="BI41" s="326" t="str">
        <f t="shared" si="2"/>
        <v/>
      </c>
      <c r="BJ41" s="95">
        <f>VLOOKUP(BD41,CENY!$B$11:$M$2025,12,FALSE)</f>
        <v>19.78839</v>
      </c>
      <c r="BK41" s="95">
        <f t="shared" si="3"/>
        <v>0</v>
      </c>
    </row>
    <row r="42" spans="47:63" ht="14.4" customHeight="1">
      <c r="AU42" s="319">
        <f>OBJ!B250</f>
        <v>9318196</v>
      </c>
      <c r="AV42" s="21" t="str">
        <f>VLOOKUP(AU42,CENY!$B$11:$G$1054,2,FALSE)</f>
        <v>Actro You(L) 600/SiSy 40kg; EB21</v>
      </c>
      <c r="AW42" s="22">
        <f>VLOOKUP(AU42,CENY!$B$11:$G$1054,3,FALSE)</f>
        <v>1</v>
      </c>
      <c r="AX42" s="362">
        <v>10</v>
      </c>
      <c r="AY42" s="23">
        <f>IF((AY2+AY4)&gt;1,SUM(AY1:AY4)*AC20-1*AC20,SUM(AY1:AY4)*AC20)</f>
        <v>0</v>
      </c>
      <c r="AZ42" s="326">
        <f t="shared" si="1"/>
        <v>0</v>
      </c>
      <c r="BA42" s="95">
        <f>VLOOKUP(AU42,CENY!$B$11:$M$2025,12,FALSE)</f>
        <v>726.70140000000004</v>
      </c>
      <c r="BB42" s="95">
        <f t="shared" si="0"/>
        <v>0</v>
      </c>
      <c r="BD42" s="319">
        <f>OBJ!B72</f>
        <v>9347503</v>
      </c>
      <c r="BE42" s="21" t="str">
        <f>VLOOKUP(BD42,CENY!$B$11:$G$1054,2,FALSE)</f>
        <v>AvanY-design ALprofil Hybrid na bok 300/ strieb.</v>
      </c>
      <c r="BF42" s="22">
        <f>VLOOKUP(BD42,CENY!$B$11:$G$1054,3,FALSE)</f>
        <v>200</v>
      </c>
      <c r="BG42" s="22"/>
      <c r="BH42" s="68"/>
      <c r="BI42" s="326" t="str">
        <f t="shared" si="2"/>
        <v/>
      </c>
      <c r="BJ42" s="95">
        <f>VLOOKUP(BD42,CENY!$B$11:$M$2025,12,FALSE)</f>
        <v>20.006769999999999</v>
      </c>
      <c r="BK42" s="95">
        <f t="shared" si="3"/>
        <v>0</v>
      </c>
    </row>
    <row r="43" spans="47:63" ht="14.4" customHeight="1">
      <c r="AU43" s="319"/>
      <c r="AV43" s="21"/>
      <c r="AW43" s="22"/>
      <c r="AX43" s="22"/>
      <c r="AY43" s="23"/>
      <c r="AZ43" s="326" t="str">
        <f t="shared" si="1"/>
        <v/>
      </c>
      <c r="BA43" s="95"/>
      <c r="BB43" s="95" t="str">
        <f t="shared" si="0"/>
        <v/>
      </c>
      <c r="BD43" s="319">
        <f>OBJ!B73</f>
        <v>9347504</v>
      </c>
      <c r="BE43" s="21" t="str">
        <f>VLOOKUP(BD43,CENY!$B$11:$G$1054,2,FALSE)</f>
        <v>AvanY-design ALprofil Hybrid na bok 350/ strieb.</v>
      </c>
      <c r="BF43" s="22">
        <f>VLOOKUP(BD43,CENY!$B$11:$G$1054,3,FALSE)</f>
        <v>200</v>
      </c>
      <c r="BG43" s="22"/>
      <c r="BH43" s="68"/>
      <c r="BI43" s="326" t="str">
        <f t="shared" si="2"/>
        <v/>
      </c>
      <c r="BJ43" s="95">
        <f>VLOOKUP(BD43,CENY!$B$11:$M$2025,12,FALSE)</f>
        <v>20.37642</v>
      </c>
      <c r="BK43" s="95">
        <f t="shared" si="3"/>
        <v>0</v>
      </c>
    </row>
    <row r="44" spans="47:63" ht="14.4" customHeight="1">
      <c r="AU44" s="319">
        <f>OBJ!B268</f>
        <v>9318215</v>
      </c>
      <c r="AV44" s="21" t="str">
        <f>VLOOKUP(AU44,CENY!$B$11:$G$1054,2,FALSE)</f>
        <v>Actro You(XL) 450/SiSy 70kg; EB21</v>
      </c>
      <c r="AW44" s="22">
        <f>VLOOKUP(AU44,CENY!$B$11:$G$1054,3,FALSE)</f>
        <v>1</v>
      </c>
      <c r="AX44" s="362">
        <v>10</v>
      </c>
      <c r="AY44" s="23">
        <f>IF((AY2+AY4)&lt;2,SUM(AY1:AY4)*W22,1*(W28+W20)+SUM(AY1:AY4)*W22)</f>
        <v>0</v>
      </c>
      <c r="AZ44" s="326">
        <f t="shared" si="1"/>
        <v>0</v>
      </c>
      <c r="BA44" s="95">
        <f>VLOOKUP(AU44,CENY!$B$11:$M$2025,12,FALSE)</f>
        <v>197.37184999999999</v>
      </c>
      <c r="BB44" s="95">
        <f t="shared" si="0"/>
        <v>0</v>
      </c>
      <c r="BD44" s="319">
        <f>OBJ!B74</f>
        <v>9347505</v>
      </c>
      <c r="BE44" s="21" t="str">
        <f>VLOOKUP(BD44,CENY!$B$11:$G$1054,2,FALSE)</f>
        <v>AvanY-design ALprofil Hybrid na bok 400/ strieb.</v>
      </c>
      <c r="BF44" s="22">
        <f>VLOOKUP(BD44,CENY!$B$11:$G$1054,3,FALSE)</f>
        <v>200</v>
      </c>
      <c r="BG44" s="22"/>
      <c r="BH44" s="68"/>
      <c r="BI44" s="326" t="str">
        <f t="shared" si="2"/>
        <v/>
      </c>
      <c r="BJ44" s="95">
        <f>VLOOKUP(BD44,CENY!$B$11:$M$2025,12,FALSE)</f>
        <v>20.742249999999999</v>
      </c>
      <c r="BK44" s="95">
        <f t="shared" si="3"/>
        <v>0</v>
      </c>
    </row>
    <row r="45" spans="47:63" ht="14.4" customHeight="1">
      <c r="AU45" s="319">
        <f>OBJ!B269</f>
        <v>9318216</v>
      </c>
      <c r="AV45" s="21" t="str">
        <f>VLOOKUP(AU45,CENY!$B$11:$G$1054,2,FALSE)</f>
        <v>Actro You(XL) 500/SiSy 70kg; EB21</v>
      </c>
      <c r="AW45" s="22">
        <f>VLOOKUP(AU45,CENY!$B$11:$G$1054,3,FALSE)</f>
        <v>1</v>
      </c>
      <c r="AX45" s="362">
        <v>10</v>
      </c>
      <c r="AY45" s="23">
        <f>IF((AY2+AY4)&lt;2,SUM(AY1:AY4)*Y22,1*(Y28+Y20)+SUM(AY1:AY4)*Y22)</f>
        <v>0</v>
      </c>
      <c r="AZ45" s="326">
        <f t="shared" si="1"/>
        <v>0</v>
      </c>
      <c r="BA45" s="95">
        <f>VLOOKUP(AU45,CENY!$B$11:$M$2025,12,FALSE)</f>
        <v>823.68502000000001</v>
      </c>
      <c r="BB45" s="95">
        <f t="shared" si="0"/>
        <v>0</v>
      </c>
      <c r="BD45" s="319">
        <f>OBJ!B75</f>
        <v>9347506</v>
      </c>
      <c r="BE45" s="21" t="str">
        <f>VLOOKUP(BD45,CENY!$B$11:$G$1054,2,FALSE)</f>
        <v>AvanY-design ALprofil Hybrid na bok 450/ strieb.</v>
      </c>
      <c r="BF45" s="22">
        <f>VLOOKUP(BD45,CENY!$B$11:$G$1054,3,FALSE)</f>
        <v>200</v>
      </c>
      <c r="BG45" s="22"/>
      <c r="BH45" s="23">
        <f>2*SUM(AY1:AY4)*(W20+W22+W28)</f>
        <v>0</v>
      </c>
      <c r="BI45" s="326">
        <f t="shared" si="2"/>
        <v>0</v>
      </c>
      <c r="BJ45" s="95">
        <f>VLOOKUP(BD45,CENY!$B$11:$M$2025,12,FALSE)</f>
        <v>21.111910000000002</v>
      </c>
      <c r="BK45" s="95">
        <f t="shared" si="3"/>
        <v>0</v>
      </c>
    </row>
    <row r="46" spans="47:63" ht="14.4" customHeight="1">
      <c r="AU46" s="319">
        <f>OBJ!B270</f>
        <v>9318217</v>
      </c>
      <c r="AV46" s="21" t="str">
        <f>VLOOKUP(AU46,CENY!$B$11:$G$1054,2,FALSE)</f>
        <v>Actro You(XL) 550/SiSy 70kg; EB21</v>
      </c>
      <c r="AW46" s="22">
        <f>VLOOKUP(AU46,CENY!$B$11:$G$1054,3,FALSE)</f>
        <v>1</v>
      </c>
      <c r="AX46" s="362">
        <v>10</v>
      </c>
      <c r="AY46" s="23">
        <f>IF((AY2+AY4)&lt;2,SUM(AY1:AY4)*AA22,1*(AA28+AA20)+SUM(AY1:AY4)*AA22)</f>
        <v>0</v>
      </c>
      <c r="AZ46" s="326">
        <f t="shared" si="1"/>
        <v>0</v>
      </c>
      <c r="BA46" s="95">
        <f>VLOOKUP(AU46,CENY!$B$11:$M$2025,12,FALSE)</f>
        <v>862.82307000000003</v>
      </c>
      <c r="BB46" s="95">
        <f t="shared" si="0"/>
        <v>0</v>
      </c>
      <c r="BD46" s="319">
        <f>OBJ!B76</f>
        <v>9347507</v>
      </c>
      <c r="BE46" s="21" t="str">
        <f>VLOOKUP(BD46,CENY!$B$11:$G$1054,2,FALSE)</f>
        <v>AvanY-design ALprofil Hybrid na bok 500/ strieb.</v>
      </c>
      <c r="BF46" s="22">
        <f>VLOOKUP(BD46,CENY!$B$11:$G$1054,3,FALSE)</f>
        <v>200</v>
      </c>
      <c r="BG46" s="22"/>
      <c r="BH46" s="23">
        <f>2*SUM(AY1:AY4)*(Y20+Y22+Y28)</f>
        <v>0</v>
      </c>
      <c r="BI46" s="326">
        <f t="shared" si="2"/>
        <v>0</v>
      </c>
      <c r="BJ46" s="95">
        <f>VLOOKUP(BD46,CENY!$B$11:$M$2025,12,FALSE)</f>
        <v>21.479700000000001</v>
      </c>
      <c r="BK46" s="95">
        <f t="shared" si="3"/>
        <v>0</v>
      </c>
    </row>
    <row r="47" spans="47:63" ht="14.4" customHeight="1">
      <c r="AU47" s="319">
        <f>OBJ!B271</f>
        <v>9318218</v>
      </c>
      <c r="AV47" s="21" t="str">
        <f>VLOOKUP(AU47,CENY!$B$11:$G$1054,2,FALSE)</f>
        <v>Actro You(XL) 600/SiSy 70kg; EB21</v>
      </c>
      <c r="AW47" s="22">
        <f>VLOOKUP(AU47,CENY!$B$11:$G$1054,3,FALSE)</f>
        <v>1</v>
      </c>
      <c r="AX47" s="362">
        <v>10</v>
      </c>
      <c r="AY47" s="23">
        <f>IF((AY2+AY4)&lt;2,SUM(AY1:AY4)*AC22,1*(AC28+AC20)+SUM(AY1:AY4)*AC22)</f>
        <v>0</v>
      </c>
      <c r="AZ47" s="326">
        <f t="shared" si="1"/>
        <v>0</v>
      </c>
      <c r="BA47" s="95">
        <f>VLOOKUP(AU47,CENY!$B$11:$M$2025,12,FALSE)</f>
        <v>941.88580999999999</v>
      </c>
      <c r="BB47" s="95">
        <f t="shared" si="0"/>
        <v>0</v>
      </c>
      <c r="BD47" s="319">
        <f>OBJ!B77</f>
        <v>9347508</v>
      </c>
      <c r="BE47" s="21" t="str">
        <f>VLOOKUP(BD47,CENY!$B$11:$G$1054,2,FALSE)</f>
        <v>AvanY-design ALprofil Hybrid na bok 550/ strieb.</v>
      </c>
      <c r="BF47" s="22">
        <f>VLOOKUP(BD47,CENY!$B$11:$G$1054,3,FALSE)</f>
        <v>200</v>
      </c>
      <c r="BG47" s="22"/>
      <c r="BH47" s="23">
        <f>2*SUM(AY1:AY4)*(AA20+AA22+AA28)</f>
        <v>0</v>
      </c>
      <c r="BI47" s="326">
        <f t="shared" si="2"/>
        <v>0</v>
      </c>
      <c r="BJ47" s="95">
        <f>VLOOKUP(BD47,CENY!$B$11:$M$2025,12,FALSE)</f>
        <v>21.84564</v>
      </c>
      <c r="BK47" s="95">
        <f t="shared" si="3"/>
        <v>0</v>
      </c>
    </row>
    <row r="48" spans="47:63" ht="14.4" customHeight="1">
      <c r="AU48" s="319">
        <f>OBJ!B272</f>
        <v>9318219</v>
      </c>
      <c r="AV48" s="21" t="str">
        <f>VLOOKUP(AU48,CENY!$B$11:$G$1054,2,FALSE)</f>
        <v>Actro You(XL) 650/SiSy 70kg; EB21</v>
      </c>
      <c r="AW48" s="22">
        <f>VLOOKUP(AU48,CENY!$B$11:$G$1054,3,FALSE)</f>
        <v>1</v>
      </c>
      <c r="AX48" s="362">
        <v>10</v>
      </c>
      <c r="AY48" s="23">
        <f>SUM(AY1:AY4)*AE22</f>
        <v>0</v>
      </c>
      <c r="AZ48" s="326">
        <f t="shared" si="1"/>
        <v>0</v>
      </c>
      <c r="BA48" s="95">
        <f>VLOOKUP(AU48,CENY!$B$11:$M$2025,12,FALSE)</f>
        <v>977.56314999999995</v>
      </c>
      <c r="BB48" s="95">
        <f t="shared" si="0"/>
        <v>0</v>
      </c>
      <c r="BD48" s="319">
        <f>OBJ!B78</f>
        <v>9347509</v>
      </c>
      <c r="BE48" s="21" t="str">
        <f>VLOOKUP(BD48,CENY!$B$11:$G$1054,2,FALSE)</f>
        <v>AvanY-design ALprofil Hybrid na bok 600/ strieb.</v>
      </c>
      <c r="BF48" s="22">
        <f>VLOOKUP(BD48,CENY!$B$11:$G$1054,3,FALSE)</f>
        <v>200</v>
      </c>
      <c r="BG48" s="22"/>
      <c r="BH48" s="23">
        <f>2*SUM(AY1:AY4)*(AC20+AC22+AC28)</f>
        <v>0</v>
      </c>
      <c r="BI48" s="326">
        <f t="shared" si="2"/>
        <v>0</v>
      </c>
      <c r="BJ48" s="95">
        <f>VLOOKUP(BD48,CENY!$B$11:$M$2025,12,FALSE)</f>
        <v>22.79205</v>
      </c>
      <c r="BK48" s="95">
        <f t="shared" si="3"/>
        <v>0</v>
      </c>
    </row>
    <row r="49" spans="47:63" ht="14.4" customHeight="1">
      <c r="AU49" s="319"/>
      <c r="AV49" s="21"/>
      <c r="AW49" s="22"/>
      <c r="AX49" s="22"/>
      <c r="AY49" s="23"/>
      <c r="AZ49" s="326" t="str">
        <f t="shared" si="1"/>
        <v/>
      </c>
      <c r="BA49" s="95"/>
      <c r="BB49" s="95" t="str">
        <f t="shared" si="0"/>
        <v/>
      </c>
      <c r="BD49" s="319">
        <f>OBJ!B79</f>
        <v>9347510</v>
      </c>
      <c r="BE49" s="21" t="str">
        <f>VLOOKUP(BD49,CENY!$B$11:$G$1054,2,FALSE)</f>
        <v>AvanY-design ALprofil Hybrid na bok 650/ strieb.</v>
      </c>
      <c r="BF49" s="22">
        <f>VLOOKUP(BD49,CENY!$B$11:$G$1054,3,FALSE)</f>
        <v>200</v>
      </c>
      <c r="BG49" s="22"/>
      <c r="BH49" s="23">
        <f>2*SUM(AY1:AY4)*AE22</f>
        <v>0</v>
      </c>
      <c r="BI49" s="326">
        <f t="shared" si="2"/>
        <v>0</v>
      </c>
      <c r="BJ49" s="95">
        <f>VLOOKUP(BD49,CENY!$B$11:$M$2025,12,FALSE)</f>
        <v>24.580449999999999</v>
      </c>
      <c r="BK49" s="95">
        <f t="shared" si="3"/>
        <v>0</v>
      </c>
    </row>
    <row r="50" spans="47:63" ht="14.4" customHeight="1">
      <c r="AU50" s="319">
        <f>OBJ!B284</f>
        <v>9257890</v>
      </c>
      <c r="AV50" s="21" t="str">
        <f>VLOOKUP(AU50,CENY!$B$11:$G$1054,2,FALSE)</f>
        <v>Actro You - Push to open Silent; &lt;10kg</v>
      </c>
      <c r="AW50" s="22">
        <f>VLOOKUP(AU50,CENY!$B$11:$G$1054,3,FALSE)</f>
        <v>1</v>
      </c>
      <c r="AX50" s="22"/>
      <c r="AY50" s="68"/>
      <c r="AZ50" s="326" t="str">
        <f t="shared" si="1"/>
        <v/>
      </c>
      <c r="BA50" s="95">
        <f>VLOOKUP(AU50,CENY!$B$11:$M$2025,12,FALSE)</f>
        <v>481.81412999999998</v>
      </c>
      <c r="BB50" s="95">
        <f t="shared" si="0"/>
        <v>0</v>
      </c>
      <c r="BD50" s="319"/>
      <c r="BE50" s="21"/>
      <c r="BF50" s="22"/>
      <c r="BG50" s="22"/>
      <c r="BH50" s="23"/>
      <c r="BI50" s="326" t="str">
        <f t="shared" si="2"/>
        <v/>
      </c>
      <c r="BJ50" s="95"/>
      <c r="BK50" s="95" t="str">
        <f t="shared" si="3"/>
        <v/>
      </c>
    </row>
    <row r="51" spans="47:63" ht="14.4" customHeight="1">
      <c r="AU51" s="319">
        <f>OBJ!B285</f>
        <v>9257891</v>
      </c>
      <c r="AV51" s="21" t="str">
        <f>VLOOKUP(AU51,CENY!$B$11:$G$1054,2,FALSE)</f>
        <v>Actro You - Push to open Silent; 8-20kg</v>
      </c>
      <c r="AW51" s="22">
        <f>VLOOKUP(AU51,CENY!$B$11:$G$1054,3,FALSE)</f>
        <v>1</v>
      </c>
      <c r="AX51" s="22"/>
      <c r="AY51" s="68"/>
      <c r="AZ51" s="326" t="str">
        <f t="shared" si="1"/>
        <v/>
      </c>
      <c r="BA51" s="95">
        <f>VLOOKUP(AU51,CENY!$B$11:$M$2025,12,FALSE)</f>
        <v>481.81412999999998</v>
      </c>
      <c r="BB51" s="95">
        <f t="shared" si="0"/>
        <v>0</v>
      </c>
      <c r="BD51" s="319">
        <f>OBJ!B236</f>
        <v>9318145</v>
      </c>
      <c r="BE51" s="21" t="str">
        <f>VLOOKUP(BD51,CENY!$B$11:$G$1054,2,FALSE)</f>
        <v>Actro You(S) 270/SiSy 10kg; EB21; ľavý</v>
      </c>
      <c r="BF51" s="22">
        <f>VLOOKUP(BD51,CENY!$B$11:$G$1054,3,FALSE)</f>
        <v>10</v>
      </c>
      <c r="BG51" s="22"/>
      <c r="BH51" s="68"/>
      <c r="BI51" s="326" t="str">
        <f t="shared" si="2"/>
        <v/>
      </c>
      <c r="BJ51" s="95">
        <f>VLOOKUP(BD51,CENY!$B$11:$M$2025,12,FALSE)</f>
        <v>298.88173999999998</v>
      </c>
      <c r="BK51" s="95">
        <f t="shared" si="3"/>
        <v>0</v>
      </c>
    </row>
    <row r="52" spans="47:63" ht="14.4" customHeight="1">
      <c r="AU52" s="319">
        <f>OBJ!B286</f>
        <v>9257892</v>
      </c>
      <c r="AV52" s="21" t="str">
        <f>VLOOKUP(AU52,CENY!$B$11:$G$1054,2,FALSE)</f>
        <v>Actro You - Push to open Silent; 10-40kg</v>
      </c>
      <c r="AW52" s="22">
        <f>VLOOKUP(AU52,CENY!$B$11:$G$1054,3,FALSE)</f>
        <v>1</v>
      </c>
      <c r="AX52" s="22"/>
      <c r="AY52" s="68"/>
      <c r="AZ52" s="326" t="str">
        <f t="shared" si="1"/>
        <v/>
      </c>
      <c r="BA52" s="95">
        <f>VLOOKUP(AU52,CENY!$B$11:$M$2025,12,FALSE)</f>
        <v>481.81412999999998</v>
      </c>
      <c r="BB52" s="95">
        <f t="shared" si="0"/>
        <v>0</v>
      </c>
      <c r="BD52" s="319">
        <f>OBJ!B237</f>
        <v>9318146</v>
      </c>
      <c r="BE52" s="21" t="str">
        <f>VLOOKUP(BD52,CENY!$B$11:$G$1054,2,FALSE)</f>
        <v>Actro You(S) 270/SiSy 10kg; EB21; pravý</v>
      </c>
      <c r="BF52" s="22">
        <f>VLOOKUP(BD52,CENY!$B$11:$G$1054,3,FALSE)</f>
        <v>10</v>
      </c>
      <c r="BG52" s="22"/>
      <c r="BH52" s="68"/>
      <c r="BI52" s="326" t="str">
        <f t="shared" si="2"/>
        <v/>
      </c>
      <c r="BJ52" s="95">
        <f>VLOOKUP(BD52,CENY!$B$11:$M$2025,12,FALSE)</f>
        <v>298.88173999999998</v>
      </c>
      <c r="BK52" s="95">
        <f t="shared" si="3"/>
        <v>0</v>
      </c>
    </row>
    <row r="53" spans="47:63" ht="14.4" customHeight="1">
      <c r="AU53" s="319">
        <f>OBJ!B287</f>
        <v>9257893</v>
      </c>
      <c r="AV53" s="21" t="str">
        <f>VLOOKUP(AU53,CENY!$B$11:$G$1054,2,FALSE)</f>
        <v>Actro You - Push to open Silent; 20-70kg</v>
      </c>
      <c r="AW53" s="22">
        <f>VLOOKUP(AU53,CENY!$B$11:$G$1054,3,FALSE)</f>
        <v>1</v>
      </c>
      <c r="AX53" s="22"/>
      <c r="AY53" s="68"/>
      <c r="AZ53" s="326" t="str">
        <f t="shared" si="1"/>
        <v/>
      </c>
      <c r="BA53" s="95">
        <f>VLOOKUP(AU53,CENY!$B$11:$M$2025,12,FALSE)</f>
        <v>481.81412999999998</v>
      </c>
      <c r="BB53" s="95">
        <f t="shared" si="0"/>
        <v>0</v>
      </c>
      <c r="BD53" s="319">
        <f>OBJ!B238</f>
        <v>9318147</v>
      </c>
      <c r="BE53" s="21" t="str">
        <f>VLOOKUP(BD53,CENY!$B$11:$G$1054,2,FALSE)</f>
        <v>Actro You(S) 300/SiSy 10kg; EB21; ľavý</v>
      </c>
      <c r="BF53" s="22">
        <f>VLOOKUP(BD53,CENY!$B$11:$G$1054,3,FALSE)</f>
        <v>10</v>
      </c>
      <c r="BG53" s="22"/>
      <c r="BH53" s="68"/>
      <c r="BI53" s="326" t="str">
        <f t="shared" si="2"/>
        <v/>
      </c>
      <c r="BJ53" s="95">
        <f>VLOOKUP(BD53,CENY!$B$11:$M$2025,12,FALSE)</f>
        <v>298.88173999999998</v>
      </c>
      <c r="BK53" s="95">
        <f t="shared" si="3"/>
        <v>0</v>
      </c>
    </row>
    <row r="54" spans="47:63" ht="14.4" customHeight="1">
      <c r="AU54" s="319">
        <f>OBJ!B288</f>
        <v>9236718</v>
      </c>
      <c r="AV54" s="21" t="str">
        <f>VLOOKUP(AU54,CENY!$B$11:$G$1054,2,FALSE)</f>
        <v>Push to open Synchro / tyč 2.000 mm</v>
      </c>
      <c r="AW54" s="22">
        <f>VLOOKUP(AU54,CENY!$B$11:$G$1054,3,FALSE)</f>
        <v>100</v>
      </c>
      <c r="AX54" s="22"/>
      <c r="AY54" s="68"/>
      <c r="AZ54" s="326" t="str">
        <f t="shared" si="1"/>
        <v/>
      </c>
      <c r="BA54" s="95">
        <f>VLOOKUP(AU54,CENY!$B$11:$M$2025,12,FALSE)</f>
        <v>182.03933000000001</v>
      </c>
      <c r="BB54" s="95">
        <f t="shared" si="0"/>
        <v>0</v>
      </c>
      <c r="BD54" s="319">
        <f>OBJ!B239</f>
        <v>9318148</v>
      </c>
      <c r="BE54" s="21" t="str">
        <f>VLOOKUP(BD54,CENY!$B$11:$G$1054,2,FALSE)</f>
        <v>Actro You(S) 300/SiSy 10kg; EB21; pravý</v>
      </c>
      <c r="BF54" s="22">
        <f>VLOOKUP(BD54,CENY!$B$11:$G$1054,3,FALSE)</f>
        <v>10</v>
      </c>
      <c r="BG54" s="22"/>
      <c r="BH54" s="68"/>
      <c r="BI54" s="326" t="str">
        <f t="shared" si="2"/>
        <v/>
      </c>
      <c r="BJ54" s="95">
        <f>VLOOKUP(BD54,CENY!$B$11:$M$2025,12,FALSE)</f>
        <v>298.88173999999998</v>
      </c>
      <c r="BK54" s="95">
        <f t="shared" si="3"/>
        <v>0</v>
      </c>
    </row>
    <row r="55" spans="47:63" ht="14.4" customHeight="1">
      <c r="AU55" s="319"/>
      <c r="AV55" s="21"/>
      <c r="AW55" s="22"/>
      <c r="AX55" s="22"/>
      <c r="AY55" s="23"/>
      <c r="AZ55" s="326" t="str">
        <f t="shared" si="1"/>
        <v/>
      </c>
      <c r="BA55" s="95"/>
      <c r="BB55" s="95" t="str">
        <f t="shared" si="0"/>
        <v/>
      </c>
      <c r="BD55" s="319">
        <f>OBJ!B240</f>
        <v>9318149</v>
      </c>
      <c r="BE55" s="21" t="str">
        <f>VLOOKUP(BD55,CENY!$B$11:$G$1054,2,FALSE)</f>
        <v>Actro You(S) 350/SiSy 10kg; EB21; ľavý</v>
      </c>
      <c r="BF55" s="22">
        <f>VLOOKUP(BD55,CENY!$B$11:$G$1054,3,FALSE)</f>
        <v>10</v>
      </c>
      <c r="BG55" s="22"/>
      <c r="BH55" s="68"/>
      <c r="BI55" s="326" t="str">
        <f t="shared" si="2"/>
        <v/>
      </c>
      <c r="BJ55" s="95">
        <f>VLOOKUP(BD55,CENY!$B$11:$M$2025,12,FALSE)</f>
        <v>298.88173999999998</v>
      </c>
      <c r="BK55" s="95">
        <f t="shared" si="3"/>
        <v>0</v>
      </c>
    </row>
    <row r="56" spans="47:63" ht="14.4" customHeight="1">
      <c r="AU56" s="319">
        <f>OBJ!B294</f>
        <v>9256953</v>
      </c>
      <c r="AV56" s="21" t="str">
        <f>VLOOKUP(AU56,CENY!$B$11:$G$1054,2,FALSE)</f>
        <v>Quadro You(S) 270/SiSy 10kg; EB21</v>
      </c>
      <c r="AW56" s="22">
        <f>VLOOKUP(AU56,CENY!$B$11:$G$1054,3,FALSE)</f>
        <v>1</v>
      </c>
      <c r="AX56" s="362">
        <v>4</v>
      </c>
      <c r="AY56" s="68"/>
      <c r="AZ56" s="326" t="str">
        <f t="shared" si="1"/>
        <v/>
      </c>
      <c r="BA56" s="95">
        <f>VLOOKUP(AU56,CENY!$B$11:$M$2025,12,FALSE)</f>
        <v>478.60127999999997</v>
      </c>
      <c r="BB56" s="95">
        <f t="shared" si="0"/>
        <v>0</v>
      </c>
      <c r="BD56" s="319">
        <f>OBJ!B241</f>
        <v>9318150</v>
      </c>
      <c r="BE56" s="21" t="str">
        <f>VLOOKUP(BD56,CENY!$B$11:$G$1054,2,FALSE)</f>
        <v>Actro You(S) 350/SiSy 10kg; EB21; pravý</v>
      </c>
      <c r="BF56" s="22">
        <f>VLOOKUP(BD56,CENY!$B$11:$G$1054,3,FALSE)</f>
        <v>10</v>
      </c>
      <c r="BG56" s="22"/>
      <c r="BH56" s="68"/>
      <c r="BI56" s="326" t="str">
        <f t="shared" si="2"/>
        <v/>
      </c>
      <c r="BJ56" s="95">
        <f>VLOOKUP(BD56,CENY!$B$11:$M$2025,12,FALSE)</f>
        <v>298.88173999999998</v>
      </c>
      <c r="BK56" s="95">
        <f t="shared" si="3"/>
        <v>0</v>
      </c>
    </row>
    <row r="57" spans="47:63" ht="14.4" customHeight="1">
      <c r="AU57" s="319">
        <f>OBJ!B295</f>
        <v>9256954</v>
      </c>
      <c r="AV57" s="21" t="str">
        <f>VLOOKUP(AU57,CENY!$B$11:$G$1054,2,FALSE)</f>
        <v>Quadro You(S) 300/SiSy 10kg; EB21</v>
      </c>
      <c r="AW57" s="22">
        <f>VLOOKUP(AU57,CENY!$B$11:$G$1054,3,FALSE)</f>
        <v>1</v>
      </c>
      <c r="AX57" s="362">
        <v>4</v>
      </c>
      <c r="AY57" s="68"/>
      <c r="AZ57" s="326" t="str">
        <f t="shared" si="1"/>
        <v/>
      </c>
      <c r="BA57" s="95">
        <f>VLOOKUP(AU57,CENY!$B$11:$M$2025,12,FALSE)</f>
        <v>479.57344999999998</v>
      </c>
      <c r="BB57" s="95">
        <f t="shared" si="0"/>
        <v>0</v>
      </c>
      <c r="BD57" s="319"/>
      <c r="BE57" s="21"/>
      <c r="BF57" s="22"/>
      <c r="BG57" s="22"/>
      <c r="BH57" s="23"/>
      <c r="BI57" s="326" t="str">
        <f t="shared" si="2"/>
        <v/>
      </c>
      <c r="BJ57" s="95"/>
      <c r="BK57" s="95" t="str">
        <f t="shared" si="3"/>
        <v/>
      </c>
    </row>
    <row r="58" spans="47:63" ht="14.4" customHeight="1">
      <c r="AU58" s="319">
        <f>OBJ!B296</f>
        <v>9256956</v>
      </c>
      <c r="AV58" s="21" t="str">
        <f>VLOOKUP(AU58,CENY!$B$11:$G$1054,2,FALSE)</f>
        <v>Quadro You(S) 350/SiSy 10kg; EB21</v>
      </c>
      <c r="AW58" s="22">
        <f>VLOOKUP(AU58,CENY!$B$11:$G$1054,3,FALSE)</f>
        <v>1</v>
      </c>
      <c r="AX58" s="362">
        <v>4</v>
      </c>
      <c r="AY58" s="68"/>
      <c r="AZ58" s="326" t="str">
        <f t="shared" si="1"/>
        <v/>
      </c>
      <c r="BA58" s="95">
        <f>VLOOKUP(AU58,CENY!$B$11:$M$2025,12,FALSE)</f>
        <v>489.27857</v>
      </c>
      <c r="BB58" s="95">
        <f t="shared" si="0"/>
        <v>0</v>
      </c>
      <c r="BD58" s="319">
        <f>OBJ!B251</f>
        <v>9318167</v>
      </c>
      <c r="BE58" s="21" t="str">
        <f>VLOOKUP(BD58,CENY!$B$11:$G$1054,2,FALSE)</f>
        <v>Actro You(L) 270/SiSy 40kg; EB21; ľavý</v>
      </c>
      <c r="BF58" s="22">
        <f>VLOOKUP(BD58,CENY!$B$11:$G$1054,3,FALSE)</f>
        <v>10</v>
      </c>
      <c r="BG58" s="22"/>
      <c r="BH58" s="68"/>
      <c r="BI58" s="326" t="str">
        <f t="shared" si="2"/>
        <v/>
      </c>
      <c r="BJ58" s="95">
        <f>VLOOKUP(BD58,CENY!$B$11:$M$2025,12,FALSE)</f>
        <v>298.88173999999998</v>
      </c>
      <c r="BK58" s="95">
        <f t="shared" si="3"/>
        <v>0</v>
      </c>
    </row>
    <row r="59" spans="47:63" ht="14.4" customHeight="1">
      <c r="AU59" s="319"/>
      <c r="AV59" s="21"/>
      <c r="AW59" s="22"/>
      <c r="AX59" s="22"/>
      <c r="AY59" s="23"/>
      <c r="AZ59" s="326" t="str">
        <f t="shared" si="1"/>
        <v/>
      </c>
      <c r="BA59" s="95"/>
      <c r="BB59" s="95" t="str">
        <f t="shared" si="0"/>
        <v/>
      </c>
      <c r="BD59" s="319">
        <f>OBJ!B252</f>
        <v>9318170</v>
      </c>
      <c r="BE59" s="21" t="str">
        <f>VLOOKUP(BD59,CENY!$B$11:$G$1054,2,FALSE)</f>
        <v>Actro You(L) 270/SiSy 40kg; EB21; pravý</v>
      </c>
      <c r="BF59" s="22">
        <f>VLOOKUP(BD59,CENY!$B$11:$G$1054,3,FALSE)</f>
        <v>10</v>
      </c>
      <c r="BG59" s="22"/>
      <c r="BH59" s="68"/>
      <c r="BI59" s="326" t="str">
        <f t="shared" si="2"/>
        <v/>
      </c>
      <c r="BJ59" s="95">
        <f>VLOOKUP(BD59,CENY!$B$11:$M$2025,12,FALSE)</f>
        <v>298.88173999999998</v>
      </c>
      <c r="BK59" s="95">
        <f t="shared" si="3"/>
        <v>0</v>
      </c>
    </row>
    <row r="60" spans="47:63" ht="14.4" customHeight="1">
      <c r="AU60" s="319">
        <f>OBJ!B304</f>
        <v>9256883</v>
      </c>
      <c r="AV60" s="21" t="str">
        <f>VLOOKUP(AU60,CENY!$B$11:$G$1054,2,FALSE)</f>
        <v>Quadro You(M) 270/SiSy 20kg; EB21</v>
      </c>
      <c r="AW60" s="22">
        <f>VLOOKUP(AU60,CENY!$B$11:$G$1054,3,FALSE)</f>
        <v>1</v>
      </c>
      <c r="AX60" s="362">
        <v>8</v>
      </c>
      <c r="AY60" s="68"/>
      <c r="AZ60" s="326" t="str">
        <f t="shared" si="1"/>
        <v/>
      </c>
      <c r="BA60" s="95">
        <f>VLOOKUP(AU60,CENY!$B$11:$M$2025,12,FALSE)</f>
        <v>478.60127999999997</v>
      </c>
      <c r="BB60" s="95">
        <f t="shared" si="0"/>
        <v>0</v>
      </c>
      <c r="BD60" s="319">
        <f>OBJ!B253</f>
        <v>9318171</v>
      </c>
      <c r="BE60" s="21" t="str">
        <f>VLOOKUP(BD60,CENY!$B$11:$G$1054,2,FALSE)</f>
        <v>Actro You(L) 300/SiSy 40kg; EB21; ľavý</v>
      </c>
      <c r="BF60" s="22">
        <f>VLOOKUP(BD60,CENY!$B$11:$G$1054,3,FALSE)</f>
        <v>10</v>
      </c>
      <c r="BG60" s="22"/>
      <c r="BH60" s="68"/>
      <c r="BI60" s="326" t="str">
        <f t="shared" si="2"/>
        <v/>
      </c>
      <c r="BJ60" s="95">
        <f>VLOOKUP(BD60,CENY!$B$11:$M$2025,12,FALSE)</f>
        <v>298.88173999999998</v>
      </c>
      <c r="BK60" s="95">
        <f t="shared" si="3"/>
        <v>0</v>
      </c>
    </row>
    <row r="61" spans="47:63" ht="14.4" customHeight="1">
      <c r="AU61" s="319">
        <f>OBJ!B305</f>
        <v>9256884</v>
      </c>
      <c r="AV61" s="21" t="str">
        <f>VLOOKUP(AU61,CENY!$B$11:$G$1054,2,FALSE)</f>
        <v>Quadro You(M) 300/SiSy 20kg; EB21</v>
      </c>
      <c r="AW61" s="22">
        <f>VLOOKUP(AU61,CENY!$B$11:$G$1054,3,FALSE)</f>
        <v>1</v>
      </c>
      <c r="AX61" s="362">
        <v>8</v>
      </c>
      <c r="AY61" s="68"/>
      <c r="AZ61" s="326" t="str">
        <f t="shared" si="1"/>
        <v/>
      </c>
      <c r="BA61" s="95">
        <f>VLOOKUP(AU61,CENY!$B$11:$M$2025,12,FALSE)</f>
        <v>479.57344999999998</v>
      </c>
      <c r="BB61" s="95">
        <f t="shared" si="0"/>
        <v>0</v>
      </c>
      <c r="BD61" s="319">
        <f>OBJ!B254</f>
        <v>9318172</v>
      </c>
      <c r="BE61" s="21" t="str">
        <f>VLOOKUP(BD61,CENY!$B$11:$G$1054,2,FALSE)</f>
        <v>Actro You(L) 300/SiSy 40kg; EB21; pravý</v>
      </c>
      <c r="BF61" s="22">
        <f>VLOOKUP(BD61,CENY!$B$11:$G$1054,3,FALSE)</f>
        <v>10</v>
      </c>
      <c r="BG61" s="22"/>
      <c r="BH61" s="68"/>
      <c r="BI61" s="326" t="str">
        <f t="shared" si="2"/>
        <v/>
      </c>
      <c r="BJ61" s="95">
        <f>VLOOKUP(BD61,CENY!$B$11:$M$2025,12,FALSE)</f>
        <v>298.88173999999998</v>
      </c>
      <c r="BK61" s="95">
        <f t="shared" si="3"/>
        <v>0</v>
      </c>
    </row>
    <row r="62" spans="47:63" ht="14.4" customHeight="1">
      <c r="AU62" s="319">
        <f>OBJ!B306</f>
        <v>9256886</v>
      </c>
      <c r="AV62" s="21" t="str">
        <f>VLOOKUP(AU62,CENY!$B$11:$G$1054,2,FALSE)</f>
        <v>Quadro You(M) 350/SiSy 25kg; EB21</v>
      </c>
      <c r="AW62" s="22">
        <f>VLOOKUP(AU62,CENY!$B$11:$G$1054,3,FALSE)</f>
        <v>1</v>
      </c>
      <c r="AX62" s="362">
        <v>8</v>
      </c>
      <c r="AY62" s="68"/>
      <c r="AZ62" s="326" t="str">
        <f t="shared" si="1"/>
        <v/>
      </c>
      <c r="BA62" s="95">
        <f>VLOOKUP(AU62,CENY!$B$11:$M$2025,12,FALSE)</f>
        <v>489.27857</v>
      </c>
      <c r="BB62" s="95">
        <f t="shared" si="0"/>
        <v>0</v>
      </c>
      <c r="BD62" s="319">
        <f>OBJ!B255</f>
        <v>9318173</v>
      </c>
      <c r="BE62" s="21" t="str">
        <f>VLOOKUP(BD62,CENY!$B$11:$G$1054,2,FALSE)</f>
        <v>Actro You(L) 350/SiSy 40kg; EB21; ľavý</v>
      </c>
      <c r="BF62" s="22">
        <f>VLOOKUP(BD62,CENY!$B$11:$G$1054,3,FALSE)</f>
        <v>10</v>
      </c>
      <c r="BG62" s="22"/>
      <c r="BH62" s="68"/>
      <c r="BI62" s="326" t="str">
        <f t="shared" si="2"/>
        <v/>
      </c>
      <c r="BJ62" s="95">
        <f>VLOOKUP(BD62,CENY!$B$11:$M$2025,12,FALSE)</f>
        <v>298.88173999999998</v>
      </c>
      <c r="BK62" s="95">
        <f t="shared" si="3"/>
        <v>0</v>
      </c>
    </row>
    <row r="63" spans="47:63" ht="14.4" customHeight="1">
      <c r="AU63" s="319">
        <f>OBJ!B307</f>
        <v>9256888</v>
      </c>
      <c r="AV63" s="21" t="str">
        <f>VLOOKUP(AU63,CENY!$B$11:$G$1054,2,FALSE)</f>
        <v>Quadro You(M) 400/SiSy 30kg; EB21</v>
      </c>
      <c r="AW63" s="22">
        <f>VLOOKUP(AU63,CENY!$B$11:$G$1054,3,FALSE)</f>
        <v>1</v>
      </c>
      <c r="AX63" s="362">
        <v>8</v>
      </c>
      <c r="AY63" s="68"/>
      <c r="AZ63" s="326" t="str">
        <f t="shared" si="1"/>
        <v/>
      </c>
      <c r="BA63" s="95">
        <f>VLOOKUP(AU63,CENY!$B$11:$M$2025,12,FALSE)</f>
        <v>498.97861999999998</v>
      </c>
      <c r="BB63" s="95">
        <f t="shared" si="0"/>
        <v>0</v>
      </c>
      <c r="BD63" s="319">
        <f>OBJ!B256</f>
        <v>9318174</v>
      </c>
      <c r="BE63" s="21" t="str">
        <f>VLOOKUP(BD63,CENY!$B$11:$G$1054,2,FALSE)</f>
        <v>Actro You(L) 350/SiSy 40kg; EB21; pravý</v>
      </c>
      <c r="BF63" s="22">
        <f>VLOOKUP(BD63,CENY!$B$11:$G$1054,3,FALSE)</f>
        <v>10</v>
      </c>
      <c r="BG63" s="22"/>
      <c r="BH63" s="68"/>
      <c r="BI63" s="326" t="str">
        <f t="shared" si="2"/>
        <v/>
      </c>
      <c r="BJ63" s="95">
        <f>VLOOKUP(BD63,CENY!$B$11:$M$2025,12,FALSE)</f>
        <v>298.88173999999998</v>
      </c>
      <c r="BK63" s="95">
        <f t="shared" si="3"/>
        <v>0</v>
      </c>
    </row>
    <row r="64" spans="47:63" ht="14.4" customHeight="1">
      <c r="AU64" s="319">
        <f>OBJ!B308</f>
        <v>9256890</v>
      </c>
      <c r="AV64" s="21" t="str">
        <f>VLOOKUP(AU64,CENY!$B$11:$G$1054,2,FALSE)</f>
        <v>Quadro You(M) 450/SiSy 30kg; EB21</v>
      </c>
      <c r="AW64" s="22">
        <f>VLOOKUP(AU64,CENY!$B$11:$G$1054,3,FALSE)</f>
        <v>1</v>
      </c>
      <c r="AX64" s="362">
        <v>8</v>
      </c>
      <c r="AY64" s="23">
        <f>IF((AY2+AY4)&gt;1,SUM(AY1:AY4)*W28-1*W28,SUM(AY1:AY4)*W28)</f>
        <v>0</v>
      </c>
      <c r="AZ64" s="326">
        <f t="shared" si="1"/>
        <v>0</v>
      </c>
      <c r="BA64" s="95">
        <f>VLOOKUP(AU64,CENY!$B$11:$M$2025,12,FALSE)</f>
        <v>122.98869999999999</v>
      </c>
      <c r="BB64" s="95">
        <f t="shared" si="0"/>
        <v>0</v>
      </c>
      <c r="BD64" s="319">
        <f>OBJ!B257</f>
        <v>9318175</v>
      </c>
      <c r="BE64" s="21" t="str">
        <f>VLOOKUP(BD64,CENY!$B$11:$G$1054,2,FALSE)</f>
        <v>Actro You(L) 400/SiSy 40kg; EB21; ľavý</v>
      </c>
      <c r="BF64" s="22">
        <f>VLOOKUP(BD64,CENY!$B$11:$G$1054,3,FALSE)</f>
        <v>10</v>
      </c>
      <c r="BG64" s="22"/>
      <c r="BH64" s="68"/>
      <c r="BI64" s="326" t="str">
        <f t="shared" si="2"/>
        <v/>
      </c>
      <c r="BJ64" s="95">
        <f>VLOOKUP(BD64,CENY!$B$11:$M$2025,12,FALSE)</f>
        <v>302.69770999999997</v>
      </c>
      <c r="BK64" s="95">
        <f t="shared" si="3"/>
        <v>0</v>
      </c>
    </row>
    <row r="65" spans="1:63" ht="14.4" customHeight="1">
      <c r="AU65" s="319">
        <f>OBJ!B309</f>
        <v>9256892</v>
      </c>
      <c r="AV65" s="21" t="str">
        <f>VLOOKUP(AU65,CENY!$B$11:$G$1054,2,FALSE)</f>
        <v>Quadro You(M) 500/SiSy 30kg; EB21</v>
      </c>
      <c r="AW65" s="22">
        <f>VLOOKUP(AU65,CENY!$B$11:$G$1054,3,FALSE)</f>
        <v>1</v>
      </c>
      <c r="AX65" s="362">
        <v>8</v>
      </c>
      <c r="AY65" s="23">
        <f>IF((AY2+AY4)&gt;1,SUM(AY1:AY4)*Y28-1*Y28,SUM(AY1:AY4)*Y28)</f>
        <v>0</v>
      </c>
      <c r="AZ65" s="326">
        <f t="shared" si="1"/>
        <v>0</v>
      </c>
      <c r="BA65" s="95">
        <f>VLOOKUP(AU65,CENY!$B$11:$M$2025,12,FALSE)</f>
        <v>504.59701000000001</v>
      </c>
      <c r="BB65" s="95">
        <f t="shared" si="0"/>
        <v>0</v>
      </c>
      <c r="BD65" s="319">
        <f>OBJ!B258</f>
        <v>9318176</v>
      </c>
      <c r="BE65" s="21" t="str">
        <f>VLOOKUP(BD65,CENY!$B$11:$G$1054,2,FALSE)</f>
        <v>Actro You(L) 400/SiSy 40kg; EB21; pravý</v>
      </c>
      <c r="BF65" s="22">
        <f>VLOOKUP(BD65,CENY!$B$11:$G$1054,3,FALSE)</f>
        <v>10</v>
      </c>
      <c r="BG65" s="22"/>
      <c r="BH65" s="68"/>
      <c r="BI65" s="326" t="str">
        <f t="shared" si="2"/>
        <v/>
      </c>
      <c r="BJ65" s="95">
        <f>VLOOKUP(BD65,CENY!$B$11:$M$2025,12,FALSE)</f>
        <v>302.69770999999997</v>
      </c>
      <c r="BK65" s="95">
        <f t="shared" si="3"/>
        <v>0</v>
      </c>
    </row>
    <row r="66" spans="1:63" ht="12.9" customHeight="1" thickBot="1">
      <c r="A66" s="577"/>
      <c r="AU66" s="319">
        <f>OBJ!B310</f>
        <v>9256894</v>
      </c>
      <c r="AV66" s="21" t="str">
        <f>VLOOKUP(AU66,CENY!$B$11:$G$1054,2,FALSE)</f>
        <v>Quadro You(M) 550/SiSy 30kg; EB21</v>
      </c>
      <c r="AW66" s="22">
        <f>VLOOKUP(AU66,CENY!$B$11:$G$1054,3,FALSE)</f>
        <v>1</v>
      </c>
      <c r="AX66" s="362">
        <v>8</v>
      </c>
      <c r="AY66" s="23">
        <f>IF((AY2+AY4)&gt;1,SUM(AY1:AY4)*AA28-1*AA28,SUM(AY1:AY4)*AA28)</f>
        <v>0</v>
      </c>
      <c r="AZ66" s="326">
        <f t="shared" si="1"/>
        <v>0</v>
      </c>
      <c r="BA66" s="95">
        <f>VLOOKUP(AU66,CENY!$B$11:$M$2025,12,FALSE)</f>
        <v>127.68105</v>
      </c>
      <c r="BB66" s="95">
        <f t="shared" si="0"/>
        <v>0</v>
      </c>
      <c r="BD66" s="319">
        <f>OBJ!B259</f>
        <v>9318177</v>
      </c>
      <c r="BE66" s="21" t="str">
        <f>VLOOKUP(BD66,CENY!$B$11:$G$1054,2,FALSE)</f>
        <v>Actro You(L) 450/SiSy 40kg; EB21; ľavý</v>
      </c>
      <c r="BF66" s="22">
        <f>VLOOKUP(BD66,CENY!$B$11:$G$1054,3,FALSE)</f>
        <v>10</v>
      </c>
      <c r="BG66" s="22"/>
      <c r="BH66" s="23">
        <f>AY39</f>
        <v>0</v>
      </c>
      <c r="BI66" s="326">
        <f t="shared" si="2"/>
        <v>0</v>
      </c>
      <c r="BJ66" s="95">
        <f>VLOOKUP(BD66,CENY!$B$11:$M$2025,12,FALSE)</f>
        <v>298.33073999999999</v>
      </c>
      <c r="BK66" s="95">
        <f t="shared" si="3"/>
        <v>0</v>
      </c>
    </row>
    <row r="67" spans="1:63" ht="23.1" customHeight="1" thickBot="1">
      <c r="A67" s="577"/>
      <c r="B67" s="484" t="str">
        <f>verze!E13</f>
        <v>&lt;&lt;  zpět</v>
      </c>
      <c r="C67" s="485"/>
      <c r="D67" s="485"/>
      <c r="E67" s="486"/>
      <c r="G67" s="513" t="str">
        <f>verze!E6</f>
        <v xml:space="preserve"> Úvod</v>
      </c>
      <c r="H67" s="514"/>
      <c r="I67" s="514"/>
      <c r="J67" s="514"/>
      <c r="K67" s="515"/>
      <c r="O67" s="513" t="str">
        <f>verze!E7</f>
        <v xml:space="preserve"> Výběr zásuvek</v>
      </c>
      <c r="P67" s="514"/>
      <c r="Q67" s="514"/>
      <c r="R67" s="514"/>
      <c r="S67" s="515"/>
      <c r="U67" s="513" t="str">
        <f>verze!E8</f>
        <v xml:space="preserve"> </v>
      </c>
      <c r="V67" s="514"/>
      <c r="W67" s="514"/>
      <c r="X67" s="514"/>
      <c r="Y67" s="515"/>
      <c r="AA67" s="513" t="str">
        <f>verze!E9</f>
        <v xml:space="preserve"> </v>
      </c>
      <c r="AB67" s="514"/>
      <c r="AC67" s="514"/>
      <c r="AD67" s="514"/>
      <c r="AE67" s="515"/>
      <c r="AI67" s="513" t="str">
        <f>verze!E10</f>
        <v xml:space="preserve"> Objednávka</v>
      </c>
      <c r="AJ67" s="514"/>
      <c r="AK67" s="514"/>
      <c r="AL67" s="514"/>
      <c r="AM67" s="515"/>
      <c r="AO67" s="475" t="str">
        <f>verze!E14</f>
        <v>vpřed  &gt;&gt;</v>
      </c>
      <c r="AP67" s="476"/>
      <c r="AQ67" s="476"/>
      <c r="AR67" s="477"/>
      <c r="AU67" s="319">
        <f>OBJ!B311</f>
        <v>9256896</v>
      </c>
      <c r="AV67" s="21" t="str">
        <f>VLOOKUP(AU67,CENY!$B$11:$G$1054,2,FALSE)</f>
        <v>Quadro You(M) 600/SiSy 25kg; EB21</v>
      </c>
      <c r="AW67" s="22">
        <f>VLOOKUP(AU67,CENY!$B$11:$G$1054,3,FALSE)</f>
        <v>1</v>
      </c>
      <c r="AX67" s="362">
        <v>8</v>
      </c>
      <c r="AY67" s="23">
        <f>IF((AY2+AY4)&gt;1,SUM(AY1:AY4)*AC28-1*AC28,SUM(AY1:AY4)*AC28)</f>
        <v>0</v>
      </c>
      <c r="AZ67" s="326">
        <f t="shared" si="1"/>
        <v>0</v>
      </c>
      <c r="BA67" s="95">
        <f>VLOOKUP(AU67,CENY!$B$11:$M$2025,12,FALSE)</f>
        <v>537.79395</v>
      </c>
      <c r="BB67" s="95">
        <f t="shared" si="0"/>
        <v>0</v>
      </c>
      <c r="BD67" s="319">
        <f>OBJ!B260</f>
        <v>9318178</v>
      </c>
      <c r="BE67" s="21" t="str">
        <f>VLOOKUP(BD67,CENY!$B$11:$G$1054,2,FALSE)</f>
        <v>Actro You(L) 450/SiSy 40kg; EB21; pravý</v>
      </c>
      <c r="BF67" s="22">
        <f>VLOOKUP(BD67,CENY!$B$11:$G$1054,3,FALSE)</f>
        <v>10</v>
      </c>
      <c r="BG67" s="22"/>
      <c r="BH67" s="23">
        <f>AY39</f>
        <v>0</v>
      </c>
      <c r="BI67" s="326">
        <f t="shared" si="2"/>
        <v>0</v>
      </c>
      <c r="BJ67" s="95">
        <f>VLOOKUP(BD67,CENY!$B$11:$M$2025,12,FALSE)</f>
        <v>298.33073999999999</v>
      </c>
      <c r="BK67" s="95">
        <f t="shared" si="3"/>
        <v>0</v>
      </c>
    </row>
    <row r="68" spans="1:63" ht="12.9" customHeight="1">
      <c r="A68" s="577"/>
      <c r="AU68" s="319"/>
      <c r="AV68" s="21"/>
      <c r="AW68" s="22"/>
      <c r="AX68" s="22"/>
      <c r="AY68" s="23"/>
      <c r="AZ68" s="326" t="str">
        <f t="shared" si="1"/>
        <v/>
      </c>
      <c r="BA68" s="95"/>
      <c r="BB68" s="95" t="str">
        <f t="shared" si="0"/>
        <v/>
      </c>
      <c r="BD68" s="319">
        <f>OBJ!B261</f>
        <v>9318179</v>
      </c>
      <c r="BE68" s="21" t="str">
        <f>VLOOKUP(BD68,CENY!$B$11:$G$1054,2,FALSE)</f>
        <v>Actro You(L) 500/SiSy 40kg; EB21; ľavý</v>
      </c>
      <c r="BF68" s="22">
        <f>VLOOKUP(BD68,CENY!$B$11:$G$1054,3,FALSE)</f>
        <v>10</v>
      </c>
      <c r="BG68" s="22"/>
      <c r="BH68" s="23">
        <f>AY40</f>
        <v>0</v>
      </c>
      <c r="BI68" s="326">
        <f t="shared" si="2"/>
        <v>0</v>
      </c>
      <c r="BJ68" s="95">
        <f>VLOOKUP(BD68,CENY!$B$11:$M$2025,12,FALSE)</f>
        <v>296.00905</v>
      </c>
      <c r="BK68" s="95">
        <f t="shared" si="3"/>
        <v>0</v>
      </c>
    </row>
    <row r="69" spans="1:63" ht="23.1" customHeight="1">
      <c r="A69" s="577"/>
      <c r="B69" s="93" t="str">
        <f>B4</f>
        <v>Zásuvka AVANTECH YOU  101 / 187</v>
      </c>
      <c r="C69" s="89"/>
      <c r="D69" s="89"/>
      <c r="E69" s="89"/>
      <c r="F69" s="89"/>
      <c r="G69" s="89"/>
      <c r="H69" s="89"/>
      <c r="I69" s="89"/>
      <c r="J69" s="89"/>
      <c r="K69" s="89"/>
      <c r="L69" s="89"/>
      <c r="M69" s="89"/>
      <c r="N69" s="89"/>
      <c r="O69" s="89"/>
      <c r="P69" s="89"/>
      <c r="Q69" s="89"/>
      <c r="R69" s="89"/>
      <c r="S69" s="89"/>
      <c r="T69" s="89"/>
      <c r="U69" s="89"/>
      <c r="V69" s="89"/>
      <c r="W69" s="89"/>
      <c r="X69" s="89"/>
      <c r="Y69" s="89"/>
      <c r="Z69" s="89"/>
      <c r="AA69" s="89"/>
      <c r="AB69" s="89"/>
      <c r="AC69" s="89"/>
      <c r="AD69" s="89"/>
      <c r="AE69" s="89"/>
      <c r="AF69" s="89"/>
      <c r="AG69" s="89"/>
      <c r="AH69" s="89"/>
      <c r="AI69" s="89"/>
      <c r="AJ69" s="89"/>
      <c r="AK69" s="89"/>
      <c r="AL69" s="89"/>
      <c r="AM69" s="89"/>
      <c r="AN69" s="89"/>
      <c r="AO69" s="89"/>
      <c r="AP69" s="89"/>
      <c r="AQ69" s="89"/>
      <c r="AR69" s="89"/>
      <c r="AU69" s="319">
        <f>OBJ!B329</f>
        <v>9257894</v>
      </c>
      <c r="AV69" s="21" t="str">
        <f>VLOOKUP(AU69,CENY!$B$11:$G$1054,2,FALSE)</f>
        <v>Quadro You - Push to open Silent; &lt;10kg</v>
      </c>
      <c r="AW69" s="22">
        <f>VLOOKUP(AU69,CENY!$B$11:$G$1054,3,FALSE)</f>
        <v>1</v>
      </c>
      <c r="AX69" s="22"/>
      <c r="AY69" s="68"/>
      <c r="AZ69" s="326" t="str">
        <f t="shared" si="1"/>
        <v/>
      </c>
      <c r="BA69" s="95">
        <f>VLOOKUP(AU69,CENY!$B$11:$M$2025,12,FALSE)</f>
        <v>480.50922000000003</v>
      </c>
      <c r="BB69" s="95">
        <f t="shared" si="0"/>
        <v>0</v>
      </c>
      <c r="BD69" s="319">
        <f>OBJ!B262</f>
        <v>9318180</v>
      </c>
      <c r="BE69" s="21" t="str">
        <f>VLOOKUP(BD69,CENY!$B$11:$G$1054,2,FALSE)</f>
        <v>Actro You(L) 500/SiSy 40kg; EB21; pravý</v>
      </c>
      <c r="BF69" s="22">
        <f>VLOOKUP(BD69,CENY!$B$11:$G$1054,3,FALSE)</f>
        <v>10</v>
      </c>
      <c r="BG69" s="22"/>
      <c r="BH69" s="23">
        <f>AY40</f>
        <v>0</v>
      </c>
      <c r="BI69" s="326">
        <f t="shared" si="2"/>
        <v>0</v>
      </c>
      <c r="BJ69" s="95">
        <f>VLOOKUP(BD69,CENY!$B$11:$M$2025,12,FALSE)</f>
        <v>296.00905</v>
      </c>
      <c r="BK69" s="95">
        <f t="shared" si="3"/>
        <v>0</v>
      </c>
    </row>
    <row r="70" spans="1:63" ht="14.4" customHeight="1">
      <c r="A70" s="577"/>
      <c r="AU70" s="319">
        <f>OBJ!B330</f>
        <v>9257895</v>
      </c>
      <c r="AV70" s="21" t="str">
        <f>VLOOKUP(AU70,CENY!$B$11:$G$1054,2,FALSE)</f>
        <v>Quadro You - Push to open Silent; 8-20kg</v>
      </c>
      <c r="AW70" s="22">
        <f>VLOOKUP(AU70,CENY!$B$11:$G$1054,3,FALSE)</f>
        <v>1</v>
      </c>
      <c r="AX70" s="22"/>
      <c r="AY70" s="68"/>
      <c r="AZ70" s="326" t="str">
        <f t="shared" si="1"/>
        <v/>
      </c>
      <c r="BA70" s="95">
        <f>VLOOKUP(AU70,CENY!$B$11:$M$2025,12,FALSE)</f>
        <v>480.50922000000003</v>
      </c>
      <c r="BB70" s="95">
        <f t="shared" si="0"/>
        <v>0</v>
      </c>
      <c r="BD70" s="319">
        <f>OBJ!B263</f>
        <v>9318181</v>
      </c>
      <c r="BE70" s="21" t="str">
        <f>VLOOKUP(BD70,CENY!$B$11:$G$1054,2,FALSE)</f>
        <v>Actro You(L) 550/SiSy 40kg; EB21; ľavý</v>
      </c>
      <c r="BF70" s="22">
        <f>VLOOKUP(BD70,CENY!$B$11:$G$1054,3,FALSE)</f>
        <v>10</v>
      </c>
      <c r="BG70" s="22"/>
      <c r="BH70" s="23">
        <f>AY41</f>
        <v>0</v>
      </c>
      <c r="BI70" s="326">
        <f t="shared" si="2"/>
        <v>0</v>
      </c>
      <c r="BJ70" s="95">
        <f>VLOOKUP(BD70,CENY!$B$11:$M$2025,12,FALSE)</f>
        <v>321.83461999999997</v>
      </c>
      <c r="BK70" s="95">
        <f t="shared" si="3"/>
        <v>0</v>
      </c>
    </row>
    <row r="71" spans="1:63" ht="14.4" customHeight="1">
      <c r="A71" s="577"/>
      <c r="AU71" s="319">
        <f>OBJ!B331</f>
        <v>9257896</v>
      </c>
      <c r="AV71" s="21" t="str">
        <f>VLOOKUP(AU71,CENY!$B$11:$G$1054,2,FALSE)</f>
        <v>Quadro You - Push to open Silent; 10-30kg</v>
      </c>
      <c r="AW71" s="22">
        <f>VLOOKUP(AU71,CENY!$B$11:$G$1054,3,FALSE)</f>
        <v>1</v>
      </c>
      <c r="AX71" s="22"/>
      <c r="AY71" s="68"/>
      <c r="AZ71" s="326" t="str">
        <f t="shared" si="1"/>
        <v/>
      </c>
      <c r="BA71" s="95">
        <f>VLOOKUP(AU71,CENY!$B$11:$M$2025,12,FALSE)</f>
        <v>480.50922000000003</v>
      </c>
      <c r="BB71" s="95">
        <f t="shared" si="0"/>
        <v>0</v>
      </c>
      <c r="BD71" s="319">
        <f>OBJ!B264</f>
        <v>9318182</v>
      </c>
      <c r="BE71" s="21" t="str">
        <f>VLOOKUP(BD71,CENY!$B$11:$G$1054,2,FALSE)</f>
        <v>Actro You(L) 550/SiSy 40kg; EB21; pravý</v>
      </c>
      <c r="BF71" s="22">
        <f>VLOOKUP(BD71,CENY!$B$11:$G$1054,3,FALSE)</f>
        <v>10</v>
      </c>
      <c r="BG71" s="22"/>
      <c r="BH71" s="23">
        <f>AY41</f>
        <v>0</v>
      </c>
      <c r="BI71" s="326">
        <f t="shared" si="2"/>
        <v>0</v>
      </c>
      <c r="BJ71" s="95">
        <f>VLOOKUP(BD71,CENY!$B$11:$M$2025,12,FALSE)</f>
        <v>321.83461999999997</v>
      </c>
      <c r="BK71" s="95">
        <f t="shared" si="3"/>
        <v>0</v>
      </c>
    </row>
    <row r="72" spans="1:63" ht="14.4" customHeight="1">
      <c r="A72" s="577"/>
      <c r="AU72" s="319"/>
      <c r="AV72" s="21"/>
      <c r="AW72" s="22"/>
      <c r="AX72" s="22"/>
      <c r="AY72" s="23"/>
      <c r="AZ72" s="326" t="str">
        <f t="shared" si="1"/>
        <v/>
      </c>
      <c r="BA72" s="95"/>
      <c r="BB72" s="95" t="str">
        <f t="shared" si="0"/>
        <v/>
      </c>
      <c r="BD72" s="319">
        <f>OBJ!B265</f>
        <v>9318183</v>
      </c>
      <c r="BE72" s="21" t="str">
        <f>VLOOKUP(BD72,CENY!$B$11:$G$1054,2,FALSE)</f>
        <v>Actro You(L) 600/SiSy 40kg; EB21; ľavý</v>
      </c>
      <c r="BF72" s="22">
        <f>VLOOKUP(BD72,CENY!$B$11:$G$1054,3,FALSE)</f>
        <v>10</v>
      </c>
      <c r="BG72" s="22"/>
      <c r="BH72" s="23">
        <f>AY42</f>
        <v>0</v>
      </c>
      <c r="BI72" s="326">
        <f t="shared" si="2"/>
        <v>0</v>
      </c>
      <c r="BJ72" s="95">
        <f>VLOOKUP(BD72,CENY!$B$11:$M$2025,12,FALSE)</f>
        <v>326.21229</v>
      </c>
      <c r="BK72" s="95">
        <f t="shared" si="3"/>
        <v>0</v>
      </c>
    </row>
    <row r="73" spans="1:63" ht="14.4" customHeight="1">
      <c r="A73" s="577"/>
      <c r="AU73" s="319">
        <f>OBJ!B333</f>
        <v>9256928</v>
      </c>
      <c r="AV73" s="21" t="str">
        <f>VLOOKUP(AU73,CENY!$B$11:$G$1054,2,FALSE)</f>
        <v>Quadro You(M) 270/P2O 20kg; EB21</v>
      </c>
      <c r="AW73" s="22">
        <f>VLOOKUP(AU73,CENY!$B$11:$G$1054,3,FALSE)</f>
        <v>1</v>
      </c>
      <c r="AX73" s="362">
        <v>8</v>
      </c>
      <c r="AY73" s="68"/>
      <c r="AZ73" s="326" t="str">
        <f t="shared" si="1"/>
        <v/>
      </c>
      <c r="BA73" s="95">
        <f>VLOOKUP(AU73,CENY!$B$11:$M$2025,12,FALSE)</f>
        <v>536.84897999999998</v>
      </c>
      <c r="BB73" s="95">
        <f t="shared" si="0"/>
        <v>0</v>
      </c>
      <c r="BD73" s="319">
        <f>OBJ!B266</f>
        <v>9318184</v>
      </c>
      <c r="BE73" s="21" t="str">
        <f>VLOOKUP(BD73,CENY!$B$11:$G$1054,2,FALSE)</f>
        <v>Actro You(L) 600/SiSy 40kg; EB21; pravý</v>
      </c>
      <c r="BF73" s="22">
        <f>VLOOKUP(BD73,CENY!$B$11:$G$1054,3,FALSE)</f>
        <v>10</v>
      </c>
      <c r="BG73" s="22"/>
      <c r="BH73" s="23">
        <f>AY42</f>
        <v>0</v>
      </c>
      <c r="BI73" s="326">
        <f t="shared" si="2"/>
        <v>0</v>
      </c>
      <c r="BJ73" s="95">
        <f>VLOOKUP(BD73,CENY!$B$11:$M$2025,12,FALSE)</f>
        <v>326.21229</v>
      </c>
      <c r="BK73" s="95">
        <f t="shared" si="3"/>
        <v>0</v>
      </c>
    </row>
    <row r="74" spans="1:63" ht="14.4" customHeight="1">
      <c r="A74" s="577"/>
      <c r="AU74" s="319">
        <f>OBJ!B334</f>
        <v>9256929</v>
      </c>
      <c r="AV74" s="21" t="str">
        <f>VLOOKUP(AU74,CENY!$B$11:$G$1054,2,FALSE)</f>
        <v>Quadro You(M) 300/P2O 20kg; EB21</v>
      </c>
      <c r="AW74" s="22">
        <f>VLOOKUP(AU74,CENY!$B$11:$G$1054,3,FALSE)</f>
        <v>1</v>
      </c>
      <c r="AX74" s="362">
        <v>8</v>
      </c>
      <c r="AY74" s="68"/>
      <c r="AZ74" s="326" t="str">
        <f t="shared" si="1"/>
        <v/>
      </c>
      <c r="BA74" s="95">
        <f>VLOOKUP(AU74,CENY!$B$11:$M$2025,12,FALSE)</f>
        <v>537.79395</v>
      </c>
      <c r="BB74" s="95">
        <f t="shared" si="0"/>
        <v>0</v>
      </c>
      <c r="BD74" s="319"/>
      <c r="BE74" s="21"/>
      <c r="BF74" s="22"/>
      <c r="BG74" s="22"/>
      <c r="BH74" s="23"/>
      <c r="BI74" s="326" t="str">
        <f t="shared" si="2"/>
        <v/>
      </c>
      <c r="BJ74" s="95"/>
      <c r="BK74" s="95" t="str">
        <f t="shared" si="3"/>
        <v/>
      </c>
    </row>
    <row r="75" spans="1:63" ht="14.4" customHeight="1">
      <c r="A75" s="577"/>
      <c r="AU75" s="319">
        <f>OBJ!B335</f>
        <v>9256931</v>
      </c>
      <c r="AV75" s="21" t="str">
        <f>VLOOKUP(AU75,CENY!$B$11:$G$1054,2,FALSE)</f>
        <v>Quadro You(M) 350/P2O 25kg; EB21</v>
      </c>
      <c r="AW75" s="22">
        <f>VLOOKUP(AU75,CENY!$B$11:$G$1054,3,FALSE)</f>
        <v>1</v>
      </c>
      <c r="AX75" s="362">
        <v>8</v>
      </c>
      <c r="AY75" s="68"/>
      <c r="AZ75" s="326" t="str">
        <f t="shared" si="1"/>
        <v/>
      </c>
      <c r="BA75" s="95">
        <f>VLOOKUP(AU75,CENY!$B$11:$M$2025,12,FALSE)</f>
        <v>547.49897999999996</v>
      </c>
      <c r="BB75" s="95">
        <f t="shared" ref="BB75:BB141" si="11">IF(BA75="","",BA75*AY75)</f>
        <v>0</v>
      </c>
      <c r="BD75" s="319">
        <f>OBJ!B273</f>
        <v>9318198</v>
      </c>
      <c r="BE75" s="21" t="str">
        <f>VLOOKUP(BD75,CENY!$B$11:$G$1054,2,FALSE)</f>
        <v>Actro You(XL) 450/SiSy 70kg; EB21; ľavý</v>
      </c>
      <c r="BF75" s="22">
        <f>VLOOKUP(BD75,CENY!$B$11:$G$1054,3,FALSE)</f>
        <v>10</v>
      </c>
      <c r="BG75" s="22"/>
      <c r="BH75" s="23">
        <f>AY44</f>
        <v>0</v>
      </c>
      <c r="BI75" s="326">
        <f t="shared" si="2"/>
        <v>0</v>
      </c>
      <c r="BJ75" s="95">
        <f>VLOOKUP(BD75,CENY!$B$11:$M$2025,12,FALSE)</f>
        <v>368.62277</v>
      </c>
      <c r="BK75" s="95">
        <f t="shared" si="3"/>
        <v>0</v>
      </c>
    </row>
    <row r="76" spans="1:63" ht="14.4" customHeight="1">
      <c r="A76" s="577"/>
      <c r="AU76" s="319">
        <f>OBJ!B336</f>
        <v>9256933</v>
      </c>
      <c r="AV76" s="21" t="str">
        <f>VLOOKUP(AU76,CENY!$B$11:$G$1054,2,FALSE)</f>
        <v>Quadro You(M) 400/P2O 30kg; EB21</v>
      </c>
      <c r="AW76" s="22">
        <f>VLOOKUP(AU76,CENY!$B$11:$G$1054,3,FALSE)</f>
        <v>1</v>
      </c>
      <c r="AX76" s="362">
        <v>8</v>
      </c>
      <c r="AY76" s="68"/>
      <c r="AZ76" s="326" t="str">
        <f t="shared" ref="AZ76:AZ142" si="12">IF(AY76="","",IF($AW$4=1,AY76,0))</f>
        <v/>
      </c>
      <c r="BA76" s="95">
        <f>VLOOKUP(AU76,CENY!$B$11:$M$2025,12,FALSE)</f>
        <v>557.20162000000005</v>
      </c>
      <c r="BB76" s="95">
        <f t="shared" si="11"/>
        <v>0</v>
      </c>
      <c r="BD76" s="319">
        <f>OBJ!B274</f>
        <v>9318199</v>
      </c>
      <c r="BE76" s="21" t="str">
        <f>VLOOKUP(BD76,CENY!$B$11:$G$1054,2,FALSE)</f>
        <v>Actro You(XL) 450/SiSy 70kg; EB21; pravý</v>
      </c>
      <c r="BF76" s="22">
        <f>VLOOKUP(BD76,CENY!$B$11:$G$1054,3,FALSE)</f>
        <v>10</v>
      </c>
      <c r="BG76" s="22"/>
      <c r="BH76" s="23">
        <f>AY44</f>
        <v>0</v>
      </c>
      <c r="BI76" s="326">
        <f t="shared" si="2"/>
        <v>0</v>
      </c>
      <c r="BJ76" s="95">
        <f>VLOOKUP(BD76,CENY!$B$11:$M$2025,12,FALSE)</f>
        <v>368.62277</v>
      </c>
      <c r="BK76" s="95">
        <f t="shared" si="3"/>
        <v>0</v>
      </c>
    </row>
    <row r="77" spans="1:63" ht="14.4" customHeight="1">
      <c r="A77" s="577"/>
      <c r="AU77" s="319">
        <f>OBJ!B337</f>
        <v>9256935</v>
      </c>
      <c r="AV77" s="21" t="str">
        <f>VLOOKUP(AU77,CENY!$B$11:$G$1054,2,FALSE)</f>
        <v>Quadro You(M) 450/P2O 30kg; EB21</v>
      </c>
      <c r="AW77" s="22">
        <f>VLOOKUP(AU77,CENY!$B$11:$G$1054,3,FALSE)</f>
        <v>1</v>
      </c>
      <c r="AX77" s="362">
        <v>8</v>
      </c>
      <c r="AY77" s="68"/>
      <c r="AZ77" s="326" t="str">
        <f t="shared" si="12"/>
        <v/>
      </c>
      <c r="BA77" s="95">
        <f>VLOOKUP(AU77,CENY!$B$11:$M$2025,12,FALSE)</f>
        <v>566.90911000000006</v>
      </c>
      <c r="BB77" s="95">
        <f t="shared" si="11"/>
        <v>0</v>
      </c>
      <c r="BD77" s="319">
        <f>OBJ!B275</f>
        <v>9318201</v>
      </c>
      <c r="BE77" s="21" t="str">
        <f>VLOOKUP(BD77,CENY!$B$11:$G$1054,2,FALSE)</f>
        <v>Actro You(XL) 500/SiSy 70kg; EB21; ľavý</v>
      </c>
      <c r="BF77" s="22">
        <f>VLOOKUP(BD77,CENY!$B$11:$G$1054,3,FALSE)</f>
        <v>10</v>
      </c>
      <c r="BG77" s="22"/>
      <c r="BH77" s="23">
        <f>AY45</f>
        <v>0</v>
      </c>
      <c r="BI77" s="326">
        <f t="shared" si="2"/>
        <v>0</v>
      </c>
      <c r="BJ77" s="95">
        <f>VLOOKUP(BD77,CENY!$B$11:$M$2025,12,FALSE)</f>
        <v>372.33726999999999</v>
      </c>
      <c r="BK77" s="95">
        <f t="shared" si="3"/>
        <v>0</v>
      </c>
    </row>
    <row r="78" spans="1:63" ht="14.4" customHeight="1">
      <c r="A78" s="577"/>
      <c r="AU78" s="319">
        <f>OBJ!B338</f>
        <v>9256937</v>
      </c>
      <c r="AV78" s="21" t="str">
        <f>VLOOKUP(AU78,CENY!$B$11:$G$1054,2,FALSE)</f>
        <v>Quadro You(M) 500/P2O 30kg; EB21</v>
      </c>
      <c r="AW78" s="22">
        <f>VLOOKUP(AU78,CENY!$B$11:$G$1054,3,FALSE)</f>
        <v>1</v>
      </c>
      <c r="AX78" s="362">
        <v>8</v>
      </c>
      <c r="AY78" s="68"/>
      <c r="AZ78" s="326" t="str">
        <f t="shared" si="12"/>
        <v/>
      </c>
      <c r="BA78" s="95">
        <f>VLOOKUP(AU78,CENY!$B$11:$M$2025,12,FALSE)</f>
        <v>139.41228000000001</v>
      </c>
      <c r="BB78" s="95">
        <f t="shared" si="11"/>
        <v>0</v>
      </c>
      <c r="BD78" s="319">
        <f>OBJ!B276</f>
        <v>9318203</v>
      </c>
      <c r="BE78" s="21" t="str">
        <f>VLOOKUP(BD78,CENY!$B$11:$G$1054,2,FALSE)</f>
        <v>Actro You(XL) 500/SiSy 70kg; EB21; pravý</v>
      </c>
      <c r="BF78" s="22">
        <f>VLOOKUP(BD78,CENY!$B$11:$G$1054,3,FALSE)</f>
        <v>10</v>
      </c>
      <c r="BG78" s="22"/>
      <c r="BH78" s="23">
        <f>AY45</f>
        <v>0</v>
      </c>
      <c r="BI78" s="326">
        <f t="shared" si="2"/>
        <v>0</v>
      </c>
      <c r="BJ78" s="95">
        <f>VLOOKUP(BD78,CENY!$B$11:$M$2025,12,FALSE)</f>
        <v>372.33726999999999</v>
      </c>
      <c r="BK78" s="95">
        <f t="shared" si="3"/>
        <v>0</v>
      </c>
    </row>
    <row r="79" spans="1:63" ht="14.4" customHeight="1">
      <c r="A79" s="577"/>
      <c r="O79" s="576">
        <f>CEILING((O85*AY1)/FLOOR(2000/O86,1),1)</f>
        <v>0</v>
      </c>
      <c r="P79" s="576"/>
      <c r="Q79" s="576">
        <f>CEILING((Q85*AY1)/FLOOR(2000/Q86,1),1)</f>
        <v>0</v>
      </c>
      <c r="R79" s="576"/>
      <c r="S79" s="576">
        <f>CEILING((S85*AY1)/FLOOR(2000/S86,1),1)</f>
        <v>0</v>
      </c>
      <c r="T79" s="576"/>
      <c r="U79" s="576">
        <f>CEILING((U85*AY1)/FLOOR(2000/U86,1),1)</f>
        <v>0</v>
      </c>
      <c r="V79" s="576"/>
      <c r="W79" s="576">
        <f>CEILING((W85*AY1)/FLOOR(2000/W86,1),1)</f>
        <v>0</v>
      </c>
      <c r="X79" s="576"/>
      <c r="Y79" s="576">
        <f>CEILING((Y85*AY1)/FLOOR(2000/Y86,1),1)</f>
        <v>0</v>
      </c>
      <c r="Z79" s="576"/>
      <c r="AA79" s="576">
        <f>CEILING((AA85*AY1)/FLOOR(2000/AA86,1),1)</f>
        <v>0</v>
      </c>
      <c r="AB79" s="576"/>
      <c r="AC79" s="576">
        <f>CEILING((AC85*AY1)/FLOOR(2000/AC86,1),1)</f>
        <v>0</v>
      </c>
      <c r="AD79" s="576"/>
      <c r="AE79" s="576">
        <f>CEILING((AE85*AY1)/FLOOR(2000/AE86,1),1)</f>
        <v>0</v>
      </c>
      <c r="AF79" s="576"/>
      <c r="AG79" s="576">
        <f>CEILING((AG85*AY1)/FLOOR(2000/AG86,1),1)</f>
        <v>0</v>
      </c>
      <c r="AH79" s="576"/>
      <c r="AI79" s="576">
        <f>CEILING((AI85*AY1)/FLOOR(2000/AI86,1),1)</f>
        <v>0</v>
      </c>
      <c r="AJ79" s="576"/>
      <c r="AU79" s="319">
        <f>OBJ!B339</f>
        <v>9256939</v>
      </c>
      <c r="AV79" s="21" t="str">
        <f>VLOOKUP(AU79,CENY!$B$11:$G$1054,2,FALSE)</f>
        <v>Quadro You(M) 550/P2O 30kg; EB21</v>
      </c>
      <c r="AW79" s="22">
        <f>VLOOKUP(AU79,CENY!$B$11:$G$1054,3,FALSE)</f>
        <v>1</v>
      </c>
      <c r="AX79" s="362">
        <v>8</v>
      </c>
      <c r="AY79" s="68"/>
      <c r="AZ79" s="326" t="str">
        <f t="shared" si="12"/>
        <v/>
      </c>
      <c r="BA79" s="95">
        <f>VLOOKUP(AU79,CENY!$B$11:$M$2025,12,FALSE)</f>
        <v>586.3143</v>
      </c>
      <c r="BB79" s="95">
        <f t="shared" si="11"/>
        <v>0</v>
      </c>
      <c r="BD79" s="319">
        <f>OBJ!B277</f>
        <v>9318208</v>
      </c>
      <c r="BE79" s="21" t="str">
        <f>VLOOKUP(BD79,CENY!$B$11:$G$1054,2,FALSE)</f>
        <v>Actro You(XL) 550/SiSy 70kg; EB21; ľavý</v>
      </c>
      <c r="BF79" s="22">
        <f>VLOOKUP(BD79,CENY!$B$11:$G$1054,3,FALSE)</f>
        <v>10</v>
      </c>
      <c r="BG79" s="22"/>
      <c r="BH79" s="23">
        <f>AY46</f>
        <v>0</v>
      </c>
      <c r="BI79" s="326">
        <f t="shared" si="2"/>
        <v>0</v>
      </c>
      <c r="BJ79" s="95">
        <f>VLOOKUP(BD79,CENY!$B$11:$M$2025,12,FALSE)</f>
        <v>392.11943000000002</v>
      </c>
      <c r="BK79" s="95">
        <f t="shared" si="3"/>
        <v>0</v>
      </c>
    </row>
    <row r="80" spans="1:63" ht="14.4" customHeight="1">
      <c r="A80" s="577"/>
      <c r="O80" s="576">
        <f>CEILING((O85*AY3)/FLOOR(2000/O86,1),1)</f>
        <v>0</v>
      </c>
      <c r="P80" s="576"/>
      <c r="Q80" s="576">
        <f>CEILING((Q85*AY3)/FLOOR(2000/Q86,1),1)</f>
        <v>0</v>
      </c>
      <c r="R80" s="576"/>
      <c r="S80" s="576">
        <f>CEILING((S85*AY3)/FLOOR(2000/S86,1),1)</f>
        <v>0</v>
      </c>
      <c r="T80" s="576"/>
      <c r="U80" s="576">
        <f>CEILING((U85*AY3)/FLOOR(2000/U86,1),1)</f>
        <v>0</v>
      </c>
      <c r="V80" s="576"/>
      <c r="W80" s="576">
        <f>CEILING((W85*AY3)/FLOOR(2000/W86,1),1)</f>
        <v>0</v>
      </c>
      <c r="X80" s="576"/>
      <c r="Y80" s="576">
        <f>CEILING((Y85*AY3)/FLOOR(2000/Y86,1),1)</f>
        <v>0</v>
      </c>
      <c r="Z80" s="576"/>
      <c r="AA80" s="576">
        <f>CEILING((AA85*AY3)/FLOOR(2000/AA86,1),1)</f>
        <v>0</v>
      </c>
      <c r="AB80" s="576"/>
      <c r="AC80" s="576">
        <f>CEILING((AC85*AY3)/FLOOR(2000/AC86,1),1)</f>
        <v>0</v>
      </c>
      <c r="AD80" s="576"/>
      <c r="AE80" s="576">
        <f>CEILING((AE85*AY3)/FLOOR(2000/AE86,1),1)</f>
        <v>0</v>
      </c>
      <c r="AF80" s="576"/>
      <c r="AG80" s="576">
        <f>CEILING((AG85*AY3)/FLOOR(2000/AG86,1),1)</f>
        <v>0</v>
      </c>
      <c r="AH80" s="576"/>
      <c r="AI80" s="576">
        <f>CEILING((AI85*AY3)/FLOOR(2000/AI86,1),1)</f>
        <v>0</v>
      </c>
      <c r="AJ80" s="576"/>
      <c r="AU80" s="319">
        <f>OBJ!B340</f>
        <v>9256941</v>
      </c>
      <c r="AV80" s="21" t="str">
        <f>VLOOKUP(AU80,CENY!$B$11:$G$1054,2,FALSE)</f>
        <v>Quadro You(M) 600/P2O 25kg; EB21</v>
      </c>
      <c r="AW80" s="22">
        <f>VLOOKUP(AU80,CENY!$B$11:$G$1054,3,FALSE)</f>
        <v>1</v>
      </c>
      <c r="AX80" s="362">
        <v>8</v>
      </c>
      <c r="AY80" s="68"/>
      <c r="AZ80" s="326" t="str">
        <f t="shared" si="12"/>
        <v/>
      </c>
      <c r="BA80" s="95">
        <f>VLOOKUP(AU80,CENY!$B$11:$M$2025,12,FALSE)</f>
        <v>596.01683000000003</v>
      </c>
      <c r="BB80" s="95">
        <f t="shared" si="11"/>
        <v>0</v>
      </c>
      <c r="BD80" s="319">
        <f>OBJ!B278</f>
        <v>9318209</v>
      </c>
      <c r="BE80" s="21" t="str">
        <f>VLOOKUP(BD80,CENY!$B$11:$G$1054,2,FALSE)</f>
        <v>Actro You(XL) 550/SiSy 70kg; EB21; pravý</v>
      </c>
      <c r="BF80" s="22">
        <f>VLOOKUP(BD80,CENY!$B$11:$G$1054,3,FALSE)</f>
        <v>10</v>
      </c>
      <c r="BG80" s="22"/>
      <c r="BH80" s="23">
        <f>AY46</f>
        <v>0</v>
      </c>
      <c r="BI80" s="326">
        <f t="shared" si="2"/>
        <v>0</v>
      </c>
      <c r="BJ80" s="95">
        <f>VLOOKUP(BD80,CENY!$B$11:$M$2025,12,FALSE)</f>
        <v>392.11943000000002</v>
      </c>
      <c r="BK80" s="95">
        <f t="shared" si="3"/>
        <v>0</v>
      </c>
    </row>
    <row r="81" spans="1:63" ht="14.4" customHeight="1">
      <c r="A81" s="577"/>
      <c r="O81" s="575">
        <f>O86*O85*$AY$1</f>
        <v>0</v>
      </c>
      <c r="P81" s="575"/>
      <c r="Q81" s="575">
        <f>Q86*Q85*$AY$1</f>
        <v>0</v>
      </c>
      <c r="R81" s="575"/>
      <c r="S81" s="575">
        <f>S86*S85*$AY$1</f>
        <v>0</v>
      </c>
      <c r="T81" s="575"/>
      <c r="U81" s="575">
        <f>U86*U85*$AY$1</f>
        <v>0</v>
      </c>
      <c r="V81" s="575"/>
      <c r="W81" s="575">
        <f>W86*W85*$AY$1</f>
        <v>0</v>
      </c>
      <c r="X81" s="575"/>
      <c r="Y81" s="575">
        <f>Y86*Y85*$AY$1</f>
        <v>0</v>
      </c>
      <c r="Z81" s="575"/>
      <c r="AA81" s="575">
        <f>AA86*AA85*$AY$1</f>
        <v>0</v>
      </c>
      <c r="AB81" s="575"/>
      <c r="AC81" s="575">
        <f>AC86*AC85*$AY$1</f>
        <v>0</v>
      </c>
      <c r="AD81" s="575"/>
      <c r="AE81" s="575">
        <f>AE86*AE85*$AY$1</f>
        <v>0</v>
      </c>
      <c r="AF81" s="575"/>
      <c r="AG81" s="575">
        <f>AG86*AG85*$AY$1</f>
        <v>0</v>
      </c>
      <c r="AH81" s="575"/>
      <c r="AI81" s="575">
        <f>AI86*AI85*$AY$1</f>
        <v>0</v>
      </c>
      <c r="AJ81" s="575"/>
      <c r="AU81" s="319"/>
      <c r="AV81" s="21"/>
      <c r="AW81" s="22"/>
      <c r="AX81" s="22"/>
      <c r="AY81" s="23"/>
      <c r="AZ81" s="326" t="str">
        <f t="shared" si="12"/>
        <v/>
      </c>
      <c r="BA81" s="95"/>
      <c r="BB81" s="95" t="str">
        <f t="shared" si="11"/>
        <v/>
      </c>
      <c r="BD81" s="319">
        <f>OBJ!B279</f>
        <v>9318211</v>
      </c>
      <c r="BE81" s="21" t="str">
        <f>VLOOKUP(BD81,CENY!$B$11:$G$1054,2,FALSE)</f>
        <v>Actro You(XL) 600/SiSy 70kg; EB21; ľavý</v>
      </c>
      <c r="BF81" s="22">
        <f>VLOOKUP(BD81,CENY!$B$11:$G$1054,3,FALSE)</f>
        <v>10</v>
      </c>
      <c r="BG81" s="22"/>
      <c r="BH81" s="23">
        <f>AY47</f>
        <v>0</v>
      </c>
      <c r="BI81" s="326">
        <f t="shared" si="2"/>
        <v>0</v>
      </c>
      <c r="BJ81" s="95">
        <f>VLOOKUP(BD81,CENY!$B$11:$M$2025,12,FALSE)</f>
        <v>443.89010999999999</v>
      </c>
      <c r="BK81" s="95">
        <f t="shared" si="3"/>
        <v>0</v>
      </c>
    </row>
    <row r="82" spans="1:63" ht="14.4" customHeight="1">
      <c r="A82" s="577"/>
      <c r="O82" s="575">
        <f>O86*O85*$AY$3</f>
        <v>0</v>
      </c>
      <c r="P82" s="575"/>
      <c r="Q82" s="575">
        <f>Q86*Q85*$AY$3</f>
        <v>0</v>
      </c>
      <c r="R82" s="575"/>
      <c r="S82" s="575">
        <f>S86*S85*$AY$3</f>
        <v>0</v>
      </c>
      <c r="T82" s="575"/>
      <c r="U82" s="575">
        <f>U86*U85*$AY$3</f>
        <v>0</v>
      </c>
      <c r="V82" s="575"/>
      <c r="W82" s="575">
        <f>W86*W85*$AY$3</f>
        <v>0</v>
      </c>
      <c r="X82" s="575"/>
      <c r="Y82" s="575">
        <f>Y86*Y85*$AY$3</f>
        <v>0</v>
      </c>
      <c r="Z82" s="575"/>
      <c r="AA82" s="575">
        <f>AA86*AA85*$AY$3</f>
        <v>0</v>
      </c>
      <c r="AB82" s="575"/>
      <c r="AC82" s="575">
        <f>AC86*AC85*$AY$3</f>
        <v>0</v>
      </c>
      <c r="AD82" s="575"/>
      <c r="AE82" s="575">
        <f>AE86*AE85*$AY$3</f>
        <v>0</v>
      </c>
      <c r="AF82" s="575"/>
      <c r="AG82" s="575">
        <f>AG86*AG85*$AY$3</f>
        <v>0</v>
      </c>
      <c r="AH82" s="575"/>
      <c r="AI82" s="575">
        <f>AI86*AI85*$AY$3</f>
        <v>0</v>
      </c>
      <c r="AJ82" s="575"/>
      <c r="AK82" s="577"/>
      <c r="AL82" s="577"/>
      <c r="AU82" s="319">
        <f>OBJ!B358</f>
        <v>9219966</v>
      </c>
      <c r="AV82" s="21" t="str">
        <f>VLOOKUP(AU82,CENY!$B$11:$G$1054,2,FALSE)</f>
        <v>Push to open Synchro / adaptér typ A</v>
      </c>
      <c r="AW82" s="22">
        <f>VLOOKUP(AU82,CENY!$B$11:$G$1054,3,FALSE)</f>
        <v>200</v>
      </c>
      <c r="AX82" s="22"/>
      <c r="AY82" s="68"/>
      <c r="AZ82" s="326" t="str">
        <f t="shared" si="12"/>
        <v/>
      </c>
      <c r="BA82" s="95">
        <f>VLOOKUP(AU82,CENY!$B$11:$M$2025,12,FALSE)</f>
        <v>16.488900000000001</v>
      </c>
      <c r="BB82" s="95">
        <f t="shared" si="11"/>
        <v>0</v>
      </c>
      <c r="BD82" s="319">
        <f>OBJ!B280</f>
        <v>9318212</v>
      </c>
      <c r="BE82" s="21" t="str">
        <f>VLOOKUP(BD82,CENY!$B$11:$G$1054,2,FALSE)</f>
        <v>Actro You(XL) 600/SiSy 70kg; EB21; pravý</v>
      </c>
      <c r="BF82" s="22">
        <f>VLOOKUP(BD82,CENY!$B$11:$G$1054,3,FALSE)</f>
        <v>10</v>
      </c>
      <c r="BG82" s="22"/>
      <c r="BH82" s="23">
        <f>AY47</f>
        <v>0</v>
      </c>
      <c r="BI82" s="326">
        <f t="shared" si="2"/>
        <v>0</v>
      </c>
      <c r="BJ82" s="95">
        <f>VLOOKUP(BD82,CENY!$B$11:$M$2025,12,FALSE)</f>
        <v>443.89010999999999</v>
      </c>
      <c r="BK82" s="95">
        <f t="shared" si="3"/>
        <v>0</v>
      </c>
    </row>
    <row r="83" spans="1:63" ht="14.4" customHeight="1" thickBot="1">
      <c r="A83" s="577"/>
      <c r="B83" s="1" t="str">
        <f>verze!E162</f>
        <v>Čelo na vnitřní zásuvku</v>
      </c>
      <c r="O83" s="581" t="str">
        <f>verze!E163</f>
        <v>vnější rozměry zásuvkové skřínky [mm]</v>
      </c>
      <c r="P83" s="582"/>
      <c r="Q83" s="582"/>
      <c r="R83" s="582"/>
      <c r="S83" s="582"/>
      <c r="T83" s="582"/>
      <c r="U83" s="582"/>
      <c r="V83" s="582"/>
      <c r="W83" s="582"/>
      <c r="X83" s="582"/>
      <c r="Y83" s="582"/>
      <c r="Z83" s="582"/>
      <c r="AA83" s="582"/>
      <c r="AB83" s="582"/>
      <c r="AC83" s="582"/>
      <c r="AD83" s="582"/>
      <c r="AE83" s="582"/>
      <c r="AF83" s="582"/>
      <c r="AG83" s="582"/>
      <c r="AH83" s="582"/>
      <c r="AI83" s="582"/>
      <c r="AJ83" s="582"/>
      <c r="AU83" s="319"/>
      <c r="AV83" s="21"/>
      <c r="AW83" s="22"/>
      <c r="AX83" s="22"/>
      <c r="AY83" s="23"/>
      <c r="AZ83" s="326" t="str">
        <f t="shared" si="12"/>
        <v/>
      </c>
      <c r="BA83" s="95"/>
      <c r="BB83" s="95" t="str">
        <f t="shared" si="11"/>
        <v/>
      </c>
      <c r="BD83" s="319">
        <f>OBJ!B281</f>
        <v>9318213</v>
      </c>
      <c r="BE83" s="21" t="str">
        <f>VLOOKUP(BD83,CENY!$B$11:$G$1054,2,FALSE)</f>
        <v>Actro You(XL) 650/SiSy 70kg; EB21; ľavý</v>
      </c>
      <c r="BF83" s="22">
        <f>VLOOKUP(BD83,CENY!$B$11:$G$1054,3,FALSE)</f>
        <v>5</v>
      </c>
      <c r="BG83" s="22"/>
      <c r="BH83" s="23">
        <f>AY48</f>
        <v>0</v>
      </c>
      <c r="BI83" s="326">
        <f t="shared" si="2"/>
        <v>0</v>
      </c>
      <c r="BJ83" s="95">
        <f>VLOOKUP(BD83,CENY!$B$11:$M$2025,12,FALSE)</f>
        <v>462.41142000000002</v>
      </c>
      <c r="BK83" s="95">
        <f t="shared" si="3"/>
        <v>0</v>
      </c>
    </row>
    <row r="84" spans="1:63" ht="14.4" customHeight="1" thickBot="1">
      <c r="A84" s="577"/>
      <c r="B84" s="96"/>
      <c r="C84" s="96"/>
      <c r="D84" s="96"/>
      <c r="E84" s="96"/>
      <c r="F84" s="96"/>
      <c r="G84" s="96"/>
      <c r="H84" s="72"/>
      <c r="I84" s="72"/>
      <c r="J84" s="72"/>
      <c r="K84" s="72"/>
      <c r="L84" s="72"/>
      <c r="M84" s="72"/>
      <c r="N84" s="72" t="str">
        <f>verze!E166&amp;" "</f>
        <v xml:space="preserve">Šířka korpusu: </v>
      </c>
      <c r="O84" s="535">
        <v>300</v>
      </c>
      <c r="P84" s="536"/>
      <c r="Q84" s="535">
        <v>400</v>
      </c>
      <c r="R84" s="536"/>
      <c r="S84" s="535">
        <v>450</v>
      </c>
      <c r="T84" s="536"/>
      <c r="U84" s="535">
        <v>500</v>
      </c>
      <c r="V84" s="536"/>
      <c r="W84" s="535">
        <v>550</v>
      </c>
      <c r="X84" s="536"/>
      <c r="Y84" s="535">
        <v>600</v>
      </c>
      <c r="Z84" s="536"/>
      <c r="AA84" s="535">
        <v>700</v>
      </c>
      <c r="AB84" s="536"/>
      <c r="AC84" s="535">
        <v>800</v>
      </c>
      <c r="AD84" s="536"/>
      <c r="AE84" s="535">
        <v>900</v>
      </c>
      <c r="AF84" s="584"/>
      <c r="AG84" s="535">
        <v>1000</v>
      </c>
      <c r="AH84" s="584"/>
      <c r="AI84" s="535">
        <v>1200</v>
      </c>
      <c r="AJ84" s="536"/>
      <c r="AU84" s="442">
        <f>OBJ!B69</f>
        <v>9255835</v>
      </c>
      <c r="AV84" s="443" t="str">
        <f>VLOOKUP(AU84,CENY!$B$11:$G$1054,2,FALSE)</f>
        <v>AvanY-príchytka čela k naskrutk./ v101</v>
      </c>
      <c r="AW84" s="22">
        <f>VLOOKUP(AU84,CENY!$B$11:$G$1054,3,FALSE)</f>
        <v>200</v>
      </c>
      <c r="AX84" s="22"/>
      <c r="AY84" s="68">
        <f>2*(AY2)*(SUM(W20:AD20)+SUM(W22:AF22)+SUM(W28:AD28))</f>
        <v>0</v>
      </c>
      <c r="AZ84" s="326">
        <f t="shared" si="12"/>
        <v>0</v>
      </c>
      <c r="BA84" s="95">
        <f>VLOOKUP(AU84,CENY!$B$11:$M$2025,12,FALSE)</f>
        <v>24.69378</v>
      </c>
      <c r="BB84" s="95">
        <f t="shared" si="11"/>
        <v>0</v>
      </c>
      <c r="BD84" s="319">
        <f>OBJ!B282</f>
        <v>9318214</v>
      </c>
      <c r="BE84" s="21" t="str">
        <f>VLOOKUP(BD84,CENY!$B$11:$G$1054,2,FALSE)</f>
        <v>Actro You(XL) 650/SiSy 70kg; EB21; pravý</v>
      </c>
      <c r="BF84" s="22">
        <f>VLOOKUP(BD84,CENY!$B$11:$G$1054,3,FALSE)</f>
        <v>5</v>
      </c>
      <c r="BG84" s="22"/>
      <c r="BH84" s="23">
        <f>AY48</f>
        <v>0</v>
      </c>
      <c r="BI84" s="326">
        <f t="shared" ref="BI84:BI157" si="13">IF(BH84="","",IF($AW$4=0,BH84,0))</f>
        <v>0</v>
      </c>
      <c r="BJ84" s="95">
        <f>VLOOKUP(BD84,CENY!$B$11:$M$2025,12,FALSE)</f>
        <v>462.41142000000002</v>
      </c>
      <c r="BK84" s="95">
        <f t="shared" ref="BK84:BK157" si="14">IF(BJ84="","",BJ84*BH84)</f>
        <v>0</v>
      </c>
    </row>
    <row r="85" spans="1:63" ht="14.4" customHeight="1" thickBot="1">
      <c r="A85" s="577"/>
      <c r="B85" s="158" t="str">
        <f>" "&amp;verze!E167</f>
        <v xml:space="preserve"> ALU čelo</v>
      </c>
      <c r="C85" s="158"/>
      <c r="D85" s="158"/>
      <c r="E85" s="158"/>
      <c r="F85" s="158"/>
      <c r="G85" s="158"/>
      <c r="H85" s="158"/>
      <c r="I85" s="158"/>
      <c r="J85" s="158"/>
      <c r="K85" s="158"/>
      <c r="L85" s="158"/>
      <c r="M85" s="523"/>
      <c r="N85" s="546"/>
      <c r="O85" s="578"/>
      <c r="P85" s="579"/>
      <c r="Q85" s="578"/>
      <c r="R85" s="579"/>
      <c r="S85" s="578"/>
      <c r="T85" s="579"/>
      <c r="U85" s="578"/>
      <c r="V85" s="579"/>
      <c r="W85" s="578"/>
      <c r="X85" s="579"/>
      <c r="Y85" s="578"/>
      <c r="Z85" s="579"/>
      <c r="AA85" s="578"/>
      <c r="AB85" s="579"/>
      <c r="AC85" s="578"/>
      <c r="AD85" s="579"/>
      <c r="AE85" s="578"/>
      <c r="AF85" s="579"/>
      <c r="AG85" s="578"/>
      <c r="AH85" s="579"/>
      <c r="AI85" s="578"/>
      <c r="AJ85" s="583"/>
      <c r="AU85" s="442">
        <f>OBJ!B141</f>
        <v>9255838</v>
      </c>
      <c r="AV85" s="443" t="str">
        <f>VLOOKUP(AU85,CENY!$B$11:$G$1054,2,FALSE)</f>
        <v>AvanY-prích.čela k naskrutk./ v187-251</v>
      </c>
      <c r="AW85" s="22">
        <f>VLOOKUP(AU85,CENY!$B$11:$G$1054,3,FALSE)</f>
        <v>200</v>
      </c>
      <c r="AX85" s="22"/>
      <c r="AY85" s="68">
        <f>2*(AY4)*(SUM(W20:AD20)+SUM(W22:AF22)+SUM(W28:AD28))</f>
        <v>0</v>
      </c>
      <c r="AZ85" s="326">
        <f t="shared" ref="AZ85" si="15">IF(AY85="","",IF($AW$4=1,AY85,0))</f>
        <v>0</v>
      </c>
      <c r="BA85" s="95">
        <f>VLOOKUP(AU85,CENY!$B$11:$M$2025,12,FALSE)</f>
        <v>49.383429999999997</v>
      </c>
      <c r="BB85" s="95">
        <f t="shared" ref="BB85" si="16">IF(BA85="","",BA85*AY85)</f>
        <v>0</v>
      </c>
      <c r="BD85" s="319"/>
      <c r="BE85" s="21"/>
      <c r="BF85" s="22"/>
      <c r="BG85" s="22"/>
      <c r="BH85" s="23"/>
      <c r="BI85" s="326" t="str">
        <f t="shared" si="13"/>
        <v/>
      </c>
      <c r="BJ85" s="95"/>
      <c r="BK85" s="95" t="str">
        <f t="shared" si="14"/>
        <v/>
      </c>
    </row>
    <row r="86" spans="1:63" ht="14.4" customHeight="1">
      <c r="A86" s="577"/>
      <c r="O86" s="580">
        <f>O84-2*FORM!$AM$24-12</f>
        <v>252</v>
      </c>
      <c r="P86" s="580"/>
      <c r="Q86" s="580">
        <f>Q84-2*FORM!$AM$24-12</f>
        <v>352</v>
      </c>
      <c r="R86" s="580"/>
      <c r="S86" s="580">
        <f>S84-2*FORM!$AM$24-12</f>
        <v>402</v>
      </c>
      <c r="T86" s="580"/>
      <c r="U86" s="580">
        <f>U84-2*FORM!$AM$24-12</f>
        <v>452</v>
      </c>
      <c r="V86" s="580"/>
      <c r="W86" s="580">
        <f>W84-2*FORM!$AM$24-12</f>
        <v>502</v>
      </c>
      <c r="X86" s="580"/>
      <c r="Y86" s="580">
        <f>Y84-2*FORM!$AM$24-12</f>
        <v>552</v>
      </c>
      <c r="Z86" s="580"/>
      <c r="AA86" s="580">
        <f>AA84-2*FORM!$AM$24-12</f>
        <v>652</v>
      </c>
      <c r="AB86" s="580"/>
      <c r="AC86" s="580">
        <f>AC84-2*FORM!$AM$24-12</f>
        <v>752</v>
      </c>
      <c r="AD86" s="580"/>
      <c r="AE86" s="580">
        <f>AE84-2*FORM!$AM$24-12</f>
        <v>852</v>
      </c>
      <c r="AF86" s="580"/>
      <c r="AG86" s="580">
        <f>AG84-2*FORM!$AM$24-12</f>
        <v>952</v>
      </c>
      <c r="AH86" s="580"/>
      <c r="AI86" s="580">
        <f>AI84-2*FORM!$AM$24-12</f>
        <v>1152</v>
      </c>
      <c r="AJ86" s="580"/>
      <c r="AU86" s="319"/>
      <c r="AV86" s="21"/>
      <c r="AW86" s="22"/>
      <c r="AX86" s="22"/>
      <c r="AY86" s="23"/>
      <c r="AZ86" s="326" t="str">
        <f t="shared" si="12"/>
        <v/>
      </c>
      <c r="BA86" s="95"/>
      <c r="BB86" s="95" t="str">
        <f t="shared" si="11"/>
        <v/>
      </c>
      <c r="BD86" s="319">
        <f>OBJ!B284</f>
        <v>9257890</v>
      </c>
      <c r="BE86" s="21" t="str">
        <f>VLOOKUP(BD86,CENY!$B$11:$G$1054,2,FALSE)</f>
        <v>Actro You - Push to open Silent; &lt;10kg</v>
      </c>
      <c r="BF86" s="22">
        <f>VLOOKUP(BD86,CENY!$B$11:$G$1054,3,FALSE)</f>
        <v>1</v>
      </c>
      <c r="BG86" s="22"/>
      <c r="BH86" s="68"/>
      <c r="BI86" s="326" t="str">
        <f t="shared" si="13"/>
        <v/>
      </c>
      <c r="BJ86" s="95">
        <f>VLOOKUP(BD86,CENY!$B$11:$M$2025,12,FALSE)</f>
        <v>481.81412999999998</v>
      </c>
      <c r="BK86" s="95">
        <f t="shared" si="14"/>
        <v>0</v>
      </c>
    </row>
    <row r="87" spans="1:63" ht="14.4" customHeight="1">
      <c r="A87" s="577"/>
      <c r="AR87" s="157" t="str">
        <f>IF(AU98=0,verze!E169&amp;" "&amp;AU96&amp;" "&amp;verze!E170,"")</f>
        <v>Je potřebné vybrat 0 ks vnitřních čel.</v>
      </c>
      <c r="AU87" s="320">
        <f>OBJ!B214</f>
        <v>0</v>
      </c>
      <c r="AV87" s="321" t="e">
        <f>VLOOKUP(AU87,CENY!$B$11:$G$1054,2,FALSE)</f>
        <v>#N/A</v>
      </c>
      <c r="AW87" s="22" t="e">
        <f>VLOOKUP(AU87,CENY!$B$11:$G$1054,3,FALSE)</f>
        <v>#N/A</v>
      </c>
      <c r="AX87" s="22"/>
      <c r="AY87" s="68">
        <f>IF(FORM!AM21&lt;&gt;FORM!AW16,(2*SUM(AY1:AY4)*(SUM(W20:AD20)+SUM(W22:AF22)+SUM(W28:AD28))),0)</f>
        <v>0</v>
      </c>
      <c r="AZ87" s="326">
        <f t="shared" si="12"/>
        <v>0</v>
      </c>
      <c r="BA87" s="324" t="str">
        <f>IF(AU87=0,"",VLOOKUP(AU87,CENY!$B$11:$M$2025,12,FALSE))</f>
        <v/>
      </c>
      <c r="BB87" s="95" t="str">
        <f>IF(BA87="","",BA87*AY87)</f>
        <v/>
      </c>
      <c r="BD87" s="319">
        <f>OBJ!B285</f>
        <v>9257891</v>
      </c>
      <c r="BE87" s="21" t="str">
        <f>VLOOKUP(BD87,CENY!$B$11:$G$1054,2,FALSE)</f>
        <v>Actro You - Push to open Silent; 8-20kg</v>
      </c>
      <c r="BF87" s="22">
        <f>VLOOKUP(BD87,CENY!$B$11:$G$1054,3,FALSE)</f>
        <v>1</v>
      </c>
      <c r="BG87" s="22"/>
      <c r="BH87" s="68"/>
      <c r="BI87" s="326" t="str">
        <f t="shared" si="13"/>
        <v/>
      </c>
      <c r="BJ87" s="95">
        <f>VLOOKUP(BD87,CENY!$B$11:$M$2025,12,FALSE)</f>
        <v>481.81412999999998</v>
      </c>
      <c r="BK87" s="95">
        <f t="shared" si="14"/>
        <v>0</v>
      </c>
    </row>
    <row r="88" spans="1:63" ht="14.4" customHeight="1">
      <c r="A88" s="577"/>
      <c r="AR88" s="332" t="str">
        <f>IF(AU98=0,"",IF(AU96=AU98,verze!E174,IF(AU99&gt;0,verze!E171&amp;" "&amp;AU99&amp;" "&amp;verze!E170,verze!E172&amp;" "&amp;AU100&amp;" "&amp;verze!E173)))</f>
        <v/>
      </c>
      <c r="AU88" s="319"/>
      <c r="AV88" s="21"/>
      <c r="AW88" s="22"/>
      <c r="AX88" s="22"/>
      <c r="AY88" s="23"/>
      <c r="AZ88" s="326" t="str">
        <f t="shared" si="12"/>
        <v/>
      </c>
      <c r="BA88" s="95"/>
      <c r="BB88" s="95" t="str">
        <f t="shared" si="11"/>
        <v/>
      </c>
      <c r="BD88" s="319">
        <f>OBJ!B286</f>
        <v>9257892</v>
      </c>
      <c r="BE88" s="21" t="str">
        <f>VLOOKUP(BD88,CENY!$B$11:$G$1054,2,FALSE)</f>
        <v>Actro You - Push to open Silent; 10-40kg</v>
      </c>
      <c r="BF88" s="22">
        <f>VLOOKUP(BD88,CENY!$B$11:$G$1054,3,FALSE)</f>
        <v>1</v>
      </c>
      <c r="BG88" s="22"/>
      <c r="BH88" s="68"/>
      <c r="BI88" s="326" t="str">
        <f t="shared" si="13"/>
        <v/>
      </c>
      <c r="BJ88" s="95">
        <f>VLOOKUP(BD88,CENY!$B$11:$M$2025,12,FALSE)</f>
        <v>481.81412999999998</v>
      </c>
      <c r="BK88" s="95">
        <f t="shared" si="14"/>
        <v>0</v>
      </c>
    </row>
    <row r="89" spans="1:63" ht="14.4" customHeight="1">
      <c r="A89" s="577"/>
      <c r="AU89" s="319"/>
      <c r="AV89" s="21"/>
      <c r="AW89" s="22"/>
      <c r="AX89" s="22"/>
      <c r="AY89" s="23"/>
      <c r="AZ89" s="326" t="str">
        <f t="shared" si="12"/>
        <v/>
      </c>
      <c r="BA89" s="95"/>
      <c r="BB89" s="95" t="str">
        <f t="shared" si="11"/>
        <v/>
      </c>
      <c r="BD89" s="319">
        <f>OBJ!B287</f>
        <v>9257893</v>
      </c>
      <c r="BE89" s="21" t="str">
        <f>VLOOKUP(BD89,CENY!$B$11:$G$1054,2,FALSE)</f>
        <v>Actro You - Push to open Silent; 20-70kg</v>
      </c>
      <c r="BF89" s="22">
        <f>VLOOKUP(BD89,CENY!$B$11:$G$1054,3,FALSE)</f>
        <v>1</v>
      </c>
      <c r="BG89" s="22"/>
      <c r="BH89" s="68"/>
      <c r="BI89" s="326" t="str">
        <f t="shared" si="13"/>
        <v/>
      </c>
      <c r="BJ89" s="95">
        <f>VLOOKUP(BD89,CENY!$B$11:$M$2025,12,FALSE)</f>
        <v>481.81412999999998</v>
      </c>
      <c r="BK89" s="95">
        <f t="shared" si="14"/>
        <v>0</v>
      </c>
    </row>
    <row r="90" spans="1:63" ht="14.4" customHeight="1">
      <c r="A90" s="577"/>
      <c r="AU90" s="319">
        <f>OBJ!B194</f>
        <v>9257269</v>
      </c>
      <c r="AV90" s="21" t="str">
        <f>VLOOKUP(AU90,CENY!$B$11:$G$1054,2,FALSE)</f>
        <v>AvanY-čelo vnút.zásuvky /v101/d2000/strieb.</v>
      </c>
      <c r="AW90" s="22">
        <f>VLOOKUP(AU90,CENY!$B$11:$G$1054,3,FALSE)</f>
        <v>1</v>
      </c>
      <c r="AX90" s="22"/>
      <c r="AY90" s="23">
        <f>IF(AU96=0,0,IF(AU102&lt;2000,1,SUM(O79:AJ79)))</f>
        <v>0</v>
      </c>
      <c r="AZ90" s="326">
        <f>IF(AY90="","",IF($AW$4=1,AY90,0))</f>
        <v>0</v>
      </c>
      <c r="BA90" s="95">
        <f>VLOOKUP(AU90,CENY!$B$11:$M$2025,12,FALSE)</f>
        <v>1483.13021</v>
      </c>
      <c r="BB90" s="95">
        <f>IF(BA90="","",BA90*AY90)</f>
        <v>0</v>
      </c>
      <c r="BD90" s="319">
        <f>OBJ!B288</f>
        <v>9236718</v>
      </c>
      <c r="BE90" s="21" t="str">
        <f>VLOOKUP(BD90,CENY!$B$11:$G$1054,2,FALSE)</f>
        <v>Push to open Synchro / tyč 2.000 mm</v>
      </c>
      <c r="BF90" s="22">
        <f>VLOOKUP(BD90,CENY!$B$11:$G$1054,3,FALSE)</f>
        <v>100</v>
      </c>
      <c r="BG90" s="22"/>
      <c r="BH90" s="68"/>
      <c r="BI90" s="326" t="str">
        <f t="shared" si="13"/>
        <v/>
      </c>
      <c r="BJ90" s="95">
        <f>VLOOKUP(BD90,CENY!$B$11:$M$2025,12,FALSE)</f>
        <v>182.03933000000001</v>
      </c>
      <c r="BK90" s="95">
        <f t="shared" si="14"/>
        <v>0</v>
      </c>
    </row>
    <row r="91" spans="1:63" ht="14.4" customHeight="1">
      <c r="A91" s="577"/>
      <c r="AU91" s="319">
        <f>OBJ!B198</f>
        <v>9257611</v>
      </c>
      <c r="AV91" s="21" t="str">
        <f>VLOOKUP(AU91,CENY!$B$11:$G$1054,2,FALSE)</f>
        <v>AvanY-spojky čela vnút.zás./v101/strieb.</v>
      </c>
      <c r="AW91" s="22">
        <f>VLOOKUP(AU91,CENY!$B$11:$G$1054,3,FALSE)</f>
        <v>1</v>
      </c>
      <c r="AX91" s="22"/>
      <c r="AY91" s="23">
        <f>1*(AY1)*(SUM(W20:AD20)+SUM(W22:AF22)+SUM(W28:AD28))</f>
        <v>0</v>
      </c>
      <c r="AZ91" s="326">
        <f>IF(AY91="","",IF($AW$4=1,AY91,0))</f>
        <v>0</v>
      </c>
      <c r="BA91" s="95">
        <f>VLOOKUP(AU91,CENY!$B$11:$M$2025,12,FALSE)</f>
        <v>97.260310000000004</v>
      </c>
      <c r="BB91" s="95">
        <f>IF(BA91="","",BA91*AY91)</f>
        <v>0</v>
      </c>
      <c r="BD91" s="319"/>
      <c r="BE91" s="21"/>
      <c r="BF91" s="22"/>
      <c r="BG91" s="22"/>
      <c r="BH91" s="23"/>
      <c r="BI91" s="326" t="str">
        <f t="shared" si="13"/>
        <v/>
      </c>
      <c r="BJ91" s="95"/>
      <c r="BK91" s="95" t="str">
        <f t="shared" si="14"/>
        <v/>
      </c>
    </row>
    <row r="92" spans="1:63" ht="14.4" customHeight="1">
      <c r="A92" s="577"/>
      <c r="AU92" s="319">
        <f>OBJ!B196</f>
        <v>9257271</v>
      </c>
      <c r="AV92" s="21" t="str">
        <f>VLOOKUP(AU92,CENY!$B$11:$G$1054,2,FALSE)</f>
        <v>AvanY-čelo vnút.zásuvky /v187/d2000/strieb.</v>
      </c>
      <c r="AW92" s="22">
        <f>VLOOKUP(AU92,CENY!$B$11:$G$1054,3,FALSE)</f>
        <v>1</v>
      </c>
      <c r="AX92" s="22"/>
      <c r="AY92" s="23">
        <f>IF(AW96=0,0,IF(AW102&lt;2000,1,SUM(O80:AJ80)))</f>
        <v>0</v>
      </c>
      <c r="AZ92" s="326">
        <f>IF(AY92="","",IF($AW$4=1,AY92,0))</f>
        <v>0</v>
      </c>
      <c r="BA92" s="95">
        <f>VLOOKUP(AU92,CENY!$B$11:$M$2025,12,FALSE)</f>
        <v>2217.7650899999999</v>
      </c>
      <c r="BB92" s="95">
        <f>IF(BA92="","",BA92*AY92)</f>
        <v>0</v>
      </c>
      <c r="BD92" s="319">
        <f>OBJ!B297</f>
        <v>9256944</v>
      </c>
      <c r="BE92" s="21" t="str">
        <f>VLOOKUP(BD92,CENY!$B$11:$G$1054,2,FALSE)</f>
        <v>Quadro You(S) 270/SiSy 10kg; EB21; ľavý</v>
      </c>
      <c r="BF92" s="22">
        <f>VLOOKUP(BD92,CENY!$B$11:$G$1054,3,FALSE)</f>
        <v>20</v>
      </c>
      <c r="BG92" s="22"/>
      <c r="BH92" s="68"/>
      <c r="BI92" s="326" t="str">
        <f t="shared" si="13"/>
        <v/>
      </c>
      <c r="BJ92" s="95">
        <f>VLOOKUP(BD92,CENY!$B$11:$M$2025,12,FALSE)</f>
        <v>223.77942999999999</v>
      </c>
      <c r="BK92" s="95">
        <f t="shared" si="14"/>
        <v>0</v>
      </c>
    </row>
    <row r="93" spans="1:63" ht="14.4" customHeight="1">
      <c r="A93" s="577"/>
      <c r="AU93" s="319">
        <f>OBJ!B200</f>
        <v>9257613</v>
      </c>
      <c r="AV93" s="21" t="str">
        <f>VLOOKUP(AU93,CENY!$B$11:$G$1054,2,FALSE)</f>
        <v>AvanY-spojky čela vnút.zás./v187/strieb.</v>
      </c>
      <c r="AW93" s="22">
        <f>VLOOKUP(AU93,CENY!$B$11:$G$1054,3,FALSE)</f>
        <v>1</v>
      </c>
      <c r="AX93" s="22"/>
      <c r="AY93" s="23">
        <f>1*(AY3)*(SUM(W20:AD20)+SUM(W22:AF22)+SUM(W28:AD28))</f>
        <v>0</v>
      </c>
      <c r="AZ93" s="326">
        <f>IF(AY93="","",IF($AW$4=1,AY93,0))</f>
        <v>0</v>
      </c>
      <c r="BA93" s="95">
        <f>VLOOKUP(AU93,CENY!$B$11:$M$2025,12,FALSE)</f>
        <v>169.30695</v>
      </c>
      <c r="BB93" s="95">
        <f>IF(BA93="","",BA93*AY93)</f>
        <v>0</v>
      </c>
      <c r="BD93" s="319">
        <f>OBJ!B298</f>
        <v>9256945</v>
      </c>
      <c r="BE93" s="21" t="str">
        <f>VLOOKUP(BD93,CENY!$B$11:$G$1054,2,FALSE)</f>
        <v>Quadro You(S) 270/SiSy 10kg; EB21; pravý</v>
      </c>
      <c r="BF93" s="22">
        <f>VLOOKUP(BD93,CENY!$B$11:$G$1054,3,FALSE)</f>
        <v>20</v>
      </c>
      <c r="BG93" s="22"/>
      <c r="BH93" s="68"/>
      <c r="BI93" s="326" t="str">
        <f t="shared" si="13"/>
        <v/>
      </c>
      <c r="BJ93" s="95">
        <f>VLOOKUP(BD93,CENY!$B$11:$M$2025,12,FALSE)</f>
        <v>223.77942999999999</v>
      </c>
      <c r="BK93" s="95">
        <f t="shared" si="14"/>
        <v>0</v>
      </c>
    </row>
    <row r="94" spans="1:63" ht="14.4" customHeight="1">
      <c r="A94" s="577"/>
      <c r="AU94" s="319"/>
      <c r="AV94" s="21"/>
      <c r="AW94" s="368"/>
      <c r="AX94" s="368"/>
      <c r="AY94" s="369"/>
      <c r="AZ94" s="326" t="str">
        <f t="shared" si="12"/>
        <v/>
      </c>
      <c r="BA94" s="95"/>
      <c r="BB94" s="95" t="str">
        <f t="shared" si="11"/>
        <v/>
      </c>
      <c r="BD94" s="319">
        <f>OBJ!B299</f>
        <v>9256946</v>
      </c>
      <c r="BE94" s="21" t="str">
        <f>VLOOKUP(BD94,CENY!$B$11:$G$1054,2,FALSE)</f>
        <v>Quadro You(S) 300/SiSy 10kg; EB21; ľavý</v>
      </c>
      <c r="BF94" s="22">
        <f>VLOOKUP(BD94,CENY!$B$11:$G$1054,3,FALSE)</f>
        <v>20</v>
      </c>
      <c r="BG94" s="22"/>
      <c r="BH94" s="68"/>
      <c r="BI94" s="326" t="str">
        <f t="shared" si="13"/>
        <v/>
      </c>
      <c r="BJ94" s="95">
        <f>VLOOKUP(BD94,CENY!$B$11:$M$2025,12,FALSE)</f>
        <v>224.26065</v>
      </c>
      <c r="BK94" s="95">
        <f t="shared" si="14"/>
        <v>0</v>
      </c>
    </row>
    <row r="95" spans="1:63" ht="14.4" customHeight="1">
      <c r="A95" s="577"/>
      <c r="AU95" s="372" t="s">
        <v>595</v>
      </c>
      <c r="AV95" s="21"/>
      <c r="AW95" s="611" t="s">
        <v>596</v>
      </c>
      <c r="AX95" s="611"/>
      <c r="AY95" s="611"/>
      <c r="AZ95" s="326" t="str">
        <f t="shared" si="12"/>
        <v/>
      </c>
      <c r="BA95" s="95"/>
      <c r="BB95" s="95" t="str">
        <f t="shared" si="11"/>
        <v/>
      </c>
      <c r="BD95" s="319">
        <f>OBJ!B300</f>
        <v>9256947</v>
      </c>
      <c r="BE95" s="21" t="str">
        <f>VLOOKUP(BD95,CENY!$B$11:$G$1054,2,FALSE)</f>
        <v>Quadro You(S) 300/SiSy 10kg; EB21; pravý</v>
      </c>
      <c r="BF95" s="22">
        <f>VLOOKUP(BD95,CENY!$B$11:$G$1054,3,FALSE)</f>
        <v>20</v>
      </c>
      <c r="BG95" s="22"/>
      <c r="BH95" s="68"/>
      <c r="BI95" s="326" t="str">
        <f t="shared" si="13"/>
        <v/>
      </c>
      <c r="BJ95" s="95">
        <f>VLOOKUP(BD95,CENY!$B$11:$M$2025,12,FALSE)</f>
        <v>224.26065</v>
      </c>
      <c r="BK95" s="95">
        <f t="shared" si="14"/>
        <v>0</v>
      </c>
    </row>
    <row r="96" spans="1:63" ht="14.4" customHeight="1">
      <c r="A96" s="577"/>
      <c r="AU96" s="330">
        <f>1*(AY1)*(SUM(W20:AD20)+SUM(W22:AF22)+SUM(W28:AD28))</f>
        <v>0</v>
      </c>
      <c r="AV96" s="329" t="s">
        <v>356</v>
      </c>
      <c r="AW96" s="610">
        <f>1*(AY3)*(SUM(W20:AD20)+SUM(W22:AF22)+SUM(W28:AD28))</f>
        <v>0</v>
      </c>
      <c r="AX96" s="610"/>
      <c r="AY96" s="610"/>
      <c r="AZ96" s="326" t="str">
        <f t="shared" si="12"/>
        <v/>
      </c>
      <c r="BA96" s="95"/>
      <c r="BB96" s="95" t="str">
        <f t="shared" si="11"/>
        <v/>
      </c>
      <c r="BD96" s="319">
        <f>OBJ!B301</f>
        <v>9256950</v>
      </c>
      <c r="BE96" s="21" t="str">
        <f>VLOOKUP(BD96,CENY!$B$11:$G$1054,2,FALSE)</f>
        <v>Quadro You(S) 350/SiSy 10kg; EB21; ľavý</v>
      </c>
      <c r="BF96" s="22">
        <f>VLOOKUP(BD96,CENY!$B$11:$G$1054,3,FALSE)</f>
        <v>20</v>
      </c>
      <c r="BG96" s="22"/>
      <c r="BH96" s="68"/>
      <c r="BI96" s="326" t="str">
        <f t="shared" si="13"/>
        <v/>
      </c>
      <c r="BJ96" s="95">
        <f>VLOOKUP(BD96,CENY!$B$11:$M$2025,12,FALSE)</f>
        <v>229.11434</v>
      </c>
      <c r="BK96" s="95">
        <f t="shared" si="14"/>
        <v>0</v>
      </c>
    </row>
    <row r="97" spans="1:63" ht="14.4" customHeight="1">
      <c r="A97" s="577"/>
      <c r="AU97" s="20"/>
      <c r="AV97" s="21"/>
      <c r="AW97" s="610"/>
      <c r="AX97" s="610"/>
      <c r="AY97" s="610"/>
      <c r="AZ97" s="326" t="str">
        <f t="shared" si="12"/>
        <v/>
      </c>
      <c r="BA97" s="95"/>
      <c r="BB97" s="95" t="str">
        <f t="shared" si="11"/>
        <v/>
      </c>
      <c r="BD97" s="319">
        <f>OBJ!B302</f>
        <v>9256951</v>
      </c>
      <c r="BE97" s="21" t="str">
        <f>VLOOKUP(BD97,CENY!$B$11:$G$1054,2,FALSE)</f>
        <v>Quadro You(S) 350/SiSy 10kg; EB21; pravý</v>
      </c>
      <c r="BF97" s="22">
        <f>VLOOKUP(BD97,CENY!$B$11:$G$1054,3,FALSE)</f>
        <v>20</v>
      </c>
      <c r="BG97" s="22"/>
      <c r="BH97" s="68"/>
      <c r="BI97" s="326" t="str">
        <f t="shared" si="13"/>
        <v/>
      </c>
      <c r="BJ97" s="95">
        <f>VLOOKUP(BD97,CENY!$B$11:$M$2025,12,FALSE)</f>
        <v>229.11434</v>
      </c>
      <c r="BK97" s="95">
        <f t="shared" si="14"/>
        <v>0</v>
      </c>
    </row>
    <row r="98" spans="1:63" ht="14.4" customHeight="1">
      <c r="A98" s="577"/>
      <c r="AU98" s="331">
        <f>SUM(O85:AJ85)*AY1</f>
        <v>0</v>
      </c>
      <c r="AV98" s="21" t="s">
        <v>357</v>
      </c>
      <c r="AW98" s="610">
        <f>SUM(O85:AJ85)*AY3</f>
        <v>0</v>
      </c>
      <c r="AX98" s="610"/>
      <c r="AY98" s="610"/>
      <c r="AZ98" s="326" t="str">
        <f t="shared" si="12"/>
        <v/>
      </c>
      <c r="BA98" s="95"/>
      <c r="BB98" s="95" t="str">
        <f t="shared" si="11"/>
        <v/>
      </c>
      <c r="BD98" s="319"/>
      <c r="BE98" s="21"/>
      <c r="BF98" s="22"/>
      <c r="BG98" s="22"/>
      <c r="BH98" s="23"/>
      <c r="BI98" s="326" t="str">
        <f t="shared" si="13"/>
        <v/>
      </c>
      <c r="BJ98" s="95"/>
      <c r="BK98" s="95" t="str">
        <f t="shared" si="14"/>
        <v/>
      </c>
    </row>
    <row r="99" spans="1:63" ht="14.4" customHeight="1">
      <c r="A99" s="577"/>
      <c r="AU99" s="22">
        <f>AU96-AU98</f>
        <v>0</v>
      </c>
      <c r="AV99" s="21"/>
      <c r="AW99" s="610">
        <f>AW96-AW98</f>
        <v>0</v>
      </c>
      <c r="AX99" s="610"/>
      <c r="AY99" s="610"/>
      <c r="AZ99" s="326" t="str">
        <f t="shared" si="12"/>
        <v/>
      </c>
      <c r="BA99" s="95"/>
      <c r="BB99" s="95" t="str">
        <f t="shared" si="11"/>
        <v/>
      </c>
      <c r="BD99" s="319">
        <f>OBJ!B312</f>
        <v>9256854</v>
      </c>
      <c r="BE99" s="21" t="str">
        <f>VLOOKUP(BD99,CENY!$B$11:$G$1054,2,FALSE)</f>
        <v>Quadro You(M) 270/SiSy 20kg; EB21; ľavý</v>
      </c>
      <c r="BF99" s="22">
        <f>VLOOKUP(BD99,CENY!$B$11:$G$1054,3,FALSE)</f>
        <v>20</v>
      </c>
      <c r="BG99" s="22"/>
      <c r="BH99" s="68"/>
      <c r="BI99" s="326" t="str">
        <f t="shared" si="13"/>
        <v/>
      </c>
      <c r="BJ99" s="95">
        <f>VLOOKUP(BD99,CENY!$B$11:$M$2025,12,FALSE)</f>
        <v>223.77942999999999</v>
      </c>
      <c r="BK99" s="95">
        <f t="shared" si="14"/>
        <v>0</v>
      </c>
    </row>
    <row r="100" spans="1:63" ht="14.4" customHeight="1">
      <c r="A100" s="577"/>
      <c r="AU100" s="22">
        <f>ABS(AU99)</f>
        <v>0</v>
      </c>
      <c r="AV100" s="21"/>
      <c r="AW100" s="610">
        <f>ABS(AW99)</f>
        <v>0</v>
      </c>
      <c r="AX100" s="610"/>
      <c r="AY100" s="610"/>
      <c r="AZ100" s="326" t="str">
        <f t="shared" si="12"/>
        <v/>
      </c>
      <c r="BA100" s="95"/>
      <c r="BB100" s="95" t="str">
        <f t="shared" si="11"/>
        <v/>
      </c>
      <c r="BD100" s="319">
        <f>OBJ!B313</f>
        <v>9256855</v>
      </c>
      <c r="BE100" s="21" t="str">
        <f>VLOOKUP(BD100,CENY!$B$11:$G$1054,2,FALSE)</f>
        <v>Quadro You(M) 270/SiSy 20kg; EB21; pravý</v>
      </c>
      <c r="BF100" s="22">
        <f>VLOOKUP(BD100,CENY!$B$11:$G$1054,3,FALSE)</f>
        <v>20</v>
      </c>
      <c r="BG100" s="22"/>
      <c r="BH100" s="68"/>
      <c r="BI100" s="326" t="str">
        <f t="shared" si="13"/>
        <v/>
      </c>
      <c r="BJ100" s="95">
        <f>VLOOKUP(BD100,CENY!$B$11:$M$2025,12,FALSE)</f>
        <v>223.77942999999999</v>
      </c>
      <c r="BK100" s="95">
        <f t="shared" si="14"/>
        <v>0</v>
      </c>
    </row>
    <row r="101" spans="1:63">
      <c r="A101" s="577"/>
      <c r="AU101" s="20"/>
      <c r="AV101" s="21"/>
      <c r="AW101" s="610"/>
      <c r="AX101" s="610"/>
      <c r="AY101" s="610"/>
      <c r="AZ101" s="326" t="str">
        <f t="shared" si="12"/>
        <v/>
      </c>
      <c r="BA101" s="95"/>
      <c r="BB101" s="95" t="str">
        <f t="shared" si="11"/>
        <v/>
      </c>
      <c r="BD101" s="319">
        <f>OBJ!B314</f>
        <v>9256856</v>
      </c>
      <c r="BE101" s="21" t="str">
        <f>VLOOKUP(BD101,CENY!$B$11:$G$1054,2,FALSE)</f>
        <v>Quadro You(M) 300/SiSy 20kg; EB21; ľavý</v>
      </c>
      <c r="BF101" s="22">
        <f>VLOOKUP(BD101,CENY!$B$11:$G$1054,3,FALSE)</f>
        <v>20</v>
      </c>
      <c r="BG101" s="22"/>
      <c r="BH101" s="68"/>
      <c r="BI101" s="326" t="str">
        <f t="shared" si="13"/>
        <v/>
      </c>
      <c r="BJ101" s="95">
        <f>VLOOKUP(BD101,CENY!$B$11:$M$2025,12,FALSE)</f>
        <v>224.26065</v>
      </c>
      <c r="BK101" s="95">
        <f t="shared" si="14"/>
        <v>0</v>
      </c>
    </row>
    <row r="102" spans="1:63">
      <c r="A102" s="577"/>
      <c r="AU102" s="22">
        <f>(AU98-1)*4+SUM(O81:AJ81)</f>
        <v>-4</v>
      </c>
      <c r="AV102" s="21" t="s">
        <v>358</v>
      </c>
      <c r="AW102" s="610">
        <f>(AW98-1)*4+SUM(O82:AJ82)</f>
        <v>-4</v>
      </c>
      <c r="AX102" s="610"/>
      <c r="AY102" s="610"/>
      <c r="AZ102" s="326" t="str">
        <f t="shared" si="12"/>
        <v/>
      </c>
      <c r="BA102" s="95"/>
      <c r="BB102" s="95" t="str">
        <f t="shared" si="11"/>
        <v/>
      </c>
      <c r="BD102" s="319">
        <f>OBJ!B315</f>
        <v>9256857</v>
      </c>
      <c r="BE102" s="21" t="str">
        <f>VLOOKUP(BD102,CENY!$B$11:$G$1054,2,FALSE)</f>
        <v>Quadro You(M) 300/SiSy 20kg; EB21; pravý</v>
      </c>
      <c r="BF102" s="22">
        <f>VLOOKUP(BD102,CENY!$B$11:$G$1054,3,FALSE)</f>
        <v>20</v>
      </c>
      <c r="BG102" s="22"/>
      <c r="BH102" s="68"/>
      <c r="BI102" s="326" t="str">
        <f t="shared" si="13"/>
        <v/>
      </c>
      <c r="BJ102" s="95">
        <f>VLOOKUP(BD102,CENY!$B$11:$M$2025,12,FALSE)</f>
        <v>224.26065</v>
      </c>
      <c r="BK102" s="95">
        <f t="shared" si="14"/>
        <v>0</v>
      </c>
    </row>
    <row r="103" spans="1:63">
      <c r="A103" s="577"/>
      <c r="AU103" s="22"/>
      <c r="AV103" s="21"/>
      <c r="AW103" s="370"/>
      <c r="AX103" s="370"/>
      <c r="AY103" s="371"/>
      <c r="AZ103" s="326" t="str">
        <f t="shared" si="12"/>
        <v/>
      </c>
      <c r="BA103" s="95"/>
      <c r="BB103" s="95" t="str">
        <f t="shared" si="11"/>
        <v/>
      </c>
      <c r="BD103" s="319">
        <f>OBJ!B316</f>
        <v>9256860</v>
      </c>
      <c r="BE103" s="21" t="str">
        <f>VLOOKUP(BD103,CENY!$B$11:$G$1054,2,FALSE)</f>
        <v>Quadro You(M) 350/SiSy 25kg; EB21; ľavý</v>
      </c>
      <c r="BF103" s="22">
        <f>VLOOKUP(BD103,CENY!$B$11:$G$1054,3,FALSE)</f>
        <v>20</v>
      </c>
      <c r="BG103" s="22"/>
      <c r="BH103" s="68"/>
      <c r="BI103" s="326" t="str">
        <f t="shared" si="13"/>
        <v/>
      </c>
      <c r="BJ103" s="95">
        <f>VLOOKUP(BD103,CENY!$B$11:$M$2025,12,FALSE)</f>
        <v>229.11434</v>
      </c>
      <c r="BK103" s="95">
        <f t="shared" si="14"/>
        <v>0</v>
      </c>
    </row>
    <row r="104" spans="1:63">
      <c r="A104" s="577"/>
      <c r="AU104" s="20"/>
      <c r="AV104" s="21"/>
      <c r="AW104" s="22"/>
      <c r="AX104" s="22"/>
      <c r="AY104" s="23"/>
      <c r="AZ104" s="326" t="str">
        <f t="shared" si="12"/>
        <v/>
      </c>
      <c r="BA104" s="95"/>
      <c r="BB104" s="95" t="str">
        <f t="shared" si="11"/>
        <v/>
      </c>
      <c r="BD104" s="319">
        <f>OBJ!B317</f>
        <v>9256861</v>
      </c>
      <c r="BE104" s="21" t="str">
        <f>VLOOKUP(BD104,CENY!$B$11:$G$1054,2,FALSE)</f>
        <v>Quadro You(M) 350/SiSy 25kg; EB21; pravý</v>
      </c>
      <c r="BF104" s="22">
        <f>VLOOKUP(BD104,CENY!$B$11:$G$1054,3,FALSE)</f>
        <v>20</v>
      </c>
      <c r="BG104" s="22"/>
      <c r="BH104" s="68"/>
      <c r="BI104" s="326" t="str">
        <f t="shared" si="13"/>
        <v/>
      </c>
      <c r="BJ104" s="95">
        <f>VLOOKUP(BD104,CENY!$B$11:$M$2025,12,FALSE)</f>
        <v>229.11434</v>
      </c>
      <c r="BK104" s="95">
        <f t="shared" si="14"/>
        <v>0</v>
      </c>
    </row>
    <row r="105" spans="1:63">
      <c r="A105" s="577"/>
      <c r="AU105" s="20"/>
      <c r="AV105" s="21"/>
      <c r="AW105" s="22"/>
      <c r="AX105" s="22"/>
      <c r="AY105" s="23"/>
      <c r="AZ105" s="326" t="str">
        <f t="shared" si="12"/>
        <v/>
      </c>
      <c r="BA105" s="95"/>
      <c r="BB105" s="95" t="str">
        <f t="shared" si="11"/>
        <v/>
      </c>
      <c r="BD105" s="319">
        <f>OBJ!B318</f>
        <v>9256864</v>
      </c>
      <c r="BE105" s="21" t="str">
        <f>VLOOKUP(BD105,CENY!$B$11:$G$1054,2,FALSE)</f>
        <v>Quadro You(M) 400/SiSy 30kg; EB21; ľavý</v>
      </c>
      <c r="BF105" s="22">
        <f>VLOOKUP(BD105,CENY!$B$11:$G$1054,3,FALSE)</f>
        <v>20</v>
      </c>
      <c r="BG105" s="22"/>
      <c r="BH105" s="68"/>
      <c r="BI105" s="326" t="str">
        <f t="shared" si="13"/>
        <v/>
      </c>
      <c r="BJ105" s="95">
        <f>VLOOKUP(BD105,CENY!$B$11:$M$2025,12,FALSE)</f>
        <v>233.96566000000001</v>
      </c>
      <c r="BK105" s="95">
        <f t="shared" si="14"/>
        <v>0</v>
      </c>
    </row>
    <row r="106" spans="1:63">
      <c r="AU106" s="20"/>
      <c r="AV106" s="21"/>
      <c r="AW106" s="22"/>
      <c r="AX106" s="22"/>
      <c r="AY106" s="23"/>
      <c r="AZ106" s="326" t="str">
        <f t="shared" si="12"/>
        <v/>
      </c>
      <c r="BA106" s="95"/>
      <c r="BB106" s="95" t="str">
        <f t="shared" si="11"/>
        <v/>
      </c>
      <c r="BD106" s="319">
        <f>OBJ!B319</f>
        <v>9256865</v>
      </c>
      <c r="BE106" s="21" t="str">
        <f>VLOOKUP(BD106,CENY!$B$11:$G$1054,2,FALSE)</f>
        <v>Quadro You(M) 400/SiSy 30kg; EB21; pravý</v>
      </c>
      <c r="BF106" s="22">
        <f>VLOOKUP(BD106,CENY!$B$11:$G$1054,3,FALSE)</f>
        <v>20</v>
      </c>
      <c r="BG106" s="22"/>
      <c r="BH106" s="68"/>
      <c r="BI106" s="326" t="str">
        <f t="shared" si="13"/>
        <v/>
      </c>
      <c r="BJ106" s="95">
        <f>VLOOKUP(BD106,CENY!$B$11:$M$2025,12,FALSE)</f>
        <v>233.96566000000001</v>
      </c>
      <c r="BK106" s="95">
        <f t="shared" si="14"/>
        <v>0</v>
      </c>
    </row>
    <row r="107" spans="1:63">
      <c r="AU107" s="20"/>
      <c r="AV107" s="21"/>
      <c r="AW107" s="22"/>
      <c r="AX107" s="22"/>
      <c r="AY107" s="23"/>
      <c r="AZ107" s="326" t="str">
        <f t="shared" si="12"/>
        <v/>
      </c>
      <c r="BA107" s="95"/>
      <c r="BB107" s="95" t="str">
        <f t="shared" si="11"/>
        <v/>
      </c>
      <c r="BD107" s="319">
        <f>OBJ!B320</f>
        <v>9256868</v>
      </c>
      <c r="BE107" s="21" t="str">
        <f>VLOOKUP(BD107,CENY!$B$11:$G$1054,2,FALSE)</f>
        <v>Quadro You(M) 450/SiSy 30kg; EB21; ľavý</v>
      </c>
      <c r="BF107" s="22">
        <f>VLOOKUP(BD107,CENY!$B$11:$G$1054,3,FALSE)</f>
        <v>20</v>
      </c>
      <c r="BG107" s="22"/>
      <c r="BH107" s="23">
        <f>AY64</f>
        <v>0</v>
      </c>
      <c r="BI107" s="326">
        <f t="shared" si="13"/>
        <v>0</v>
      </c>
      <c r="BJ107" s="95">
        <f>VLOOKUP(BD107,CENY!$B$11:$M$2025,12,FALSE)</f>
        <v>238.81201999999999</v>
      </c>
      <c r="BK107" s="95">
        <f t="shared" si="14"/>
        <v>0</v>
      </c>
    </row>
    <row r="108" spans="1:63">
      <c r="AU108" s="20"/>
      <c r="AV108" s="21"/>
      <c r="AW108" s="22"/>
      <c r="AX108" s="22"/>
      <c r="AY108" s="23"/>
      <c r="AZ108" s="326" t="str">
        <f t="shared" si="12"/>
        <v/>
      </c>
      <c r="BA108" s="95"/>
      <c r="BB108" s="95" t="str">
        <f t="shared" si="11"/>
        <v/>
      </c>
      <c r="BD108" s="319">
        <f>OBJ!B321</f>
        <v>9256869</v>
      </c>
      <c r="BE108" s="21" t="str">
        <f>VLOOKUP(BD108,CENY!$B$11:$G$1054,2,FALSE)</f>
        <v>Quadro You(M) 450/SiSy 30kg; EB21; pravý</v>
      </c>
      <c r="BF108" s="22">
        <f>VLOOKUP(BD108,CENY!$B$11:$G$1054,3,FALSE)</f>
        <v>20</v>
      </c>
      <c r="BG108" s="22"/>
      <c r="BH108" s="23">
        <f>AY64</f>
        <v>0</v>
      </c>
      <c r="BI108" s="326">
        <f t="shared" si="13"/>
        <v>0</v>
      </c>
      <c r="BJ108" s="95">
        <f>VLOOKUP(BD108,CENY!$B$11:$M$2025,12,FALSE)</f>
        <v>238.81201999999999</v>
      </c>
      <c r="BK108" s="95">
        <f t="shared" si="14"/>
        <v>0</v>
      </c>
    </row>
    <row r="109" spans="1:63">
      <c r="AU109" s="20"/>
      <c r="AV109" s="21"/>
      <c r="AW109" s="22"/>
      <c r="AX109" s="22"/>
      <c r="AY109" s="23"/>
      <c r="AZ109" s="326" t="str">
        <f t="shared" si="12"/>
        <v/>
      </c>
      <c r="BA109" s="95"/>
      <c r="BB109" s="95" t="str">
        <f t="shared" si="11"/>
        <v/>
      </c>
      <c r="BD109" s="319">
        <f>OBJ!B322</f>
        <v>9256872</v>
      </c>
      <c r="BE109" s="21" t="str">
        <f>VLOOKUP(BD109,CENY!$B$11:$G$1054,2,FALSE)</f>
        <v>Quadro You(M) 500/SiSy 30kg; EB21; ľavý</v>
      </c>
      <c r="BF109" s="22">
        <f>VLOOKUP(BD109,CENY!$B$11:$G$1054,3,FALSE)</f>
        <v>20</v>
      </c>
      <c r="BG109" s="22"/>
      <c r="BH109" s="23">
        <f>AY65</f>
        <v>0</v>
      </c>
      <c r="BI109" s="326">
        <f t="shared" si="13"/>
        <v>0</v>
      </c>
      <c r="BJ109" s="95">
        <f>VLOOKUP(BD109,CENY!$B$11:$M$2025,12,FALSE)</f>
        <v>237.18776</v>
      </c>
      <c r="BK109" s="95">
        <f t="shared" si="14"/>
        <v>0</v>
      </c>
    </row>
    <row r="110" spans="1:63">
      <c r="AU110" s="20"/>
      <c r="AV110" s="21"/>
      <c r="AW110" s="22"/>
      <c r="AX110" s="22"/>
      <c r="AY110" s="23"/>
      <c r="AZ110" s="326" t="str">
        <f t="shared" si="12"/>
        <v/>
      </c>
      <c r="BA110" s="95"/>
      <c r="BB110" s="95" t="str">
        <f t="shared" si="11"/>
        <v/>
      </c>
      <c r="BD110" s="319">
        <f>OBJ!B323</f>
        <v>9256873</v>
      </c>
      <c r="BE110" s="21" t="str">
        <f>VLOOKUP(BD110,CENY!$B$11:$G$1054,2,FALSE)</f>
        <v>Quadro You(M) 500/SiSy 30kg; EB21; pravý</v>
      </c>
      <c r="BF110" s="22">
        <f>VLOOKUP(BD110,CENY!$B$11:$G$1054,3,FALSE)</f>
        <v>20</v>
      </c>
      <c r="BG110" s="22"/>
      <c r="BH110" s="23">
        <f>AY65</f>
        <v>0</v>
      </c>
      <c r="BI110" s="326">
        <f t="shared" si="13"/>
        <v>0</v>
      </c>
      <c r="BJ110" s="95">
        <f>VLOOKUP(BD110,CENY!$B$11:$M$2025,12,FALSE)</f>
        <v>237.18776</v>
      </c>
      <c r="BK110" s="95">
        <f t="shared" si="14"/>
        <v>0</v>
      </c>
    </row>
    <row r="111" spans="1:63">
      <c r="AU111" s="20"/>
      <c r="AV111" s="21"/>
      <c r="AW111" s="22"/>
      <c r="AX111" s="22"/>
      <c r="AY111" s="23"/>
      <c r="AZ111" s="326" t="str">
        <f t="shared" si="12"/>
        <v/>
      </c>
      <c r="BA111" s="95"/>
      <c r="BB111" s="95" t="str">
        <f t="shared" si="11"/>
        <v/>
      </c>
      <c r="BD111" s="319">
        <f>OBJ!B324</f>
        <v>9256876</v>
      </c>
      <c r="BE111" s="21" t="str">
        <f>VLOOKUP(BD111,CENY!$B$11:$G$1054,2,FALSE)</f>
        <v>Quadro You(M) 550/SiSy 30kg; EB21; ľavý</v>
      </c>
      <c r="BF111" s="22">
        <f>VLOOKUP(BD111,CENY!$B$11:$G$1054,3,FALSE)</f>
        <v>20</v>
      </c>
      <c r="BG111" s="22"/>
      <c r="BH111" s="23">
        <f>AY66</f>
        <v>0</v>
      </c>
      <c r="BI111" s="326">
        <f t="shared" si="13"/>
        <v>0</v>
      </c>
      <c r="BJ111" s="95">
        <f>VLOOKUP(BD111,CENY!$B$11:$M$2025,12,FALSE)</f>
        <v>241.90996999999999</v>
      </c>
      <c r="BK111" s="95">
        <f t="shared" si="14"/>
        <v>0</v>
      </c>
    </row>
    <row r="112" spans="1:63">
      <c r="AU112" s="20"/>
      <c r="AV112" s="21"/>
      <c r="AW112" s="22"/>
      <c r="AX112" s="22"/>
      <c r="AY112" s="23"/>
      <c r="AZ112" s="326" t="str">
        <f t="shared" si="12"/>
        <v/>
      </c>
      <c r="BA112" s="95"/>
      <c r="BB112" s="95" t="str">
        <f t="shared" si="11"/>
        <v/>
      </c>
      <c r="BD112" s="319">
        <f>OBJ!B325</f>
        <v>9256877</v>
      </c>
      <c r="BE112" s="21" t="str">
        <f>VLOOKUP(BD112,CENY!$B$11:$G$1054,2,FALSE)</f>
        <v>Quadro You(M) 550/SiSy 30kg; EB21; pravý</v>
      </c>
      <c r="BF112" s="22">
        <f>VLOOKUP(BD112,CENY!$B$11:$G$1054,3,FALSE)</f>
        <v>20</v>
      </c>
      <c r="BG112" s="22"/>
      <c r="BH112" s="23">
        <f>AY66</f>
        <v>0</v>
      </c>
      <c r="BI112" s="326">
        <f t="shared" si="13"/>
        <v>0</v>
      </c>
      <c r="BJ112" s="95">
        <f>VLOOKUP(BD112,CENY!$B$11:$M$2025,12,FALSE)</f>
        <v>248.51953</v>
      </c>
      <c r="BK112" s="95">
        <f t="shared" si="14"/>
        <v>0</v>
      </c>
    </row>
    <row r="113" spans="47:63">
      <c r="AU113" s="20"/>
      <c r="AV113" s="21"/>
      <c r="AW113" s="22"/>
      <c r="AX113" s="22"/>
      <c r="AY113" s="23"/>
      <c r="AZ113" s="326" t="str">
        <f t="shared" si="12"/>
        <v/>
      </c>
      <c r="BA113" s="95"/>
      <c r="BB113" s="95" t="str">
        <f t="shared" si="11"/>
        <v/>
      </c>
      <c r="BD113" s="319">
        <f>OBJ!B326</f>
        <v>9256880</v>
      </c>
      <c r="BE113" s="21" t="str">
        <f>VLOOKUP(BD113,CENY!$B$11:$G$1054,2,FALSE)</f>
        <v>Quadro You(M) 600/SiSy 25kg; EB21; ľavý</v>
      </c>
      <c r="BF113" s="22">
        <f>VLOOKUP(BD113,CENY!$B$11:$G$1054,3,FALSE)</f>
        <v>20</v>
      </c>
      <c r="BG113" s="22"/>
      <c r="BH113" s="23">
        <f>AY67</f>
        <v>0</v>
      </c>
      <c r="BI113" s="326">
        <f t="shared" si="13"/>
        <v>0</v>
      </c>
      <c r="BJ113" s="95">
        <f>VLOOKUP(BD113,CENY!$B$11:$M$2025,12,FALSE)</f>
        <v>253.36837</v>
      </c>
      <c r="BK113" s="95">
        <f t="shared" si="14"/>
        <v>0</v>
      </c>
    </row>
    <row r="114" spans="47:63">
      <c r="AU114" s="20"/>
      <c r="AV114" s="21"/>
      <c r="AW114" s="22"/>
      <c r="AX114" s="22"/>
      <c r="AY114" s="23"/>
      <c r="AZ114" s="326" t="str">
        <f t="shared" si="12"/>
        <v/>
      </c>
      <c r="BA114" s="95"/>
      <c r="BB114" s="95" t="str">
        <f t="shared" si="11"/>
        <v/>
      </c>
      <c r="BD114" s="319">
        <f>OBJ!B327</f>
        <v>9256881</v>
      </c>
      <c r="BE114" s="21" t="str">
        <f>VLOOKUP(BD114,CENY!$B$11:$G$1054,2,FALSE)</f>
        <v>Quadro You(M) 600/SiSy 25kg; EB21; pravý</v>
      </c>
      <c r="BF114" s="22">
        <f>VLOOKUP(BD114,CENY!$B$11:$G$1054,3,FALSE)</f>
        <v>20</v>
      </c>
      <c r="BG114" s="22"/>
      <c r="BH114" s="23">
        <f>AY67</f>
        <v>0</v>
      </c>
      <c r="BI114" s="326">
        <f t="shared" si="13"/>
        <v>0</v>
      </c>
      <c r="BJ114" s="95">
        <f>VLOOKUP(BD114,CENY!$B$11:$M$2025,12,FALSE)</f>
        <v>253.36837</v>
      </c>
      <c r="BK114" s="95">
        <f t="shared" si="14"/>
        <v>0</v>
      </c>
    </row>
    <row r="115" spans="47:63">
      <c r="AU115" s="20"/>
      <c r="AV115" s="21"/>
      <c r="AW115" s="22"/>
      <c r="AX115" s="22"/>
      <c r="AY115" s="23"/>
      <c r="AZ115" s="326" t="str">
        <f t="shared" si="12"/>
        <v/>
      </c>
      <c r="BA115" s="95"/>
      <c r="BB115" s="95" t="str">
        <f t="shared" si="11"/>
        <v/>
      </c>
      <c r="BD115" s="319"/>
      <c r="BE115" s="21"/>
      <c r="BF115" s="22"/>
      <c r="BG115" s="22"/>
      <c r="BH115" s="23"/>
      <c r="BI115" s="326" t="str">
        <f t="shared" si="13"/>
        <v/>
      </c>
      <c r="BJ115" s="95"/>
      <c r="BK115" s="95" t="str">
        <f t="shared" si="14"/>
        <v/>
      </c>
    </row>
    <row r="116" spans="47:63">
      <c r="AU116" s="20"/>
      <c r="AV116" s="21"/>
      <c r="AW116" s="22"/>
      <c r="AX116" s="22"/>
      <c r="AY116" s="23"/>
      <c r="AZ116" s="326" t="str">
        <f t="shared" si="12"/>
        <v/>
      </c>
      <c r="BA116" s="95"/>
      <c r="BB116" s="95" t="str">
        <f t="shared" si="11"/>
        <v/>
      </c>
      <c r="BD116" s="319">
        <f>OBJ!B329</f>
        <v>9257894</v>
      </c>
      <c r="BE116" s="21" t="str">
        <f>VLOOKUP(BD116,CENY!$B$11:$G$1054,2,FALSE)</f>
        <v>Quadro You - Push to open Silent; &lt;10kg</v>
      </c>
      <c r="BF116" s="22">
        <f>VLOOKUP(BD116,CENY!$B$11:$G$1054,3,FALSE)</f>
        <v>1</v>
      </c>
      <c r="BG116" s="22"/>
      <c r="BH116" s="68"/>
      <c r="BI116" s="326" t="str">
        <f t="shared" si="13"/>
        <v/>
      </c>
      <c r="BJ116" s="95">
        <f>VLOOKUP(BD116,CENY!$B$11:$M$2025,12,FALSE)</f>
        <v>480.50922000000003</v>
      </c>
      <c r="BK116" s="95">
        <f t="shared" si="14"/>
        <v>0</v>
      </c>
    </row>
    <row r="117" spans="47:63">
      <c r="AU117" s="20"/>
      <c r="AV117" s="21"/>
      <c r="AW117" s="22"/>
      <c r="AX117" s="22"/>
      <c r="AY117" s="23"/>
      <c r="AZ117" s="326" t="str">
        <f t="shared" si="12"/>
        <v/>
      </c>
      <c r="BA117" s="95"/>
      <c r="BB117" s="95" t="str">
        <f t="shared" si="11"/>
        <v/>
      </c>
      <c r="BD117" s="319">
        <f>OBJ!B330</f>
        <v>9257895</v>
      </c>
      <c r="BE117" s="21" t="str">
        <f>VLOOKUP(BD117,CENY!$B$11:$G$1054,2,FALSE)</f>
        <v>Quadro You - Push to open Silent; 8-20kg</v>
      </c>
      <c r="BF117" s="22">
        <f>VLOOKUP(BD117,CENY!$B$11:$G$1054,3,FALSE)</f>
        <v>1</v>
      </c>
      <c r="BG117" s="22"/>
      <c r="BH117" s="68"/>
      <c r="BI117" s="326" t="str">
        <f t="shared" si="13"/>
        <v/>
      </c>
      <c r="BJ117" s="95">
        <f>VLOOKUP(BD117,CENY!$B$11:$M$2025,12,FALSE)</f>
        <v>480.50922000000003</v>
      </c>
      <c r="BK117" s="95">
        <f t="shared" si="14"/>
        <v>0</v>
      </c>
    </row>
    <row r="118" spans="47:63">
      <c r="AU118" s="20"/>
      <c r="AV118" s="21"/>
      <c r="AW118" s="22"/>
      <c r="AX118" s="22"/>
      <c r="AY118" s="23"/>
      <c r="AZ118" s="326" t="str">
        <f t="shared" si="12"/>
        <v/>
      </c>
      <c r="BA118" s="95"/>
      <c r="BB118" s="95" t="str">
        <f t="shared" si="11"/>
        <v/>
      </c>
      <c r="BD118" s="319">
        <f>OBJ!B331</f>
        <v>9257896</v>
      </c>
      <c r="BE118" s="21" t="str">
        <f>VLOOKUP(BD118,CENY!$B$11:$G$1054,2,FALSE)</f>
        <v>Quadro You - Push to open Silent; 10-30kg</v>
      </c>
      <c r="BF118" s="22">
        <f>VLOOKUP(BD118,CENY!$B$11:$G$1054,3,FALSE)</f>
        <v>1</v>
      </c>
      <c r="BG118" s="22"/>
      <c r="BH118" s="68"/>
      <c r="BI118" s="326" t="str">
        <f t="shared" si="13"/>
        <v/>
      </c>
      <c r="BJ118" s="95">
        <f>VLOOKUP(BD118,CENY!$B$11:$M$2025,12,FALSE)</f>
        <v>480.50922000000003</v>
      </c>
      <c r="BK118" s="95">
        <f t="shared" si="14"/>
        <v>0</v>
      </c>
    </row>
    <row r="119" spans="47:63">
      <c r="AU119" s="20"/>
      <c r="AV119" s="21"/>
      <c r="AW119" s="22"/>
      <c r="AX119" s="22"/>
      <c r="AY119" s="23"/>
      <c r="AZ119" s="326" t="str">
        <f t="shared" si="12"/>
        <v/>
      </c>
      <c r="BA119" s="95"/>
      <c r="BB119" s="95" t="str">
        <f t="shared" si="11"/>
        <v/>
      </c>
      <c r="BD119" s="319"/>
      <c r="BE119" s="21"/>
      <c r="BF119" s="22"/>
      <c r="BG119" s="22"/>
      <c r="BH119" s="23"/>
      <c r="BI119" s="326" t="str">
        <f t="shared" si="13"/>
        <v/>
      </c>
      <c r="BJ119" s="95"/>
      <c r="BK119" s="95" t="str">
        <f t="shared" si="14"/>
        <v/>
      </c>
    </row>
    <row r="120" spans="47:63">
      <c r="AU120" s="20"/>
      <c r="AV120" s="21"/>
      <c r="AW120" s="22"/>
      <c r="AX120" s="22"/>
      <c r="AY120" s="23"/>
      <c r="AZ120" s="326" t="str">
        <f t="shared" si="12"/>
        <v/>
      </c>
      <c r="BA120" s="95"/>
      <c r="BB120" s="95" t="str">
        <f t="shared" si="11"/>
        <v/>
      </c>
      <c r="BD120" s="319">
        <f>OBJ!B341</f>
        <v>9256899</v>
      </c>
      <c r="BE120" s="21" t="str">
        <f>VLOOKUP(BD120,CENY!$B$11:$G$1054,2,FALSE)</f>
        <v>Quadro You(M) 270/P2O 20kg; EB21; ľavý</v>
      </c>
      <c r="BF120" s="22">
        <f>VLOOKUP(BD120,CENY!$B$11:$G$1054,3,FALSE)</f>
        <v>20</v>
      </c>
      <c r="BG120" s="22"/>
      <c r="BH120" s="68"/>
      <c r="BI120" s="326" t="str">
        <f t="shared" si="13"/>
        <v/>
      </c>
      <c r="BJ120" s="95">
        <f>VLOOKUP(BD120,CENY!$B$11:$M$2025,12,FALSE)</f>
        <v>252.8922</v>
      </c>
      <c r="BK120" s="95">
        <f t="shared" si="14"/>
        <v>0</v>
      </c>
    </row>
    <row r="121" spans="47:63">
      <c r="AU121" s="20"/>
      <c r="AV121" s="21"/>
      <c r="AW121" s="22"/>
      <c r="AX121" s="22"/>
      <c r="AY121" s="23"/>
      <c r="AZ121" s="326" t="str">
        <f t="shared" si="12"/>
        <v/>
      </c>
      <c r="BA121" s="95"/>
      <c r="BB121" s="95" t="str">
        <f t="shared" si="11"/>
        <v/>
      </c>
      <c r="BD121" s="319">
        <f>OBJ!B342</f>
        <v>9256900</v>
      </c>
      <c r="BE121" s="21" t="str">
        <f>VLOOKUP(BD121,CENY!$B$11:$G$1054,2,FALSE)</f>
        <v>Quadro You(M) 270/P2O 20kg; EB21; pravý</v>
      </c>
      <c r="BF121" s="22">
        <f>VLOOKUP(BD121,CENY!$B$11:$G$1054,3,FALSE)</f>
        <v>20</v>
      </c>
      <c r="BG121" s="22"/>
      <c r="BH121" s="68"/>
      <c r="BI121" s="326" t="str">
        <f t="shared" si="13"/>
        <v/>
      </c>
      <c r="BJ121" s="95">
        <f>VLOOKUP(BD121,CENY!$B$11:$M$2025,12,FALSE)</f>
        <v>252.8922</v>
      </c>
      <c r="BK121" s="95">
        <f t="shared" si="14"/>
        <v>0</v>
      </c>
    </row>
    <row r="122" spans="47:63">
      <c r="AU122" s="20"/>
      <c r="AV122" s="21"/>
      <c r="AW122" s="22"/>
      <c r="AX122" s="22"/>
      <c r="AY122" s="23"/>
      <c r="AZ122" s="326" t="str">
        <f t="shared" si="12"/>
        <v/>
      </c>
      <c r="BA122" s="95"/>
      <c r="BB122" s="95" t="str">
        <f t="shared" si="11"/>
        <v/>
      </c>
      <c r="BD122" s="319">
        <f>OBJ!B343</f>
        <v>9256901</v>
      </c>
      <c r="BE122" s="21" t="str">
        <f>VLOOKUP(BD122,CENY!$B$11:$G$1054,2,FALSE)</f>
        <v>Quadro You(M) 300/P2O 20kg; EB21; ľavý</v>
      </c>
      <c r="BF122" s="22">
        <f>VLOOKUP(BD122,CENY!$B$11:$G$1054,3,FALSE)</f>
        <v>20</v>
      </c>
      <c r="BG122" s="22"/>
      <c r="BH122" s="68"/>
      <c r="BI122" s="326" t="str">
        <f t="shared" si="13"/>
        <v/>
      </c>
      <c r="BJ122" s="95">
        <f>VLOOKUP(BD122,CENY!$B$11:$M$2025,12,FALSE)</f>
        <v>253.36837</v>
      </c>
      <c r="BK122" s="95">
        <f t="shared" si="14"/>
        <v>0</v>
      </c>
    </row>
    <row r="123" spans="47:63">
      <c r="AU123" s="20"/>
      <c r="AV123" s="21"/>
      <c r="AW123" s="22"/>
      <c r="AX123" s="22"/>
      <c r="AY123" s="23"/>
      <c r="AZ123" s="326" t="str">
        <f t="shared" si="12"/>
        <v/>
      </c>
      <c r="BA123" s="95"/>
      <c r="BB123" s="95" t="str">
        <f t="shared" si="11"/>
        <v/>
      </c>
      <c r="BD123" s="319">
        <f>OBJ!B344</f>
        <v>9256902</v>
      </c>
      <c r="BE123" s="21" t="str">
        <f>VLOOKUP(BD123,CENY!$B$11:$G$1054,2,FALSE)</f>
        <v>Quadro You(M) 300/P2O 20kg; EB21; pravý</v>
      </c>
      <c r="BF123" s="22">
        <f>VLOOKUP(BD123,CENY!$B$11:$G$1054,3,FALSE)</f>
        <v>20</v>
      </c>
      <c r="BG123" s="22"/>
      <c r="BH123" s="68"/>
      <c r="BI123" s="326" t="str">
        <f t="shared" si="13"/>
        <v/>
      </c>
      <c r="BJ123" s="95">
        <f>VLOOKUP(BD123,CENY!$B$11:$M$2025,12,FALSE)</f>
        <v>253.36837</v>
      </c>
      <c r="BK123" s="95">
        <f t="shared" si="14"/>
        <v>0</v>
      </c>
    </row>
    <row r="124" spans="47:63">
      <c r="AU124" s="20"/>
      <c r="AV124" s="21"/>
      <c r="AW124" s="22"/>
      <c r="AX124" s="22"/>
      <c r="AY124" s="23"/>
      <c r="AZ124" s="326" t="str">
        <f t="shared" si="12"/>
        <v/>
      </c>
      <c r="BA124" s="95"/>
      <c r="BB124" s="95" t="str">
        <f t="shared" si="11"/>
        <v/>
      </c>
      <c r="BD124" s="319">
        <f>OBJ!B345</f>
        <v>9256905</v>
      </c>
      <c r="BE124" s="21" t="str">
        <f>VLOOKUP(BD124,CENY!$B$11:$G$1054,2,FALSE)</f>
        <v>Quadro You(M) 350/P2O 25kg; EB21; ľavý</v>
      </c>
      <c r="BF124" s="22">
        <f>VLOOKUP(BD124,CENY!$B$11:$G$1054,3,FALSE)</f>
        <v>20</v>
      </c>
      <c r="BG124" s="22"/>
      <c r="BH124" s="68"/>
      <c r="BI124" s="326" t="str">
        <f t="shared" si="13"/>
        <v/>
      </c>
      <c r="BJ124" s="95">
        <f>VLOOKUP(BD124,CENY!$B$11:$M$2025,12,FALSE)</f>
        <v>258.22465999999997</v>
      </c>
      <c r="BK124" s="95">
        <f t="shared" si="14"/>
        <v>0</v>
      </c>
    </row>
    <row r="125" spans="47:63">
      <c r="AU125" s="20"/>
      <c r="AV125" s="21"/>
      <c r="AW125" s="22"/>
      <c r="AX125" s="22"/>
      <c r="AY125" s="23"/>
      <c r="AZ125" s="326" t="str">
        <f t="shared" si="12"/>
        <v/>
      </c>
      <c r="BA125" s="95"/>
      <c r="BB125" s="95" t="str">
        <f t="shared" si="11"/>
        <v/>
      </c>
      <c r="BD125" s="319">
        <f>OBJ!B346</f>
        <v>9256906</v>
      </c>
      <c r="BE125" s="21" t="str">
        <f>VLOOKUP(BD125,CENY!$B$11:$G$1054,2,FALSE)</f>
        <v>Quadro You(M) 350/P2O 25kg; EB21; pravý</v>
      </c>
      <c r="BF125" s="22">
        <f>VLOOKUP(BD125,CENY!$B$11:$G$1054,3,FALSE)</f>
        <v>20</v>
      </c>
      <c r="BG125" s="22"/>
      <c r="BH125" s="68"/>
      <c r="BI125" s="326" t="str">
        <f t="shared" si="13"/>
        <v/>
      </c>
      <c r="BJ125" s="95">
        <f>VLOOKUP(BD125,CENY!$B$11:$M$2025,12,FALSE)</f>
        <v>258.22465999999997</v>
      </c>
      <c r="BK125" s="95">
        <f t="shared" si="14"/>
        <v>0</v>
      </c>
    </row>
    <row r="126" spans="47:63">
      <c r="AU126" s="20"/>
      <c r="AV126" s="21"/>
      <c r="AW126" s="22"/>
      <c r="AX126" s="22"/>
      <c r="AY126" s="23"/>
      <c r="AZ126" s="326" t="str">
        <f t="shared" si="12"/>
        <v/>
      </c>
      <c r="BA126" s="95"/>
      <c r="BB126" s="95" t="str">
        <f t="shared" si="11"/>
        <v/>
      </c>
      <c r="BD126" s="319">
        <f>OBJ!B347</f>
        <v>9256909</v>
      </c>
      <c r="BE126" s="21" t="str">
        <f>VLOOKUP(BD126,CENY!$B$11:$G$1054,2,FALSE)</f>
        <v>Quadro You(M) 400/P2O 30kg; EB21; ľavý</v>
      </c>
      <c r="BF126" s="22">
        <f>VLOOKUP(BD126,CENY!$B$11:$G$1054,3,FALSE)</f>
        <v>20</v>
      </c>
      <c r="BG126" s="22"/>
      <c r="BH126" s="68"/>
      <c r="BI126" s="326" t="str">
        <f t="shared" si="13"/>
        <v/>
      </c>
      <c r="BJ126" s="95">
        <f>VLOOKUP(BD126,CENY!$B$11:$M$2025,12,FALSE)</f>
        <v>263.07337999999999</v>
      </c>
      <c r="BK126" s="95">
        <f t="shared" si="14"/>
        <v>0</v>
      </c>
    </row>
    <row r="127" spans="47:63">
      <c r="AU127" s="20"/>
      <c r="AV127" s="21"/>
      <c r="AW127" s="22"/>
      <c r="AX127" s="22"/>
      <c r="AY127" s="23"/>
      <c r="AZ127" s="326" t="str">
        <f t="shared" si="12"/>
        <v/>
      </c>
      <c r="BA127" s="95"/>
      <c r="BB127" s="95" t="str">
        <f t="shared" si="11"/>
        <v/>
      </c>
      <c r="BD127" s="319">
        <f>OBJ!B348</f>
        <v>9256910</v>
      </c>
      <c r="BE127" s="21" t="str">
        <f>VLOOKUP(BD127,CENY!$B$11:$G$1054,2,FALSE)</f>
        <v>Quadro You(M) 400/P2O 30kg; EB21; pravý</v>
      </c>
      <c r="BF127" s="22">
        <f>VLOOKUP(BD127,CENY!$B$11:$G$1054,3,FALSE)</f>
        <v>20</v>
      </c>
      <c r="BG127" s="22"/>
      <c r="BH127" s="68"/>
      <c r="BI127" s="326" t="str">
        <f t="shared" si="13"/>
        <v/>
      </c>
      <c r="BJ127" s="95">
        <f>VLOOKUP(BD127,CENY!$B$11:$M$2025,12,FALSE)</f>
        <v>263.07337999999999</v>
      </c>
      <c r="BK127" s="95">
        <f t="shared" si="14"/>
        <v>0</v>
      </c>
    </row>
    <row r="128" spans="47:63">
      <c r="AU128" s="20"/>
      <c r="AV128" s="21"/>
      <c r="AW128" s="22"/>
      <c r="AX128" s="22"/>
      <c r="AY128" s="23"/>
      <c r="AZ128" s="326" t="str">
        <f t="shared" si="12"/>
        <v/>
      </c>
      <c r="BA128" s="95"/>
      <c r="BB128" s="95" t="str">
        <f t="shared" si="11"/>
        <v/>
      </c>
      <c r="BD128" s="319">
        <f>OBJ!B349</f>
        <v>9256913</v>
      </c>
      <c r="BE128" s="21" t="str">
        <f>VLOOKUP(BD128,CENY!$B$11:$G$1054,2,FALSE)</f>
        <v>Quadro You(M) 450/P2O 30kg; EB21; ľavý</v>
      </c>
      <c r="BF128" s="22">
        <f>VLOOKUP(BD128,CENY!$B$11:$G$1054,3,FALSE)</f>
        <v>20</v>
      </c>
      <c r="BG128" s="22"/>
      <c r="BH128" s="68"/>
      <c r="BI128" s="326" t="str">
        <f t="shared" si="13"/>
        <v/>
      </c>
      <c r="BJ128" s="95">
        <f>VLOOKUP(BD128,CENY!$B$11:$M$2025,12,FALSE)</f>
        <v>267.92221999999998</v>
      </c>
      <c r="BK128" s="95">
        <f t="shared" si="14"/>
        <v>0</v>
      </c>
    </row>
    <row r="129" spans="47:63">
      <c r="AU129" s="20"/>
      <c r="AV129" s="21"/>
      <c r="AW129" s="22"/>
      <c r="AX129" s="22"/>
      <c r="AY129" s="23"/>
      <c r="AZ129" s="326" t="str">
        <f t="shared" si="12"/>
        <v/>
      </c>
      <c r="BA129" s="95"/>
      <c r="BB129" s="95" t="str">
        <f t="shared" si="11"/>
        <v/>
      </c>
      <c r="BD129" s="319">
        <f>OBJ!B350</f>
        <v>9256914</v>
      </c>
      <c r="BE129" s="21" t="str">
        <f>VLOOKUP(BD129,CENY!$B$11:$G$1054,2,FALSE)</f>
        <v>Quadro You(M) 450/P2O 30kg; EB21; pravý</v>
      </c>
      <c r="BF129" s="22">
        <f>VLOOKUP(BD129,CENY!$B$11:$G$1054,3,FALSE)</f>
        <v>20</v>
      </c>
      <c r="BG129" s="22"/>
      <c r="BH129" s="68"/>
      <c r="BI129" s="326" t="str">
        <f t="shared" si="13"/>
        <v/>
      </c>
      <c r="BJ129" s="95">
        <f>VLOOKUP(BD129,CENY!$B$11:$M$2025,12,FALSE)</f>
        <v>267.92221999999998</v>
      </c>
      <c r="BK129" s="95">
        <f t="shared" si="14"/>
        <v>0</v>
      </c>
    </row>
    <row r="130" spans="47:63">
      <c r="AU130" s="20"/>
      <c r="AV130" s="21"/>
      <c r="AW130" s="22"/>
      <c r="AX130" s="22"/>
      <c r="AY130" s="23"/>
      <c r="AZ130" s="326" t="str">
        <f t="shared" si="12"/>
        <v/>
      </c>
      <c r="BA130" s="95"/>
      <c r="BB130" s="95" t="str">
        <f t="shared" si="11"/>
        <v/>
      </c>
      <c r="BD130" s="319">
        <f>OBJ!B351</f>
        <v>9256917</v>
      </c>
      <c r="BE130" s="21" t="str">
        <f>VLOOKUP(BD130,CENY!$B$11:$G$1054,2,FALSE)</f>
        <v>Quadro You(M) 500/P2O 30kg; EB21; ľavý</v>
      </c>
      <c r="BF130" s="22">
        <f>VLOOKUP(BD130,CENY!$B$11:$G$1054,3,FALSE)</f>
        <v>20</v>
      </c>
      <c r="BG130" s="22"/>
      <c r="BH130" s="68"/>
      <c r="BI130" s="326" t="str">
        <f t="shared" si="13"/>
        <v/>
      </c>
      <c r="BJ130" s="95">
        <f>VLOOKUP(BD130,CENY!$B$11:$M$2025,12,FALSE)</f>
        <v>265.52375999999998</v>
      </c>
      <c r="BK130" s="95">
        <f t="shared" si="14"/>
        <v>0</v>
      </c>
    </row>
    <row r="131" spans="47:63">
      <c r="AU131" s="20"/>
      <c r="AV131" s="21"/>
      <c r="AW131" s="22"/>
      <c r="AX131" s="22"/>
      <c r="AY131" s="23"/>
      <c r="AZ131" s="326" t="str">
        <f t="shared" si="12"/>
        <v/>
      </c>
      <c r="BA131" s="95"/>
      <c r="BB131" s="95" t="str">
        <f t="shared" si="11"/>
        <v/>
      </c>
      <c r="BD131" s="319">
        <f>OBJ!B352</f>
        <v>9256918</v>
      </c>
      <c r="BE131" s="21" t="str">
        <f>VLOOKUP(BD131,CENY!$B$11:$G$1054,2,FALSE)</f>
        <v>Quadro You(M) 500/P2O 30kg; EB21; pravý</v>
      </c>
      <c r="BF131" s="22">
        <f>VLOOKUP(BD131,CENY!$B$11:$G$1054,3,FALSE)</f>
        <v>20</v>
      </c>
      <c r="BG131" s="22"/>
      <c r="BH131" s="68"/>
      <c r="BI131" s="326" t="str">
        <f t="shared" si="13"/>
        <v/>
      </c>
      <c r="BJ131" s="95">
        <f>VLOOKUP(BD131,CENY!$B$11:$M$2025,12,FALSE)</f>
        <v>265.52375999999998</v>
      </c>
      <c r="BK131" s="95">
        <f t="shared" si="14"/>
        <v>0</v>
      </c>
    </row>
    <row r="132" spans="47:63">
      <c r="AU132" s="20"/>
      <c r="AV132" s="21"/>
      <c r="AW132" s="22"/>
      <c r="AX132" s="22"/>
      <c r="AY132" s="23"/>
      <c r="AZ132" s="326" t="str">
        <f t="shared" si="12"/>
        <v/>
      </c>
      <c r="BA132" s="95"/>
      <c r="BB132" s="95" t="str">
        <f t="shared" si="11"/>
        <v/>
      </c>
      <c r="BD132" s="319">
        <f>OBJ!B353</f>
        <v>9256921</v>
      </c>
      <c r="BE132" s="21" t="str">
        <f>VLOOKUP(BD132,CENY!$B$11:$G$1054,2,FALSE)</f>
        <v>Quadro You(M) 550/P2O 30kg; EB21; ľavý</v>
      </c>
      <c r="BF132" s="22">
        <f>VLOOKUP(BD132,CENY!$B$11:$G$1054,3,FALSE)</f>
        <v>20</v>
      </c>
      <c r="BG132" s="22"/>
      <c r="BH132" s="68"/>
      <c r="BI132" s="326" t="str">
        <f t="shared" si="13"/>
        <v/>
      </c>
      <c r="BJ132" s="95">
        <f>VLOOKUP(BD132,CENY!$B$11:$M$2025,12,FALSE)</f>
        <v>270.22431</v>
      </c>
      <c r="BK132" s="95">
        <f t="shared" si="14"/>
        <v>0</v>
      </c>
    </row>
    <row r="133" spans="47:63">
      <c r="AU133" s="20"/>
      <c r="AV133" s="21"/>
      <c r="AW133" s="22"/>
      <c r="AX133" s="22"/>
      <c r="AY133" s="23"/>
      <c r="AZ133" s="326" t="str">
        <f t="shared" si="12"/>
        <v/>
      </c>
      <c r="BA133" s="95"/>
      <c r="BB133" s="95" t="str">
        <f t="shared" si="11"/>
        <v/>
      </c>
      <c r="BD133" s="319">
        <f>OBJ!B354</f>
        <v>9256922</v>
      </c>
      <c r="BE133" s="21" t="str">
        <f>VLOOKUP(BD133,CENY!$B$11:$G$1054,2,FALSE)</f>
        <v>Quadro You(M) 550/P2O 30kg; EB21; pravý</v>
      </c>
      <c r="BF133" s="22">
        <f>VLOOKUP(BD133,CENY!$B$11:$G$1054,3,FALSE)</f>
        <v>20</v>
      </c>
      <c r="BG133" s="22"/>
      <c r="BH133" s="68"/>
      <c r="BI133" s="326" t="str">
        <f t="shared" si="13"/>
        <v/>
      </c>
      <c r="BJ133" s="95">
        <f>VLOOKUP(BD133,CENY!$B$11:$M$2025,12,FALSE)</f>
        <v>277.60748999999998</v>
      </c>
      <c r="BK133" s="95">
        <f t="shared" si="14"/>
        <v>0</v>
      </c>
    </row>
    <row r="134" spans="47:63">
      <c r="AU134" s="20"/>
      <c r="AV134" s="21"/>
      <c r="AW134" s="22"/>
      <c r="AX134" s="22"/>
      <c r="AY134" s="23"/>
      <c r="AZ134" s="326" t="str">
        <f t="shared" si="12"/>
        <v/>
      </c>
      <c r="BA134" s="95"/>
      <c r="BB134" s="95" t="str">
        <f t="shared" si="11"/>
        <v/>
      </c>
      <c r="BD134" s="319">
        <f>OBJ!B355</f>
        <v>9256925</v>
      </c>
      <c r="BE134" s="21" t="str">
        <f>VLOOKUP(BD134,CENY!$B$11:$G$1054,2,FALSE)</f>
        <v>Quadro You(M) 600/P2O 25kg; EB21; ľavý</v>
      </c>
      <c r="BF134" s="22">
        <f>VLOOKUP(BD134,CENY!$B$11:$G$1054,3,FALSE)</f>
        <v>20</v>
      </c>
      <c r="BG134" s="22"/>
      <c r="BH134" s="68"/>
      <c r="BI134" s="326" t="str">
        <f t="shared" si="13"/>
        <v/>
      </c>
      <c r="BJ134" s="95">
        <f>VLOOKUP(BD134,CENY!$B$11:$M$2025,12,FALSE)</f>
        <v>282.45375999999999</v>
      </c>
      <c r="BK134" s="95">
        <f t="shared" si="14"/>
        <v>0</v>
      </c>
    </row>
    <row r="135" spans="47:63">
      <c r="AU135" s="20"/>
      <c r="AV135" s="21"/>
      <c r="AW135" s="22"/>
      <c r="AX135" s="22"/>
      <c r="AY135" s="23"/>
      <c r="AZ135" s="326" t="str">
        <f t="shared" si="12"/>
        <v/>
      </c>
      <c r="BA135" s="95"/>
      <c r="BB135" s="95" t="str">
        <f t="shared" si="11"/>
        <v/>
      </c>
      <c r="BD135" s="319">
        <f>OBJ!B356</f>
        <v>9256926</v>
      </c>
      <c r="BE135" s="21" t="str">
        <f>VLOOKUP(BD135,CENY!$B$11:$G$1054,2,FALSE)</f>
        <v>Quadro You(M) 600/P2O 25kg; EB21; pravý</v>
      </c>
      <c r="BF135" s="22">
        <f>VLOOKUP(BD135,CENY!$B$11:$G$1054,3,FALSE)</f>
        <v>20</v>
      </c>
      <c r="BG135" s="22"/>
      <c r="BH135" s="68"/>
      <c r="BI135" s="326" t="str">
        <f t="shared" si="13"/>
        <v/>
      </c>
      <c r="BJ135" s="95">
        <f>VLOOKUP(BD135,CENY!$B$11:$M$2025,12,FALSE)</f>
        <v>282.45375999999999</v>
      </c>
      <c r="BK135" s="95">
        <f t="shared" si="14"/>
        <v>0</v>
      </c>
    </row>
    <row r="136" spans="47:63">
      <c r="AU136" s="20"/>
      <c r="AV136" s="21"/>
      <c r="AW136" s="22"/>
      <c r="AX136" s="22"/>
      <c r="AY136" s="23"/>
      <c r="AZ136" s="326" t="str">
        <f t="shared" si="12"/>
        <v/>
      </c>
      <c r="BA136" s="95"/>
      <c r="BB136" s="95" t="str">
        <f t="shared" si="11"/>
        <v/>
      </c>
      <c r="BD136" s="319"/>
      <c r="BE136" s="21"/>
      <c r="BF136" s="22"/>
      <c r="BG136" s="22"/>
      <c r="BH136" s="23"/>
      <c r="BI136" s="326" t="str">
        <f t="shared" si="13"/>
        <v/>
      </c>
      <c r="BJ136" s="95"/>
      <c r="BK136" s="95" t="str">
        <f t="shared" si="14"/>
        <v/>
      </c>
    </row>
    <row r="137" spans="47:63">
      <c r="AU137" s="20"/>
      <c r="AV137" s="21"/>
      <c r="AW137" s="22"/>
      <c r="AX137" s="22"/>
      <c r="AY137" s="23"/>
      <c r="AZ137" s="326" t="str">
        <f t="shared" si="12"/>
        <v/>
      </c>
      <c r="BA137" s="95"/>
      <c r="BB137" s="95" t="str">
        <f t="shared" si="11"/>
        <v/>
      </c>
      <c r="BD137" s="319">
        <f>OBJ!B358</f>
        <v>9219966</v>
      </c>
      <c r="BE137" s="21" t="str">
        <f>VLOOKUP(BD137,CENY!$B$11:$G$1054,2,FALSE)</f>
        <v>Push to open Synchro / adaptér typ A</v>
      </c>
      <c r="BF137" s="22">
        <f>VLOOKUP(BD137,CENY!$B$11:$G$1054,3,FALSE)</f>
        <v>200</v>
      </c>
      <c r="BG137" s="22"/>
      <c r="BH137" s="68"/>
      <c r="BI137" s="326" t="str">
        <f t="shared" si="13"/>
        <v/>
      </c>
      <c r="BJ137" s="95">
        <f>VLOOKUP(BD137,CENY!$B$11:$M$2025,12,FALSE)</f>
        <v>16.488900000000001</v>
      </c>
      <c r="BK137" s="95">
        <f t="shared" si="14"/>
        <v>0</v>
      </c>
    </row>
    <row r="138" spans="47:63">
      <c r="AU138" s="20"/>
      <c r="AV138" s="21"/>
      <c r="AW138" s="22"/>
      <c r="AX138" s="22"/>
      <c r="AY138" s="23"/>
      <c r="AZ138" s="326" t="str">
        <f t="shared" si="12"/>
        <v/>
      </c>
      <c r="BA138" s="95"/>
      <c r="BB138" s="95" t="str">
        <f t="shared" si="11"/>
        <v/>
      </c>
      <c r="BD138" s="319"/>
      <c r="BE138" s="21"/>
      <c r="BF138" s="22"/>
      <c r="BG138" s="22"/>
      <c r="BH138" s="23"/>
      <c r="BI138" s="326" t="str">
        <f t="shared" si="13"/>
        <v/>
      </c>
      <c r="BJ138" s="95"/>
      <c r="BK138" s="95" t="str">
        <f t="shared" si="14"/>
        <v/>
      </c>
    </row>
    <row r="139" spans="47:63">
      <c r="AU139" s="20"/>
      <c r="AV139" s="21"/>
      <c r="AW139" s="22"/>
      <c r="AX139" s="22"/>
      <c r="AY139" s="23"/>
      <c r="AZ139" s="326" t="str">
        <f t="shared" si="12"/>
        <v/>
      </c>
      <c r="BA139" s="95"/>
      <c r="BB139" s="95" t="str">
        <f t="shared" si="11"/>
        <v/>
      </c>
      <c r="BD139" s="319">
        <f>OBJ!B214</f>
        <v>0</v>
      </c>
      <c r="BE139" s="21" t="e">
        <f>VLOOKUP(BD139,CENY!$B$11:$G$1054,2,FALSE)</f>
        <v>#N/A</v>
      </c>
      <c r="BF139" s="22" t="e">
        <f>VLOOKUP(BD139,CENY!$B$11:$G$1054,3,FALSE)</f>
        <v>#N/A</v>
      </c>
      <c r="BG139" s="22"/>
      <c r="BH139" s="23">
        <f>AY87</f>
        <v>0</v>
      </c>
      <c r="BI139" s="326">
        <f t="shared" si="13"/>
        <v>0</v>
      </c>
      <c r="BJ139" s="324" t="str">
        <f>IF(BD139=0,"",VLOOKUP(BD139,CENY!$B$11:$M$2025,12,FALSE))</f>
        <v/>
      </c>
      <c r="BK139" s="95" t="str">
        <f t="shared" si="14"/>
        <v/>
      </c>
    </row>
    <row r="140" spans="47:63">
      <c r="AU140" s="20"/>
      <c r="AV140" s="21"/>
      <c r="AW140" s="22"/>
      <c r="AX140" s="22"/>
      <c r="AY140" s="23"/>
      <c r="AZ140" s="326" t="str">
        <f t="shared" si="12"/>
        <v/>
      </c>
      <c r="BA140" s="95"/>
      <c r="BB140" s="95" t="str">
        <f t="shared" si="11"/>
        <v/>
      </c>
      <c r="BD140" s="319"/>
      <c r="BE140" s="21"/>
      <c r="BF140" s="22"/>
      <c r="BG140" s="22"/>
      <c r="BH140" s="23"/>
      <c r="BI140" s="326" t="str">
        <f t="shared" si="13"/>
        <v/>
      </c>
      <c r="BJ140" s="95"/>
      <c r="BK140" s="95" t="str">
        <f t="shared" si="14"/>
        <v/>
      </c>
    </row>
    <row r="141" spans="47:63">
      <c r="AU141" s="20"/>
      <c r="AV141" s="21"/>
      <c r="AW141" s="22"/>
      <c r="AX141" s="22"/>
      <c r="AY141" s="23"/>
      <c r="AZ141" s="326" t="str">
        <f t="shared" si="12"/>
        <v/>
      </c>
      <c r="BA141" s="95"/>
      <c r="BB141" s="95" t="str">
        <f t="shared" si="11"/>
        <v/>
      </c>
      <c r="BD141" s="319"/>
      <c r="BE141" s="21"/>
      <c r="BF141" s="22"/>
      <c r="BG141" s="22"/>
      <c r="BH141" s="23"/>
      <c r="BI141" s="326" t="str">
        <f t="shared" si="13"/>
        <v/>
      </c>
      <c r="BJ141" s="95"/>
      <c r="BK141" s="95" t="str">
        <f t="shared" si="14"/>
        <v/>
      </c>
    </row>
    <row r="142" spans="47:63">
      <c r="AU142" s="319">
        <f>OBJ!B361</f>
        <v>45167</v>
      </c>
      <c r="AV142" s="21" t="str">
        <f>VLOOKUP(AU142,CENY!$B$11:$G$1054,2,FALSE)</f>
        <v>Skrutka s polgul.hlavou 3,5x12mm</v>
      </c>
      <c r="AW142" s="22">
        <f>VLOOKUP(AU142,CENY!$B$11:$G$1054,3,FALSE)</f>
        <v>200</v>
      </c>
      <c r="AX142" s="22"/>
      <c r="AY142" s="23">
        <f>SUMPRODUCT(AX9:AX19,AY9:AY19)</f>
        <v>0</v>
      </c>
      <c r="AZ142" s="326">
        <f t="shared" si="12"/>
        <v>0</v>
      </c>
      <c r="BA142" s="95">
        <f>VLOOKUP(AU142,CENY!$B$11:$M$2025,12,FALSE)</f>
        <v>0.84719999999999995</v>
      </c>
      <c r="BB142" s="95">
        <f>IF(BA142="","",BA142*AY142)</f>
        <v>0</v>
      </c>
      <c r="BC142" s="373" t="s">
        <v>396</v>
      </c>
      <c r="BD142" s="319">
        <f>OBJ!B194</f>
        <v>9257269</v>
      </c>
      <c r="BE142" s="21" t="str">
        <f>VLOOKUP(BD142,CENY!$B$11:$G$1054,2,FALSE)</f>
        <v>AvanY-čelo vnút.zásuvky /v101/d2000/strieb.</v>
      </c>
      <c r="BF142" s="22">
        <f>VLOOKUP(BD142,CENY!$B$11:$G$1054,3,FALSE)</f>
        <v>1</v>
      </c>
      <c r="BG142" s="22"/>
      <c r="BH142" s="23">
        <f>AY90</f>
        <v>0</v>
      </c>
      <c r="BI142" s="326">
        <f t="shared" si="13"/>
        <v>0</v>
      </c>
      <c r="BJ142" s="95">
        <f>VLOOKUP(BD142,CENY!$B$11:$M$2025,12,FALSE)</f>
        <v>1483.13021</v>
      </c>
      <c r="BK142" s="95">
        <f t="shared" si="14"/>
        <v>0</v>
      </c>
    </row>
    <row r="143" spans="47:63">
      <c r="AU143" s="319">
        <f>OBJ!B362</f>
        <v>45168</v>
      </c>
      <c r="AV143" s="21" t="str">
        <f>VLOOKUP(AU143,CENY!$B$11:$G$1054,2,FALSE)</f>
        <v>Skrutka s polgul.hlavou 3,5x20mm</v>
      </c>
      <c r="AW143" s="22">
        <f>VLOOKUP(AU143,CENY!$B$11:$G$1054,3,FALSE)</f>
        <v>200</v>
      </c>
      <c r="AX143" s="22"/>
      <c r="AY143" s="360">
        <v>0</v>
      </c>
      <c r="AZ143" s="326">
        <f t="shared" ref="AZ143:AZ146" si="17">IF(AY143="","",IF($AW$4=1,AY143,0))</f>
        <v>0</v>
      </c>
      <c r="BA143" s="95">
        <f>VLOOKUP(AU143,CENY!$B$11:$M$2025,12,FALSE)</f>
        <v>1.2154199999999999</v>
      </c>
      <c r="BB143" s="95">
        <f>IF(BA143="","",BA143*AY143)</f>
        <v>0</v>
      </c>
      <c r="BC143" s="373" t="s">
        <v>397</v>
      </c>
      <c r="BD143" s="319">
        <f>OBJ!B196</f>
        <v>9257271</v>
      </c>
      <c r="BE143" s="21" t="str">
        <f>VLOOKUP(BD143,CENY!$B$11:$G$1054,2,FALSE)</f>
        <v>AvanY-čelo vnút.zásuvky /v187/d2000/strieb.</v>
      </c>
      <c r="BF143" s="22">
        <f>VLOOKUP(BD143,CENY!$B$11:$G$1054,3,FALSE)</f>
        <v>1</v>
      </c>
      <c r="BG143" s="22"/>
      <c r="BH143" s="23">
        <f>AY92</f>
        <v>0</v>
      </c>
      <c r="BI143" s="326">
        <f t="shared" si="13"/>
        <v>0</v>
      </c>
      <c r="BJ143" s="95">
        <f>VLOOKUP(BD143,CENY!$B$11:$M$2025,12,FALSE)</f>
        <v>2217.7650899999999</v>
      </c>
      <c r="BK143" s="95">
        <f t="shared" si="14"/>
        <v>0</v>
      </c>
    </row>
    <row r="144" spans="47:63">
      <c r="AU144" s="319">
        <f>OBJ!B363</f>
        <v>9278224</v>
      </c>
      <c r="AV144" s="21" t="str">
        <f>VLOOKUP(AU144,CENY!$B$11:$G$1054,2,FALSE)</f>
        <v>Skrutka s polgul.hlavou 3,5x30mm</v>
      </c>
      <c r="AW144" s="22">
        <f>VLOOKUP(AU144,CENY!$B$11:$G$1054,3,FALSE)</f>
        <v>200</v>
      </c>
      <c r="AX144" s="22"/>
      <c r="AY144" s="360">
        <v>0</v>
      </c>
      <c r="AZ144" s="326">
        <f t="shared" si="17"/>
        <v>0</v>
      </c>
      <c r="BA144" s="95">
        <f>VLOOKUP(AU144,CENY!$B$11:$M$2025,12,FALSE)</f>
        <v>0.89337999999999995</v>
      </c>
      <c r="BB144" s="95">
        <f>IF(BA144="","",BA144*AY144)</f>
        <v>0</v>
      </c>
      <c r="BC144" s="373" t="s">
        <v>398</v>
      </c>
      <c r="BD144" s="319"/>
      <c r="BE144" s="21"/>
      <c r="BF144" s="22"/>
      <c r="BG144" s="22"/>
      <c r="BH144" s="23"/>
      <c r="BI144" s="326" t="str">
        <f>IF(BH144="","",IF($AW$4=0,BH144,0))</f>
        <v/>
      </c>
      <c r="BJ144" s="95"/>
      <c r="BK144" s="95" t="str">
        <f t="shared" si="14"/>
        <v/>
      </c>
    </row>
    <row r="145" spans="47:63">
      <c r="AU145" s="319">
        <f>OBJ!B364</f>
        <v>9279197</v>
      </c>
      <c r="AV145" s="21" t="str">
        <f>VLOOKUP(AU145,CENY!$B$11:$G$1054,2,FALSE)</f>
        <v>Skrutka s polgul.hlavou M3,5x12mm</v>
      </c>
      <c r="AW145" s="22">
        <f>VLOOKUP(AU145,CENY!$B$11:$G$1054,3,FALSE)</f>
        <v>1000</v>
      </c>
      <c r="AX145" s="22"/>
      <c r="AY145" s="68">
        <v>0</v>
      </c>
      <c r="AZ145" s="326">
        <f t="shared" si="17"/>
        <v>0</v>
      </c>
      <c r="BA145" s="95">
        <f>VLOOKUP(AU145,CENY!$B$11:$M$2025,12,FALSE)</f>
        <v>0</v>
      </c>
      <c r="BB145" s="95">
        <f>IF(BA145="","",BA145*AY145)</f>
        <v>0</v>
      </c>
      <c r="BC145" s="373" t="s">
        <v>399</v>
      </c>
      <c r="BD145" s="319">
        <f>OBJ!B203</f>
        <v>9257641</v>
      </c>
      <c r="BE145" s="21" t="str">
        <f>VLOOKUP(BD145,CENY!$B$11:$G$1054,2,FALSE)</f>
        <v>AvanY-stabilizátor čela vnút.zásuvky</v>
      </c>
      <c r="BF145" s="22">
        <f>VLOOKUP(BD145,CENY!$B$11:$G$1054,3,FALSE)</f>
        <v>100</v>
      </c>
      <c r="BG145" s="22"/>
      <c r="BH145" s="23">
        <f>AY91+AY93</f>
        <v>0</v>
      </c>
      <c r="BI145" s="326">
        <f>IF(BH145="","",IF($AW$4=0,BH145,0))</f>
        <v>0</v>
      </c>
      <c r="BJ145" s="95">
        <f>VLOOKUP(BD145,CENY!$B$11:$M$2025,12,FALSE)</f>
        <v>10.840870000000001</v>
      </c>
      <c r="BK145" s="95">
        <f t="shared" si="14"/>
        <v>0</v>
      </c>
    </row>
    <row r="146" spans="47:63">
      <c r="AU146" s="319">
        <f>OBJ!B365</f>
        <v>9137114</v>
      </c>
      <c r="AV146" s="21" t="str">
        <f>VLOOKUP(AU146,CENY!$B$11:$G$1054,2,FALSE)</f>
        <v>EURO-skrutka  6,0x14mm / niklovaná</v>
      </c>
      <c r="AW146" s="22">
        <f>VLOOKUP(AU146,CENY!$B$11:$G$1054,3,FALSE)</f>
        <v>200</v>
      </c>
      <c r="AX146" s="22"/>
      <c r="AY146" s="23">
        <f>SUMPRODUCT(AX31:AX80,AY31:AY80)</f>
        <v>0</v>
      </c>
      <c r="AZ146" s="326">
        <f t="shared" si="17"/>
        <v>0</v>
      </c>
      <c r="BA146" s="95">
        <f>VLOOKUP(AU146,CENY!$B$11:$M$2025,12,FALSE)</f>
        <v>1.8839300000000001</v>
      </c>
      <c r="BB146" s="95">
        <f>IF(BA146="","",BA146*AY146)</f>
        <v>0</v>
      </c>
      <c r="BC146" s="373" t="s">
        <v>400</v>
      </c>
      <c r="BD146" s="319">
        <f>OBJ!B204</f>
        <v>9257629</v>
      </c>
      <c r="BE146" s="21" t="str">
        <f>VLOOKUP(BD146,CENY!$B$11:$G$1054,2,FALSE)</f>
        <v>AvanY-krytka čela vnút.zás./v101/strieb.</v>
      </c>
      <c r="BF146" s="22">
        <f>VLOOKUP(BD146,CENY!$B$11:$G$1054,3,FALSE)</f>
        <v>200</v>
      </c>
      <c r="BG146" s="22"/>
      <c r="BH146" s="23">
        <f>2*AY91</f>
        <v>0</v>
      </c>
      <c r="BI146" s="326">
        <f>IF(BH146="","",IF($AW$4=0,BH146,0))</f>
        <v>0</v>
      </c>
      <c r="BJ146" s="95">
        <f>VLOOKUP(BD146,CENY!$B$11:$M$2025,12,FALSE)</f>
        <v>4.4243899999999998</v>
      </c>
      <c r="BK146" s="95">
        <f t="shared" si="14"/>
        <v>0</v>
      </c>
    </row>
    <row r="147" spans="47:63">
      <c r="AU147" s="20"/>
      <c r="AV147" s="21"/>
      <c r="AW147" s="22"/>
      <c r="AX147" s="22"/>
      <c r="AY147" s="23"/>
      <c r="AZ147" s="326"/>
      <c r="BA147" s="95"/>
      <c r="BB147" s="95"/>
      <c r="BD147" s="319">
        <f>OBJ!B206</f>
        <v>9257631</v>
      </c>
      <c r="BE147" s="21" t="str">
        <f>VLOOKUP(BD147,CENY!$B$11:$G$1054,2,FALSE)</f>
        <v>AvanY-krytka čela vnút.zás./v187/strieb.</v>
      </c>
      <c r="BF147" s="22">
        <f>VLOOKUP(BD147,CENY!$B$11:$G$1054,3,FALSE)</f>
        <v>200</v>
      </c>
      <c r="BG147" s="22"/>
      <c r="BH147" s="23">
        <f>2*AY93</f>
        <v>0</v>
      </c>
      <c r="BI147" s="326">
        <f>IF(BH147="","",IF($AW$4=0,BH147,0))</f>
        <v>0</v>
      </c>
      <c r="BJ147" s="95">
        <f>VLOOKUP(BD147,CENY!$B$11:$M$2025,12,FALSE)</f>
        <v>7.9287099999999997</v>
      </c>
      <c r="BK147" s="95">
        <f t="shared" ref="BK147" si="18">IF(BJ147="","",BJ147*BH147)</f>
        <v>0</v>
      </c>
    </row>
    <row r="148" spans="47:63">
      <c r="AU148" s="20"/>
      <c r="AV148" s="21"/>
      <c r="AW148" s="22"/>
      <c r="AX148" s="22"/>
      <c r="AY148" s="23"/>
      <c r="AZ148" s="326"/>
      <c r="BA148" s="95"/>
      <c r="BB148" s="95"/>
      <c r="BD148" s="319"/>
      <c r="BE148" s="21"/>
      <c r="BF148" s="22"/>
      <c r="BG148" s="22"/>
      <c r="BH148" s="23"/>
      <c r="BI148" s="326" t="str">
        <f t="shared" si="13"/>
        <v/>
      </c>
      <c r="BJ148" s="95"/>
      <c r="BK148" s="95" t="str">
        <f t="shared" si="14"/>
        <v/>
      </c>
    </row>
    <row r="149" spans="47:63">
      <c r="AU149" s="20"/>
      <c r="AV149" s="21"/>
      <c r="AW149" s="22"/>
      <c r="AX149" s="22"/>
      <c r="AY149" s="23"/>
      <c r="AZ149" s="326"/>
      <c r="BA149" s="95"/>
      <c r="BB149" s="95"/>
      <c r="BD149" s="319">
        <f>OBJ!B361</f>
        <v>45167</v>
      </c>
      <c r="BE149" s="21" t="str">
        <f>VLOOKUP(BD149,CENY!$B$11:$G$1054,2,FALSE)</f>
        <v>Skrutka s polgul.hlavou 3,5x12mm</v>
      </c>
      <c r="BF149" s="22">
        <f>VLOOKUP(BD149,CENY!$B$11:$G$1054,3,FALSE)</f>
        <v>200</v>
      </c>
      <c r="BG149" s="22"/>
      <c r="BH149" s="23">
        <f>AY142+BH39*2+BH145</f>
        <v>0</v>
      </c>
      <c r="BI149" s="326">
        <f>IF(BH149="","",IF($AW$4=0,BH149,0))</f>
        <v>0</v>
      </c>
      <c r="BJ149" s="95">
        <f>VLOOKUP(BD149,CENY!$B$11:$M$2025,12,FALSE)</f>
        <v>0.84719999999999995</v>
      </c>
      <c r="BK149" s="95">
        <f t="shared" si="14"/>
        <v>0</v>
      </c>
    </row>
    <row r="150" spans="47:63">
      <c r="AU150" s="20"/>
      <c r="AV150" s="21"/>
      <c r="AW150" s="22"/>
      <c r="AX150" s="22"/>
      <c r="AY150" s="23"/>
      <c r="AZ150" s="326" t="str">
        <f>IF(AY150="","",IF($AW$4=1,AY150,0))</f>
        <v/>
      </c>
      <c r="BA150" s="95"/>
      <c r="BB150" s="95" t="str">
        <f>IF(BA150="","",BA150*AY150)</f>
        <v/>
      </c>
      <c r="BD150" s="319">
        <f>OBJ!B362</f>
        <v>45168</v>
      </c>
      <c r="BE150" s="21" t="str">
        <f>VLOOKUP(BD150,CENY!$B$11:$G$1054,2,FALSE)</f>
        <v>Skrutka s polgul.hlavou 3,5x20mm</v>
      </c>
      <c r="BF150" s="22">
        <f>VLOOKUP(BD150,CENY!$B$11:$G$1054,3,FALSE)</f>
        <v>200</v>
      </c>
      <c r="BG150" s="22"/>
      <c r="BH150" s="360">
        <f>IF(FORM!$AM$8=FORM!$AU$10,BH35*2+BH36*4,0)</f>
        <v>0</v>
      </c>
      <c r="BI150" s="326">
        <f>IF(BH150="","",IF($AW$4=0,BH150,0))</f>
        <v>0</v>
      </c>
      <c r="BJ150" s="95">
        <f>VLOOKUP(BD150,CENY!$B$11:$M$2025,12,FALSE)</f>
        <v>1.2154199999999999</v>
      </c>
      <c r="BK150" s="95">
        <f t="shared" si="14"/>
        <v>0</v>
      </c>
    </row>
    <row r="151" spans="47:63">
      <c r="BD151" s="319">
        <f>OBJ!B363</f>
        <v>9278224</v>
      </c>
      <c r="BE151" s="21" t="str">
        <f>VLOOKUP(BD151,CENY!$B$11:$G$1054,2,FALSE)</f>
        <v>Skrutka s polgul.hlavou 3,5x30mm</v>
      </c>
      <c r="BF151" s="22">
        <f>VLOOKUP(BD151,CENY!$B$11:$G$1054,3,FALSE)</f>
        <v>200</v>
      </c>
      <c r="BG151" s="22"/>
      <c r="BH151" s="360">
        <f>SUM(BH5:BH22)+2*SUM(BH24:BH33)</f>
        <v>0</v>
      </c>
      <c r="BI151" s="326">
        <f>IF(BH151="","",IF($AW$4=0,BH151,0))</f>
        <v>0</v>
      </c>
      <c r="BJ151" s="95">
        <f>VLOOKUP(BD151,CENY!$B$11:$M$2025,12,FALSE)</f>
        <v>0.89337999999999995</v>
      </c>
      <c r="BK151" s="95">
        <f t="shared" si="14"/>
        <v>0</v>
      </c>
    </row>
    <row r="152" spans="47:63">
      <c r="BD152" s="319">
        <f>OBJ!B364</f>
        <v>9279197</v>
      </c>
      <c r="BE152" s="21" t="str">
        <f>VLOOKUP(BD152,CENY!$B$11:$G$1054,2,FALSE)</f>
        <v>Skrutka s polgul.hlavou M3,5x12mm</v>
      </c>
      <c r="BF152" s="22">
        <f>VLOOKUP(BD152,CENY!$B$11:$G$1054,3,FALSE)</f>
        <v>1000</v>
      </c>
      <c r="BG152" s="22"/>
      <c r="BH152" s="68">
        <f>2*BH37+4*BH38</f>
        <v>0</v>
      </c>
      <c r="BI152" s="326">
        <f>IF(BH152="","",IF($AW$4=0,BH152,0))</f>
        <v>0</v>
      </c>
      <c r="BJ152" s="95">
        <f>VLOOKUP(BD152,CENY!$B$11:$M$2025,12,FALSE)</f>
        <v>0</v>
      </c>
      <c r="BK152" s="95">
        <f t="shared" si="14"/>
        <v>0</v>
      </c>
    </row>
    <row r="153" spans="47:63">
      <c r="BD153" s="319">
        <f>OBJ!B365</f>
        <v>9137114</v>
      </c>
      <c r="BE153" s="21" t="str">
        <f>VLOOKUP(BD153,CENY!$B$11:$G$1054,2,FALSE)</f>
        <v>EURO-skrutka  6,0x14mm / niklovaná</v>
      </c>
      <c r="BF153" s="22">
        <f>VLOOKUP(BD153,CENY!$B$11:$G$1054,3,FALSE)</f>
        <v>200</v>
      </c>
      <c r="BG153" s="22"/>
      <c r="BH153" s="23">
        <f>AY146</f>
        <v>0</v>
      </c>
      <c r="BI153" s="326">
        <f>IF(BH153="","",IF($AW$4=0,BH153,0))</f>
        <v>0</v>
      </c>
      <c r="BJ153" s="95">
        <f>VLOOKUP(BD153,CENY!$B$11:$M$2025,12,FALSE)</f>
        <v>1.8839300000000001</v>
      </c>
      <c r="BK153" s="95">
        <f t="shared" si="14"/>
        <v>0</v>
      </c>
    </row>
    <row r="154" spans="47:63">
      <c r="BD154" s="319"/>
      <c r="BE154" s="21"/>
      <c r="BF154" s="22"/>
      <c r="BG154" s="22"/>
      <c r="BH154" s="23"/>
      <c r="BI154" s="326"/>
      <c r="BJ154" s="95"/>
      <c r="BK154" s="95"/>
    </row>
    <row r="155" spans="47:63">
      <c r="BD155" s="319"/>
      <c r="BE155" s="21"/>
      <c r="BF155" s="22"/>
      <c r="BG155" s="22"/>
      <c r="BH155" s="23"/>
      <c r="BI155" s="326"/>
      <c r="BJ155" s="95"/>
      <c r="BK155" s="95"/>
    </row>
    <row r="156" spans="47:63">
      <c r="BD156" s="319"/>
      <c r="BE156" s="21"/>
      <c r="BF156" s="22"/>
      <c r="BG156" s="22"/>
      <c r="BH156" s="23"/>
      <c r="BI156" s="326"/>
      <c r="BJ156" s="95"/>
      <c r="BK156" s="95"/>
    </row>
    <row r="157" spans="47:63">
      <c r="BD157" s="319"/>
      <c r="BE157" s="21"/>
      <c r="BF157" s="22"/>
      <c r="BG157" s="22"/>
      <c r="BH157" s="23"/>
      <c r="BI157" s="326" t="str">
        <f t="shared" si="13"/>
        <v/>
      </c>
      <c r="BJ157" s="95"/>
      <c r="BK157" s="95" t="str">
        <f t="shared" si="14"/>
        <v/>
      </c>
    </row>
    <row r="158" spans="47:63">
      <c r="BD158" s="319"/>
      <c r="BE158" s="21"/>
      <c r="BF158" s="22"/>
      <c r="BG158" s="22"/>
      <c r="BH158" s="23"/>
      <c r="BI158" s="326" t="str">
        <f>IF(BH158="","",IF($AW$4=0,BH158,0))</f>
        <v/>
      </c>
      <c r="BJ158" s="95"/>
      <c r="BK158" s="95" t="str">
        <f>IF(BJ158="","",BJ158*BH158)</f>
        <v/>
      </c>
    </row>
    <row r="159" spans="47:63">
      <c r="BD159" s="319"/>
      <c r="BE159" s="21"/>
      <c r="BF159" s="22"/>
      <c r="BG159" s="22"/>
      <c r="BH159" s="23"/>
      <c r="BI159" s="326" t="str">
        <f>IF(BH159="","",IF($AW$4=0,BH159,0))</f>
        <v/>
      </c>
      <c r="BJ159" s="95"/>
      <c r="BK159" s="95" t="str">
        <f>IF(BJ159="","",BJ159*BH159)</f>
        <v/>
      </c>
    </row>
  </sheetData>
  <sheetProtection algorithmName="SHA-512" hashValue="KbgIDSkG6zwlpIiG9XocNiCT2aOJods3C9dC+Yc3xDn82cSwxEZL4wwFAqKHgD8hdSTGf6AbbsLKG1Jch8Nl3g==" saltValue="6f2zNvXcUPGcCuGjk29t6A==" spinCount="100000" sheet="1" objects="1" scenarios="1"/>
  <mergeCells count="191">
    <mergeCell ref="AG86:AH86"/>
    <mergeCell ref="AI86:AJ86"/>
    <mergeCell ref="AQ18:AR18"/>
    <mergeCell ref="AQ21:AR21"/>
    <mergeCell ref="AQ24:AR24"/>
    <mergeCell ref="AQ27:AR27"/>
    <mergeCell ref="AI85:AJ85"/>
    <mergeCell ref="O86:P86"/>
    <mergeCell ref="Q86:R86"/>
    <mergeCell ref="S86:T86"/>
    <mergeCell ref="U86:V86"/>
    <mergeCell ref="W86:X86"/>
    <mergeCell ref="Y86:Z86"/>
    <mergeCell ref="AA86:AB86"/>
    <mergeCell ref="AC86:AD86"/>
    <mergeCell ref="AE86:AF86"/>
    <mergeCell ref="W85:X85"/>
    <mergeCell ref="Y85:Z85"/>
    <mergeCell ref="AA85:AB85"/>
    <mergeCell ref="AC85:AD85"/>
    <mergeCell ref="AE85:AF85"/>
    <mergeCell ref="AG85:AH85"/>
    <mergeCell ref="AA84:AB84"/>
    <mergeCell ref="AC84:AD84"/>
    <mergeCell ref="AE84:AF84"/>
    <mergeCell ref="AG84:AH84"/>
    <mergeCell ref="AI84:AJ84"/>
    <mergeCell ref="M85:N85"/>
    <mergeCell ref="O85:P85"/>
    <mergeCell ref="Q85:R85"/>
    <mergeCell ref="S85:T85"/>
    <mergeCell ref="U85:V85"/>
    <mergeCell ref="AG82:AH82"/>
    <mergeCell ref="AI82:AJ82"/>
    <mergeCell ref="U82:V82"/>
    <mergeCell ref="W82:X82"/>
    <mergeCell ref="Y82:Z82"/>
    <mergeCell ref="AA82:AB82"/>
    <mergeCell ref="AC82:AD82"/>
    <mergeCell ref="O81:P81"/>
    <mergeCell ref="Q81:R81"/>
    <mergeCell ref="S81:T81"/>
    <mergeCell ref="U81:V81"/>
    <mergeCell ref="W81:X81"/>
    <mergeCell ref="Y81:Z81"/>
    <mergeCell ref="AI67:AM67"/>
    <mergeCell ref="AO67:AR67"/>
    <mergeCell ref="O80:P80"/>
    <mergeCell ref="Q80:R80"/>
    <mergeCell ref="S80:T80"/>
    <mergeCell ref="U80:V80"/>
    <mergeCell ref="W80:X80"/>
    <mergeCell ref="Y80:Z80"/>
    <mergeCell ref="AA80:AB80"/>
    <mergeCell ref="AC80:AD80"/>
    <mergeCell ref="Y79:Z79"/>
    <mergeCell ref="AA79:AB79"/>
    <mergeCell ref="AC79:AD79"/>
    <mergeCell ref="AE79:AF79"/>
    <mergeCell ref="AG79:AH79"/>
    <mergeCell ref="AI79:AJ79"/>
    <mergeCell ref="AG80:AH80"/>
    <mergeCell ref="AI80:AJ80"/>
    <mergeCell ref="A66:A105"/>
    <mergeCell ref="B67:E67"/>
    <mergeCell ref="G67:K67"/>
    <mergeCell ref="O67:S67"/>
    <mergeCell ref="U67:Y67"/>
    <mergeCell ref="AA67:AE67"/>
    <mergeCell ref="AE80:AF80"/>
    <mergeCell ref="AE82:AF82"/>
    <mergeCell ref="U28:V28"/>
    <mergeCell ref="W28:X28"/>
    <mergeCell ref="Y28:Z28"/>
    <mergeCell ref="AA28:AB28"/>
    <mergeCell ref="AC28:AD28"/>
    <mergeCell ref="B28:G28"/>
    <mergeCell ref="H28:L28"/>
    <mergeCell ref="M28:N28"/>
    <mergeCell ref="O28:P28"/>
    <mergeCell ref="Q28:R28"/>
    <mergeCell ref="S28:T28"/>
    <mergeCell ref="O79:P79"/>
    <mergeCell ref="Q79:R79"/>
    <mergeCell ref="S79:T79"/>
    <mergeCell ref="U79:V79"/>
    <mergeCell ref="W79:X79"/>
    <mergeCell ref="AA26:AB26"/>
    <mergeCell ref="AC26:AD26"/>
    <mergeCell ref="B27:G27"/>
    <mergeCell ref="H27:L27"/>
    <mergeCell ref="M27:N27"/>
    <mergeCell ref="O27:P27"/>
    <mergeCell ref="Q27:R27"/>
    <mergeCell ref="S27:T27"/>
    <mergeCell ref="O26:P26"/>
    <mergeCell ref="Q26:R26"/>
    <mergeCell ref="S26:T26"/>
    <mergeCell ref="U26:V26"/>
    <mergeCell ref="W26:X26"/>
    <mergeCell ref="Y26:Z26"/>
    <mergeCell ref="Y22:Z22"/>
    <mergeCell ref="AA22:AB22"/>
    <mergeCell ref="AC22:AD22"/>
    <mergeCell ref="AE22:AF22"/>
    <mergeCell ref="B22:G22"/>
    <mergeCell ref="H22:L22"/>
    <mergeCell ref="M22:N22"/>
    <mergeCell ref="O22:P22"/>
    <mergeCell ref="Q22:R22"/>
    <mergeCell ref="S22:T22"/>
    <mergeCell ref="U22:V22"/>
    <mergeCell ref="W22:X22"/>
    <mergeCell ref="U20:V20"/>
    <mergeCell ref="W20:X20"/>
    <mergeCell ref="Y20:Z20"/>
    <mergeCell ref="AA20:AB20"/>
    <mergeCell ref="AC20:AD20"/>
    <mergeCell ref="AE20:AF20"/>
    <mergeCell ref="B20:G20"/>
    <mergeCell ref="H20:L20"/>
    <mergeCell ref="M20:N20"/>
    <mergeCell ref="O20:P20"/>
    <mergeCell ref="Q20:R20"/>
    <mergeCell ref="S20:T20"/>
    <mergeCell ref="AE18:AF18"/>
    <mergeCell ref="B19:G19"/>
    <mergeCell ref="H19:L19"/>
    <mergeCell ref="M19:N19"/>
    <mergeCell ref="O19:P19"/>
    <mergeCell ref="Q19:R19"/>
    <mergeCell ref="S19:T19"/>
    <mergeCell ref="O17:AF17"/>
    <mergeCell ref="O18:P18"/>
    <mergeCell ref="Q18:R18"/>
    <mergeCell ref="S18:T18"/>
    <mergeCell ref="U18:V18"/>
    <mergeCell ref="W18:X18"/>
    <mergeCell ref="Y18:Z18"/>
    <mergeCell ref="AA18:AB18"/>
    <mergeCell ref="AC18:AD18"/>
    <mergeCell ref="B12:E12"/>
    <mergeCell ref="F12:I12"/>
    <mergeCell ref="J12:K12"/>
    <mergeCell ref="B13:E13"/>
    <mergeCell ref="F13:I13"/>
    <mergeCell ref="J13:K13"/>
    <mergeCell ref="B9:E9"/>
    <mergeCell ref="F9:K9"/>
    <mergeCell ref="AK9:AP10"/>
    <mergeCell ref="B10:E10"/>
    <mergeCell ref="F10:K10"/>
    <mergeCell ref="B11:E11"/>
    <mergeCell ref="F11:K11"/>
    <mergeCell ref="AO2:AR2"/>
    <mergeCell ref="B6:E6"/>
    <mergeCell ref="F6:K6"/>
    <mergeCell ref="B7:E7"/>
    <mergeCell ref="F7:K7"/>
    <mergeCell ref="B8:E8"/>
    <mergeCell ref="F8:K8"/>
    <mergeCell ref="B2:E2"/>
    <mergeCell ref="G2:K2"/>
    <mergeCell ref="O2:S2"/>
    <mergeCell ref="U2:Y2"/>
    <mergeCell ref="AA2:AE2"/>
    <mergeCell ref="AI2:AM2"/>
    <mergeCell ref="AW98:AY98"/>
    <mergeCell ref="AW99:AY99"/>
    <mergeCell ref="AW100:AY100"/>
    <mergeCell ref="AW101:AY101"/>
    <mergeCell ref="AW102:AY102"/>
    <mergeCell ref="AA81:AB81"/>
    <mergeCell ref="AC81:AD81"/>
    <mergeCell ref="AE81:AF81"/>
    <mergeCell ref="AG81:AH81"/>
    <mergeCell ref="AI81:AJ81"/>
    <mergeCell ref="AW95:AY95"/>
    <mergeCell ref="AW96:AY96"/>
    <mergeCell ref="AW97:AY97"/>
    <mergeCell ref="AK82:AL82"/>
    <mergeCell ref="O83:AJ83"/>
    <mergeCell ref="O84:P84"/>
    <mergeCell ref="Q84:R84"/>
    <mergeCell ref="S84:T84"/>
    <mergeCell ref="U84:V84"/>
    <mergeCell ref="W84:X84"/>
    <mergeCell ref="Y84:Z84"/>
    <mergeCell ref="O82:P82"/>
    <mergeCell ref="Q82:R82"/>
    <mergeCell ref="S82:T82"/>
  </mergeCells>
  <conditionalFormatting sqref="AZ94:AZ141 AZ147:AZ150 BI5:BI21 AZ20:AZ84 AZ86:AZ89 BI39:BI141 BH25:BI34 BH40:BH98 AY5:AZ19 AY20:AY48 BH13:BH24 BH142:BI144">
    <cfRule type="cellIs" dxfId="282" priority="68" stopIfTrue="1" operator="equal">
      <formula>0</formula>
    </cfRule>
  </conditionalFormatting>
  <conditionalFormatting sqref="AY59 AY72 AY49 AY55">
    <cfRule type="cellIs" dxfId="281" priority="66" stopIfTrue="1" operator="equal">
      <formula>0</formula>
    </cfRule>
  </conditionalFormatting>
  <conditionalFormatting sqref="O17:AF17 W20:AD20 W22:AF22 W28:AD28">
    <cfRule type="expression" dxfId="280" priority="67" stopIfTrue="1">
      <formula>$AW$4=0</formula>
    </cfRule>
  </conditionalFormatting>
  <conditionalFormatting sqref="AY83 AY86 AY88:AY89">
    <cfRule type="cellIs" dxfId="279" priority="65" stopIfTrue="1" operator="equal">
      <formula>0</formula>
    </cfRule>
  </conditionalFormatting>
  <conditionalFormatting sqref="AY103:AY106">
    <cfRule type="cellIs" dxfId="278" priority="64" stopIfTrue="1" operator="equal">
      <formula>0</formula>
    </cfRule>
  </conditionalFormatting>
  <conditionalFormatting sqref="BH39">
    <cfRule type="cellIs" dxfId="277" priority="63" stopIfTrue="1" operator="equal">
      <formula>0</formula>
    </cfRule>
  </conditionalFormatting>
  <conditionalFormatting sqref="AY64:AY68">
    <cfRule type="cellIs" dxfId="276" priority="61" stopIfTrue="1" operator="equal">
      <formula>0</formula>
    </cfRule>
  </conditionalFormatting>
  <conditionalFormatting sqref="AY107:AY141 AY147:AY150">
    <cfRule type="cellIs" dxfId="275" priority="53" stopIfTrue="1" operator="equal">
      <formula>0</formula>
    </cfRule>
  </conditionalFormatting>
  <conditionalFormatting sqref="AY81">
    <cfRule type="cellIs" dxfId="274" priority="58" stopIfTrue="1" operator="equal">
      <formula>0</formula>
    </cfRule>
  </conditionalFormatting>
  <conditionalFormatting sqref="AY84">
    <cfRule type="cellIs" dxfId="273" priority="57" stopIfTrue="1" operator="equal">
      <formula>0</formula>
    </cfRule>
  </conditionalFormatting>
  <conditionalFormatting sqref="AY94">
    <cfRule type="cellIs" dxfId="272" priority="56" stopIfTrue="1" operator="equal">
      <formula>0</formula>
    </cfRule>
  </conditionalFormatting>
  <conditionalFormatting sqref="BH115 BH119">
    <cfRule type="cellIs" dxfId="271" priority="55" stopIfTrue="1" operator="equal">
      <formula>0</formula>
    </cfRule>
  </conditionalFormatting>
  <conditionalFormatting sqref="BH136 BH140:BH141 BH148 BH154:BH159 BH138">
    <cfRule type="cellIs" dxfId="270" priority="54" stopIfTrue="1" operator="equal">
      <formula>0</formula>
    </cfRule>
  </conditionalFormatting>
  <conditionalFormatting sqref="BH105:BH114">
    <cfRule type="cellIs" dxfId="269" priority="51" stopIfTrue="1" operator="equal">
      <formula>0</formula>
    </cfRule>
  </conditionalFormatting>
  <conditionalFormatting sqref="BH139">
    <cfRule type="cellIs" dxfId="268" priority="48" stopIfTrue="1" operator="equal">
      <formula>0</formula>
    </cfRule>
  </conditionalFormatting>
  <conditionalFormatting sqref="AY87">
    <cfRule type="cellIs" dxfId="267" priority="49" stopIfTrue="1" operator="equal">
      <formula>0</formula>
    </cfRule>
  </conditionalFormatting>
  <conditionalFormatting sqref="F13:K13">
    <cfRule type="expression" dxfId="266" priority="47" stopIfTrue="1">
      <formula>$AW$4=1</formula>
    </cfRule>
  </conditionalFormatting>
  <conditionalFormatting sqref="BI148 BI154:BI159">
    <cfRule type="cellIs" dxfId="265" priority="46" stopIfTrue="1" operator="equal">
      <formula>0</formula>
    </cfRule>
  </conditionalFormatting>
  <conditionalFormatting sqref="AZ90:AZ91">
    <cfRule type="cellIs" dxfId="264" priority="45" stopIfTrue="1" operator="equal">
      <formula>0</formula>
    </cfRule>
  </conditionalFormatting>
  <conditionalFormatting sqref="AY90:AY91">
    <cfRule type="cellIs" dxfId="263" priority="44" stopIfTrue="1" operator="equal">
      <formula>0</formula>
    </cfRule>
  </conditionalFormatting>
  <conditionalFormatting sqref="BH145:BH146">
    <cfRule type="cellIs" dxfId="262" priority="41" stopIfTrue="1" operator="equal">
      <formula>0</formula>
    </cfRule>
  </conditionalFormatting>
  <conditionalFormatting sqref="BI145:BI146">
    <cfRule type="cellIs" dxfId="261" priority="40" stopIfTrue="1" operator="equal">
      <formula>0</formula>
    </cfRule>
  </conditionalFormatting>
  <conditionalFormatting sqref="AR88">
    <cfRule type="expression" dxfId="260" priority="39" stopIfTrue="1">
      <formula>$AU$96=AU98</formula>
    </cfRule>
  </conditionalFormatting>
  <conditionalFormatting sqref="AZ142:AZ146">
    <cfRule type="cellIs" dxfId="259" priority="38" stopIfTrue="1" operator="equal">
      <formula>0</formula>
    </cfRule>
  </conditionalFormatting>
  <conditionalFormatting sqref="AY142:AY146">
    <cfRule type="cellIs" dxfId="258" priority="37" stopIfTrue="1" operator="equal">
      <formula>0</formula>
    </cfRule>
  </conditionalFormatting>
  <conditionalFormatting sqref="BH149 BH152:BH153">
    <cfRule type="cellIs" dxfId="257" priority="36" stopIfTrue="1" operator="equal">
      <formula>0</formula>
    </cfRule>
  </conditionalFormatting>
  <conditionalFormatting sqref="BI149:BI153">
    <cfRule type="cellIs" dxfId="256" priority="35" stopIfTrue="1" operator="equal">
      <formula>0</formula>
    </cfRule>
  </conditionalFormatting>
  <conditionalFormatting sqref="BH150:BH151">
    <cfRule type="cellIs" dxfId="255" priority="34" stopIfTrue="1" operator="equal">
      <formula>0</formula>
    </cfRule>
  </conditionalFormatting>
  <conditionalFormatting sqref="AY50:AY54">
    <cfRule type="cellIs" dxfId="254" priority="31" stopIfTrue="1" operator="equal">
      <formula>0</formula>
    </cfRule>
  </conditionalFormatting>
  <conditionalFormatting sqref="AY56:AY58">
    <cfRule type="cellIs" dxfId="253" priority="30" stopIfTrue="1" operator="equal">
      <formula>0</formula>
    </cfRule>
  </conditionalFormatting>
  <conditionalFormatting sqref="AY60:AY62">
    <cfRule type="cellIs" dxfId="252" priority="29" stopIfTrue="1" operator="equal">
      <formula>0</formula>
    </cfRule>
  </conditionalFormatting>
  <conditionalFormatting sqref="AY69:AY71">
    <cfRule type="cellIs" dxfId="251" priority="28" stopIfTrue="1" operator="equal">
      <formula>0</formula>
    </cfRule>
  </conditionalFormatting>
  <conditionalFormatting sqref="AY73:AY74">
    <cfRule type="cellIs" dxfId="250" priority="27" stopIfTrue="1" operator="equal">
      <formula>0</formula>
    </cfRule>
  </conditionalFormatting>
  <conditionalFormatting sqref="AY75">
    <cfRule type="cellIs" dxfId="249" priority="26" stopIfTrue="1" operator="equal">
      <formula>0</formula>
    </cfRule>
  </conditionalFormatting>
  <conditionalFormatting sqref="AY76:AY80">
    <cfRule type="cellIs" dxfId="248" priority="25" stopIfTrue="1" operator="equal">
      <formula>0</formula>
    </cfRule>
  </conditionalFormatting>
  <conditionalFormatting sqref="AY82">
    <cfRule type="cellIs" dxfId="247" priority="24" stopIfTrue="1" operator="equal">
      <formula>0</formula>
    </cfRule>
  </conditionalFormatting>
  <conditionalFormatting sqref="BH5:BH10">
    <cfRule type="cellIs" dxfId="246" priority="23" stopIfTrue="1" operator="equal">
      <formula>0</formula>
    </cfRule>
  </conditionalFormatting>
  <conditionalFormatting sqref="BH99:BH106">
    <cfRule type="cellIs" dxfId="245" priority="22" stopIfTrue="1" operator="equal">
      <formula>0</formula>
    </cfRule>
  </conditionalFormatting>
  <conditionalFormatting sqref="BH116:BH118">
    <cfRule type="cellIs" dxfId="244" priority="21" stopIfTrue="1" operator="equal">
      <formula>0</formula>
    </cfRule>
  </conditionalFormatting>
  <conditionalFormatting sqref="BH120:BH135">
    <cfRule type="cellIs" dxfId="243" priority="20" stopIfTrue="1" operator="equal">
      <formula>0</formula>
    </cfRule>
  </conditionalFormatting>
  <conditionalFormatting sqref="BH137">
    <cfRule type="cellIs" dxfId="242" priority="19" stopIfTrue="1" operator="equal">
      <formula>0</formula>
    </cfRule>
  </conditionalFormatting>
  <conditionalFormatting sqref="AZ85">
    <cfRule type="cellIs" dxfId="241" priority="16" stopIfTrue="1" operator="equal">
      <formula>0</formula>
    </cfRule>
  </conditionalFormatting>
  <conditionalFormatting sqref="AY85">
    <cfRule type="cellIs" dxfId="240" priority="15" stopIfTrue="1" operator="equal">
      <formula>0</formula>
    </cfRule>
  </conditionalFormatting>
  <conditionalFormatting sqref="BH37:BI38">
    <cfRule type="cellIs" dxfId="239" priority="14" stopIfTrue="1" operator="equal">
      <formula>0</formula>
    </cfRule>
  </conditionalFormatting>
  <conditionalFormatting sqref="BH35:BI36">
    <cfRule type="cellIs" dxfId="238" priority="13" stopIfTrue="1" operator="equal">
      <formula>0</formula>
    </cfRule>
  </conditionalFormatting>
  <conditionalFormatting sqref="AY63">
    <cfRule type="cellIs" dxfId="237" priority="12" stopIfTrue="1" operator="equal">
      <formula>0</formula>
    </cfRule>
  </conditionalFormatting>
  <conditionalFormatting sqref="BH11:BH12">
    <cfRule type="cellIs" dxfId="236" priority="11" stopIfTrue="1" operator="equal">
      <formula>0</formula>
    </cfRule>
  </conditionalFormatting>
  <conditionalFormatting sqref="AZ92:AZ93">
    <cfRule type="cellIs" dxfId="235" priority="10" stopIfTrue="1" operator="equal">
      <formula>0</formula>
    </cfRule>
  </conditionalFormatting>
  <conditionalFormatting sqref="AY92:AY93">
    <cfRule type="cellIs" dxfId="234" priority="9" stopIfTrue="1" operator="equal">
      <formula>0</formula>
    </cfRule>
  </conditionalFormatting>
  <conditionalFormatting sqref="BI22:BI24">
    <cfRule type="cellIs" dxfId="233" priority="4" stopIfTrue="1" operator="equal">
      <formula>0</formula>
    </cfRule>
  </conditionalFormatting>
  <conditionalFormatting sqref="BH147">
    <cfRule type="cellIs" dxfId="232" priority="3" stopIfTrue="1" operator="equal">
      <formula>0</formula>
    </cfRule>
  </conditionalFormatting>
  <conditionalFormatting sqref="BI147">
    <cfRule type="cellIs" dxfId="231" priority="1" stopIfTrue="1" operator="equal">
      <formula>0</formula>
    </cfRule>
  </conditionalFormatting>
  <hyperlinks>
    <hyperlink ref="M4" location="MENU!A1" display="MENU!A1" xr:uid="{00000000-0004-0000-1400-000000000000}"/>
    <hyperlink ref="M10" location="OBJ!A1" display="OBJ!A1" xr:uid="{00000000-0004-0000-1400-000001000000}"/>
    <hyperlink ref="M9" location="suhrn!A1" display="suhrn!A1" xr:uid="{00000000-0004-0000-1400-000002000000}"/>
    <hyperlink ref="O2:S2" location="MENU!A5" display="MENU!A5" xr:uid="{00000000-0004-0000-1400-000003000000}"/>
    <hyperlink ref="M69" location="MENU!A1" display="MENU!A1" xr:uid="{00000000-0004-0000-1400-000004000000}"/>
    <hyperlink ref="B67:E67" location="'potr-v101+187'!A1" display="'potr-v101+187'!A1" xr:uid="{00000000-0004-0000-1400-000005000000}"/>
    <hyperlink ref="AK9:AO10" location="'IT70(vn100)'!A66" display="'IT70(vn100)'!A66" xr:uid="{00000000-0004-0000-1400-000006000000}"/>
    <hyperlink ref="AK9:AP10" location="'potr-v101+187'!A66" display="'potr-v101+187'!A66" xr:uid="{00000000-0004-0000-1400-000007000000}"/>
  </hyperlinks>
  <printOptions horizontalCentered="1"/>
  <pageMargins left="0.19685039370078741" right="0.19685039370078741" top="0.19685039370078741" bottom="0.19685039370078741" header="0.31496062992125984" footer="0.31496062992125984"/>
  <pageSetup paperSize="9" orientation="landscape" r:id="rId1"/>
  <headerFooter>
    <oddHeader>&amp;R&amp;"Aptos"&amp;10&amp;K000000 Restricted&amp;1#_x000D_</oddHeader>
  </headerFooter>
  <drawing r:id="rId2"/>
  <legacyDrawing r:id="rId3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List60">
    <tabColor rgb="FF92D050"/>
  </sheetPr>
  <dimension ref="A1:BK159"/>
  <sheetViews>
    <sheetView showGridLines="0" showRowColHeaders="0" zoomScale="95" zoomScaleNormal="95" workbookViewId="0"/>
  </sheetViews>
  <sheetFormatPr defaultColWidth="9" defaultRowHeight="13.8"/>
  <cols>
    <col min="1" max="1" width="3.59765625" style="86" customWidth="1"/>
    <col min="2" max="4" width="3.09765625" style="86" customWidth="1"/>
    <col min="5" max="5" width="7.59765625" style="86" customWidth="1"/>
    <col min="6" max="44" width="3.09765625" style="86" customWidth="1"/>
    <col min="45" max="45" width="3.59765625" style="86" customWidth="1"/>
    <col min="46" max="46" width="9" style="86" customWidth="1"/>
    <col min="47" max="47" width="9" style="86" hidden="1" customWidth="1"/>
    <col min="48" max="48" width="51.3984375" style="86" hidden="1" customWidth="1"/>
    <col min="49" max="49" width="4.3984375" style="86" hidden="1" customWidth="1"/>
    <col min="50" max="50" width="2" style="86" hidden="1" customWidth="1"/>
    <col min="51" max="52" width="4.59765625" style="86" hidden="1" customWidth="1"/>
    <col min="53" max="53" width="9" style="86" hidden="1" customWidth="1"/>
    <col min="54" max="54" width="9.09765625" style="86" hidden="1" customWidth="1"/>
    <col min="55" max="55" width="2.59765625" style="86" hidden="1" customWidth="1"/>
    <col min="56" max="56" width="9" style="86" hidden="1" customWidth="1"/>
    <col min="57" max="57" width="49.8984375" style="86" hidden="1" customWidth="1"/>
    <col min="58" max="58" width="4.3984375" style="86" hidden="1" customWidth="1"/>
    <col min="59" max="59" width="2" style="86" hidden="1" customWidth="1"/>
    <col min="60" max="61" width="4.59765625" style="86" hidden="1" customWidth="1"/>
    <col min="62" max="63" width="9" style="86" hidden="1" customWidth="1"/>
    <col min="64" max="75" width="9" style="86" customWidth="1"/>
    <col min="76" max="16384" width="9" style="86"/>
  </cols>
  <sheetData>
    <row r="1" spans="1:63" ht="12.9" customHeight="1" thickBot="1">
      <c r="AU1" s="140"/>
      <c r="AV1" s="279"/>
      <c r="AW1" s="279"/>
      <c r="AX1" s="140"/>
      <c r="AY1" s="212">
        <f>AQ18</f>
        <v>1</v>
      </c>
      <c r="AZ1" s="367" t="s">
        <v>593</v>
      </c>
      <c r="BA1" s="367"/>
      <c r="BB1" s="140"/>
      <c r="BC1" s="140"/>
      <c r="BD1" s="140"/>
      <c r="BE1" s="140"/>
      <c r="BF1" s="140"/>
      <c r="BG1" s="140"/>
      <c r="BH1" s="140"/>
      <c r="BI1" s="140"/>
      <c r="BJ1" s="140"/>
      <c r="BK1" s="140"/>
    </row>
    <row r="2" spans="1:63" ht="23.1" customHeight="1" thickBot="1">
      <c r="B2" s="475" t="str">
        <f>verze!E13</f>
        <v>&lt;&lt;  zpět</v>
      </c>
      <c r="C2" s="476"/>
      <c r="D2" s="476"/>
      <c r="E2" s="477"/>
      <c r="G2" s="513" t="str">
        <f>verze!E6</f>
        <v xml:space="preserve"> Úvod</v>
      </c>
      <c r="H2" s="514"/>
      <c r="I2" s="514"/>
      <c r="J2" s="514"/>
      <c r="K2" s="515"/>
      <c r="O2" s="500" t="str">
        <f>verze!E7</f>
        <v xml:space="preserve"> Výběr zásuvek</v>
      </c>
      <c r="P2" s="501"/>
      <c r="Q2" s="501"/>
      <c r="R2" s="501"/>
      <c r="S2" s="502"/>
      <c r="U2" s="513" t="str">
        <f>verze!E8</f>
        <v xml:space="preserve"> </v>
      </c>
      <c r="V2" s="514"/>
      <c r="W2" s="514"/>
      <c r="X2" s="514"/>
      <c r="Y2" s="515"/>
      <c r="AA2" s="513" t="str">
        <f>verze!E9</f>
        <v xml:space="preserve"> </v>
      </c>
      <c r="AB2" s="514"/>
      <c r="AC2" s="514"/>
      <c r="AD2" s="514"/>
      <c r="AE2" s="515"/>
      <c r="AI2" s="513" t="str">
        <f>verze!E10</f>
        <v xml:space="preserve"> Objednávka</v>
      </c>
      <c r="AJ2" s="514"/>
      <c r="AK2" s="514"/>
      <c r="AL2" s="514"/>
      <c r="AM2" s="515"/>
      <c r="AO2" s="475" t="str">
        <f>verze!E14</f>
        <v>vpřed  &gt;&gt;</v>
      </c>
      <c r="AP2" s="476"/>
      <c r="AQ2" s="476"/>
      <c r="AR2" s="477"/>
      <c r="AV2" s="143"/>
      <c r="AW2" s="143"/>
      <c r="AY2" s="212">
        <f>AQ21</f>
        <v>0</v>
      </c>
      <c r="AZ2" s="367" t="s">
        <v>591</v>
      </c>
      <c r="BA2" s="367"/>
    </row>
    <row r="3" spans="1:63" ht="12.9" customHeight="1">
      <c r="AV3" s="143"/>
      <c r="AW3" s="143"/>
      <c r="AY3" s="212">
        <f>AQ24</f>
        <v>2</v>
      </c>
      <c r="AZ3" s="367" t="s">
        <v>594</v>
      </c>
      <c r="BA3" s="367"/>
    </row>
    <row r="4" spans="1:63" ht="23.1" customHeight="1">
      <c r="A4" s="89"/>
      <c r="B4" s="93" t="str">
        <f>verze!E206&amp;" AVANTECH YOU  101 / 187 Inlay"</f>
        <v>Zásuvka AVANTECH YOU  101 / 187 Inlay</v>
      </c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U4" s="94" t="s">
        <v>33</v>
      </c>
      <c r="AW4" s="285">
        <f>IF(FORM!AU13=FORM!U18,1,0)</f>
        <v>1</v>
      </c>
      <c r="AY4" s="212">
        <f>AQ27</f>
        <v>0</v>
      </c>
      <c r="AZ4" s="367" t="s">
        <v>592</v>
      </c>
      <c r="BA4" s="367"/>
      <c r="BB4" s="322">
        <f>SUM(BB5:BB1007)</f>
        <v>0</v>
      </c>
      <c r="BD4" s="94" t="s">
        <v>34</v>
      </c>
      <c r="BK4" s="322">
        <f>SUM(BK5:BK1009)</f>
        <v>0</v>
      </c>
    </row>
    <row r="5" spans="1:63" ht="14.4" customHeight="1">
      <c r="AU5" s="319">
        <f>OBJ!B39</f>
        <v>9353335</v>
      </c>
      <c r="AV5" s="21" t="str">
        <f>VLOOKUP(AU5,CENY!$B$11:$G$1054,2,FALSE)</f>
        <v>AvanY-sólo oceľ.boky-NW 101/400mm/strieb.</v>
      </c>
      <c r="AW5" s="22">
        <f>VLOOKUP(AU5,CENY!$B$11:$G$1054,3,FALSE)</f>
        <v>1</v>
      </c>
      <c r="AX5" s="362">
        <v>4</v>
      </c>
      <c r="AY5" s="68"/>
      <c r="AZ5" s="326" t="str">
        <f>IF(AY5="","",IF($AW$4=1,AY5,0))</f>
        <v/>
      </c>
      <c r="BA5" s="95">
        <f>VLOOKUP(AU5,CENY!$B$11:$M$2025,12,FALSE)</f>
        <v>545.66444999999999</v>
      </c>
      <c r="BB5" s="95">
        <f t="shared" ref="BB5:BB74" si="0">IF(BA5="","",BA5*AY5)</f>
        <v>0</v>
      </c>
      <c r="BD5" s="319">
        <f>OBJ!B50</f>
        <v>9255008</v>
      </c>
      <c r="BE5" s="21" t="str">
        <f>VLOOKUP(BD5,CENY!$B$11:$G$1054,2,FALSE)</f>
        <v>AvanY-bok ľavý /v101/h270/ strieborná</v>
      </c>
      <c r="BF5" s="22">
        <f>VLOOKUP(BD5,CENY!$B$11:$G$1054,3,FALSE)</f>
        <v>20</v>
      </c>
      <c r="BG5" s="22"/>
      <c r="BH5" s="68"/>
      <c r="BI5" s="326" t="str">
        <f>IF(BH5="","",IF($AW$4=0,BH5,0))</f>
        <v/>
      </c>
      <c r="BJ5" s="95">
        <f>VLOOKUP(BD5,CENY!$B$11:$M$2025,12,FALSE)</f>
        <v>208.07782</v>
      </c>
      <c r="BK5" s="95">
        <f>IF(BJ5="","",BJ5*BH5)</f>
        <v>0</v>
      </c>
    </row>
    <row r="6" spans="1:63" ht="14.4" customHeight="1">
      <c r="B6" s="549" t="str">
        <f>" "&amp;verze!E90</f>
        <v xml:space="preserve"> bočnice:</v>
      </c>
      <c r="C6" s="549"/>
      <c r="D6" s="549"/>
      <c r="E6" s="549"/>
      <c r="F6" s="564" t="s">
        <v>598</v>
      </c>
      <c r="G6" s="564"/>
      <c r="H6" s="564"/>
      <c r="I6" s="564"/>
      <c r="J6" s="564"/>
      <c r="K6" s="564"/>
      <c r="AU6" s="319">
        <f>OBJ!B40</f>
        <v>9353336</v>
      </c>
      <c r="AV6" s="21" t="str">
        <f>VLOOKUP(AU6,CENY!$B$11:$G$1054,2,FALSE)</f>
        <v>AvanY-sólo oceľ.boky-NW 101/450mm/strieb.</v>
      </c>
      <c r="AW6" s="22">
        <f>VLOOKUP(AU6,CENY!$B$11:$G$1054,3,FALSE)</f>
        <v>1</v>
      </c>
      <c r="AX6" s="362">
        <v>4</v>
      </c>
      <c r="AY6" s="68"/>
      <c r="AZ6" s="326" t="str">
        <f t="shared" ref="AZ6:AZ75" si="1">IF(AY6="","",IF($AW$4=1,AY6,0))</f>
        <v/>
      </c>
      <c r="BA6" s="95">
        <f>VLOOKUP(AU6,CENY!$B$11:$M$2025,12,FALSE)</f>
        <v>550.21777999999995</v>
      </c>
      <c r="BB6" s="95">
        <f t="shared" si="0"/>
        <v>0</v>
      </c>
      <c r="BD6" s="319">
        <f>OBJ!B51</f>
        <v>9255009</v>
      </c>
      <c r="BE6" s="21" t="str">
        <f>VLOOKUP(BD6,CENY!$B$11:$G$1054,2,FALSE)</f>
        <v>AvanY-bok pravý /v101/h270/ strieborná</v>
      </c>
      <c r="BF6" s="22">
        <f>VLOOKUP(BD6,CENY!$B$11:$G$1054,3,FALSE)</f>
        <v>20</v>
      </c>
      <c r="BG6" s="22"/>
      <c r="BH6" s="68"/>
      <c r="BI6" s="326" t="str">
        <f t="shared" ref="BI6:BI83" si="2">IF(BH6="","",IF($AW$4=0,BH6,0))</f>
        <v/>
      </c>
      <c r="BJ6" s="95">
        <f>VLOOKUP(BD6,CENY!$B$11:$M$2025,12,FALSE)</f>
        <v>208.07782</v>
      </c>
      <c r="BK6" s="95">
        <f t="shared" ref="BK6:BK83" si="3">IF(BJ6="","",BJ6*BH6)</f>
        <v>0</v>
      </c>
    </row>
    <row r="7" spans="1:63" ht="14.4" customHeight="1">
      <c r="B7" s="549" t="str">
        <f>" "&amp;verze!E56</f>
        <v xml:space="preserve"> barva:</v>
      </c>
      <c r="C7" s="549"/>
      <c r="D7" s="549"/>
      <c r="E7" s="549"/>
      <c r="F7" s="564" t="str">
        <f>" "&amp;FORM!U8</f>
        <v xml:space="preserve"> stříbrná</v>
      </c>
      <c r="G7" s="564"/>
      <c r="H7" s="564"/>
      <c r="I7" s="564"/>
      <c r="J7" s="564"/>
      <c r="K7" s="564"/>
      <c r="AU7" s="319">
        <f>OBJ!B41</f>
        <v>9353337</v>
      </c>
      <c r="AV7" s="21" t="str">
        <f>VLOOKUP(AU7,CENY!$B$11:$G$1054,2,FALSE)</f>
        <v>AvanY-sólo oceľ.boky-NW 101/500mm/strieb.</v>
      </c>
      <c r="AW7" s="22">
        <f>VLOOKUP(AU7,CENY!$B$11:$G$1054,3,FALSE)</f>
        <v>1</v>
      </c>
      <c r="AX7" s="362">
        <v>6</v>
      </c>
      <c r="AY7" s="68"/>
      <c r="AZ7" s="326" t="str">
        <f t="shared" si="1"/>
        <v/>
      </c>
      <c r="BA7" s="95">
        <f>VLOOKUP(AU7,CENY!$B$11:$M$2025,12,FALSE)</f>
        <v>557.82863999999995</v>
      </c>
      <c r="BB7" s="95">
        <f t="shared" si="0"/>
        <v>0</v>
      </c>
      <c r="BD7" s="319">
        <f>OBJ!B52</f>
        <v>9255010</v>
      </c>
      <c r="BE7" s="21" t="str">
        <f>VLOOKUP(BD7,CENY!$B$11:$G$1054,2,FALSE)</f>
        <v>AvanY-bok ľavý /v101/h300/ strieborná</v>
      </c>
      <c r="BF7" s="22">
        <f>VLOOKUP(BD7,CENY!$B$11:$G$1054,3,FALSE)</f>
        <v>20</v>
      </c>
      <c r="BG7" s="22"/>
      <c r="BH7" s="68"/>
      <c r="BI7" s="326" t="str">
        <f t="shared" si="2"/>
        <v/>
      </c>
      <c r="BJ7" s="95">
        <f>VLOOKUP(BD7,CENY!$B$11:$M$2025,12,FALSE)</f>
        <v>210.40101000000001</v>
      </c>
      <c r="BK7" s="95">
        <f t="shared" si="3"/>
        <v>0</v>
      </c>
    </row>
    <row r="8" spans="1:63" ht="14.4" customHeight="1" thickBot="1">
      <c r="B8" s="549" t="str">
        <f>" "&amp;verze!E70</f>
        <v xml:space="preserve"> dekorativní profil:</v>
      </c>
      <c r="C8" s="549"/>
      <c r="D8" s="549"/>
      <c r="E8" s="549"/>
      <c r="F8" s="564" t="str">
        <f>" "&amp;FORM!AM18</f>
        <v xml:space="preserve"> v barvě bočnice</v>
      </c>
      <c r="G8" s="564"/>
      <c r="H8" s="564"/>
      <c r="I8" s="564"/>
      <c r="J8" s="564"/>
      <c r="K8" s="564"/>
      <c r="AU8" s="319">
        <f>OBJ!B42</f>
        <v>9353338</v>
      </c>
      <c r="AV8" s="21" t="str">
        <f>VLOOKUP(AU8,CENY!$B$11:$G$1054,2,FALSE)</f>
        <v>AvanY-sólo oceľ.boky-NW 101/550mm/strieb.</v>
      </c>
      <c r="AW8" s="22">
        <f>VLOOKUP(AU8,CENY!$B$11:$G$1054,3,FALSE)</f>
        <v>1</v>
      </c>
      <c r="AX8" s="362">
        <v>6</v>
      </c>
      <c r="AY8" s="68"/>
      <c r="AZ8" s="326" t="str">
        <f t="shared" si="1"/>
        <v/>
      </c>
      <c r="BA8" s="95">
        <f>VLOOKUP(AU8,CENY!$B$11:$M$2025,12,FALSE)</f>
        <v>565.42625999999996</v>
      </c>
      <c r="BB8" s="95">
        <f t="shared" si="0"/>
        <v>0</v>
      </c>
      <c r="BD8" s="319">
        <f>OBJ!B53</f>
        <v>9255011</v>
      </c>
      <c r="BE8" s="21" t="str">
        <f>VLOOKUP(BD8,CENY!$B$11:$G$1054,2,FALSE)</f>
        <v>AvanY-bok pravý /v101/h300/ strieborná</v>
      </c>
      <c r="BF8" s="22">
        <f>VLOOKUP(BD8,CENY!$B$11:$G$1054,3,FALSE)</f>
        <v>20</v>
      </c>
      <c r="BG8" s="22"/>
      <c r="BH8" s="68"/>
      <c r="BI8" s="326" t="str">
        <f t="shared" si="2"/>
        <v/>
      </c>
      <c r="BJ8" s="95">
        <f>VLOOKUP(BD8,CENY!$B$11:$M$2025,12,FALSE)</f>
        <v>210.40101000000001</v>
      </c>
      <c r="BK8" s="95">
        <f t="shared" si="3"/>
        <v>0</v>
      </c>
    </row>
    <row r="9" spans="1:63" ht="14.4" customHeight="1" thickTop="1">
      <c r="B9" s="550"/>
      <c r="C9" s="558"/>
      <c r="D9" s="558"/>
      <c r="E9" s="559"/>
      <c r="F9" s="560"/>
      <c r="G9" s="561"/>
      <c r="H9" s="561"/>
      <c r="I9" s="561"/>
      <c r="J9" s="561"/>
      <c r="K9" s="562"/>
      <c r="AK9" s="585" t="str">
        <f>verze!E160</f>
        <v>Je nutné natypovat šířky čel ?</v>
      </c>
      <c r="AL9" s="586"/>
      <c r="AM9" s="586"/>
      <c r="AN9" s="586"/>
      <c r="AO9" s="586"/>
      <c r="AP9" s="587"/>
      <c r="AU9" s="319">
        <f>OBJ!B43</f>
        <v>9353339</v>
      </c>
      <c r="AV9" s="21" t="str">
        <f>VLOOKUP(AU9,CENY!$B$11:$G$1054,2,FALSE)</f>
        <v>AvanY-sólo oceľ.boky-NW 101/600mm/strieb.</v>
      </c>
      <c r="AW9" s="22">
        <f>VLOOKUP(AU9,CENY!$B$11:$G$1054,3,FALSE)</f>
        <v>1</v>
      </c>
      <c r="AX9" s="362">
        <v>6</v>
      </c>
      <c r="AY9" s="23">
        <f>SUM(AY1:AY2)*(W20+W22+W28)</f>
        <v>0</v>
      </c>
      <c r="AZ9" s="326">
        <f t="shared" si="1"/>
        <v>0</v>
      </c>
      <c r="BA9" s="95">
        <f>VLOOKUP(AU9,CENY!$B$11:$M$2025,12,FALSE)</f>
        <v>557.79244000000006</v>
      </c>
      <c r="BB9" s="95">
        <f t="shared" si="0"/>
        <v>0</v>
      </c>
      <c r="BD9" s="319">
        <f>OBJ!B54</f>
        <v>9255012</v>
      </c>
      <c r="BE9" s="21" t="str">
        <f>VLOOKUP(BD9,CENY!$B$11:$G$1054,2,FALSE)</f>
        <v>AvanY-bok ľavý /v101/h350/ strieborná</v>
      </c>
      <c r="BF9" s="22">
        <f>VLOOKUP(BD9,CENY!$B$11:$G$1054,3,FALSE)</f>
        <v>20</v>
      </c>
      <c r="BG9" s="22"/>
      <c r="BH9" s="68"/>
      <c r="BI9" s="326" t="str">
        <f t="shared" si="2"/>
        <v/>
      </c>
      <c r="BJ9" s="95">
        <f>VLOOKUP(BD9,CENY!$B$11:$M$2025,12,FALSE)</f>
        <v>214.27737999999999</v>
      </c>
      <c r="BK9" s="95">
        <f t="shared" si="3"/>
        <v>0</v>
      </c>
    </row>
    <row r="10" spans="1:63" ht="14.4" customHeight="1">
      <c r="B10" s="549" t="str">
        <f>" "&amp;verze!E57</f>
        <v xml:space="preserve"> čelní kování:</v>
      </c>
      <c r="C10" s="549"/>
      <c r="D10" s="549"/>
      <c r="E10" s="549"/>
      <c r="F10" s="563" t="str">
        <f>" "&amp;FORM!AM8</f>
        <v xml:space="preserve"> na vruty</v>
      </c>
      <c r="G10" s="563"/>
      <c r="H10" s="563"/>
      <c r="I10" s="563"/>
      <c r="J10" s="563"/>
      <c r="K10" s="563"/>
      <c r="AK10" s="588"/>
      <c r="AL10" s="589"/>
      <c r="AM10" s="589"/>
      <c r="AN10" s="589"/>
      <c r="AO10" s="589"/>
      <c r="AP10" s="590"/>
      <c r="AU10" s="319">
        <f>OBJ!B44</f>
        <v>9353340</v>
      </c>
      <c r="AV10" s="21" t="str">
        <f>VLOOKUP(AU10,CENY!$B$11:$G$1054,2,FALSE)</f>
        <v>AvanY-sólo oceľ.boky-NW 101/650mm/strieb.</v>
      </c>
      <c r="AW10" s="22">
        <f>VLOOKUP(AU10,CENY!$B$11:$G$1054,3,FALSE)</f>
        <v>1</v>
      </c>
      <c r="AX10" s="362">
        <v>8</v>
      </c>
      <c r="AY10" s="23">
        <f>SUM(AY1:AY2)*(Y20+Y22+Y28)</f>
        <v>0</v>
      </c>
      <c r="AZ10" s="326">
        <f t="shared" si="1"/>
        <v>0</v>
      </c>
      <c r="BA10" s="95">
        <f>VLOOKUP(AU10,CENY!$B$11:$M$2025,12,FALSE)</f>
        <v>565.19020999999998</v>
      </c>
      <c r="BB10" s="95">
        <f t="shared" si="0"/>
        <v>0</v>
      </c>
      <c r="BD10" s="319">
        <f>OBJ!B55</f>
        <v>9255013</v>
      </c>
      <c r="BE10" s="21" t="str">
        <f>VLOOKUP(BD10,CENY!$B$11:$G$1054,2,FALSE)</f>
        <v>AvanY-bok pravý /v101/h350/ strieborná</v>
      </c>
      <c r="BF10" s="22">
        <f>VLOOKUP(BD10,CENY!$B$11:$G$1054,3,FALSE)</f>
        <v>20</v>
      </c>
      <c r="BG10" s="22"/>
      <c r="BH10" s="68"/>
      <c r="BI10" s="326" t="str">
        <f t="shared" si="2"/>
        <v/>
      </c>
      <c r="BJ10" s="95">
        <f>VLOOKUP(BD10,CENY!$B$11:$M$2025,12,FALSE)</f>
        <v>214.27737999999999</v>
      </c>
      <c r="BK10" s="95">
        <f t="shared" si="3"/>
        <v>0</v>
      </c>
    </row>
    <row r="11" spans="1:63" ht="14.4" customHeight="1">
      <c r="B11" s="549" t="str">
        <f>" "&amp;verze!E76</f>
        <v xml:space="preserve"> krytka:</v>
      </c>
      <c r="C11" s="549"/>
      <c r="D11" s="549"/>
      <c r="E11" s="549"/>
      <c r="F11" s="563" t="str">
        <f>" "&amp;FORM!AM21</f>
        <v xml:space="preserve"> žádná</v>
      </c>
      <c r="G11" s="563"/>
      <c r="H11" s="563"/>
      <c r="I11" s="563"/>
      <c r="J11" s="563"/>
      <c r="K11" s="563"/>
      <c r="AU11" s="319">
        <f>OBJ!B45</f>
        <v>9353341</v>
      </c>
      <c r="AV11" s="21" t="str">
        <f>VLOOKUP(AU11,CENY!$B$11:$G$1054,2,FALSE)</f>
        <v>AvanY-sólo oceľ.boky-NW 101/270mm/biela</v>
      </c>
      <c r="AW11" s="22">
        <f>VLOOKUP(AU11,CENY!$B$11:$G$1054,3,FALSE)</f>
        <v>1</v>
      </c>
      <c r="AX11" s="362">
        <v>8</v>
      </c>
      <c r="AY11" s="23">
        <f>SUM(AY1:AY2)*(AA20+AA22+AA28)</f>
        <v>0</v>
      </c>
      <c r="AZ11" s="326">
        <f t="shared" si="1"/>
        <v>0</v>
      </c>
      <c r="BA11" s="95">
        <f>VLOOKUP(AU11,CENY!$B$11:$M$2025,12,FALSE)</f>
        <v>588.23680999999999</v>
      </c>
      <c r="BB11" s="95">
        <f t="shared" si="0"/>
        <v>0</v>
      </c>
      <c r="BD11" s="319">
        <f>OBJ!B56</f>
        <v>9255014</v>
      </c>
      <c r="BE11" s="21" t="str">
        <f>VLOOKUP(BD11,CENY!$B$11:$G$1054,2,FALSE)</f>
        <v>AvanY-bok ľavý /v101/h400/ strieborná</v>
      </c>
      <c r="BF11" s="22">
        <f>VLOOKUP(BD11,CENY!$B$11:$G$1054,3,FALSE)</f>
        <v>20</v>
      </c>
      <c r="BG11" s="22"/>
      <c r="BH11" s="68"/>
      <c r="BI11" s="326" t="str">
        <f t="shared" si="2"/>
        <v/>
      </c>
      <c r="BJ11" s="95">
        <f>VLOOKUP(BD11,CENY!$B$11:$M$2025,12,FALSE)</f>
        <v>218.14608000000001</v>
      </c>
      <c r="BK11" s="95">
        <f t="shared" si="3"/>
        <v>0</v>
      </c>
    </row>
    <row r="12" spans="1:63" ht="14.4" customHeight="1" thickBot="1">
      <c r="B12" s="549"/>
      <c r="C12" s="549"/>
      <c r="D12" s="549"/>
      <c r="E12" s="550"/>
      <c r="F12" s="551"/>
      <c r="G12" s="552"/>
      <c r="H12" s="552"/>
      <c r="I12" s="552"/>
      <c r="J12" s="553"/>
      <c r="K12" s="554"/>
      <c r="AU12" s="319">
        <f>OBJ!B46</f>
        <v>9353342</v>
      </c>
      <c r="AV12" s="21" t="str">
        <f>VLOOKUP(AU12,CENY!$B$11:$G$1054,2,FALSE)</f>
        <v>AvanY-sólo oceľ.boky-NW 101/300mm/biela</v>
      </c>
      <c r="AW12" s="22">
        <f>VLOOKUP(AU12,CENY!$B$11:$G$1054,3,FALSE)</f>
        <v>1</v>
      </c>
      <c r="AX12" s="362">
        <v>8</v>
      </c>
      <c r="AY12" s="23">
        <f>SUM(AY1:AY2)*(AC20+AC22+AC28)</f>
        <v>0</v>
      </c>
      <c r="AZ12" s="326">
        <f t="shared" si="1"/>
        <v>0</v>
      </c>
      <c r="BA12" s="95">
        <f>VLOOKUP(AU12,CENY!$B$11:$M$2025,12,FALSE)</f>
        <v>600.62784999999997</v>
      </c>
      <c r="BB12" s="95">
        <f t="shared" si="0"/>
        <v>0</v>
      </c>
      <c r="BD12" s="319">
        <f>OBJ!B57</f>
        <v>9255015</v>
      </c>
      <c r="BE12" s="21" t="str">
        <f>VLOOKUP(BD12,CENY!$B$11:$G$1054,2,FALSE)</f>
        <v>AvanY-bok pravý /v101/h400/ strieborná</v>
      </c>
      <c r="BF12" s="22">
        <f>VLOOKUP(BD12,CENY!$B$11:$G$1054,3,FALSE)</f>
        <v>20</v>
      </c>
      <c r="BG12" s="22"/>
      <c r="BH12" s="68"/>
      <c r="BI12" s="326" t="str">
        <f t="shared" si="2"/>
        <v/>
      </c>
      <c r="BJ12" s="95">
        <f>VLOOKUP(BD12,CENY!$B$11:$M$2025,12,FALSE)</f>
        <v>218.14608000000001</v>
      </c>
      <c r="BK12" s="95">
        <f t="shared" si="3"/>
        <v>0</v>
      </c>
    </row>
    <row r="13" spans="1:63" ht="14.4" customHeight="1">
      <c r="B13" s="549" t="str">
        <f>" "&amp;verze!E92</f>
        <v xml:space="preserve"> cena kování:</v>
      </c>
      <c r="C13" s="549"/>
      <c r="D13" s="549"/>
      <c r="E13" s="550"/>
      <c r="F13" s="555">
        <f>IF(AW4=1,BB4,BK4)</f>
        <v>0</v>
      </c>
      <c r="G13" s="555"/>
      <c r="H13" s="555"/>
      <c r="I13" s="555"/>
      <c r="J13" s="556" t="str">
        <f>IF(verze!E1="CZK","CZK","EUR")</f>
        <v>CZK</v>
      </c>
      <c r="K13" s="557"/>
      <c r="AU13" s="319">
        <f>OBJ!B47</f>
        <v>9353343</v>
      </c>
      <c r="AV13" s="21" t="str">
        <f>VLOOKUP(AU13,CENY!$B$11:$G$1054,2,FALSE)</f>
        <v>AvanY-sólo oceľ.boky-NW 101/350mm/biela</v>
      </c>
      <c r="AW13" s="22">
        <f>VLOOKUP(AU13,CENY!$B$11:$G$1054,3,FALSE)</f>
        <v>1</v>
      </c>
      <c r="AX13" s="362">
        <v>10</v>
      </c>
      <c r="AY13" s="23">
        <f>SUM(AY1:AY2)*(AE22)</f>
        <v>0</v>
      </c>
      <c r="AZ13" s="326">
        <f t="shared" si="1"/>
        <v>0</v>
      </c>
      <c r="BA13" s="95">
        <f>VLOOKUP(AU13,CENY!$B$11:$M$2025,12,FALSE)</f>
        <v>618.65596000000005</v>
      </c>
      <c r="BB13" s="95">
        <f t="shared" si="0"/>
        <v>0</v>
      </c>
      <c r="BD13" s="319">
        <f>OBJ!B58</f>
        <v>9255016</v>
      </c>
      <c r="BE13" s="21" t="str">
        <f>VLOOKUP(BD13,CENY!$B$11:$G$1054,2,FALSE)</f>
        <v>AvanY-bok ľavý /v101/h450/ strieborná</v>
      </c>
      <c r="BF13" s="22">
        <f>VLOOKUP(BD13,CENY!$B$11:$G$1054,3,FALSE)</f>
        <v>20</v>
      </c>
      <c r="BG13" s="22"/>
      <c r="BH13" s="23">
        <f>AY9</f>
        <v>0</v>
      </c>
      <c r="BI13" s="326">
        <f t="shared" si="2"/>
        <v>0</v>
      </c>
      <c r="BJ13" s="95">
        <f>VLOOKUP(BD13,CENY!$B$11:$M$2025,12,FALSE)</f>
        <v>222.02244999999999</v>
      </c>
      <c r="BK13" s="95">
        <f t="shared" si="3"/>
        <v>0</v>
      </c>
    </row>
    <row r="14" spans="1:63" ht="14.4" customHeight="1">
      <c r="AU14" s="319"/>
      <c r="AV14" s="21"/>
      <c r="AW14" s="22"/>
      <c r="AX14" s="362"/>
      <c r="AY14" s="23"/>
      <c r="AZ14" s="326"/>
      <c r="BA14" s="95"/>
      <c r="BB14" s="95"/>
      <c r="BD14" s="319">
        <f>OBJ!B59</f>
        <v>9255017</v>
      </c>
      <c r="BE14" s="21" t="str">
        <f>VLOOKUP(BD14,CENY!$B$11:$G$1054,2,FALSE)</f>
        <v>AvanY-bok pravý /v101/h450/ strieborná</v>
      </c>
      <c r="BF14" s="22">
        <f>VLOOKUP(BD14,CENY!$B$11:$G$1054,3,FALSE)</f>
        <v>20</v>
      </c>
      <c r="BG14" s="22"/>
      <c r="BH14" s="23">
        <f>AY9</f>
        <v>0</v>
      </c>
      <c r="BI14" s="326">
        <f t="shared" si="2"/>
        <v>0</v>
      </c>
      <c r="BJ14" s="95">
        <f>VLOOKUP(BD14,CENY!$B$11:$M$2025,12,FALSE)</f>
        <v>222.02244999999999</v>
      </c>
      <c r="BK14" s="95">
        <f t="shared" si="3"/>
        <v>0</v>
      </c>
    </row>
    <row r="15" spans="1:63" ht="14.4" customHeight="1">
      <c r="AU15" s="319">
        <f>OBJ!B170</f>
        <v>9353285</v>
      </c>
      <c r="AV15" s="21" t="str">
        <f>VLOOKUP(AU15,CENY!$B$11:$G$1054,2,FALSE)</f>
        <v>AvanY-sólo boky Inlay-NW 187/450mm/strieb.</v>
      </c>
      <c r="AW15" s="22">
        <f>VLOOKUP(AU15,CENY!$B$11:$G$1054,3,FALSE)</f>
        <v>1</v>
      </c>
      <c r="AX15" s="362">
        <v>6</v>
      </c>
      <c r="AY15" s="23">
        <f>SUM(AY3:AY4)*(W20+W22+W28)</f>
        <v>0</v>
      </c>
      <c r="AZ15" s="326">
        <f t="shared" ref="AZ15:AZ19" si="4">IF(AY15="","",IF($AW$4=1,AY15,0))</f>
        <v>0</v>
      </c>
      <c r="BA15" s="95">
        <f>VLOOKUP(AU15,CENY!$B$11:$M$2025,12,FALSE)</f>
        <v>841.09733000000006</v>
      </c>
      <c r="BB15" s="95">
        <f t="shared" ref="BB15:BB19" si="5">IF(BA15="","",BA15*AY15)</f>
        <v>0</v>
      </c>
      <c r="BD15" s="319">
        <f>OBJ!B60</f>
        <v>9255018</v>
      </c>
      <c r="BE15" s="21" t="str">
        <f>VLOOKUP(BD15,CENY!$B$11:$G$1054,2,FALSE)</f>
        <v>AvanY-bok ľavý /v101/h500/ strieborná</v>
      </c>
      <c r="BF15" s="22">
        <f>VLOOKUP(BD15,CENY!$B$11:$G$1054,3,FALSE)</f>
        <v>20</v>
      </c>
      <c r="BG15" s="22"/>
      <c r="BH15" s="23">
        <f>AY10</f>
        <v>0</v>
      </c>
      <c r="BI15" s="326">
        <f t="shared" si="2"/>
        <v>0</v>
      </c>
      <c r="BJ15" s="95">
        <f>VLOOKUP(BD15,CENY!$B$11:$M$2025,12,FALSE)</f>
        <v>219.88341</v>
      </c>
      <c r="BK15" s="95">
        <f t="shared" si="3"/>
        <v>0</v>
      </c>
    </row>
    <row r="16" spans="1:63" ht="14.4" customHeight="1">
      <c r="AB16" s="341"/>
      <c r="AU16" s="319">
        <f>OBJ!B171</f>
        <v>9353286</v>
      </c>
      <c r="AV16" s="21" t="str">
        <f>VLOOKUP(AU16,CENY!$B$11:$G$1054,2,FALSE)</f>
        <v>AvanY-sólo boky Inlay-NW 187/500mm/strieb.</v>
      </c>
      <c r="AW16" s="22">
        <f>VLOOKUP(AU16,CENY!$B$11:$G$1054,3,FALSE)</f>
        <v>1</v>
      </c>
      <c r="AX16" s="362">
        <v>8</v>
      </c>
      <c r="AY16" s="23">
        <f>SUM(AY3:AY4)*(Y20+Y22+Y28)</f>
        <v>0</v>
      </c>
      <c r="AZ16" s="326">
        <f t="shared" si="4"/>
        <v>0</v>
      </c>
      <c r="BA16" s="95">
        <f>VLOOKUP(AU16,CENY!$B$11:$M$2025,12,FALSE)</f>
        <v>852.72563000000002</v>
      </c>
      <c r="BB16" s="95">
        <f t="shared" si="5"/>
        <v>0</v>
      </c>
      <c r="BD16" s="319">
        <f>OBJ!B61</f>
        <v>9255019</v>
      </c>
      <c r="BE16" s="21" t="str">
        <f>VLOOKUP(BD16,CENY!$B$11:$G$1054,2,FALSE)</f>
        <v>AvanY-bok pravý /v101/h500/ strieborná</v>
      </c>
      <c r="BF16" s="22">
        <f>VLOOKUP(BD16,CENY!$B$11:$G$1054,3,FALSE)</f>
        <v>20</v>
      </c>
      <c r="BG16" s="22"/>
      <c r="BH16" s="23">
        <f>AY10</f>
        <v>0</v>
      </c>
      <c r="BI16" s="326">
        <f t="shared" si="2"/>
        <v>0</v>
      </c>
      <c r="BJ16" s="95">
        <f>VLOOKUP(BD16,CENY!$B$11:$M$2025,12,FALSE)</f>
        <v>219.88341</v>
      </c>
      <c r="BK16" s="95">
        <f t="shared" si="3"/>
        <v>0</v>
      </c>
    </row>
    <row r="17" spans="2:63" ht="14.4" customHeight="1" thickBot="1">
      <c r="B17" s="1" t="s">
        <v>284</v>
      </c>
      <c r="O17" s="547" t="str">
        <f>FORM!U18</f>
        <v>flexibilní sety</v>
      </c>
      <c r="P17" s="548"/>
      <c r="Q17" s="548"/>
      <c r="R17" s="548"/>
      <c r="S17" s="548"/>
      <c r="T17" s="548"/>
      <c r="U17" s="548"/>
      <c r="V17" s="548"/>
      <c r="W17" s="548"/>
      <c r="X17" s="548"/>
      <c r="Y17" s="548"/>
      <c r="Z17" s="548"/>
      <c r="AA17" s="548"/>
      <c r="AB17" s="548"/>
      <c r="AC17" s="548"/>
      <c r="AD17" s="548"/>
      <c r="AE17" s="548"/>
      <c r="AF17" s="548"/>
      <c r="AU17" s="319">
        <f>OBJ!B172</f>
        <v>9353287</v>
      </c>
      <c r="AV17" s="21" t="str">
        <f>VLOOKUP(AU17,CENY!$B$11:$G$1054,2,FALSE)</f>
        <v>AvanY-sólo boky Inlay-NW 187/550mm/strieb.</v>
      </c>
      <c r="AW17" s="22">
        <f>VLOOKUP(AU17,CENY!$B$11:$G$1054,3,FALSE)</f>
        <v>1</v>
      </c>
      <c r="AX17" s="362">
        <v>8</v>
      </c>
      <c r="AY17" s="23">
        <f>SUM(AY3:AY4)*(AA20+AA22+AA28)</f>
        <v>0</v>
      </c>
      <c r="AZ17" s="326">
        <f t="shared" si="4"/>
        <v>0</v>
      </c>
      <c r="BA17" s="95">
        <f>VLOOKUP(AU17,CENY!$B$11:$M$2025,12,FALSE)</f>
        <v>887.97243000000003</v>
      </c>
      <c r="BB17" s="95">
        <f t="shared" si="5"/>
        <v>0</v>
      </c>
      <c r="BD17" s="319">
        <f>OBJ!B62</f>
        <v>9255020</v>
      </c>
      <c r="BE17" s="21" t="str">
        <f>VLOOKUP(BD17,CENY!$B$11:$G$1054,2,FALSE)</f>
        <v>AvanY-bok ľavý /v101/h550/ strieborná</v>
      </c>
      <c r="BF17" s="22">
        <f>VLOOKUP(BD17,CENY!$B$11:$G$1054,3,FALSE)</f>
        <v>20</v>
      </c>
      <c r="BG17" s="22"/>
      <c r="BH17" s="23">
        <f>AY11</f>
        <v>0</v>
      </c>
      <c r="BI17" s="326">
        <f t="shared" si="2"/>
        <v>0</v>
      </c>
      <c r="BJ17" s="95">
        <f>VLOOKUP(BD17,CENY!$B$11:$M$2025,12,FALSE)</f>
        <v>229.76492999999999</v>
      </c>
      <c r="BK17" s="95">
        <f t="shared" si="3"/>
        <v>0</v>
      </c>
    </row>
    <row r="18" spans="2:63" ht="14.4" customHeight="1" thickBot="1">
      <c r="B18" s="96"/>
      <c r="C18" s="96"/>
      <c r="D18" s="96"/>
      <c r="E18" s="96"/>
      <c r="F18" s="96"/>
      <c r="G18" s="96"/>
      <c r="H18" s="72"/>
      <c r="I18" s="72"/>
      <c r="J18" s="72"/>
      <c r="K18" s="72"/>
      <c r="L18" s="72"/>
      <c r="M18" s="72"/>
      <c r="N18" s="72" t="str">
        <f>verze!$E$20&amp;" "</f>
        <v xml:space="preserve">Jmenovitá délka: </v>
      </c>
      <c r="O18" s="535">
        <v>270</v>
      </c>
      <c r="P18" s="536"/>
      <c r="Q18" s="535">
        <v>300</v>
      </c>
      <c r="R18" s="536"/>
      <c r="S18" s="535">
        <v>350</v>
      </c>
      <c r="T18" s="536"/>
      <c r="U18" s="535">
        <v>400</v>
      </c>
      <c r="V18" s="536"/>
      <c r="W18" s="535">
        <v>450</v>
      </c>
      <c r="X18" s="536"/>
      <c r="Y18" s="537">
        <v>500</v>
      </c>
      <c r="Z18" s="538"/>
      <c r="AA18" s="535">
        <v>550</v>
      </c>
      <c r="AB18" s="536"/>
      <c r="AC18" s="535">
        <v>600</v>
      </c>
      <c r="AD18" s="536"/>
      <c r="AE18" s="535">
        <v>650</v>
      </c>
      <c r="AF18" s="536"/>
      <c r="AP18" s="233" t="s">
        <v>258</v>
      </c>
      <c r="AQ18" s="614">
        <v>1</v>
      </c>
      <c r="AR18" s="615"/>
      <c r="AU18" s="319">
        <f>OBJ!B173</f>
        <v>9353288</v>
      </c>
      <c r="AV18" s="21" t="str">
        <f>VLOOKUP(AU18,CENY!$B$11:$G$1054,2,FALSE)</f>
        <v>AvanY-sólo boky Inlay-NW 187/600mm/strieb.</v>
      </c>
      <c r="AW18" s="22">
        <f>VLOOKUP(AU18,CENY!$B$11:$G$1054,3,FALSE)</f>
        <v>1</v>
      </c>
      <c r="AX18" s="362">
        <v>8</v>
      </c>
      <c r="AY18" s="23">
        <f>SUM(AY3:AY4)*(AC20+AC22+AC28)</f>
        <v>0</v>
      </c>
      <c r="AZ18" s="326">
        <f t="shared" si="4"/>
        <v>0</v>
      </c>
      <c r="BA18" s="95">
        <f>VLOOKUP(AU18,CENY!$B$11:$M$2025,12,FALSE)</f>
        <v>905.98955999999998</v>
      </c>
      <c r="BB18" s="95">
        <f t="shared" si="5"/>
        <v>0</v>
      </c>
      <c r="BD18" s="319">
        <f>OBJ!B63</f>
        <v>9255021</v>
      </c>
      <c r="BE18" s="21" t="str">
        <f>VLOOKUP(BD18,CENY!$B$11:$G$1054,2,FALSE)</f>
        <v>AvanY-bok pravý /v101/h550/ strieborná</v>
      </c>
      <c r="BF18" s="22">
        <f>VLOOKUP(BD18,CENY!$B$11:$G$1054,3,FALSE)</f>
        <v>20</v>
      </c>
      <c r="BG18" s="22"/>
      <c r="BH18" s="23">
        <f>AY11</f>
        <v>0</v>
      </c>
      <c r="BI18" s="326">
        <f t="shared" si="2"/>
        <v>0</v>
      </c>
      <c r="BJ18" s="95">
        <f>VLOOKUP(BD18,CENY!$B$11:$M$2025,12,FALSE)</f>
        <v>229.76492999999999</v>
      </c>
      <c r="BK18" s="95">
        <f t="shared" si="3"/>
        <v>0</v>
      </c>
    </row>
    <row r="19" spans="2:63" ht="14.4" customHeight="1" thickBot="1">
      <c r="B19" s="530" t="s">
        <v>289</v>
      </c>
      <c r="C19" s="530"/>
      <c r="D19" s="530"/>
      <c r="E19" s="530"/>
      <c r="F19" s="530"/>
      <c r="G19" s="530"/>
      <c r="H19" s="531" t="str">
        <f>verze!E18</f>
        <v>plnovýsuv</v>
      </c>
      <c r="I19" s="531"/>
      <c r="J19" s="531"/>
      <c r="K19" s="531"/>
      <c r="L19" s="531"/>
      <c r="M19" s="532" t="s">
        <v>286</v>
      </c>
      <c r="N19" s="533"/>
      <c r="O19" s="569"/>
      <c r="P19" s="612"/>
      <c r="Q19" s="613"/>
      <c r="R19" s="612"/>
      <c r="S19" s="613"/>
      <c r="T19" s="570"/>
      <c r="U19" s="283"/>
      <c r="V19" s="284"/>
      <c r="W19" s="283"/>
      <c r="X19" s="284"/>
      <c r="Y19" s="283"/>
      <c r="Z19" s="284"/>
      <c r="AA19" s="283"/>
      <c r="AB19" s="284"/>
      <c r="AC19" s="283"/>
      <c r="AD19" s="284"/>
      <c r="AE19" s="280"/>
      <c r="AF19" s="281"/>
      <c r="AU19" s="319">
        <f>OBJ!B174</f>
        <v>9353289</v>
      </c>
      <c r="AV19" s="21" t="str">
        <f>VLOOKUP(AU19,CENY!$B$11:$G$1054,2,FALSE)</f>
        <v>AvanY-sólo boky Inlay-NW 187/650mm/strieb.</v>
      </c>
      <c r="AW19" s="22">
        <f>VLOOKUP(AU19,CENY!$B$11:$G$1054,3,FALSE)</f>
        <v>1</v>
      </c>
      <c r="AX19" s="362">
        <v>10</v>
      </c>
      <c r="AY19" s="23">
        <f>SUM(AY3:AY4)*(AE22)</f>
        <v>0</v>
      </c>
      <c r="AZ19" s="326">
        <f t="shared" si="4"/>
        <v>0</v>
      </c>
      <c r="BA19" s="95">
        <f>VLOOKUP(AU19,CENY!$B$11:$M$2025,12,FALSE)</f>
        <v>930.49195999999995</v>
      </c>
      <c r="BB19" s="95">
        <f t="shared" si="5"/>
        <v>0</v>
      </c>
      <c r="BD19" s="319">
        <f>OBJ!B64</f>
        <v>9255022</v>
      </c>
      <c r="BE19" s="21" t="str">
        <f>VLOOKUP(BD19,CENY!$B$11:$G$1054,2,FALSE)</f>
        <v>AvanY-bok ľavý /v101/h600/ strieborná</v>
      </c>
      <c r="BF19" s="22">
        <f>VLOOKUP(BD19,CENY!$B$11:$G$1054,3,FALSE)</f>
        <v>20</v>
      </c>
      <c r="BG19" s="22"/>
      <c r="BH19" s="23">
        <f>AY12</f>
        <v>0</v>
      </c>
      <c r="BI19" s="326">
        <f t="shared" si="2"/>
        <v>0</v>
      </c>
      <c r="BJ19" s="95">
        <f>VLOOKUP(BD19,CENY!$B$11:$M$2025,12,FALSE)</f>
        <v>235.60476</v>
      </c>
      <c r="BK19" s="95">
        <f t="shared" si="3"/>
        <v>0</v>
      </c>
    </row>
    <row r="20" spans="2:63" ht="14.4" customHeight="1" thickBot="1">
      <c r="B20" s="521" t="s">
        <v>290</v>
      </c>
      <c r="C20" s="521"/>
      <c r="D20" s="521"/>
      <c r="E20" s="521"/>
      <c r="F20" s="521"/>
      <c r="G20" s="521"/>
      <c r="H20" s="522" t="str">
        <f>verze!E18</f>
        <v>plnovýsuv</v>
      </c>
      <c r="I20" s="522"/>
      <c r="J20" s="522"/>
      <c r="K20" s="522"/>
      <c r="L20" s="522"/>
      <c r="M20" s="523" t="s">
        <v>287</v>
      </c>
      <c r="N20" s="546"/>
      <c r="O20" s="518"/>
      <c r="P20" s="519"/>
      <c r="Q20" s="518"/>
      <c r="R20" s="519"/>
      <c r="S20" s="518"/>
      <c r="T20" s="519"/>
      <c r="U20" s="518"/>
      <c r="V20" s="519"/>
      <c r="W20" s="516"/>
      <c r="X20" s="517"/>
      <c r="Y20" s="516"/>
      <c r="Z20" s="517"/>
      <c r="AA20" s="516"/>
      <c r="AB20" s="517"/>
      <c r="AC20" s="565"/>
      <c r="AD20" s="566"/>
      <c r="AE20" s="518"/>
      <c r="AF20" s="519"/>
      <c r="AU20" s="319"/>
      <c r="AV20" s="21"/>
      <c r="AW20" s="22"/>
      <c r="AX20" s="22"/>
      <c r="AY20" s="23"/>
      <c r="AZ20" s="326" t="str">
        <f t="shared" si="1"/>
        <v/>
      </c>
      <c r="BA20" s="95"/>
      <c r="BB20" s="95" t="str">
        <f t="shared" si="0"/>
        <v/>
      </c>
      <c r="BD20" s="319">
        <f>OBJ!B65</f>
        <v>9255023</v>
      </c>
      <c r="BE20" s="21" t="str">
        <f>VLOOKUP(BD20,CENY!$B$11:$G$1054,2,FALSE)</f>
        <v>AvanY-bok pravý /v101/h600/ strieborná</v>
      </c>
      <c r="BF20" s="22">
        <f>VLOOKUP(BD20,CENY!$B$11:$G$1054,3,FALSE)</f>
        <v>20</v>
      </c>
      <c r="BG20" s="22"/>
      <c r="BH20" s="23">
        <f>AY12</f>
        <v>0</v>
      </c>
      <c r="BI20" s="326">
        <f t="shared" si="2"/>
        <v>0</v>
      </c>
      <c r="BJ20" s="95">
        <f>VLOOKUP(BD20,CENY!$B$11:$M$2025,12,FALSE)</f>
        <v>235.60476</v>
      </c>
      <c r="BK20" s="95">
        <f t="shared" si="3"/>
        <v>0</v>
      </c>
    </row>
    <row r="21" spans="2:63" ht="14.4" customHeight="1" thickBot="1">
      <c r="O21" s="283"/>
      <c r="P21" s="284"/>
      <c r="Q21" s="283"/>
      <c r="R21" s="284"/>
      <c r="S21" s="283"/>
      <c r="T21" s="284"/>
      <c r="U21" s="283"/>
      <c r="V21" s="284"/>
      <c r="W21" s="283"/>
      <c r="X21" s="284"/>
      <c r="Y21" s="283"/>
      <c r="Z21" s="284"/>
      <c r="AA21" s="283"/>
      <c r="AB21" s="284"/>
      <c r="AC21" s="283"/>
      <c r="AD21" s="284"/>
      <c r="AE21" s="283"/>
      <c r="AF21" s="284"/>
      <c r="AP21" s="233" t="s">
        <v>258</v>
      </c>
      <c r="AQ21" s="614">
        <v>0</v>
      </c>
      <c r="AR21" s="615"/>
      <c r="AU21" s="319">
        <f>OBJ!B71</f>
        <v>9347502</v>
      </c>
      <c r="AV21" s="21" t="str">
        <f>VLOOKUP(AU21,CENY!$B$11:$G$1054,2,FALSE)</f>
        <v>AvanY-design ALprofil Hybrid na bok 270/ strieb.</v>
      </c>
      <c r="AW21" s="22">
        <f>VLOOKUP(AU21,CENY!$B$11:$G$1054,3,FALSE)</f>
        <v>200</v>
      </c>
      <c r="AX21" s="22"/>
      <c r="AY21" s="68"/>
      <c r="AZ21" s="326" t="str">
        <f t="shared" si="1"/>
        <v/>
      </c>
      <c r="BA21" s="95">
        <f>VLOOKUP(AU21,CENY!$B$11:$M$2025,12,FALSE)</f>
        <v>19.78839</v>
      </c>
      <c r="BB21" s="95">
        <f t="shared" si="0"/>
        <v>0</v>
      </c>
      <c r="BD21" s="319">
        <f>OBJ!B66</f>
        <v>9255024</v>
      </c>
      <c r="BE21" s="21" t="str">
        <f>VLOOKUP(BD21,CENY!$B$11:$G$1054,2,FALSE)</f>
        <v>AvanY-bok ľavý /v101/h650/ strieborná</v>
      </c>
      <c r="BF21" s="22">
        <f>VLOOKUP(BD21,CENY!$B$11:$G$1054,3,FALSE)</f>
        <v>20</v>
      </c>
      <c r="BG21" s="22"/>
      <c r="BH21" s="23">
        <f>AY13</f>
        <v>0</v>
      </c>
      <c r="BI21" s="326">
        <f t="shared" si="2"/>
        <v>0</v>
      </c>
      <c r="BJ21" s="95">
        <f>VLOOKUP(BD21,CENY!$B$11:$M$2025,12,FALSE)</f>
        <v>243.54496</v>
      </c>
      <c r="BK21" s="95">
        <f t="shared" si="3"/>
        <v>0</v>
      </c>
    </row>
    <row r="22" spans="2:63" ht="14.4" customHeight="1" thickBot="1">
      <c r="B22" s="544" t="s">
        <v>291</v>
      </c>
      <c r="C22" s="544"/>
      <c r="D22" s="544"/>
      <c r="E22" s="544"/>
      <c r="F22" s="544"/>
      <c r="G22" s="544"/>
      <c r="H22" s="545" t="str">
        <f>verze!E18</f>
        <v>plnovýsuv</v>
      </c>
      <c r="I22" s="545"/>
      <c r="J22" s="545"/>
      <c r="K22" s="545"/>
      <c r="L22" s="545"/>
      <c r="M22" s="523" t="s">
        <v>288</v>
      </c>
      <c r="N22" s="524"/>
      <c r="O22" s="518"/>
      <c r="P22" s="519"/>
      <c r="Q22" s="518"/>
      <c r="R22" s="519"/>
      <c r="S22" s="518"/>
      <c r="T22" s="519"/>
      <c r="U22" s="518"/>
      <c r="V22" s="519"/>
      <c r="W22" s="516"/>
      <c r="X22" s="517"/>
      <c r="Y22" s="516"/>
      <c r="Z22" s="517"/>
      <c r="AA22" s="516"/>
      <c r="AB22" s="517"/>
      <c r="AC22" s="516"/>
      <c r="AD22" s="517"/>
      <c r="AE22" s="565"/>
      <c r="AF22" s="566"/>
      <c r="AU22" s="319">
        <f>OBJ!B72</f>
        <v>9347503</v>
      </c>
      <c r="AV22" s="21" t="str">
        <f>VLOOKUP(AU22,CENY!$B$11:$G$1054,2,FALSE)</f>
        <v>AvanY-design ALprofil Hybrid na bok 300/ strieb.</v>
      </c>
      <c r="AW22" s="22">
        <f>VLOOKUP(AU22,CENY!$B$11:$G$1054,3,FALSE)</f>
        <v>200</v>
      </c>
      <c r="AX22" s="22"/>
      <c r="AY22" s="68"/>
      <c r="AZ22" s="326" t="str">
        <f t="shared" si="1"/>
        <v/>
      </c>
      <c r="BA22" s="95">
        <f>VLOOKUP(AU22,CENY!$B$11:$M$2025,12,FALSE)</f>
        <v>20.006769999999999</v>
      </c>
      <c r="BB22" s="95">
        <f t="shared" si="0"/>
        <v>0</v>
      </c>
      <c r="BD22" s="319">
        <f>OBJ!B67</f>
        <v>9255025</v>
      </c>
      <c r="BE22" s="21" t="str">
        <f>VLOOKUP(BD22,CENY!$B$11:$G$1054,2,FALSE)</f>
        <v>AvanY-bok pravý /v101/h650/ strieborná</v>
      </c>
      <c r="BF22" s="22">
        <f>VLOOKUP(BD22,CENY!$B$11:$G$1054,3,FALSE)</f>
        <v>20</v>
      </c>
      <c r="BG22" s="22"/>
      <c r="BH22" s="23">
        <f>AY13</f>
        <v>0</v>
      </c>
      <c r="BI22" s="326">
        <f t="shared" si="2"/>
        <v>0</v>
      </c>
      <c r="BJ22" s="95">
        <f>VLOOKUP(BD22,CENY!$B$11:$M$2025,12,FALSE)</f>
        <v>243.54496</v>
      </c>
      <c r="BK22" s="95">
        <f t="shared" si="3"/>
        <v>0</v>
      </c>
    </row>
    <row r="23" spans="2:63" ht="14.4" customHeight="1" thickBot="1">
      <c r="O23" s="4"/>
      <c r="P23" s="4"/>
      <c r="AU23" s="319">
        <f>OBJ!B73</f>
        <v>9347504</v>
      </c>
      <c r="AV23" s="21" t="str">
        <f>VLOOKUP(AU23,CENY!$B$11:$G$1054,2,FALSE)</f>
        <v>AvanY-design ALprofil Hybrid na bok 350/ strieb.</v>
      </c>
      <c r="AW23" s="22">
        <f>VLOOKUP(AU23,CENY!$B$11:$G$1054,3,FALSE)</f>
        <v>200</v>
      </c>
      <c r="AX23" s="22"/>
      <c r="AY23" s="68"/>
      <c r="AZ23" s="326" t="str">
        <f t="shared" si="1"/>
        <v/>
      </c>
      <c r="BA23" s="95">
        <f>VLOOKUP(AU23,CENY!$B$11:$M$2025,12,FALSE)</f>
        <v>20.37642</v>
      </c>
      <c r="BB23" s="95">
        <f t="shared" si="0"/>
        <v>0</v>
      </c>
      <c r="BD23" s="319"/>
      <c r="BE23" s="21"/>
      <c r="BF23" s="22"/>
      <c r="BG23" s="22"/>
      <c r="BH23" s="23"/>
      <c r="BI23" s="326" t="str">
        <f t="shared" si="2"/>
        <v/>
      </c>
      <c r="BJ23" s="95"/>
      <c r="BK23" s="95"/>
    </row>
    <row r="24" spans="2:63" ht="14.4" customHeight="1" thickBot="1">
      <c r="AP24" s="233" t="s">
        <v>258</v>
      </c>
      <c r="AQ24" s="614">
        <v>2</v>
      </c>
      <c r="AR24" s="615"/>
      <c r="AU24" s="319">
        <f>OBJ!B74</f>
        <v>9347505</v>
      </c>
      <c r="AV24" s="21" t="str">
        <f>VLOOKUP(AU24,CENY!$B$11:$G$1054,2,FALSE)</f>
        <v>AvanY-design ALprofil Hybrid na bok 400/ strieb.</v>
      </c>
      <c r="AW24" s="22">
        <f>VLOOKUP(AU24,CENY!$B$11:$G$1054,3,FALSE)</f>
        <v>200</v>
      </c>
      <c r="AX24" s="22"/>
      <c r="AY24" s="68"/>
      <c r="AZ24" s="326" t="str">
        <f t="shared" si="1"/>
        <v/>
      </c>
      <c r="BA24" s="95">
        <f>VLOOKUP(AU24,CENY!$B$11:$M$2025,12,FALSE)</f>
        <v>20.742249999999999</v>
      </c>
      <c r="BB24" s="95">
        <f t="shared" si="0"/>
        <v>0</v>
      </c>
      <c r="BD24" s="319">
        <f>OBJ!B180</f>
        <v>9257135</v>
      </c>
      <c r="BE24" s="21" t="str">
        <f>VLOOKUP(BD24,CENY!$B$11:$G$1054,2,FALSE)</f>
        <v>AvanY-bok Inlay ľavý /v187/h450/ strieb.</v>
      </c>
      <c r="BF24" s="22">
        <f>VLOOKUP(BD24,CENY!$B$11:$G$1054,3,FALSE)</f>
        <v>10</v>
      </c>
      <c r="BG24" s="22"/>
      <c r="BH24" s="23">
        <f>AY15</f>
        <v>0</v>
      </c>
      <c r="BI24" s="326">
        <f t="shared" si="2"/>
        <v>0</v>
      </c>
      <c r="BJ24" s="95">
        <f>VLOOKUP(BD24,CENY!$B$11:$M$2025,12,FALSE)</f>
        <v>393.85784000000001</v>
      </c>
      <c r="BK24" s="95">
        <f t="shared" ref="BK24:BK33" si="6">IF(BJ24="","",BJ24*BH24)</f>
        <v>0</v>
      </c>
    </row>
    <row r="25" spans="2:63" ht="14.4" customHeight="1" thickBot="1">
      <c r="B25" s="2" t="s">
        <v>285</v>
      </c>
      <c r="AU25" s="319">
        <f>OBJ!B75</f>
        <v>9347506</v>
      </c>
      <c r="AV25" s="21" t="str">
        <f>VLOOKUP(AU25,CENY!$B$11:$G$1054,2,FALSE)</f>
        <v>AvanY-design ALprofil Hybrid na bok 450/ strieb.</v>
      </c>
      <c r="AW25" s="22">
        <f>VLOOKUP(AU25,CENY!$B$11:$G$1054,3,FALSE)</f>
        <v>200</v>
      </c>
      <c r="AX25" s="22"/>
      <c r="AY25" s="23">
        <f>IF(FORM!AM18=FORM!AU16,0,2*SUM(AY1:AY2)*(W20+W22+W28))</f>
        <v>0</v>
      </c>
      <c r="AZ25" s="326">
        <f t="shared" si="1"/>
        <v>0</v>
      </c>
      <c r="BA25" s="95">
        <f>VLOOKUP(AU25,CENY!$B$11:$M$2025,12,FALSE)</f>
        <v>21.111910000000002</v>
      </c>
      <c r="BB25" s="95">
        <f t="shared" si="0"/>
        <v>0</v>
      </c>
      <c r="BD25" s="319">
        <f>OBJ!B181</f>
        <v>9257136</v>
      </c>
      <c r="BE25" s="21" t="str">
        <f>VLOOKUP(BD25,CENY!$B$11:$G$1054,2,FALSE)</f>
        <v>AvanY-bok Inlay pravý /v187/h450/ strieb.</v>
      </c>
      <c r="BF25" s="22">
        <f>VLOOKUP(BD25,CENY!$B$11:$G$1054,3,FALSE)</f>
        <v>10</v>
      </c>
      <c r="BG25" s="22"/>
      <c r="BH25" s="23">
        <f>AY15</f>
        <v>0</v>
      </c>
      <c r="BI25" s="326">
        <f t="shared" si="2"/>
        <v>0</v>
      </c>
      <c r="BJ25" s="95">
        <f>VLOOKUP(BD25,CENY!$B$11:$M$2025,12,FALSE)</f>
        <v>393.85784000000001</v>
      </c>
      <c r="BK25" s="95">
        <f t="shared" si="6"/>
        <v>0</v>
      </c>
    </row>
    <row r="26" spans="2:63" ht="14.4" customHeight="1" thickBot="1">
      <c r="B26" s="96"/>
      <c r="C26" s="96"/>
      <c r="D26" s="96"/>
      <c r="E26" s="96"/>
      <c r="F26" s="96"/>
      <c r="G26" s="96"/>
      <c r="H26" s="72"/>
      <c r="I26" s="72"/>
      <c r="J26" s="72"/>
      <c r="K26" s="72"/>
      <c r="L26" s="72"/>
      <c r="M26" s="72"/>
      <c r="N26" s="72" t="str">
        <f>verze!$E$20&amp;" "</f>
        <v xml:space="preserve">Jmenovitá délka: </v>
      </c>
      <c r="O26" s="535">
        <v>270</v>
      </c>
      <c r="P26" s="536"/>
      <c r="Q26" s="535">
        <v>300</v>
      </c>
      <c r="R26" s="536"/>
      <c r="S26" s="535">
        <v>350</v>
      </c>
      <c r="T26" s="536"/>
      <c r="U26" s="535">
        <v>400</v>
      </c>
      <c r="V26" s="536"/>
      <c r="W26" s="535">
        <v>450</v>
      </c>
      <c r="X26" s="536"/>
      <c r="Y26" s="537">
        <v>500</v>
      </c>
      <c r="Z26" s="538"/>
      <c r="AA26" s="535">
        <v>550</v>
      </c>
      <c r="AB26" s="536"/>
      <c r="AC26" s="535">
        <v>600</v>
      </c>
      <c r="AD26" s="536"/>
      <c r="AU26" s="319">
        <f>OBJ!B76</f>
        <v>9347507</v>
      </c>
      <c r="AV26" s="21" t="str">
        <f>VLOOKUP(AU26,CENY!$B$11:$G$1054,2,FALSE)</f>
        <v>AvanY-design ALprofil Hybrid na bok 500/ strieb.</v>
      </c>
      <c r="AW26" s="22">
        <f>VLOOKUP(AU26,CENY!$B$11:$G$1054,3,FALSE)</f>
        <v>200</v>
      </c>
      <c r="AX26" s="22"/>
      <c r="AY26" s="23">
        <f>IF(FORM!AM18=FORM!AU16,0,2*SUM(AY1:AY2)*(Y20+Y22+Y28))</f>
        <v>0</v>
      </c>
      <c r="AZ26" s="326">
        <f t="shared" si="1"/>
        <v>0</v>
      </c>
      <c r="BA26" s="95">
        <f>VLOOKUP(AU26,CENY!$B$11:$M$2025,12,FALSE)</f>
        <v>21.479700000000001</v>
      </c>
      <c r="BB26" s="95">
        <f t="shared" si="0"/>
        <v>0</v>
      </c>
      <c r="BD26" s="319">
        <f>OBJ!B182</f>
        <v>9257137</v>
      </c>
      <c r="BE26" s="21" t="str">
        <f>VLOOKUP(BD26,CENY!$B$11:$G$1054,2,FALSE)</f>
        <v>AvanY-bok Inlay ľavý /v187/h500/ strieb.</v>
      </c>
      <c r="BF26" s="22">
        <f>VLOOKUP(BD26,CENY!$B$11:$G$1054,3,FALSE)</f>
        <v>10</v>
      </c>
      <c r="BG26" s="22"/>
      <c r="BH26" s="23">
        <f>AY16</f>
        <v>0</v>
      </c>
      <c r="BI26" s="326">
        <f t="shared" si="2"/>
        <v>0</v>
      </c>
      <c r="BJ26" s="95">
        <f>VLOOKUP(BD26,CENY!$B$11:$M$2025,12,FALSE)</f>
        <v>390.06617</v>
      </c>
      <c r="BK26" s="95">
        <f t="shared" si="6"/>
        <v>0</v>
      </c>
    </row>
    <row r="27" spans="2:63" ht="14.4" customHeight="1" thickBot="1">
      <c r="B27" s="530" t="s">
        <v>292</v>
      </c>
      <c r="C27" s="530"/>
      <c r="D27" s="530"/>
      <c r="E27" s="530"/>
      <c r="F27" s="530"/>
      <c r="G27" s="530"/>
      <c r="H27" s="531" t="str">
        <f>verze!E18</f>
        <v>plnovýsuv</v>
      </c>
      <c r="I27" s="531"/>
      <c r="J27" s="531"/>
      <c r="K27" s="531"/>
      <c r="L27" s="531"/>
      <c r="M27" s="532" t="s">
        <v>286</v>
      </c>
      <c r="N27" s="533"/>
      <c r="O27" s="569"/>
      <c r="P27" s="612"/>
      <c r="Q27" s="613"/>
      <c r="R27" s="612"/>
      <c r="S27" s="613"/>
      <c r="T27" s="570"/>
      <c r="U27" s="283"/>
      <c r="V27" s="284"/>
      <c r="W27" s="283"/>
      <c r="X27" s="284"/>
      <c r="Y27" s="283"/>
      <c r="Z27" s="284"/>
      <c r="AA27" s="283"/>
      <c r="AB27" s="284"/>
      <c r="AC27" s="283"/>
      <c r="AD27" s="284"/>
      <c r="AP27" s="233" t="s">
        <v>258</v>
      </c>
      <c r="AQ27" s="614">
        <v>0</v>
      </c>
      <c r="AR27" s="615"/>
      <c r="AU27" s="319">
        <f>OBJ!B77</f>
        <v>9347508</v>
      </c>
      <c r="AV27" s="21" t="str">
        <f>VLOOKUP(AU27,CENY!$B$11:$G$1054,2,FALSE)</f>
        <v>AvanY-design ALprofil Hybrid na bok 550/ strieb.</v>
      </c>
      <c r="AW27" s="22">
        <f>VLOOKUP(AU27,CENY!$B$11:$G$1054,3,FALSE)</f>
        <v>200</v>
      </c>
      <c r="AX27" s="22"/>
      <c r="AY27" s="23">
        <f>IF(FORM!AM18=FORM!AU16,0,2*SUM(AY1:AY2)*(AA20+AA22+AA28))</f>
        <v>0</v>
      </c>
      <c r="AZ27" s="326">
        <f t="shared" si="1"/>
        <v>0</v>
      </c>
      <c r="BA27" s="95">
        <f>VLOOKUP(AU27,CENY!$B$11:$M$2025,12,FALSE)</f>
        <v>21.84564</v>
      </c>
      <c r="BB27" s="95">
        <f t="shared" si="0"/>
        <v>0</v>
      </c>
      <c r="BD27" s="319">
        <f>OBJ!B183</f>
        <v>9257138</v>
      </c>
      <c r="BE27" s="21" t="str">
        <f>VLOOKUP(BD27,CENY!$B$11:$G$1054,2,FALSE)</f>
        <v>AvanY-bok Inlay pravý /v187/h500/ strieb.</v>
      </c>
      <c r="BF27" s="22">
        <f>VLOOKUP(BD27,CENY!$B$11:$G$1054,3,FALSE)</f>
        <v>10</v>
      </c>
      <c r="BG27" s="22"/>
      <c r="BH27" s="23">
        <f>AY16</f>
        <v>0</v>
      </c>
      <c r="BI27" s="326">
        <f t="shared" si="2"/>
        <v>0</v>
      </c>
      <c r="BJ27" s="95">
        <f>VLOOKUP(BD27,CENY!$B$11:$M$2025,12,FALSE)</f>
        <v>390.06617</v>
      </c>
      <c r="BK27" s="95">
        <f t="shared" si="6"/>
        <v>0</v>
      </c>
    </row>
    <row r="28" spans="2:63" ht="14.4" customHeight="1" thickBot="1">
      <c r="B28" s="521" t="s">
        <v>372</v>
      </c>
      <c r="C28" s="521"/>
      <c r="D28" s="521"/>
      <c r="E28" s="521"/>
      <c r="F28" s="521"/>
      <c r="G28" s="521"/>
      <c r="H28" s="522" t="str">
        <f>verze!E18</f>
        <v>plnovýsuv</v>
      </c>
      <c r="I28" s="522"/>
      <c r="J28" s="522"/>
      <c r="K28" s="522"/>
      <c r="L28" s="522"/>
      <c r="M28" s="523" t="s">
        <v>1</v>
      </c>
      <c r="N28" s="524"/>
      <c r="O28" s="518"/>
      <c r="P28" s="519"/>
      <c r="Q28" s="518"/>
      <c r="R28" s="519"/>
      <c r="S28" s="518"/>
      <c r="T28" s="519"/>
      <c r="U28" s="518"/>
      <c r="V28" s="519"/>
      <c r="W28" s="516"/>
      <c r="X28" s="517"/>
      <c r="Y28" s="516"/>
      <c r="Z28" s="517"/>
      <c r="AA28" s="516"/>
      <c r="AB28" s="517"/>
      <c r="AC28" s="516"/>
      <c r="AD28" s="517"/>
      <c r="AU28" s="319">
        <f>OBJ!B78</f>
        <v>9347509</v>
      </c>
      <c r="AV28" s="21" t="str">
        <f>VLOOKUP(AU28,CENY!$B$11:$G$1054,2,FALSE)</f>
        <v>AvanY-design ALprofil Hybrid na bok 600/ strieb.</v>
      </c>
      <c r="AW28" s="22">
        <f>VLOOKUP(AU28,CENY!$B$11:$G$1054,3,FALSE)</f>
        <v>200</v>
      </c>
      <c r="AX28" s="22"/>
      <c r="AY28" s="23">
        <f>IF(FORM!AM18=FORM!AU16,0,2*SUM(AY1:AY2)*(AC20+AC22+AC28))</f>
        <v>0</v>
      </c>
      <c r="AZ28" s="326">
        <f t="shared" si="1"/>
        <v>0</v>
      </c>
      <c r="BA28" s="95">
        <f>VLOOKUP(AU28,CENY!$B$11:$M$2025,12,FALSE)</f>
        <v>22.79205</v>
      </c>
      <c r="BB28" s="95">
        <f t="shared" si="0"/>
        <v>0</v>
      </c>
      <c r="BD28" s="319">
        <f>OBJ!B184</f>
        <v>9257139</v>
      </c>
      <c r="BE28" s="21" t="str">
        <f>VLOOKUP(BD28,CENY!$B$11:$G$1054,2,FALSE)</f>
        <v>AvanY-bok Inlay ľavý /v187/h550/ strieb.</v>
      </c>
      <c r="BF28" s="22">
        <f>VLOOKUP(BD28,CENY!$B$11:$G$1054,3,FALSE)</f>
        <v>10</v>
      </c>
      <c r="BG28" s="22"/>
      <c r="BH28" s="23">
        <f>AY17</f>
        <v>0</v>
      </c>
      <c r="BI28" s="326">
        <f t="shared" si="2"/>
        <v>0</v>
      </c>
      <c r="BJ28" s="95">
        <f>VLOOKUP(BD28,CENY!$B$11:$M$2025,12,FALSE)</f>
        <v>407.58967999999999</v>
      </c>
      <c r="BK28" s="95">
        <f t="shared" si="6"/>
        <v>0</v>
      </c>
    </row>
    <row r="29" spans="2:63" ht="14.4" customHeight="1">
      <c r="AU29" s="319">
        <f>OBJ!B79</f>
        <v>9347510</v>
      </c>
      <c r="AV29" s="21" t="str">
        <f>VLOOKUP(AU29,CENY!$B$11:$G$1054,2,FALSE)</f>
        <v>AvanY-design ALprofil Hybrid na bok 650/ strieb.</v>
      </c>
      <c r="AW29" s="22">
        <f>VLOOKUP(AU29,CENY!$B$11:$G$1054,3,FALSE)</f>
        <v>200</v>
      </c>
      <c r="AX29" s="22"/>
      <c r="AY29" s="23">
        <f>IF(FORM!AM18=FORM!AU16,0,2*SUM(AY1:AY2)*AE22)</f>
        <v>0</v>
      </c>
      <c r="AZ29" s="326">
        <f t="shared" si="1"/>
        <v>0</v>
      </c>
      <c r="BA29" s="95">
        <f>VLOOKUP(AU29,CENY!$B$11:$M$2025,12,FALSE)</f>
        <v>24.580449999999999</v>
      </c>
      <c r="BB29" s="95">
        <f t="shared" si="0"/>
        <v>0</v>
      </c>
      <c r="BD29" s="319">
        <f>OBJ!B185</f>
        <v>9257140</v>
      </c>
      <c r="BE29" s="21" t="str">
        <f>VLOOKUP(BD29,CENY!$B$11:$G$1054,2,FALSE)</f>
        <v>AvanY-bok Inlay pravý /v187/h550/ strieb.</v>
      </c>
      <c r="BF29" s="22">
        <f>VLOOKUP(BD29,CENY!$B$11:$G$1054,3,FALSE)</f>
        <v>10</v>
      </c>
      <c r="BG29" s="22"/>
      <c r="BH29" s="23">
        <f>AY17</f>
        <v>0</v>
      </c>
      <c r="BI29" s="326">
        <f t="shared" si="2"/>
        <v>0</v>
      </c>
      <c r="BJ29" s="95">
        <f>VLOOKUP(BD29,CENY!$B$11:$M$2025,12,FALSE)</f>
        <v>407.58967999999999</v>
      </c>
      <c r="BK29" s="95">
        <f t="shared" si="6"/>
        <v>0</v>
      </c>
    </row>
    <row r="30" spans="2:63" ht="14.4" customHeight="1">
      <c r="B30" s="366" t="str">
        <f>verze!E201</f>
        <v>SiSy = tlumení Silent System</v>
      </c>
      <c r="AU30" s="319"/>
      <c r="AV30" s="21"/>
      <c r="AW30" s="22"/>
      <c r="AX30" s="22"/>
      <c r="AY30" s="23"/>
      <c r="AZ30" s="326" t="str">
        <f t="shared" si="1"/>
        <v/>
      </c>
      <c r="BA30" s="95"/>
      <c r="BB30" s="95" t="str">
        <f t="shared" si="0"/>
        <v/>
      </c>
      <c r="BD30" s="319">
        <f>OBJ!B186</f>
        <v>9257141</v>
      </c>
      <c r="BE30" s="21" t="str">
        <f>VLOOKUP(BD30,CENY!$B$11:$G$1054,2,FALSE)</f>
        <v>AvanY-bok Inlay ľavý /v187/h600/ strieb.</v>
      </c>
      <c r="BF30" s="22">
        <f>VLOOKUP(BD30,CENY!$B$11:$G$1054,3,FALSE)</f>
        <v>10</v>
      </c>
      <c r="BG30" s="22"/>
      <c r="BH30" s="23">
        <f>AY18</f>
        <v>0</v>
      </c>
      <c r="BI30" s="326">
        <f t="shared" si="2"/>
        <v>0</v>
      </c>
      <c r="BJ30" s="95">
        <f>VLOOKUP(BD30,CENY!$B$11:$M$2025,12,FALSE)</f>
        <v>417.95686000000001</v>
      </c>
      <c r="BK30" s="95">
        <f t="shared" si="6"/>
        <v>0</v>
      </c>
    </row>
    <row r="31" spans="2:63" ht="14.4" customHeight="1">
      <c r="AU31" s="319">
        <f>OBJ!B233</f>
        <v>9318154</v>
      </c>
      <c r="AV31" s="21" t="str">
        <f>VLOOKUP(AU31,CENY!$B$11:$G$1054,2,FALSE)</f>
        <v>Actro You(S) 270/SiSy 10kg; EB21</v>
      </c>
      <c r="AW31" s="22">
        <f>VLOOKUP(AU31,CENY!$B$11:$G$1054,3,FALSE)</f>
        <v>1</v>
      </c>
      <c r="AX31" s="362">
        <v>4</v>
      </c>
      <c r="AY31" s="68"/>
      <c r="AZ31" s="326" t="str">
        <f t="shared" si="1"/>
        <v/>
      </c>
      <c r="BA31" s="95">
        <f>VLOOKUP(AU31,CENY!$B$11:$M$2025,12,FALSE)</f>
        <v>657.45060999999998</v>
      </c>
      <c r="BB31" s="95">
        <f t="shared" si="0"/>
        <v>0</v>
      </c>
      <c r="BD31" s="319">
        <f>OBJ!B187</f>
        <v>9257142</v>
      </c>
      <c r="BE31" s="21" t="str">
        <f>VLOOKUP(BD31,CENY!$B$11:$G$1054,2,FALSE)</f>
        <v>AvanY-bok Inlay pravý /v187/h600/ strieb.</v>
      </c>
      <c r="BF31" s="22">
        <f>VLOOKUP(BD31,CENY!$B$11:$G$1054,3,FALSE)</f>
        <v>10</v>
      </c>
      <c r="BG31" s="22"/>
      <c r="BH31" s="23">
        <f>AY18</f>
        <v>0</v>
      </c>
      <c r="BI31" s="326">
        <f t="shared" si="2"/>
        <v>0</v>
      </c>
      <c r="BJ31" s="95">
        <f>VLOOKUP(BD31,CENY!$B$11:$M$2025,12,FALSE)</f>
        <v>417.95686000000001</v>
      </c>
      <c r="BK31" s="95">
        <f t="shared" si="6"/>
        <v>0</v>
      </c>
    </row>
    <row r="32" spans="2:63" ht="14.4" customHeight="1">
      <c r="AU32" s="319">
        <f>OBJ!B234</f>
        <v>9318156</v>
      </c>
      <c r="AV32" s="21" t="str">
        <f>VLOOKUP(AU32,CENY!$B$11:$G$1054,2,FALSE)</f>
        <v>Actro You(S) 300/SiSy 10kg; EB21</v>
      </c>
      <c r="AW32" s="22">
        <f>VLOOKUP(AU32,CENY!$B$11:$G$1054,3,FALSE)</f>
        <v>1</v>
      </c>
      <c r="AX32" s="362">
        <v>4</v>
      </c>
      <c r="AY32" s="68"/>
      <c r="AZ32" s="326" t="str">
        <f t="shared" si="1"/>
        <v/>
      </c>
      <c r="BA32" s="95">
        <f>VLOOKUP(AU32,CENY!$B$11:$M$2025,12,FALSE)</f>
        <v>657.45060999999998</v>
      </c>
      <c r="BB32" s="95">
        <f t="shared" si="0"/>
        <v>0</v>
      </c>
      <c r="BD32" s="319">
        <f>OBJ!B188</f>
        <v>9257143</v>
      </c>
      <c r="BE32" s="21" t="str">
        <f>VLOOKUP(BD32,CENY!$B$11:$G$1054,2,FALSE)</f>
        <v>AvanY-bok Inlay ľavý /v187/h650/ strieb.</v>
      </c>
      <c r="BF32" s="22">
        <f>VLOOKUP(BD32,CENY!$B$11:$G$1054,3,FALSE)</f>
        <v>10</v>
      </c>
      <c r="BG32" s="22"/>
      <c r="BH32" s="23">
        <f>AY19</f>
        <v>0</v>
      </c>
      <c r="BI32" s="326">
        <f t="shared" si="2"/>
        <v>0</v>
      </c>
      <c r="BJ32" s="95">
        <f>VLOOKUP(BD32,CENY!$B$11:$M$2025,12,FALSE)</f>
        <v>432.04088000000002</v>
      </c>
      <c r="BK32" s="95">
        <f t="shared" si="6"/>
        <v>0</v>
      </c>
    </row>
    <row r="33" spans="47:63" ht="14.4" customHeight="1">
      <c r="AU33" s="319">
        <f>OBJ!B235</f>
        <v>9318160</v>
      </c>
      <c r="AV33" s="21" t="str">
        <f>VLOOKUP(AU33,CENY!$B$11:$G$1054,2,FALSE)</f>
        <v>Actro You(S) 350/SiSy 10kg; EB21</v>
      </c>
      <c r="AW33" s="22">
        <f>VLOOKUP(AU33,CENY!$B$11:$G$1054,3,FALSE)</f>
        <v>1</v>
      </c>
      <c r="AX33" s="362">
        <v>4</v>
      </c>
      <c r="AY33" s="68"/>
      <c r="AZ33" s="326" t="str">
        <f t="shared" si="1"/>
        <v/>
      </c>
      <c r="BA33" s="95">
        <f>VLOOKUP(AU33,CENY!$B$11:$M$2025,12,FALSE)</f>
        <v>657.45060999999998</v>
      </c>
      <c r="BB33" s="95">
        <f t="shared" si="0"/>
        <v>0</v>
      </c>
      <c r="BD33" s="319">
        <f>OBJ!B189</f>
        <v>9257144</v>
      </c>
      <c r="BE33" s="21" t="str">
        <f>VLOOKUP(BD33,CENY!$B$11:$G$1054,2,FALSE)</f>
        <v>AvanY-bok Inlay pravý /v187/h650/ strieb.</v>
      </c>
      <c r="BF33" s="22">
        <f>VLOOKUP(BD33,CENY!$B$11:$G$1054,3,FALSE)</f>
        <v>10</v>
      </c>
      <c r="BG33" s="22"/>
      <c r="BH33" s="23">
        <f>AY19</f>
        <v>0</v>
      </c>
      <c r="BI33" s="326">
        <f t="shared" si="2"/>
        <v>0</v>
      </c>
      <c r="BJ33" s="95">
        <f>VLOOKUP(BD33,CENY!$B$11:$M$2025,12,FALSE)</f>
        <v>432.04088000000002</v>
      </c>
      <c r="BK33" s="95">
        <f t="shared" si="6"/>
        <v>0</v>
      </c>
    </row>
    <row r="34" spans="47:63" ht="14.4" customHeight="1">
      <c r="AU34" s="20"/>
      <c r="AV34" s="21"/>
      <c r="AW34" s="22"/>
      <c r="AX34" s="22"/>
      <c r="AY34" s="23"/>
      <c r="AZ34" s="326" t="str">
        <f t="shared" si="1"/>
        <v/>
      </c>
      <c r="BA34" s="95"/>
      <c r="BB34" s="95" t="str">
        <f t="shared" si="0"/>
        <v/>
      </c>
      <c r="BD34" s="319"/>
      <c r="BE34" s="21"/>
      <c r="BF34" s="22"/>
      <c r="BG34" s="22"/>
      <c r="BH34" s="23"/>
      <c r="BI34" s="326" t="str">
        <f t="shared" si="2"/>
        <v/>
      </c>
      <c r="BJ34" s="95"/>
      <c r="BK34" s="95" t="str">
        <f t="shared" si="3"/>
        <v/>
      </c>
    </row>
    <row r="35" spans="47:63" ht="14.4" customHeight="1">
      <c r="AU35" s="319">
        <f>OBJ!B243</f>
        <v>9318186</v>
      </c>
      <c r="AV35" s="21" t="str">
        <f>VLOOKUP(AU35,CENY!$B$11:$G$1054,2,FALSE)</f>
        <v>Actro You(L) 270/SiSy 40kg; EB21</v>
      </c>
      <c r="AW35" s="22">
        <f>VLOOKUP(AU35,CENY!$B$11:$G$1054,3,FALSE)</f>
        <v>1</v>
      </c>
      <c r="AX35" s="362">
        <v>8</v>
      </c>
      <c r="AY35" s="68"/>
      <c r="AZ35" s="326" t="str">
        <f t="shared" si="1"/>
        <v/>
      </c>
      <c r="BA35" s="95">
        <f>VLOOKUP(AU35,CENY!$B$11:$M$2025,12,FALSE)</f>
        <v>657.45060999999998</v>
      </c>
      <c r="BB35" s="95">
        <f t="shared" si="0"/>
        <v>0</v>
      </c>
      <c r="BD35" s="319">
        <f>OBJ!B69</f>
        <v>9255835</v>
      </c>
      <c r="BE35" s="21" t="str">
        <f>VLOOKUP(BD35,CENY!$B$11:$G$1054,2,FALSE)</f>
        <v>AvanY-príchytka čela k naskrutk./ v101</v>
      </c>
      <c r="BF35" s="22">
        <f>VLOOKUP(BD35,CENY!$B$11:$G$1054,3,FALSE)</f>
        <v>200</v>
      </c>
      <c r="BG35" s="22"/>
      <c r="BH35" s="23">
        <f>2*(AY2)*(SUM(W20:AD20)+SUM(W22:AF22)+SUM(W28:AD28))</f>
        <v>0</v>
      </c>
      <c r="BI35" s="326">
        <f t="shared" si="2"/>
        <v>0</v>
      </c>
      <c r="BJ35" s="95">
        <f>VLOOKUP(BD35,CENY!$B$11:$M$2025,12,FALSE)</f>
        <v>24.69378</v>
      </c>
      <c r="BK35" s="95">
        <f t="shared" si="3"/>
        <v>0</v>
      </c>
    </row>
    <row r="36" spans="47:63" ht="14.4" customHeight="1">
      <c r="AU36" s="319">
        <f>OBJ!B244</f>
        <v>9318187</v>
      </c>
      <c r="AV36" s="21" t="str">
        <f>VLOOKUP(AU36,CENY!$B$11:$G$1054,2,FALSE)</f>
        <v>Actro You(L) 300/SiSy 40kg; EB21</v>
      </c>
      <c r="AW36" s="22">
        <f>VLOOKUP(AU36,CENY!$B$11:$G$1054,3,FALSE)</f>
        <v>1</v>
      </c>
      <c r="AX36" s="362">
        <v>8</v>
      </c>
      <c r="AY36" s="68"/>
      <c r="AZ36" s="326" t="str">
        <f t="shared" si="1"/>
        <v/>
      </c>
      <c r="BA36" s="95">
        <f>VLOOKUP(AU36,CENY!$B$11:$M$2025,12,FALSE)</f>
        <v>657.45060999999998</v>
      </c>
      <c r="BB36" s="95">
        <f t="shared" si="0"/>
        <v>0</v>
      </c>
      <c r="BD36" s="319">
        <f>OBJ!B191</f>
        <v>9257257</v>
      </c>
      <c r="BE36" s="21" t="str">
        <f>VLOOKUP(BD36,CENY!$B$11:$G$1054,2,FALSE)</f>
        <v>AvanY-prích.čela Inlay k naskrutk./ v187</v>
      </c>
      <c r="BF36" s="22">
        <f>VLOOKUP(BD36,CENY!$B$11:$G$1054,3,FALSE)</f>
        <v>100</v>
      </c>
      <c r="BG36" s="22"/>
      <c r="BH36" s="23">
        <f>2*(AY4)*(SUM(W20:AD20)+SUM(W22:AF22)+SUM(W28:AD28))</f>
        <v>0</v>
      </c>
      <c r="BI36" s="326">
        <f t="shared" si="2"/>
        <v>0</v>
      </c>
      <c r="BJ36" s="95">
        <f>VLOOKUP(BD36,CENY!$B$11:$M$2025,12,FALSE)</f>
        <v>50.732700000000001</v>
      </c>
      <c r="BK36" s="95">
        <f t="shared" si="3"/>
        <v>0</v>
      </c>
    </row>
    <row r="37" spans="47:63" ht="14.4" customHeight="1">
      <c r="AU37" s="319">
        <f>OBJ!B245</f>
        <v>9318188</v>
      </c>
      <c r="AV37" s="21" t="str">
        <f>VLOOKUP(AU37,CENY!$B$11:$G$1054,2,FALSE)</f>
        <v>Actro You(L) 350/SiSy 40kg; EB21</v>
      </c>
      <c r="AW37" s="22">
        <f>VLOOKUP(AU37,CENY!$B$11:$G$1054,3,FALSE)</f>
        <v>1</v>
      </c>
      <c r="AX37" s="362">
        <v>8</v>
      </c>
      <c r="AY37" s="68"/>
      <c r="AZ37" s="326" t="str">
        <f t="shared" si="1"/>
        <v/>
      </c>
      <c r="BA37" s="95">
        <f>VLOOKUP(AU37,CENY!$B$11:$M$2025,12,FALSE)</f>
        <v>657.45060999999998</v>
      </c>
      <c r="BB37" s="95">
        <f t="shared" si="0"/>
        <v>0</v>
      </c>
      <c r="BD37" s="320">
        <v>9255835</v>
      </c>
      <c r="BE37" s="321" t="str">
        <f>VLOOKUP(BD37,CENY!$B$11:$G$1054,2,FALSE)</f>
        <v>AvanY-príchytka čela k naskrutk./ v101</v>
      </c>
      <c r="BF37" s="22">
        <f>VLOOKUP(BD37,CENY!$B$11:$G$1054,3,FALSE)</f>
        <v>200</v>
      </c>
      <c r="BG37" s="22"/>
      <c r="BH37" s="68">
        <f>2*(AY1)*(SUM(W20:AD20)+SUM(W22:AF22)+SUM(W28:AD28))</f>
        <v>0</v>
      </c>
      <c r="BI37" s="326">
        <f t="shared" si="2"/>
        <v>0</v>
      </c>
      <c r="BJ37" s="95">
        <f>VLOOKUP(BD37,CENY!$B$11:$M$2025,12,FALSE)</f>
        <v>24.69378</v>
      </c>
      <c r="BK37" s="95">
        <f t="shared" si="3"/>
        <v>0</v>
      </c>
    </row>
    <row r="38" spans="47:63" ht="14.4" customHeight="1">
      <c r="AU38" s="319">
        <f>OBJ!B246</f>
        <v>9318190</v>
      </c>
      <c r="AV38" s="21" t="str">
        <f>VLOOKUP(AU38,CENY!$B$11:$G$1054,2,FALSE)</f>
        <v>Actro You(L) 400/SiSy 40kg; EB21</v>
      </c>
      <c r="AW38" s="22">
        <f>VLOOKUP(AU38,CENY!$B$11:$G$1054,3,FALSE)</f>
        <v>1</v>
      </c>
      <c r="AX38" s="362">
        <v>8</v>
      </c>
      <c r="AY38" s="68"/>
      <c r="AZ38" s="326" t="str">
        <f t="shared" si="1"/>
        <v/>
      </c>
      <c r="BA38" s="95">
        <f>VLOOKUP(AU38,CENY!$B$11:$M$2025,12,FALSE)</f>
        <v>664.73978</v>
      </c>
      <c r="BB38" s="95">
        <f t="shared" si="0"/>
        <v>0</v>
      </c>
      <c r="BD38" s="320">
        <v>9257257</v>
      </c>
      <c r="BE38" s="321" t="str">
        <f>VLOOKUP(BD38,CENY!$B$11:$G$1054,2,FALSE)</f>
        <v>AvanY-prích.čela Inlay k naskrutk./ v187</v>
      </c>
      <c r="BF38" s="22">
        <f>VLOOKUP(BD38,CENY!$B$11:$G$1054,3,FALSE)</f>
        <v>100</v>
      </c>
      <c r="BG38" s="22"/>
      <c r="BH38" s="68">
        <f>2*(AY3)*(SUM(W20:AD20)+SUM(W22:AF22)+SUM(W28:AD28))</f>
        <v>0</v>
      </c>
      <c r="BI38" s="326">
        <f t="shared" si="2"/>
        <v>0</v>
      </c>
      <c r="BJ38" s="95">
        <f>VLOOKUP(BD38,CENY!$B$11:$M$2025,12,FALSE)</f>
        <v>50.732700000000001</v>
      </c>
      <c r="BK38" s="95">
        <f t="shared" si="3"/>
        <v>0</v>
      </c>
    </row>
    <row r="39" spans="47:63" ht="14.4" customHeight="1">
      <c r="AU39" s="319">
        <f>OBJ!B247</f>
        <v>9318191</v>
      </c>
      <c r="AV39" s="21" t="str">
        <f>VLOOKUP(AU39,CENY!$B$11:$G$1054,2,FALSE)</f>
        <v>Actro You(L) 450/SiSy 40kg; EB21</v>
      </c>
      <c r="AW39" s="22">
        <f>VLOOKUP(AU39,CENY!$B$11:$G$1054,3,FALSE)</f>
        <v>1</v>
      </c>
      <c r="AX39" s="362">
        <v>10</v>
      </c>
      <c r="AY39" s="23">
        <f>IF((AY2+AY4)&gt;1,SUM(AY1:AY4)*W20-1*W20,SUM(AY1:AY4)*W20)</f>
        <v>0</v>
      </c>
      <c r="AZ39" s="326">
        <f t="shared" si="1"/>
        <v>0</v>
      </c>
      <c r="BA39" s="95">
        <f>VLOOKUP(AU39,CENY!$B$11:$M$2025,12,FALSE)</f>
        <v>671.97520999999995</v>
      </c>
      <c r="BB39" s="95">
        <f t="shared" si="0"/>
        <v>0</v>
      </c>
      <c r="BD39" s="319">
        <f>OBJ!B48</f>
        <v>9257702</v>
      </c>
      <c r="BE39" s="21" t="str">
        <f>VLOOKUP(BD39,CENY!$B$11:$G$1054,2,FALSE)</f>
        <v>AvanY-stabilizátor chrbáta</v>
      </c>
      <c r="BF39" s="22">
        <f>VLOOKUP(BD39,CENY!$B$11:$G$1054,3,FALSE)</f>
        <v>200</v>
      </c>
      <c r="BG39" s="22"/>
      <c r="BH39" s="23">
        <f>2*(SUM(AY1:AY4)*(SUM(W20:AD20)+SUM(W22:AF22)+SUM(W28:AD28)))</f>
        <v>0</v>
      </c>
      <c r="BI39" s="326">
        <f t="shared" si="2"/>
        <v>0</v>
      </c>
      <c r="BJ39" s="95">
        <f>VLOOKUP(BD39,CENY!$B$11:$M$2025,12,FALSE)</f>
        <v>15.54837</v>
      </c>
      <c r="BK39" s="95">
        <f t="shared" si="3"/>
        <v>0</v>
      </c>
    </row>
    <row r="40" spans="47:63" ht="14.4" customHeight="1">
      <c r="AU40" s="319">
        <f>OBJ!B248</f>
        <v>9318192</v>
      </c>
      <c r="AV40" s="21" t="str">
        <f>VLOOKUP(AU40,CENY!$B$11:$G$1054,2,FALSE)</f>
        <v>Actro You(L) 500/SiSy 40kg; EB21</v>
      </c>
      <c r="AW40" s="22">
        <f>VLOOKUP(AU40,CENY!$B$11:$G$1054,3,FALSE)</f>
        <v>1</v>
      </c>
      <c r="AX40" s="362">
        <v>10</v>
      </c>
      <c r="AY40" s="23">
        <f>IF((AY2+AY4)&gt;1,SUM(AY1:AY4)*Y20-1*Y20,SUM(AY1:AY4)*Y20)</f>
        <v>0</v>
      </c>
      <c r="AZ40" s="326">
        <f t="shared" si="1"/>
        <v>0</v>
      </c>
      <c r="BA40" s="95">
        <f>VLOOKUP(AU40,CENY!$B$11:$M$2025,12,FALSE)</f>
        <v>164.23333</v>
      </c>
      <c r="BB40" s="95">
        <f t="shared" si="0"/>
        <v>0</v>
      </c>
      <c r="BD40" s="20"/>
      <c r="BE40" s="21"/>
      <c r="BF40" s="22"/>
      <c r="BG40" s="22"/>
      <c r="BH40" s="23"/>
      <c r="BI40" s="326" t="str">
        <f t="shared" si="2"/>
        <v/>
      </c>
      <c r="BJ40" s="95"/>
      <c r="BK40" s="95" t="str">
        <f t="shared" si="3"/>
        <v/>
      </c>
    </row>
    <row r="41" spans="47:63" ht="14.4" customHeight="1">
      <c r="AU41" s="319">
        <f>OBJ!B249</f>
        <v>9318194</v>
      </c>
      <c r="AV41" s="21" t="str">
        <f>VLOOKUP(AU41,CENY!$B$11:$G$1054,2,FALSE)</f>
        <v>Actro You(L) 550/SiSy 40kg; EB21</v>
      </c>
      <c r="AW41" s="22">
        <f>VLOOKUP(AU41,CENY!$B$11:$G$1054,3,FALSE)</f>
        <v>1</v>
      </c>
      <c r="AX41" s="362">
        <v>10</v>
      </c>
      <c r="AY41" s="23">
        <f>IF((AY2+AY4)&gt;1,SUM(AY1:AY4)*AA20-1*AA20,SUM(AY1:AY4)*AA20)</f>
        <v>0</v>
      </c>
      <c r="AZ41" s="326">
        <f t="shared" si="1"/>
        <v>0</v>
      </c>
      <c r="BA41" s="95">
        <f>VLOOKUP(AU41,CENY!$B$11:$M$2025,12,FALSE)</f>
        <v>173.62268</v>
      </c>
      <c r="BB41" s="95">
        <f t="shared" si="0"/>
        <v>0</v>
      </c>
      <c r="BD41" s="319">
        <f>OBJ!B71</f>
        <v>9347502</v>
      </c>
      <c r="BE41" s="21" t="str">
        <f>VLOOKUP(BD41,CENY!$B$11:$G$1054,2,FALSE)</f>
        <v>AvanY-design ALprofil Hybrid na bok 270/ strieb.</v>
      </c>
      <c r="BF41" s="22">
        <f>VLOOKUP(BD41,CENY!$B$11:$G$1054,3,FALSE)</f>
        <v>200</v>
      </c>
      <c r="BG41" s="22"/>
      <c r="BH41" s="68"/>
      <c r="BI41" s="326" t="str">
        <f t="shared" si="2"/>
        <v/>
      </c>
      <c r="BJ41" s="95">
        <f>VLOOKUP(BD41,CENY!$B$11:$M$2025,12,FALSE)</f>
        <v>19.78839</v>
      </c>
      <c r="BK41" s="95">
        <f t="shared" si="3"/>
        <v>0</v>
      </c>
    </row>
    <row r="42" spans="47:63" ht="14.4" customHeight="1">
      <c r="AU42" s="319">
        <f>OBJ!B250</f>
        <v>9318196</v>
      </c>
      <c r="AV42" s="21" t="str">
        <f>VLOOKUP(AU42,CENY!$B$11:$G$1054,2,FALSE)</f>
        <v>Actro You(L) 600/SiSy 40kg; EB21</v>
      </c>
      <c r="AW42" s="22">
        <f>VLOOKUP(AU42,CENY!$B$11:$G$1054,3,FALSE)</f>
        <v>1</v>
      </c>
      <c r="AX42" s="362">
        <v>10</v>
      </c>
      <c r="AY42" s="23">
        <f>IF((AY2+AY4)&gt;1,SUM(AY1:AY4)*AC20-1*AC20,SUM(AY1:AY4)*AC20)</f>
        <v>0</v>
      </c>
      <c r="AZ42" s="326">
        <f t="shared" si="1"/>
        <v>0</v>
      </c>
      <c r="BA42" s="95">
        <f>VLOOKUP(AU42,CENY!$B$11:$M$2025,12,FALSE)</f>
        <v>726.70140000000004</v>
      </c>
      <c r="BB42" s="95">
        <f t="shared" si="0"/>
        <v>0</v>
      </c>
      <c r="BD42" s="319">
        <f>OBJ!B72</f>
        <v>9347503</v>
      </c>
      <c r="BE42" s="21" t="str">
        <f>VLOOKUP(BD42,CENY!$B$11:$G$1054,2,FALSE)</f>
        <v>AvanY-design ALprofil Hybrid na bok 300/ strieb.</v>
      </c>
      <c r="BF42" s="22">
        <f>VLOOKUP(BD42,CENY!$B$11:$G$1054,3,FALSE)</f>
        <v>200</v>
      </c>
      <c r="BG42" s="22"/>
      <c r="BH42" s="68"/>
      <c r="BI42" s="326" t="str">
        <f t="shared" si="2"/>
        <v/>
      </c>
      <c r="BJ42" s="95">
        <f>VLOOKUP(BD42,CENY!$B$11:$M$2025,12,FALSE)</f>
        <v>20.006769999999999</v>
      </c>
      <c r="BK42" s="95">
        <f t="shared" si="3"/>
        <v>0</v>
      </c>
    </row>
    <row r="43" spans="47:63" ht="14.4" customHeight="1">
      <c r="AU43" s="319"/>
      <c r="AV43" s="21"/>
      <c r="AW43" s="22"/>
      <c r="AX43" s="22"/>
      <c r="AY43" s="23"/>
      <c r="AZ43" s="326" t="str">
        <f t="shared" si="1"/>
        <v/>
      </c>
      <c r="BA43" s="95"/>
      <c r="BB43" s="95" t="str">
        <f t="shared" si="0"/>
        <v/>
      </c>
      <c r="BD43" s="319">
        <f>OBJ!B73</f>
        <v>9347504</v>
      </c>
      <c r="BE43" s="21" t="str">
        <f>VLOOKUP(BD43,CENY!$B$11:$G$1054,2,FALSE)</f>
        <v>AvanY-design ALprofil Hybrid na bok 350/ strieb.</v>
      </c>
      <c r="BF43" s="22">
        <f>VLOOKUP(BD43,CENY!$B$11:$G$1054,3,FALSE)</f>
        <v>200</v>
      </c>
      <c r="BG43" s="22"/>
      <c r="BH43" s="68"/>
      <c r="BI43" s="326" t="str">
        <f t="shared" si="2"/>
        <v/>
      </c>
      <c r="BJ43" s="95">
        <f>VLOOKUP(BD43,CENY!$B$11:$M$2025,12,FALSE)</f>
        <v>20.37642</v>
      </c>
      <c r="BK43" s="95">
        <f t="shared" si="3"/>
        <v>0</v>
      </c>
    </row>
    <row r="44" spans="47:63" ht="14.4" customHeight="1">
      <c r="AU44" s="319">
        <f>OBJ!B268</f>
        <v>9318215</v>
      </c>
      <c r="AV44" s="21" t="str">
        <f>VLOOKUP(AU44,CENY!$B$11:$G$1054,2,FALSE)</f>
        <v>Actro You(XL) 450/SiSy 70kg; EB21</v>
      </c>
      <c r="AW44" s="22">
        <f>VLOOKUP(AU44,CENY!$B$11:$G$1054,3,FALSE)</f>
        <v>1</v>
      </c>
      <c r="AX44" s="362">
        <v>10</v>
      </c>
      <c r="AY44" s="23">
        <f>IF((AY2+AY4)&lt;2,SUM(AY1:AY4)*W22,1*(W28+W20)+SUM(AY1:AY4)*W22)</f>
        <v>0</v>
      </c>
      <c r="AZ44" s="326">
        <f t="shared" si="1"/>
        <v>0</v>
      </c>
      <c r="BA44" s="95">
        <f>VLOOKUP(AU44,CENY!$B$11:$M$2025,12,FALSE)</f>
        <v>197.37184999999999</v>
      </c>
      <c r="BB44" s="95">
        <f t="shared" si="0"/>
        <v>0</v>
      </c>
      <c r="BD44" s="319">
        <f>OBJ!B74</f>
        <v>9347505</v>
      </c>
      <c r="BE44" s="21" t="str">
        <f>VLOOKUP(BD44,CENY!$B$11:$G$1054,2,FALSE)</f>
        <v>AvanY-design ALprofil Hybrid na bok 400/ strieb.</v>
      </c>
      <c r="BF44" s="22">
        <f>VLOOKUP(BD44,CENY!$B$11:$G$1054,3,FALSE)</f>
        <v>200</v>
      </c>
      <c r="BG44" s="22"/>
      <c r="BH44" s="68"/>
      <c r="BI44" s="326" t="str">
        <f t="shared" si="2"/>
        <v/>
      </c>
      <c r="BJ44" s="95">
        <f>VLOOKUP(BD44,CENY!$B$11:$M$2025,12,FALSE)</f>
        <v>20.742249999999999</v>
      </c>
      <c r="BK44" s="95">
        <f t="shared" si="3"/>
        <v>0</v>
      </c>
    </row>
    <row r="45" spans="47:63" ht="14.4" customHeight="1">
      <c r="AU45" s="319">
        <f>OBJ!B269</f>
        <v>9318216</v>
      </c>
      <c r="AV45" s="21" t="str">
        <f>VLOOKUP(AU45,CENY!$B$11:$G$1054,2,FALSE)</f>
        <v>Actro You(XL) 500/SiSy 70kg; EB21</v>
      </c>
      <c r="AW45" s="22">
        <f>VLOOKUP(AU45,CENY!$B$11:$G$1054,3,FALSE)</f>
        <v>1</v>
      </c>
      <c r="AX45" s="362">
        <v>10</v>
      </c>
      <c r="AY45" s="23">
        <f>IF((AY2+AY4)&lt;2,SUM(AY1:AY4)*Y22,1*(Y28+Y20)+SUM(AY1:AY4)*Y22)</f>
        <v>0</v>
      </c>
      <c r="AZ45" s="326">
        <f t="shared" si="1"/>
        <v>0</v>
      </c>
      <c r="BA45" s="95">
        <f>VLOOKUP(AU45,CENY!$B$11:$M$2025,12,FALSE)</f>
        <v>823.68502000000001</v>
      </c>
      <c r="BB45" s="95">
        <f t="shared" si="0"/>
        <v>0</v>
      </c>
      <c r="BD45" s="319">
        <f>OBJ!B75</f>
        <v>9347506</v>
      </c>
      <c r="BE45" s="21" t="str">
        <f>VLOOKUP(BD45,CENY!$B$11:$G$1054,2,FALSE)</f>
        <v>AvanY-design ALprofil Hybrid na bok 450/ strieb.</v>
      </c>
      <c r="BF45" s="22">
        <f>VLOOKUP(BD45,CENY!$B$11:$G$1054,3,FALSE)</f>
        <v>200</v>
      </c>
      <c r="BG45" s="22"/>
      <c r="BH45" s="23">
        <f>2*SUM(AY1:AY2)*(W20+W22+W28)</f>
        <v>0</v>
      </c>
      <c r="BI45" s="326">
        <f t="shared" si="2"/>
        <v>0</v>
      </c>
      <c r="BJ45" s="95">
        <f>VLOOKUP(BD45,CENY!$B$11:$M$2025,12,FALSE)</f>
        <v>21.111910000000002</v>
      </c>
      <c r="BK45" s="95">
        <f t="shared" si="3"/>
        <v>0</v>
      </c>
    </row>
    <row r="46" spans="47:63" ht="14.4" customHeight="1">
      <c r="AU46" s="319">
        <f>OBJ!B270</f>
        <v>9318217</v>
      </c>
      <c r="AV46" s="21" t="str">
        <f>VLOOKUP(AU46,CENY!$B$11:$G$1054,2,FALSE)</f>
        <v>Actro You(XL) 550/SiSy 70kg; EB21</v>
      </c>
      <c r="AW46" s="22">
        <f>VLOOKUP(AU46,CENY!$B$11:$G$1054,3,FALSE)</f>
        <v>1</v>
      </c>
      <c r="AX46" s="362">
        <v>10</v>
      </c>
      <c r="AY46" s="23">
        <f>IF((AY2+AY4)&lt;2,SUM(AY1:AY4)*AA22,1*(AA28+AA20)+SUM(AY1:AY4)*AA22)</f>
        <v>0</v>
      </c>
      <c r="AZ46" s="326">
        <f t="shared" si="1"/>
        <v>0</v>
      </c>
      <c r="BA46" s="95">
        <f>VLOOKUP(AU46,CENY!$B$11:$M$2025,12,FALSE)</f>
        <v>862.82307000000003</v>
      </c>
      <c r="BB46" s="95">
        <f t="shared" si="0"/>
        <v>0</v>
      </c>
      <c r="BD46" s="319">
        <f>OBJ!B76</f>
        <v>9347507</v>
      </c>
      <c r="BE46" s="21" t="str">
        <f>VLOOKUP(BD46,CENY!$B$11:$G$1054,2,FALSE)</f>
        <v>AvanY-design ALprofil Hybrid na bok 500/ strieb.</v>
      </c>
      <c r="BF46" s="22">
        <f>VLOOKUP(BD46,CENY!$B$11:$G$1054,3,FALSE)</f>
        <v>200</v>
      </c>
      <c r="BG46" s="22"/>
      <c r="BH46" s="23">
        <f>2*SUM(AY1:AY2)*(Y20+Y22+Y28)</f>
        <v>0</v>
      </c>
      <c r="BI46" s="326">
        <f t="shared" si="2"/>
        <v>0</v>
      </c>
      <c r="BJ46" s="95">
        <f>VLOOKUP(BD46,CENY!$B$11:$M$2025,12,FALSE)</f>
        <v>21.479700000000001</v>
      </c>
      <c r="BK46" s="95">
        <f t="shared" si="3"/>
        <v>0</v>
      </c>
    </row>
    <row r="47" spans="47:63" ht="14.4" customHeight="1">
      <c r="AU47" s="319">
        <f>OBJ!B271</f>
        <v>9318218</v>
      </c>
      <c r="AV47" s="21" t="str">
        <f>VLOOKUP(AU47,CENY!$B$11:$G$1054,2,FALSE)</f>
        <v>Actro You(XL) 600/SiSy 70kg; EB21</v>
      </c>
      <c r="AW47" s="22">
        <f>VLOOKUP(AU47,CENY!$B$11:$G$1054,3,FALSE)</f>
        <v>1</v>
      </c>
      <c r="AX47" s="362">
        <v>10</v>
      </c>
      <c r="AY47" s="23">
        <f>IF((AY2+AY4)&lt;2,SUM(AY1:AY4)*AC22,1*(AC28+AC20)+SUM(AY1:AY4)*AC22)</f>
        <v>0</v>
      </c>
      <c r="AZ47" s="326">
        <f t="shared" si="1"/>
        <v>0</v>
      </c>
      <c r="BA47" s="95">
        <f>VLOOKUP(AU47,CENY!$B$11:$M$2025,12,FALSE)</f>
        <v>941.88580999999999</v>
      </c>
      <c r="BB47" s="95">
        <f t="shared" si="0"/>
        <v>0</v>
      </c>
      <c r="BD47" s="319">
        <f>OBJ!B77</f>
        <v>9347508</v>
      </c>
      <c r="BE47" s="21" t="str">
        <f>VLOOKUP(BD47,CENY!$B$11:$G$1054,2,FALSE)</f>
        <v>AvanY-design ALprofil Hybrid na bok 550/ strieb.</v>
      </c>
      <c r="BF47" s="22">
        <f>VLOOKUP(BD47,CENY!$B$11:$G$1054,3,FALSE)</f>
        <v>200</v>
      </c>
      <c r="BG47" s="22"/>
      <c r="BH47" s="23">
        <f>2*SUM(AY1:AY2)*(AA20+AA22+AA28)</f>
        <v>0</v>
      </c>
      <c r="BI47" s="326">
        <f t="shared" si="2"/>
        <v>0</v>
      </c>
      <c r="BJ47" s="95">
        <f>VLOOKUP(BD47,CENY!$B$11:$M$2025,12,FALSE)</f>
        <v>21.84564</v>
      </c>
      <c r="BK47" s="95">
        <f t="shared" si="3"/>
        <v>0</v>
      </c>
    </row>
    <row r="48" spans="47:63" ht="14.4" customHeight="1">
      <c r="AU48" s="319">
        <f>OBJ!B272</f>
        <v>9318219</v>
      </c>
      <c r="AV48" s="21" t="str">
        <f>VLOOKUP(AU48,CENY!$B$11:$G$1054,2,FALSE)</f>
        <v>Actro You(XL) 650/SiSy 70kg; EB21</v>
      </c>
      <c r="AW48" s="22">
        <f>VLOOKUP(AU48,CENY!$B$11:$G$1054,3,FALSE)</f>
        <v>1</v>
      </c>
      <c r="AX48" s="362">
        <v>10</v>
      </c>
      <c r="AY48" s="23">
        <f>SUM(AY1:AY4)*AE22</f>
        <v>0</v>
      </c>
      <c r="AZ48" s="326">
        <f t="shared" si="1"/>
        <v>0</v>
      </c>
      <c r="BA48" s="95">
        <f>VLOOKUP(AU48,CENY!$B$11:$M$2025,12,FALSE)</f>
        <v>977.56314999999995</v>
      </c>
      <c r="BB48" s="95">
        <f t="shared" si="0"/>
        <v>0</v>
      </c>
      <c r="BD48" s="319">
        <f>OBJ!B78</f>
        <v>9347509</v>
      </c>
      <c r="BE48" s="21" t="str">
        <f>VLOOKUP(BD48,CENY!$B$11:$G$1054,2,FALSE)</f>
        <v>AvanY-design ALprofil Hybrid na bok 600/ strieb.</v>
      </c>
      <c r="BF48" s="22">
        <f>VLOOKUP(BD48,CENY!$B$11:$G$1054,3,FALSE)</f>
        <v>200</v>
      </c>
      <c r="BG48" s="22"/>
      <c r="BH48" s="23">
        <f>2*SUM(AY1:AY2)*(AC20+AC22+AC28)</f>
        <v>0</v>
      </c>
      <c r="BI48" s="326">
        <f t="shared" si="2"/>
        <v>0</v>
      </c>
      <c r="BJ48" s="95">
        <f>VLOOKUP(BD48,CENY!$B$11:$M$2025,12,FALSE)</f>
        <v>22.79205</v>
      </c>
      <c r="BK48" s="95">
        <f t="shared" si="3"/>
        <v>0</v>
      </c>
    </row>
    <row r="49" spans="47:63" ht="14.4" customHeight="1">
      <c r="AU49" s="319"/>
      <c r="AV49" s="21"/>
      <c r="AW49" s="22"/>
      <c r="AX49" s="22"/>
      <c r="AY49" s="23"/>
      <c r="AZ49" s="326" t="str">
        <f t="shared" si="1"/>
        <v/>
      </c>
      <c r="BA49" s="95"/>
      <c r="BB49" s="95" t="str">
        <f t="shared" si="0"/>
        <v/>
      </c>
      <c r="BD49" s="319">
        <f>OBJ!B79</f>
        <v>9347510</v>
      </c>
      <c r="BE49" s="21" t="str">
        <f>VLOOKUP(BD49,CENY!$B$11:$G$1054,2,FALSE)</f>
        <v>AvanY-design ALprofil Hybrid na bok 650/ strieb.</v>
      </c>
      <c r="BF49" s="22">
        <f>VLOOKUP(BD49,CENY!$B$11:$G$1054,3,FALSE)</f>
        <v>200</v>
      </c>
      <c r="BG49" s="22"/>
      <c r="BH49" s="23">
        <f>2*SUM(AY1:AY2)*AE22</f>
        <v>0</v>
      </c>
      <c r="BI49" s="326">
        <f t="shared" si="2"/>
        <v>0</v>
      </c>
      <c r="BJ49" s="95">
        <f>VLOOKUP(BD49,CENY!$B$11:$M$2025,12,FALSE)</f>
        <v>24.580449999999999</v>
      </c>
      <c r="BK49" s="95">
        <f t="shared" si="3"/>
        <v>0</v>
      </c>
    </row>
    <row r="50" spans="47:63" ht="14.4" customHeight="1">
      <c r="AU50" s="319">
        <f>OBJ!B284</f>
        <v>9257890</v>
      </c>
      <c r="AV50" s="21" t="str">
        <f>VLOOKUP(AU50,CENY!$B$11:$G$1054,2,FALSE)</f>
        <v>Actro You - Push to open Silent; &lt;10kg</v>
      </c>
      <c r="AW50" s="22">
        <f>VLOOKUP(AU50,CENY!$B$11:$G$1054,3,FALSE)</f>
        <v>1</v>
      </c>
      <c r="AX50" s="22"/>
      <c r="AY50" s="68"/>
      <c r="AZ50" s="326" t="str">
        <f t="shared" si="1"/>
        <v/>
      </c>
      <c r="BA50" s="95">
        <f>VLOOKUP(AU50,CENY!$B$11:$M$2025,12,FALSE)</f>
        <v>481.81412999999998</v>
      </c>
      <c r="BB50" s="95">
        <f t="shared" si="0"/>
        <v>0</v>
      </c>
      <c r="BD50" s="319"/>
      <c r="BE50" s="21"/>
      <c r="BF50" s="22"/>
      <c r="BG50" s="22"/>
      <c r="BH50" s="23"/>
      <c r="BI50" s="326" t="str">
        <f t="shared" si="2"/>
        <v/>
      </c>
      <c r="BJ50" s="95"/>
      <c r="BK50" s="95" t="str">
        <f t="shared" si="3"/>
        <v/>
      </c>
    </row>
    <row r="51" spans="47:63" ht="14.4" customHeight="1">
      <c r="AU51" s="319">
        <f>OBJ!B285</f>
        <v>9257891</v>
      </c>
      <c r="AV51" s="21" t="str">
        <f>VLOOKUP(AU51,CENY!$B$11:$G$1054,2,FALSE)</f>
        <v>Actro You - Push to open Silent; 8-20kg</v>
      </c>
      <c r="AW51" s="22">
        <f>VLOOKUP(AU51,CENY!$B$11:$G$1054,3,FALSE)</f>
        <v>1</v>
      </c>
      <c r="AX51" s="22"/>
      <c r="AY51" s="68"/>
      <c r="AZ51" s="326" t="str">
        <f t="shared" si="1"/>
        <v/>
      </c>
      <c r="BA51" s="95">
        <f>VLOOKUP(AU51,CENY!$B$11:$M$2025,12,FALSE)</f>
        <v>481.81412999999998</v>
      </c>
      <c r="BB51" s="95">
        <f t="shared" si="0"/>
        <v>0</v>
      </c>
      <c r="BD51" s="319">
        <f>OBJ!B236</f>
        <v>9318145</v>
      </c>
      <c r="BE51" s="21" t="str">
        <f>VLOOKUP(BD51,CENY!$B$11:$G$1054,2,FALSE)</f>
        <v>Actro You(S) 270/SiSy 10kg; EB21; ľavý</v>
      </c>
      <c r="BF51" s="22">
        <f>VLOOKUP(BD51,CENY!$B$11:$G$1054,3,FALSE)</f>
        <v>10</v>
      </c>
      <c r="BG51" s="22"/>
      <c r="BH51" s="68"/>
      <c r="BI51" s="326" t="str">
        <f t="shared" si="2"/>
        <v/>
      </c>
      <c r="BJ51" s="95">
        <f>VLOOKUP(BD51,CENY!$B$11:$M$2025,12,FALSE)</f>
        <v>298.88173999999998</v>
      </c>
      <c r="BK51" s="95">
        <f t="shared" si="3"/>
        <v>0</v>
      </c>
    </row>
    <row r="52" spans="47:63" ht="14.4" customHeight="1">
      <c r="AU52" s="319">
        <f>OBJ!B286</f>
        <v>9257892</v>
      </c>
      <c r="AV52" s="21" t="str">
        <f>VLOOKUP(AU52,CENY!$B$11:$G$1054,2,FALSE)</f>
        <v>Actro You - Push to open Silent; 10-40kg</v>
      </c>
      <c r="AW52" s="22">
        <f>VLOOKUP(AU52,CENY!$B$11:$G$1054,3,FALSE)</f>
        <v>1</v>
      </c>
      <c r="AX52" s="22"/>
      <c r="AY52" s="68"/>
      <c r="AZ52" s="326" t="str">
        <f t="shared" si="1"/>
        <v/>
      </c>
      <c r="BA52" s="95">
        <f>VLOOKUP(AU52,CENY!$B$11:$M$2025,12,FALSE)</f>
        <v>481.81412999999998</v>
      </c>
      <c r="BB52" s="95">
        <f t="shared" si="0"/>
        <v>0</v>
      </c>
      <c r="BD52" s="319">
        <f>OBJ!B237</f>
        <v>9318146</v>
      </c>
      <c r="BE52" s="21" t="str">
        <f>VLOOKUP(BD52,CENY!$B$11:$G$1054,2,FALSE)</f>
        <v>Actro You(S) 270/SiSy 10kg; EB21; pravý</v>
      </c>
      <c r="BF52" s="22">
        <f>VLOOKUP(BD52,CENY!$B$11:$G$1054,3,FALSE)</f>
        <v>10</v>
      </c>
      <c r="BG52" s="22"/>
      <c r="BH52" s="68"/>
      <c r="BI52" s="326" t="str">
        <f t="shared" si="2"/>
        <v/>
      </c>
      <c r="BJ52" s="95">
        <f>VLOOKUP(BD52,CENY!$B$11:$M$2025,12,FALSE)</f>
        <v>298.88173999999998</v>
      </c>
      <c r="BK52" s="95">
        <f t="shared" si="3"/>
        <v>0</v>
      </c>
    </row>
    <row r="53" spans="47:63" ht="14.4" customHeight="1">
      <c r="AU53" s="319">
        <f>OBJ!B287</f>
        <v>9257893</v>
      </c>
      <c r="AV53" s="21" t="str">
        <f>VLOOKUP(AU53,CENY!$B$11:$G$1054,2,FALSE)</f>
        <v>Actro You - Push to open Silent; 20-70kg</v>
      </c>
      <c r="AW53" s="22">
        <f>VLOOKUP(AU53,CENY!$B$11:$G$1054,3,FALSE)</f>
        <v>1</v>
      </c>
      <c r="AX53" s="22"/>
      <c r="AY53" s="68"/>
      <c r="AZ53" s="326" t="str">
        <f t="shared" si="1"/>
        <v/>
      </c>
      <c r="BA53" s="95">
        <f>VLOOKUP(AU53,CENY!$B$11:$M$2025,12,FALSE)</f>
        <v>481.81412999999998</v>
      </c>
      <c r="BB53" s="95">
        <f t="shared" si="0"/>
        <v>0</v>
      </c>
      <c r="BD53" s="319">
        <f>OBJ!B238</f>
        <v>9318147</v>
      </c>
      <c r="BE53" s="21" t="str">
        <f>VLOOKUP(BD53,CENY!$B$11:$G$1054,2,FALSE)</f>
        <v>Actro You(S) 300/SiSy 10kg; EB21; ľavý</v>
      </c>
      <c r="BF53" s="22">
        <f>VLOOKUP(BD53,CENY!$B$11:$G$1054,3,FALSE)</f>
        <v>10</v>
      </c>
      <c r="BG53" s="22"/>
      <c r="BH53" s="68"/>
      <c r="BI53" s="326" t="str">
        <f t="shared" si="2"/>
        <v/>
      </c>
      <c r="BJ53" s="95">
        <f>VLOOKUP(BD53,CENY!$B$11:$M$2025,12,FALSE)</f>
        <v>298.88173999999998</v>
      </c>
      <c r="BK53" s="95">
        <f t="shared" si="3"/>
        <v>0</v>
      </c>
    </row>
    <row r="54" spans="47:63" ht="14.4" customHeight="1">
      <c r="AU54" s="319">
        <f>OBJ!B288</f>
        <v>9236718</v>
      </c>
      <c r="AV54" s="21" t="str">
        <f>VLOOKUP(AU54,CENY!$B$11:$G$1054,2,FALSE)</f>
        <v>Push to open Synchro / tyč 2.000 mm</v>
      </c>
      <c r="AW54" s="22">
        <f>VLOOKUP(AU54,CENY!$B$11:$G$1054,3,FALSE)</f>
        <v>100</v>
      </c>
      <c r="AX54" s="22"/>
      <c r="AY54" s="68"/>
      <c r="AZ54" s="326" t="str">
        <f t="shared" si="1"/>
        <v/>
      </c>
      <c r="BA54" s="95">
        <f>VLOOKUP(AU54,CENY!$B$11:$M$2025,12,FALSE)</f>
        <v>182.03933000000001</v>
      </c>
      <c r="BB54" s="95">
        <f t="shared" si="0"/>
        <v>0</v>
      </c>
      <c r="BD54" s="319">
        <f>OBJ!B239</f>
        <v>9318148</v>
      </c>
      <c r="BE54" s="21" t="str">
        <f>VLOOKUP(BD54,CENY!$B$11:$G$1054,2,FALSE)</f>
        <v>Actro You(S) 300/SiSy 10kg; EB21; pravý</v>
      </c>
      <c r="BF54" s="22">
        <f>VLOOKUP(BD54,CENY!$B$11:$G$1054,3,FALSE)</f>
        <v>10</v>
      </c>
      <c r="BG54" s="22"/>
      <c r="BH54" s="68"/>
      <c r="BI54" s="326" t="str">
        <f t="shared" si="2"/>
        <v/>
      </c>
      <c r="BJ54" s="95">
        <f>VLOOKUP(BD54,CENY!$B$11:$M$2025,12,FALSE)</f>
        <v>298.88173999999998</v>
      </c>
      <c r="BK54" s="95">
        <f t="shared" si="3"/>
        <v>0</v>
      </c>
    </row>
    <row r="55" spans="47:63" ht="14.4" customHeight="1">
      <c r="AU55" s="319"/>
      <c r="AV55" s="21"/>
      <c r="AW55" s="22"/>
      <c r="AX55" s="22"/>
      <c r="AY55" s="23"/>
      <c r="AZ55" s="326" t="str">
        <f t="shared" si="1"/>
        <v/>
      </c>
      <c r="BA55" s="95"/>
      <c r="BB55" s="95" t="str">
        <f t="shared" si="0"/>
        <v/>
      </c>
      <c r="BD55" s="319">
        <f>OBJ!B240</f>
        <v>9318149</v>
      </c>
      <c r="BE55" s="21" t="str">
        <f>VLOOKUP(BD55,CENY!$B$11:$G$1054,2,FALSE)</f>
        <v>Actro You(S) 350/SiSy 10kg; EB21; ľavý</v>
      </c>
      <c r="BF55" s="22">
        <f>VLOOKUP(BD55,CENY!$B$11:$G$1054,3,FALSE)</f>
        <v>10</v>
      </c>
      <c r="BG55" s="22"/>
      <c r="BH55" s="68"/>
      <c r="BI55" s="326" t="str">
        <f t="shared" si="2"/>
        <v/>
      </c>
      <c r="BJ55" s="95">
        <f>VLOOKUP(BD55,CENY!$B$11:$M$2025,12,FALSE)</f>
        <v>298.88173999999998</v>
      </c>
      <c r="BK55" s="95">
        <f t="shared" si="3"/>
        <v>0</v>
      </c>
    </row>
    <row r="56" spans="47:63" ht="14.4" customHeight="1">
      <c r="AU56" s="319">
        <f>OBJ!B294</f>
        <v>9256953</v>
      </c>
      <c r="AV56" s="21" t="str">
        <f>VLOOKUP(AU56,CENY!$B$11:$G$1054,2,FALSE)</f>
        <v>Quadro You(S) 270/SiSy 10kg; EB21</v>
      </c>
      <c r="AW56" s="22">
        <f>VLOOKUP(AU56,CENY!$B$11:$G$1054,3,FALSE)</f>
        <v>1</v>
      </c>
      <c r="AX56" s="362">
        <v>4</v>
      </c>
      <c r="AY56" s="68"/>
      <c r="AZ56" s="326" t="str">
        <f t="shared" si="1"/>
        <v/>
      </c>
      <c r="BA56" s="95">
        <f>VLOOKUP(AU56,CENY!$B$11:$M$2025,12,FALSE)</f>
        <v>478.60127999999997</v>
      </c>
      <c r="BB56" s="95">
        <f t="shared" si="0"/>
        <v>0</v>
      </c>
      <c r="BD56" s="319">
        <f>OBJ!B241</f>
        <v>9318150</v>
      </c>
      <c r="BE56" s="21" t="str">
        <f>VLOOKUP(BD56,CENY!$B$11:$G$1054,2,FALSE)</f>
        <v>Actro You(S) 350/SiSy 10kg; EB21; pravý</v>
      </c>
      <c r="BF56" s="22">
        <f>VLOOKUP(BD56,CENY!$B$11:$G$1054,3,FALSE)</f>
        <v>10</v>
      </c>
      <c r="BG56" s="22"/>
      <c r="BH56" s="68"/>
      <c r="BI56" s="326" t="str">
        <f t="shared" si="2"/>
        <v/>
      </c>
      <c r="BJ56" s="95">
        <f>VLOOKUP(BD56,CENY!$B$11:$M$2025,12,FALSE)</f>
        <v>298.88173999999998</v>
      </c>
      <c r="BK56" s="95">
        <f t="shared" si="3"/>
        <v>0</v>
      </c>
    </row>
    <row r="57" spans="47:63" ht="14.4" customHeight="1">
      <c r="AU57" s="319">
        <f>OBJ!B295</f>
        <v>9256954</v>
      </c>
      <c r="AV57" s="21" t="str">
        <f>VLOOKUP(AU57,CENY!$B$11:$G$1054,2,FALSE)</f>
        <v>Quadro You(S) 300/SiSy 10kg; EB21</v>
      </c>
      <c r="AW57" s="22">
        <f>VLOOKUP(AU57,CENY!$B$11:$G$1054,3,FALSE)</f>
        <v>1</v>
      </c>
      <c r="AX57" s="362">
        <v>4</v>
      </c>
      <c r="AY57" s="68"/>
      <c r="AZ57" s="326" t="str">
        <f t="shared" si="1"/>
        <v/>
      </c>
      <c r="BA57" s="95">
        <f>VLOOKUP(AU57,CENY!$B$11:$M$2025,12,FALSE)</f>
        <v>479.57344999999998</v>
      </c>
      <c r="BB57" s="95">
        <f t="shared" si="0"/>
        <v>0</v>
      </c>
      <c r="BD57" s="319"/>
      <c r="BE57" s="21"/>
      <c r="BF57" s="22"/>
      <c r="BG57" s="22"/>
      <c r="BH57" s="23"/>
      <c r="BI57" s="326" t="str">
        <f t="shared" si="2"/>
        <v/>
      </c>
      <c r="BJ57" s="95"/>
      <c r="BK57" s="95" t="str">
        <f t="shared" si="3"/>
        <v/>
      </c>
    </row>
    <row r="58" spans="47:63" ht="14.4" customHeight="1">
      <c r="AU58" s="319">
        <f>OBJ!B296</f>
        <v>9256956</v>
      </c>
      <c r="AV58" s="21" t="str">
        <f>VLOOKUP(AU58,CENY!$B$11:$G$1054,2,FALSE)</f>
        <v>Quadro You(S) 350/SiSy 10kg; EB21</v>
      </c>
      <c r="AW58" s="22">
        <f>VLOOKUP(AU58,CENY!$B$11:$G$1054,3,FALSE)</f>
        <v>1</v>
      </c>
      <c r="AX58" s="362">
        <v>4</v>
      </c>
      <c r="AY58" s="68"/>
      <c r="AZ58" s="326" t="str">
        <f t="shared" si="1"/>
        <v/>
      </c>
      <c r="BA58" s="95">
        <f>VLOOKUP(AU58,CENY!$B$11:$M$2025,12,FALSE)</f>
        <v>489.27857</v>
      </c>
      <c r="BB58" s="95">
        <f t="shared" si="0"/>
        <v>0</v>
      </c>
      <c r="BD58" s="319">
        <f>OBJ!B251</f>
        <v>9318167</v>
      </c>
      <c r="BE58" s="21" t="str">
        <f>VLOOKUP(BD58,CENY!$B$11:$G$1054,2,FALSE)</f>
        <v>Actro You(L) 270/SiSy 40kg; EB21; ľavý</v>
      </c>
      <c r="BF58" s="22">
        <f>VLOOKUP(BD58,CENY!$B$11:$G$1054,3,FALSE)</f>
        <v>10</v>
      </c>
      <c r="BG58" s="22"/>
      <c r="BH58" s="68"/>
      <c r="BI58" s="326" t="str">
        <f t="shared" si="2"/>
        <v/>
      </c>
      <c r="BJ58" s="95">
        <f>VLOOKUP(BD58,CENY!$B$11:$M$2025,12,FALSE)</f>
        <v>298.88173999999998</v>
      </c>
      <c r="BK58" s="95">
        <f t="shared" si="3"/>
        <v>0</v>
      </c>
    </row>
    <row r="59" spans="47:63" ht="14.4" customHeight="1">
      <c r="AU59" s="319"/>
      <c r="AV59" s="21"/>
      <c r="AW59" s="22"/>
      <c r="AX59" s="22"/>
      <c r="AY59" s="23"/>
      <c r="AZ59" s="326" t="str">
        <f t="shared" si="1"/>
        <v/>
      </c>
      <c r="BA59" s="95"/>
      <c r="BB59" s="95" t="str">
        <f t="shared" si="0"/>
        <v/>
      </c>
      <c r="BD59" s="319">
        <f>OBJ!B252</f>
        <v>9318170</v>
      </c>
      <c r="BE59" s="21" t="str">
        <f>VLOOKUP(BD59,CENY!$B$11:$G$1054,2,FALSE)</f>
        <v>Actro You(L) 270/SiSy 40kg; EB21; pravý</v>
      </c>
      <c r="BF59" s="22">
        <f>VLOOKUP(BD59,CENY!$B$11:$G$1054,3,FALSE)</f>
        <v>10</v>
      </c>
      <c r="BG59" s="22"/>
      <c r="BH59" s="68"/>
      <c r="BI59" s="326" t="str">
        <f t="shared" si="2"/>
        <v/>
      </c>
      <c r="BJ59" s="95">
        <f>VLOOKUP(BD59,CENY!$B$11:$M$2025,12,FALSE)</f>
        <v>298.88173999999998</v>
      </c>
      <c r="BK59" s="95">
        <f t="shared" si="3"/>
        <v>0</v>
      </c>
    </row>
    <row r="60" spans="47:63" ht="14.4" customHeight="1">
      <c r="AU60" s="319">
        <f>OBJ!B304</f>
        <v>9256883</v>
      </c>
      <c r="AV60" s="21" t="str">
        <f>VLOOKUP(AU60,CENY!$B$11:$G$1054,2,FALSE)</f>
        <v>Quadro You(M) 270/SiSy 20kg; EB21</v>
      </c>
      <c r="AW60" s="22">
        <f>VLOOKUP(AU60,CENY!$B$11:$G$1054,3,FALSE)</f>
        <v>1</v>
      </c>
      <c r="AX60" s="362">
        <v>8</v>
      </c>
      <c r="AY60" s="68"/>
      <c r="AZ60" s="326" t="str">
        <f t="shared" si="1"/>
        <v/>
      </c>
      <c r="BA60" s="95">
        <f>VLOOKUP(AU60,CENY!$B$11:$M$2025,12,FALSE)</f>
        <v>478.60127999999997</v>
      </c>
      <c r="BB60" s="95">
        <f t="shared" si="0"/>
        <v>0</v>
      </c>
      <c r="BD60" s="319">
        <f>OBJ!B253</f>
        <v>9318171</v>
      </c>
      <c r="BE60" s="21" t="str">
        <f>VLOOKUP(BD60,CENY!$B$11:$G$1054,2,FALSE)</f>
        <v>Actro You(L) 300/SiSy 40kg; EB21; ľavý</v>
      </c>
      <c r="BF60" s="22">
        <f>VLOOKUP(BD60,CENY!$B$11:$G$1054,3,FALSE)</f>
        <v>10</v>
      </c>
      <c r="BG60" s="22"/>
      <c r="BH60" s="68"/>
      <c r="BI60" s="326" t="str">
        <f t="shared" si="2"/>
        <v/>
      </c>
      <c r="BJ60" s="95">
        <f>VLOOKUP(BD60,CENY!$B$11:$M$2025,12,FALSE)</f>
        <v>298.88173999999998</v>
      </c>
      <c r="BK60" s="95">
        <f t="shared" si="3"/>
        <v>0</v>
      </c>
    </row>
    <row r="61" spans="47:63" ht="14.4" customHeight="1">
      <c r="AU61" s="319">
        <f>OBJ!B305</f>
        <v>9256884</v>
      </c>
      <c r="AV61" s="21" t="str">
        <f>VLOOKUP(AU61,CENY!$B$11:$G$1054,2,FALSE)</f>
        <v>Quadro You(M) 300/SiSy 20kg; EB21</v>
      </c>
      <c r="AW61" s="22">
        <f>VLOOKUP(AU61,CENY!$B$11:$G$1054,3,FALSE)</f>
        <v>1</v>
      </c>
      <c r="AX61" s="362">
        <v>8</v>
      </c>
      <c r="AY61" s="68"/>
      <c r="AZ61" s="326" t="str">
        <f t="shared" si="1"/>
        <v/>
      </c>
      <c r="BA61" s="95">
        <f>VLOOKUP(AU61,CENY!$B$11:$M$2025,12,FALSE)</f>
        <v>479.57344999999998</v>
      </c>
      <c r="BB61" s="95">
        <f t="shared" si="0"/>
        <v>0</v>
      </c>
      <c r="BD61" s="319">
        <f>OBJ!B254</f>
        <v>9318172</v>
      </c>
      <c r="BE61" s="21" t="str">
        <f>VLOOKUP(BD61,CENY!$B$11:$G$1054,2,FALSE)</f>
        <v>Actro You(L) 300/SiSy 40kg; EB21; pravý</v>
      </c>
      <c r="BF61" s="22">
        <f>VLOOKUP(BD61,CENY!$B$11:$G$1054,3,FALSE)</f>
        <v>10</v>
      </c>
      <c r="BG61" s="22"/>
      <c r="BH61" s="68"/>
      <c r="BI61" s="326" t="str">
        <f t="shared" si="2"/>
        <v/>
      </c>
      <c r="BJ61" s="95">
        <f>VLOOKUP(BD61,CENY!$B$11:$M$2025,12,FALSE)</f>
        <v>298.88173999999998</v>
      </c>
      <c r="BK61" s="95">
        <f t="shared" si="3"/>
        <v>0</v>
      </c>
    </row>
    <row r="62" spans="47:63" ht="14.4" customHeight="1">
      <c r="AU62" s="319">
        <f>OBJ!B306</f>
        <v>9256886</v>
      </c>
      <c r="AV62" s="21" t="str">
        <f>VLOOKUP(AU62,CENY!$B$11:$G$1054,2,FALSE)</f>
        <v>Quadro You(M) 350/SiSy 25kg; EB21</v>
      </c>
      <c r="AW62" s="22">
        <f>VLOOKUP(AU62,CENY!$B$11:$G$1054,3,FALSE)</f>
        <v>1</v>
      </c>
      <c r="AX62" s="362">
        <v>8</v>
      </c>
      <c r="AY62" s="68"/>
      <c r="AZ62" s="326" t="str">
        <f t="shared" si="1"/>
        <v/>
      </c>
      <c r="BA62" s="95">
        <f>VLOOKUP(AU62,CENY!$B$11:$M$2025,12,FALSE)</f>
        <v>489.27857</v>
      </c>
      <c r="BB62" s="95">
        <f t="shared" si="0"/>
        <v>0</v>
      </c>
      <c r="BD62" s="319">
        <f>OBJ!B255</f>
        <v>9318173</v>
      </c>
      <c r="BE62" s="21" t="str">
        <f>VLOOKUP(BD62,CENY!$B$11:$G$1054,2,FALSE)</f>
        <v>Actro You(L) 350/SiSy 40kg; EB21; ľavý</v>
      </c>
      <c r="BF62" s="22">
        <f>VLOOKUP(BD62,CENY!$B$11:$G$1054,3,FALSE)</f>
        <v>10</v>
      </c>
      <c r="BG62" s="22"/>
      <c r="BH62" s="68"/>
      <c r="BI62" s="326" t="str">
        <f t="shared" si="2"/>
        <v/>
      </c>
      <c r="BJ62" s="95">
        <f>VLOOKUP(BD62,CENY!$B$11:$M$2025,12,FALSE)</f>
        <v>298.88173999999998</v>
      </c>
      <c r="BK62" s="95">
        <f t="shared" si="3"/>
        <v>0</v>
      </c>
    </row>
    <row r="63" spans="47:63" ht="14.4" customHeight="1">
      <c r="AU63" s="319">
        <f>OBJ!B307</f>
        <v>9256888</v>
      </c>
      <c r="AV63" s="21" t="str">
        <f>VLOOKUP(AU63,CENY!$B$11:$G$1054,2,FALSE)</f>
        <v>Quadro You(M) 400/SiSy 30kg; EB21</v>
      </c>
      <c r="AW63" s="22">
        <f>VLOOKUP(AU63,CENY!$B$11:$G$1054,3,FALSE)</f>
        <v>1</v>
      </c>
      <c r="AX63" s="362">
        <v>8</v>
      </c>
      <c r="AY63" s="68"/>
      <c r="AZ63" s="326" t="str">
        <f t="shared" si="1"/>
        <v/>
      </c>
      <c r="BA63" s="95">
        <f>VLOOKUP(AU63,CENY!$B$11:$M$2025,12,FALSE)</f>
        <v>498.97861999999998</v>
      </c>
      <c r="BB63" s="95">
        <f t="shared" si="0"/>
        <v>0</v>
      </c>
      <c r="BD63" s="319">
        <f>OBJ!B256</f>
        <v>9318174</v>
      </c>
      <c r="BE63" s="21" t="str">
        <f>VLOOKUP(BD63,CENY!$B$11:$G$1054,2,FALSE)</f>
        <v>Actro You(L) 350/SiSy 40kg; EB21; pravý</v>
      </c>
      <c r="BF63" s="22">
        <f>VLOOKUP(BD63,CENY!$B$11:$G$1054,3,FALSE)</f>
        <v>10</v>
      </c>
      <c r="BG63" s="22"/>
      <c r="BH63" s="68"/>
      <c r="BI63" s="326" t="str">
        <f t="shared" si="2"/>
        <v/>
      </c>
      <c r="BJ63" s="95">
        <f>VLOOKUP(BD63,CENY!$B$11:$M$2025,12,FALSE)</f>
        <v>298.88173999999998</v>
      </c>
      <c r="BK63" s="95">
        <f t="shared" si="3"/>
        <v>0</v>
      </c>
    </row>
    <row r="64" spans="47:63" ht="14.4" customHeight="1">
      <c r="AU64" s="319">
        <f>OBJ!B308</f>
        <v>9256890</v>
      </c>
      <c r="AV64" s="21" t="str">
        <f>VLOOKUP(AU64,CENY!$B$11:$G$1054,2,FALSE)</f>
        <v>Quadro You(M) 450/SiSy 30kg; EB21</v>
      </c>
      <c r="AW64" s="22">
        <f>VLOOKUP(AU64,CENY!$B$11:$G$1054,3,FALSE)</f>
        <v>1</v>
      </c>
      <c r="AX64" s="362">
        <v>8</v>
      </c>
      <c r="AY64" s="23">
        <f>IF((AY2+AY4)&gt;1,SUM(AY1:AY4)*W28-1*W28,SUM(AY1:AY4)*W28)</f>
        <v>0</v>
      </c>
      <c r="AZ64" s="326">
        <f t="shared" si="1"/>
        <v>0</v>
      </c>
      <c r="BA64" s="95">
        <f>VLOOKUP(AU64,CENY!$B$11:$M$2025,12,FALSE)</f>
        <v>122.98869999999999</v>
      </c>
      <c r="BB64" s="95">
        <f t="shared" si="0"/>
        <v>0</v>
      </c>
      <c r="BD64" s="319">
        <f>OBJ!B257</f>
        <v>9318175</v>
      </c>
      <c r="BE64" s="21" t="str">
        <f>VLOOKUP(BD64,CENY!$B$11:$G$1054,2,FALSE)</f>
        <v>Actro You(L) 400/SiSy 40kg; EB21; ľavý</v>
      </c>
      <c r="BF64" s="22">
        <f>VLOOKUP(BD64,CENY!$B$11:$G$1054,3,FALSE)</f>
        <v>10</v>
      </c>
      <c r="BG64" s="22"/>
      <c r="BH64" s="68"/>
      <c r="BI64" s="326" t="str">
        <f t="shared" si="2"/>
        <v/>
      </c>
      <c r="BJ64" s="95">
        <f>VLOOKUP(BD64,CENY!$B$11:$M$2025,12,FALSE)</f>
        <v>302.69770999999997</v>
      </c>
      <c r="BK64" s="95">
        <f t="shared" si="3"/>
        <v>0</v>
      </c>
    </row>
    <row r="65" spans="1:63" ht="14.4" customHeight="1">
      <c r="AU65" s="319">
        <f>OBJ!B309</f>
        <v>9256892</v>
      </c>
      <c r="AV65" s="21" t="str">
        <f>VLOOKUP(AU65,CENY!$B$11:$G$1054,2,FALSE)</f>
        <v>Quadro You(M) 500/SiSy 30kg; EB21</v>
      </c>
      <c r="AW65" s="22">
        <f>VLOOKUP(AU65,CENY!$B$11:$G$1054,3,FALSE)</f>
        <v>1</v>
      </c>
      <c r="AX65" s="362">
        <v>8</v>
      </c>
      <c r="AY65" s="23">
        <f>IF((AY2+AY4)&gt;1,SUM(AY1:AY4)*Y28-1*Y28,SUM(AY1:AY4)*Y28)</f>
        <v>0</v>
      </c>
      <c r="AZ65" s="326">
        <f t="shared" si="1"/>
        <v>0</v>
      </c>
      <c r="BA65" s="95">
        <f>VLOOKUP(AU65,CENY!$B$11:$M$2025,12,FALSE)</f>
        <v>504.59701000000001</v>
      </c>
      <c r="BB65" s="95">
        <f t="shared" si="0"/>
        <v>0</v>
      </c>
      <c r="BD65" s="319">
        <f>OBJ!B258</f>
        <v>9318176</v>
      </c>
      <c r="BE65" s="21" t="str">
        <f>VLOOKUP(BD65,CENY!$B$11:$G$1054,2,FALSE)</f>
        <v>Actro You(L) 400/SiSy 40kg; EB21; pravý</v>
      </c>
      <c r="BF65" s="22">
        <f>VLOOKUP(BD65,CENY!$B$11:$G$1054,3,FALSE)</f>
        <v>10</v>
      </c>
      <c r="BG65" s="22"/>
      <c r="BH65" s="68"/>
      <c r="BI65" s="326" t="str">
        <f t="shared" si="2"/>
        <v/>
      </c>
      <c r="BJ65" s="95">
        <f>VLOOKUP(BD65,CENY!$B$11:$M$2025,12,FALSE)</f>
        <v>302.69770999999997</v>
      </c>
      <c r="BK65" s="95">
        <f t="shared" si="3"/>
        <v>0</v>
      </c>
    </row>
    <row r="66" spans="1:63" ht="12.9" customHeight="1" thickBot="1">
      <c r="A66" s="577"/>
      <c r="AU66" s="319">
        <f>OBJ!B310</f>
        <v>9256894</v>
      </c>
      <c r="AV66" s="21" t="str">
        <f>VLOOKUP(AU66,CENY!$B$11:$G$1054,2,FALSE)</f>
        <v>Quadro You(M) 550/SiSy 30kg; EB21</v>
      </c>
      <c r="AW66" s="22">
        <f>VLOOKUP(AU66,CENY!$B$11:$G$1054,3,FALSE)</f>
        <v>1</v>
      </c>
      <c r="AX66" s="362">
        <v>8</v>
      </c>
      <c r="AY66" s="23">
        <f>IF((AY2+AY4)&gt;1,SUM(AY1:AY4)*AA28-1*AA28,SUM(AY1:AY4)*AA28)</f>
        <v>0</v>
      </c>
      <c r="AZ66" s="326">
        <f t="shared" si="1"/>
        <v>0</v>
      </c>
      <c r="BA66" s="95">
        <f>VLOOKUP(AU66,CENY!$B$11:$M$2025,12,FALSE)</f>
        <v>127.68105</v>
      </c>
      <c r="BB66" s="95">
        <f t="shared" si="0"/>
        <v>0</v>
      </c>
      <c r="BD66" s="319">
        <f>OBJ!B259</f>
        <v>9318177</v>
      </c>
      <c r="BE66" s="21" t="str">
        <f>VLOOKUP(BD66,CENY!$B$11:$G$1054,2,FALSE)</f>
        <v>Actro You(L) 450/SiSy 40kg; EB21; ľavý</v>
      </c>
      <c r="BF66" s="22">
        <f>VLOOKUP(BD66,CENY!$B$11:$G$1054,3,FALSE)</f>
        <v>10</v>
      </c>
      <c r="BG66" s="22"/>
      <c r="BH66" s="23">
        <f>AY39</f>
        <v>0</v>
      </c>
      <c r="BI66" s="326">
        <f t="shared" si="2"/>
        <v>0</v>
      </c>
      <c r="BJ66" s="95">
        <f>VLOOKUP(BD66,CENY!$B$11:$M$2025,12,FALSE)</f>
        <v>298.33073999999999</v>
      </c>
      <c r="BK66" s="95">
        <f t="shared" si="3"/>
        <v>0</v>
      </c>
    </row>
    <row r="67" spans="1:63" ht="23.1" customHeight="1" thickBot="1">
      <c r="A67" s="577"/>
      <c r="B67" s="484" t="str">
        <f>verze!E13</f>
        <v>&lt;&lt;  zpět</v>
      </c>
      <c r="C67" s="485"/>
      <c r="D67" s="485"/>
      <c r="E67" s="486"/>
      <c r="G67" s="513" t="str">
        <f>verze!E6</f>
        <v xml:space="preserve"> Úvod</v>
      </c>
      <c r="H67" s="514"/>
      <c r="I67" s="514"/>
      <c r="J67" s="514"/>
      <c r="K67" s="515"/>
      <c r="O67" s="513" t="str">
        <f>verze!E7</f>
        <v xml:space="preserve"> Výběr zásuvek</v>
      </c>
      <c r="P67" s="514"/>
      <c r="Q67" s="514"/>
      <c r="R67" s="514"/>
      <c r="S67" s="515"/>
      <c r="U67" s="513" t="str">
        <f>verze!E8</f>
        <v xml:space="preserve"> </v>
      </c>
      <c r="V67" s="514"/>
      <c r="W67" s="514"/>
      <c r="X67" s="514"/>
      <c r="Y67" s="515"/>
      <c r="AA67" s="513" t="str">
        <f>verze!E9</f>
        <v xml:space="preserve"> </v>
      </c>
      <c r="AB67" s="514"/>
      <c r="AC67" s="514"/>
      <c r="AD67" s="514"/>
      <c r="AE67" s="515"/>
      <c r="AI67" s="513" t="str">
        <f>verze!E10</f>
        <v xml:space="preserve"> Objednávka</v>
      </c>
      <c r="AJ67" s="514"/>
      <c r="AK67" s="514"/>
      <c r="AL67" s="514"/>
      <c r="AM67" s="515"/>
      <c r="AO67" s="475" t="str">
        <f>verze!E14</f>
        <v>vpřed  &gt;&gt;</v>
      </c>
      <c r="AP67" s="476"/>
      <c r="AQ67" s="476"/>
      <c r="AR67" s="477"/>
      <c r="AU67" s="319">
        <f>OBJ!B311</f>
        <v>9256896</v>
      </c>
      <c r="AV67" s="21" t="str">
        <f>VLOOKUP(AU67,CENY!$B$11:$G$1054,2,FALSE)</f>
        <v>Quadro You(M) 600/SiSy 25kg; EB21</v>
      </c>
      <c r="AW67" s="22">
        <f>VLOOKUP(AU67,CENY!$B$11:$G$1054,3,FALSE)</f>
        <v>1</v>
      </c>
      <c r="AX67" s="362">
        <v>8</v>
      </c>
      <c r="AY67" s="23">
        <f>IF((AY2+AY4)&gt;1,SUM(AY1:AY4)*AC28-1*AC28,SUM(AY1:AY4)*AC28)</f>
        <v>0</v>
      </c>
      <c r="AZ67" s="326">
        <f t="shared" si="1"/>
        <v>0</v>
      </c>
      <c r="BA67" s="95">
        <f>VLOOKUP(AU67,CENY!$B$11:$M$2025,12,FALSE)</f>
        <v>537.79395</v>
      </c>
      <c r="BB67" s="95">
        <f t="shared" si="0"/>
        <v>0</v>
      </c>
      <c r="BD67" s="319">
        <f>OBJ!B260</f>
        <v>9318178</v>
      </c>
      <c r="BE67" s="21" t="str">
        <f>VLOOKUP(BD67,CENY!$B$11:$G$1054,2,FALSE)</f>
        <v>Actro You(L) 450/SiSy 40kg; EB21; pravý</v>
      </c>
      <c r="BF67" s="22">
        <f>VLOOKUP(BD67,CENY!$B$11:$G$1054,3,FALSE)</f>
        <v>10</v>
      </c>
      <c r="BG67" s="22"/>
      <c r="BH67" s="23">
        <f>AY39</f>
        <v>0</v>
      </c>
      <c r="BI67" s="326">
        <f t="shared" si="2"/>
        <v>0</v>
      </c>
      <c r="BJ67" s="95">
        <f>VLOOKUP(BD67,CENY!$B$11:$M$2025,12,FALSE)</f>
        <v>298.33073999999999</v>
      </c>
      <c r="BK67" s="95">
        <f t="shared" si="3"/>
        <v>0</v>
      </c>
    </row>
    <row r="68" spans="1:63" ht="12.9" customHeight="1">
      <c r="A68" s="577"/>
      <c r="AU68" s="319"/>
      <c r="AV68" s="21"/>
      <c r="AW68" s="22"/>
      <c r="AX68" s="22"/>
      <c r="AY68" s="23"/>
      <c r="AZ68" s="326" t="str">
        <f t="shared" si="1"/>
        <v/>
      </c>
      <c r="BA68" s="95"/>
      <c r="BB68" s="95" t="str">
        <f t="shared" si="0"/>
        <v/>
      </c>
      <c r="BD68" s="319">
        <f>OBJ!B261</f>
        <v>9318179</v>
      </c>
      <c r="BE68" s="21" t="str">
        <f>VLOOKUP(BD68,CENY!$B$11:$G$1054,2,FALSE)</f>
        <v>Actro You(L) 500/SiSy 40kg; EB21; ľavý</v>
      </c>
      <c r="BF68" s="22">
        <f>VLOOKUP(BD68,CENY!$B$11:$G$1054,3,FALSE)</f>
        <v>10</v>
      </c>
      <c r="BG68" s="22"/>
      <c r="BH68" s="23">
        <f>AY40</f>
        <v>0</v>
      </c>
      <c r="BI68" s="326">
        <f t="shared" si="2"/>
        <v>0</v>
      </c>
      <c r="BJ68" s="95">
        <f>VLOOKUP(BD68,CENY!$B$11:$M$2025,12,FALSE)</f>
        <v>296.00905</v>
      </c>
      <c r="BK68" s="95">
        <f t="shared" si="3"/>
        <v>0</v>
      </c>
    </row>
    <row r="69" spans="1:63" ht="23.1" customHeight="1">
      <c r="A69" s="577"/>
      <c r="B69" s="93" t="str">
        <f>B4</f>
        <v>Zásuvka AVANTECH YOU  101 / 187 Inlay</v>
      </c>
      <c r="C69" s="89"/>
      <c r="D69" s="89"/>
      <c r="E69" s="89"/>
      <c r="F69" s="89"/>
      <c r="G69" s="89"/>
      <c r="H69" s="89"/>
      <c r="I69" s="89"/>
      <c r="J69" s="89"/>
      <c r="K69" s="89"/>
      <c r="L69" s="89"/>
      <c r="M69" s="89"/>
      <c r="N69" s="89"/>
      <c r="O69" s="89"/>
      <c r="P69" s="89"/>
      <c r="Q69" s="89"/>
      <c r="R69" s="89"/>
      <c r="S69" s="89"/>
      <c r="T69" s="89"/>
      <c r="U69" s="89"/>
      <c r="V69" s="89"/>
      <c r="W69" s="89"/>
      <c r="X69" s="89"/>
      <c r="Y69" s="89"/>
      <c r="Z69" s="89"/>
      <c r="AA69" s="89"/>
      <c r="AB69" s="89"/>
      <c r="AC69" s="89"/>
      <c r="AD69" s="89"/>
      <c r="AE69" s="89"/>
      <c r="AF69" s="89"/>
      <c r="AG69" s="89"/>
      <c r="AH69" s="89"/>
      <c r="AI69" s="89"/>
      <c r="AJ69" s="89"/>
      <c r="AK69" s="89"/>
      <c r="AL69" s="89"/>
      <c r="AM69" s="89"/>
      <c r="AN69" s="89"/>
      <c r="AO69" s="89"/>
      <c r="AP69" s="89"/>
      <c r="AQ69" s="89"/>
      <c r="AR69" s="89"/>
      <c r="AU69" s="319">
        <f>OBJ!B329</f>
        <v>9257894</v>
      </c>
      <c r="AV69" s="21" t="str">
        <f>VLOOKUP(AU69,CENY!$B$11:$G$1054,2,FALSE)</f>
        <v>Quadro You - Push to open Silent; &lt;10kg</v>
      </c>
      <c r="AW69" s="22">
        <f>VLOOKUP(AU69,CENY!$B$11:$G$1054,3,FALSE)</f>
        <v>1</v>
      </c>
      <c r="AX69" s="22"/>
      <c r="AY69" s="68"/>
      <c r="AZ69" s="326" t="str">
        <f t="shared" si="1"/>
        <v/>
      </c>
      <c r="BA69" s="95">
        <f>VLOOKUP(AU69,CENY!$B$11:$M$2025,12,FALSE)</f>
        <v>480.50922000000003</v>
      </c>
      <c r="BB69" s="95">
        <f t="shared" si="0"/>
        <v>0</v>
      </c>
      <c r="BD69" s="319">
        <f>OBJ!B262</f>
        <v>9318180</v>
      </c>
      <c r="BE69" s="21" t="str">
        <f>VLOOKUP(BD69,CENY!$B$11:$G$1054,2,FALSE)</f>
        <v>Actro You(L) 500/SiSy 40kg; EB21; pravý</v>
      </c>
      <c r="BF69" s="22">
        <f>VLOOKUP(BD69,CENY!$B$11:$G$1054,3,FALSE)</f>
        <v>10</v>
      </c>
      <c r="BG69" s="22"/>
      <c r="BH69" s="23">
        <f>AY40</f>
        <v>0</v>
      </c>
      <c r="BI69" s="326">
        <f t="shared" si="2"/>
        <v>0</v>
      </c>
      <c r="BJ69" s="95">
        <f>VLOOKUP(BD69,CENY!$B$11:$M$2025,12,FALSE)</f>
        <v>296.00905</v>
      </c>
      <c r="BK69" s="95">
        <f t="shared" si="3"/>
        <v>0</v>
      </c>
    </row>
    <row r="70" spans="1:63" ht="14.4" customHeight="1">
      <c r="A70" s="577"/>
      <c r="AU70" s="319">
        <f>OBJ!B330</f>
        <v>9257895</v>
      </c>
      <c r="AV70" s="21" t="str">
        <f>VLOOKUP(AU70,CENY!$B$11:$G$1054,2,FALSE)</f>
        <v>Quadro You - Push to open Silent; 8-20kg</v>
      </c>
      <c r="AW70" s="22">
        <f>VLOOKUP(AU70,CENY!$B$11:$G$1054,3,FALSE)</f>
        <v>1</v>
      </c>
      <c r="AX70" s="22"/>
      <c r="AY70" s="68"/>
      <c r="AZ70" s="326" t="str">
        <f t="shared" si="1"/>
        <v/>
      </c>
      <c r="BA70" s="95">
        <f>VLOOKUP(AU70,CENY!$B$11:$M$2025,12,FALSE)</f>
        <v>480.50922000000003</v>
      </c>
      <c r="BB70" s="95">
        <f t="shared" si="0"/>
        <v>0</v>
      </c>
      <c r="BD70" s="319">
        <f>OBJ!B263</f>
        <v>9318181</v>
      </c>
      <c r="BE70" s="21" t="str">
        <f>VLOOKUP(BD70,CENY!$B$11:$G$1054,2,FALSE)</f>
        <v>Actro You(L) 550/SiSy 40kg; EB21; ľavý</v>
      </c>
      <c r="BF70" s="22">
        <f>VLOOKUP(BD70,CENY!$B$11:$G$1054,3,FALSE)</f>
        <v>10</v>
      </c>
      <c r="BG70" s="22"/>
      <c r="BH70" s="23">
        <f>AY41</f>
        <v>0</v>
      </c>
      <c r="BI70" s="326">
        <f t="shared" si="2"/>
        <v>0</v>
      </c>
      <c r="BJ70" s="95">
        <f>VLOOKUP(BD70,CENY!$B$11:$M$2025,12,FALSE)</f>
        <v>321.83461999999997</v>
      </c>
      <c r="BK70" s="95">
        <f t="shared" si="3"/>
        <v>0</v>
      </c>
    </row>
    <row r="71" spans="1:63" ht="14.4" customHeight="1">
      <c r="A71" s="577"/>
      <c r="AU71" s="319">
        <f>OBJ!B331</f>
        <v>9257896</v>
      </c>
      <c r="AV71" s="21" t="str">
        <f>VLOOKUP(AU71,CENY!$B$11:$G$1054,2,FALSE)</f>
        <v>Quadro You - Push to open Silent; 10-30kg</v>
      </c>
      <c r="AW71" s="22">
        <f>VLOOKUP(AU71,CENY!$B$11:$G$1054,3,FALSE)</f>
        <v>1</v>
      </c>
      <c r="AX71" s="22"/>
      <c r="AY71" s="68"/>
      <c r="AZ71" s="326" t="str">
        <f t="shared" si="1"/>
        <v/>
      </c>
      <c r="BA71" s="95">
        <f>VLOOKUP(AU71,CENY!$B$11:$M$2025,12,FALSE)</f>
        <v>480.50922000000003</v>
      </c>
      <c r="BB71" s="95">
        <f t="shared" si="0"/>
        <v>0</v>
      </c>
      <c r="BD71" s="319">
        <f>OBJ!B264</f>
        <v>9318182</v>
      </c>
      <c r="BE71" s="21" t="str">
        <f>VLOOKUP(BD71,CENY!$B$11:$G$1054,2,FALSE)</f>
        <v>Actro You(L) 550/SiSy 40kg; EB21; pravý</v>
      </c>
      <c r="BF71" s="22">
        <f>VLOOKUP(BD71,CENY!$B$11:$G$1054,3,FALSE)</f>
        <v>10</v>
      </c>
      <c r="BG71" s="22"/>
      <c r="BH71" s="23">
        <f>AY41</f>
        <v>0</v>
      </c>
      <c r="BI71" s="326">
        <f t="shared" si="2"/>
        <v>0</v>
      </c>
      <c r="BJ71" s="95">
        <f>VLOOKUP(BD71,CENY!$B$11:$M$2025,12,FALSE)</f>
        <v>321.83461999999997</v>
      </c>
      <c r="BK71" s="95">
        <f t="shared" si="3"/>
        <v>0</v>
      </c>
    </row>
    <row r="72" spans="1:63" ht="14.4" customHeight="1">
      <c r="A72" s="577"/>
      <c r="AU72" s="319"/>
      <c r="AV72" s="21"/>
      <c r="AW72" s="22"/>
      <c r="AX72" s="22"/>
      <c r="AY72" s="23"/>
      <c r="AZ72" s="326" t="str">
        <f t="shared" si="1"/>
        <v/>
      </c>
      <c r="BA72" s="95"/>
      <c r="BB72" s="95" t="str">
        <f t="shared" si="0"/>
        <v/>
      </c>
      <c r="BD72" s="319">
        <f>OBJ!B265</f>
        <v>9318183</v>
      </c>
      <c r="BE72" s="21" t="str">
        <f>VLOOKUP(BD72,CENY!$B$11:$G$1054,2,FALSE)</f>
        <v>Actro You(L) 600/SiSy 40kg; EB21; ľavý</v>
      </c>
      <c r="BF72" s="22">
        <f>VLOOKUP(BD72,CENY!$B$11:$G$1054,3,FALSE)</f>
        <v>10</v>
      </c>
      <c r="BG72" s="22"/>
      <c r="BH72" s="23">
        <f>AY42</f>
        <v>0</v>
      </c>
      <c r="BI72" s="326">
        <f t="shared" si="2"/>
        <v>0</v>
      </c>
      <c r="BJ72" s="95">
        <f>VLOOKUP(BD72,CENY!$B$11:$M$2025,12,FALSE)</f>
        <v>326.21229</v>
      </c>
      <c r="BK72" s="95">
        <f t="shared" si="3"/>
        <v>0</v>
      </c>
    </row>
    <row r="73" spans="1:63" ht="14.4" customHeight="1">
      <c r="A73" s="577"/>
      <c r="AU73" s="319">
        <f>OBJ!B333</f>
        <v>9256928</v>
      </c>
      <c r="AV73" s="21" t="str">
        <f>VLOOKUP(AU73,CENY!$B$11:$G$1054,2,FALSE)</f>
        <v>Quadro You(M) 270/P2O 20kg; EB21</v>
      </c>
      <c r="AW73" s="22">
        <f>VLOOKUP(AU73,CENY!$B$11:$G$1054,3,FALSE)</f>
        <v>1</v>
      </c>
      <c r="AX73" s="362">
        <v>8</v>
      </c>
      <c r="AY73" s="68"/>
      <c r="AZ73" s="326" t="str">
        <f t="shared" si="1"/>
        <v/>
      </c>
      <c r="BA73" s="95">
        <f>VLOOKUP(AU73,CENY!$B$11:$M$2025,12,FALSE)</f>
        <v>536.84897999999998</v>
      </c>
      <c r="BB73" s="95">
        <f t="shared" si="0"/>
        <v>0</v>
      </c>
      <c r="BD73" s="319">
        <f>OBJ!B266</f>
        <v>9318184</v>
      </c>
      <c r="BE73" s="21" t="str">
        <f>VLOOKUP(BD73,CENY!$B$11:$G$1054,2,FALSE)</f>
        <v>Actro You(L) 600/SiSy 40kg; EB21; pravý</v>
      </c>
      <c r="BF73" s="22">
        <f>VLOOKUP(BD73,CENY!$B$11:$G$1054,3,FALSE)</f>
        <v>10</v>
      </c>
      <c r="BG73" s="22"/>
      <c r="BH73" s="23">
        <f>AY42</f>
        <v>0</v>
      </c>
      <c r="BI73" s="326">
        <f t="shared" si="2"/>
        <v>0</v>
      </c>
      <c r="BJ73" s="95">
        <f>VLOOKUP(BD73,CENY!$B$11:$M$2025,12,FALSE)</f>
        <v>326.21229</v>
      </c>
      <c r="BK73" s="95">
        <f t="shared" si="3"/>
        <v>0</v>
      </c>
    </row>
    <row r="74" spans="1:63" ht="14.4" customHeight="1">
      <c r="A74" s="577"/>
      <c r="AU74" s="319">
        <f>OBJ!B334</f>
        <v>9256929</v>
      </c>
      <c r="AV74" s="21" t="str">
        <f>VLOOKUP(AU74,CENY!$B$11:$G$1054,2,FALSE)</f>
        <v>Quadro You(M) 300/P2O 20kg; EB21</v>
      </c>
      <c r="AW74" s="22">
        <f>VLOOKUP(AU74,CENY!$B$11:$G$1054,3,FALSE)</f>
        <v>1</v>
      </c>
      <c r="AX74" s="362">
        <v>8</v>
      </c>
      <c r="AY74" s="68"/>
      <c r="AZ74" s="326" t="str">
        <f t="shared" si="1"/>
        <v/>
      </c>
      <c r="BA74" s="95">
        <f>VLOOKUP(AU74,CENY!$B$11:$M$2025,12,FALSE)</f>
        <v>537.79395</v>
      </c>
      <c r="BB74" s="95">
        <f t="shared" si="0"/>
        <v>0</v>
      </c>
      <c r="BD74" s="319"/>
      <c r="BE74" s="21"/>
      <c r="BF74" s="22"/>
      <c r="BG74" s="22"/>
      <c r="BH74" s="23"/>
      <c r="BI74" s="326" t="str">
        <f t="shared" si="2"/>
        <v/>
      </c>
      <c r="BJ74" s="95"/>
      <c r="BK74" s="95" t="str">
        <f t="shared" si="3"/>
        <v/>
      </c>
    </row>
    <row r="75" spans="1:63" ht="14.4" customHeight="1">
      <c r="A75" s="577"/>
      <c r="AU75" s="319">
        <f>OBJ!B335</f>
        <v>9256931</v>
      </c>
      <c r="AV75" s="21" t="str">
        <f>VLOOKUP(AU75,CENY!$B$11:$G$1054,2,FALSE)</f>
        <v>Quadro You(M) 350/P2O 25kg; EB21</v>
      </c>
      <c r="AW75" s="22">
        <f>VLOOKUP(AU75,CENY!$B$11:$G$1054,3,FALSE)</f>
        <v>1</v>
      </c>
      <c r="AX75" s="362">
        <v>8</v>
      </c>
      <c r="AY75" s="68"/>
      <c r="AZ75" s="326" t="str">
        <f t="shared" si="1"/>
        <v/>
      </c>
      <c r="BA75" s="95">
        <f>VLOOKUP(AU75,CENY!$B$11:$M$2025,12,FALSE)</f>
        <v>547.49897999999996</v>
      </c>
      <c r="BB75" s="95">
        <f t="shared" ref="BB75:BB141" si="7">IF(BA75="","",BA75*AY75)</f>
        <v>0</v>
      </c>
      <c r="BD75" s="319">
        <f>OBJ!B273</f>
        <v>9318198</v>
      </c>
      <c r="BE75" s="21" t="str">
        <f>VLOOKUP(BD75,CENY!$B$11:$G$1054,2,FALSE)</f>
        <v>Actro You(XL) 450/SiSy 70kg; EB21; ľavý</v>
      </c>
      <c r="BF75" s="22">
        <f>VLOOKUP(BD75,CENY!$B$11:$G$1054,3,FALSE)</f>
        <v>10</v>
      </c>
      <c r="BG75" s="22"/>
      <c r="BH75" s="23">
        <f>AY44</f>
        <v>0</v>
      </c>
      <c r="BI75" s="326">
        <f t="shared" si="2"/>
        <v>0</v>
      </c>
      <c r="BJ75" s="95">
        <f>VLOOKUP(BD75,CENY!$B$11:$M$2025,12,FALSE)</f>
        <v>368.62277</v>
      </c>
      <c r="BK75" s="95">
        <f t="shared" si="3"/>
        <v>0</v>
      </c>
    </row>
    <row r="76" spans="1:63" ht="14.4" customHeight="1">
      <c r="A76" s="577"/>
      <c r="AU76" s="319">
        <f>OBJ!B336</f>
        <v>9256933</v>
      </c>
      <c r="AV76" s="21" t="str">
        <f>VLOOKUP(AU76,CENY!$B$11:$G$1054,2,FALSE)</f>
        <v>Quadro You(M) 400/P2O 30kg; EB21</v>
      </c>
      <c r="AW76" s="22">
        <f>VLOOKUP(AU76,CENY!$B$11:$G$1054,3,FALSE)</f>
        <v>1</v>
      </c>
      <c r="AX76" s="362">
        <v>8</v>
      </c>
      <c r="AY76" s="68"/>
      <c r="AZ76" s="326" t="str">
        <f t="shared" ref="AZ76:AZ142" si="8">IF(AY76="","",IF($AW$4=1,AY76,0))</f>
        <v/>
      </c>
      <c r="BA76" s="95">
        <f>VLOOKUP(AU76,CENY!$B$11:$M$2025,12,FALSE)</f>
        <v>557.20162000000005</v>
      </c>
      <c r="BB76" s="95">
        <f t="shared" si="7"/>
        <v>0</v>
      </c>
      <c r="BD76" s="319">
        <f>OBJ!B274</f>
        <v>9318199</v>
      </c>
      <c r="BE76" s="21" t="str">
        <f>VLOOKUP(BD76,CENY!$B$11:$G$1054,2,FALSE)</f>
        <v>Actro You(XL) 450/SiSy 70kg; EB21; pravý</v>
      </c>
      <c r="BF76" s="22">
        <f>VLOOKUP(BD76,CENY!$B$11:$G$1054,3,FALSE)</f>
        <v>10</v>
      </c>
      <c r="BG76" s="22"/>
      <c r="BH76" s="23">
        <f>AY44</f>
        <v>0</v>
      </c>
      <c r="BI76" s="326">
        <f t="shared" si="2"/>
        <v>0</v>
      </c>
      <c r="BJ76" s="95">
        <f>VLOOKUP(BD76,CENY!$B$11:$M$2025,12,FALSE)</f>
        <v>368.62277</v>
      </c>
      <c r="BK76" s="95">
        <f t="shared" si="3"/>
        <v>0</v>
      </c>
    </row>
    <row r="77" spans="1:63" ht="14.4" customHeight="1">
      <c r="A77" s="577"/>
      <c r="AU77" s="319">
        <f>OBJ!B337</f>
        <v>9256935</v>
      </c>
      <c r="AV77" s="21" t="str">
        <f>VLOOKUP(AU77,CENY!$B$11:$G$1054,2,FALSE)</f>
        <v>Quadro You(M) 450/P2O 30kg; EB21</v>
      </c>
      <c r="AW77" s="22">
        <f>VLOOKUP(AU77,CENY!$B$11:$G$1054,3,FALSE)</f>
        <v>1</v>
      </c>
      <c r="AX77" s="362">
        <v>8</v>
      </c>
      <c r="AY77" s="68"/>
      <c r="AZ77" s="326" t="str">
        <f t="shared" si="8"/>
        <v/>
      </c>
      <c r="BA77" s="95">
        <f>VLOOKUP(AU77,CENY!$B$11:$M$2025,12,FALSE)</f>
        <v>566.90911000000006</v>
      </c>
      <c r="BB77" s="95">
        <f t="shared" si="7"/>
        <v>0</v>
      </c>
      <c r="BD77" s="319">
        <f>OBJ!B275</f>
        <v>9318201</v>
      </c>
      <c r="BE77" s="21" t="str">
        <f>VLOOKUP(BD77,CENY!$B$11:$G$1054,2,FALSE)</f>
        <v>Actro You(XL) 500/SiSy 70kg; EB21; ľavý</v>
      </c>
      <c r="BF77" s="22">
        <f>VLOOKUP(BD77,CENY!$B$11:$G$1054,3,FALSE)</f>
        <v>10</v>
      </c>
      <c r="BG77" s="22"/>
      <c r="BH77" s="23">
        <f>AY45</f>
        <v>0</v>
      </c>
      <c r="BI77" s="326">
        <f t="shared" si="2"/>
        <v>0</v>
      </c>
      <c r="BJ77" s="95">
        <f>VLOOKUP(BD77,CENY!$B$11:$M$2025,12,FALSE)</f>
        <v>372.33726999999999</v>
      </c>
      <c r="BK77" s="95">
        <f t="shared" si="3"/>
        <v>0</v>
      </c>
    </row>
    <row r="78" spans="1:63" ht="14.4" customHeight="1">
      <c r="A78" s="577"/>
      <c r="AU78" s="319">
        <f>OBJ!B338</f>
        <v>9256937</v>
      </c>
      <c r="AV78" s="21" t="str">
        <f>VLOOKUP(AU78,CENY!$B$11:$G$1054,2,FALSE)</f>
        <v>Quadro You(M) 500/P2O 30kg; EB21</v>
      </c>
      <c r="AW78" s="22">
        <f>VLOOKUP(AU78,CENY!$B$11:$G$1054,3,FALSE)</f>
        <v>1</v>
      </c>
      <c r="AX78" s="362">
        <v>8</v>
      </c>
      <c r="AY78" s="68"/>
      <c r="AZ78" s="326" t="str">
        <f t="shared" si="8"/>
        <v/>
      </c>
      <c r="BA78" s="95">
        <f>VLOOKUP(AU78,CENY!$B$11:$M$2025,12,FALSE)</f>
        <v>139.41228000000001</v>
      </c>
      <c r="BB78" s="95">
        <f t="shared" si="7"/>
        <v>0</v>
      </c>
      <c r="BD78" s="319">
        <f>OBJ!B276</f>
        <v>9318203</v>
      </c>
      <c r="BE78" s="21" t="str">
        <f>VLOOKUP(BD78,CENY!$B$11:$G$1054,2,FALSE)</f>
        <v>Actro You(XL) 500/SiSy 70kg; EB21; pravý</v>
      </c>
      <c r="BF78" s="22">
        <f>VLOOKUP(BD78,CENY!$B$11:$G$1054,3,FALSE)</f>
        <v>10</v>
      </c>
      <c r="BG78" s="22"/>
      <c r="BH78" s="23">
        <f>AY45</f>
        <v>0</v>
      </c>
      <c r="BI78" s="326">
        <f t="shared" si="2"/>
        <v>0</v>
      </c>
      <c r="BJ78" s="95">
        <f>VLOOKUP(BD78,CENY!$B$11:$M$2025,12,FALSE)</f>
        <v>372.33726999999999</v>
      </c>
      <c r="BK78" s="95">
        <f t="shared" si="3"/>
        <v>0</v>
      </c>
    </row>
    <row r="79" spans="1:63" ht="14.4" customHeight="1">
      <c r="A79" s="577"/>
      <c r="O79" s="576">
        <f>CEILING((O85*AY1)/FLOOR(2000/O86,1),1)</f>
        <v>0</v>
      </c>
      <c r="P79" s="576"/>
      <c r="Q79" s="576">
        <f>CEILING((Q85*AY1)/FLOOR(2000/Q86,1),1)</f>
        <v>0</v>
      </c>
      <c r="R79" s="576"/>
      <c r="S79" s="576">
        <f>CEILING((S85*AY1)/FLOOR(2000/S86,1),1)</f>
        <v>0</v>
      </c>
      <c r="T79" s="576"/>
      <c r="U79" s="576">
        <f>CEILING((U85*AY1)/FLOOR(2000/U86,1),1)</f>
        <v>0</v>
      </c>
      <c r="V79" s="576"/>
      <c r="W79" s="576">
        <f>CEILING((W85*AY1)/FLOOR(2000/W86,1),1)</f>
        <v>0</v>
      </c>
      <c r="X79" s="576"/>
      <c r="Y79" s="576">
        <f>CEILING((Y85*AY1)/FLOOR(2000/Y86,1),1)</f>
        <v>0</v>
      </c>
      <c r="Z79" s="576"/>
      <c r="AA79" s="576">
        <f>CEILING((AA85*AY1)/FLOOR(2000/AA86,1),1)</f>
        <v>0</v>
      </c>
      <c r="AB79" s="576"/>
      <c r="AC79" s="576">
        <f>CEILING((AC85*AY1)/FLOOR(2000/AC86,1),1)</f>
        <v>0</v>
      </c>
      <c r="AD79" s="576"/>
      <c r="AE79" s="576">
        <f>CEILING((AE85*AY1)/FLOOR(2000/AE86,1),1)</f>
        <v>0</v>
      </c>
      <c r="AF79" s="576"/>
      <c r="AG79" s="576">
        <f>CEILING((AG85*AY1)/FLOOR(2000/AG86,1),1)</f>
        <v>0</v>
      </c>
      <c r="AH79" s="576"/>
      <c r="AI79" s="576">
        <f>CEILING((AI85*AY1)/FLOOR(2000/AI86,1),1)</f>
        <v>0</v>
      </c>
      <c r="AJ79" s="576"/>
      <c r="AU79" s="319">
        <f>OBJ!B339</f>
        <v>9256939</v>
      </c>
      <c r="AV79" s="21" t="str">
        <f>VLOOKUP(AU79,CENY!$B$11:$G$1054,2,FALSE)</f>
        <v>Quadro You(M) 550/P2O 30kg; EB21</v>
      </c>
      <c r="AW79" s="22">
        <f>VLOOKUP(AU79,CENY!$B$11:$G$1054,3,FALSE)</f>
        <v>1</v>
      </c>
      <c r="AX79" s="362">
        <v>8</v>
      </c>
      <c r="AY79" s="68"/>
      <c r="AZ79" s="326" t="str">
        <f t="shared" si="8"/>
        <v/>
      </c>
      <c r="BA79" s="95">
        <f>VLOOKUP(AU79,CENY!$B$11:$M$2025,12,FALSE)</f>
        <v>586.3143</v>
      </c>
      <c r="BB79" s="95">
        <f t="shared" si="7"/>
        <v>0</v>
      </c>
      <c r="BD79" s="319">
        <f>OBJ!B277</f>
        <v>9318208</v>
      </c>
      <c r="BE79" s="21" t="str">
        <f>VLOOKUP(BD79,CENY!$B$11:$G$1054,2,FALSE)</f>
        <v>Actro You(XL) 550/SiSy 70kg; EB21; ľavý</v>
      </c>
      <c r="BF79" s="22">
        <f>VLOOKUP(BD79,CENY!$B$11:$G$1054,3,FALSE)</f>
        <v>10</v>
      </c>
      <c r="BG79" s="22"/>
      <c r="BH79" s="23">
        <f>AY46</f>
        <v>0</v>
      </c>
      <c r="BI79" s="326">
        <f t="shared" si="2"/>
        <v>0</v>
      </c>
      <c r="BJ79" s="95">
        <f>VLOOKUP(BD79,CENY!$B$11:$M$2025,12,FALSE)</f>
        <v>392.11943000000002</v>
      </c>
      <c r="BK79" s="95">
        <f t="shared" si="3"/>
        <v>0</v>
      </c>
    </row>
    <row r="80" spans="1:63" ht="14.4" customHeight="1">
      <c r="A80" s="577"/>
      <c r="O80" s="576">
        <f>CEILING((O85*AY3)/FLOOR(2000/O86,1),1)</f>
        <v>0</v>
      </c>
      <c r="P80" s="576"/>
      <c r="Q80" s="576">
        <f>CEILING((Q85*AY3)/FLOOR(2000/Q86,1),1)</f>
        <v>0</v>
      </c>
      <c r="R80" s="576"/>
      <c r="S80" s="576">
        <f>CEILING((S85*AY3)/FLOOR(2000/S86,1),1)</f>
        <v>0</v>
      </c>
      <c r="T80" s="576"/>
      <c r="U80" s="576">
        <f>CEILING((U85*AY3)/FLOOR(2000/U86,1),1)</f>
        <v>0</v>
      </c>
      <c r="V80" s="576"/>
      <c r="W80" s="576">
        <f>CEILING((W85*AY3)/FLOOR(2000/W86,1),1)</f>
        <v>0</v>
      </c>
      <c r="X80" s="576"/>
      <c r="Y80" s="576">
        <f>CEILING((Y85*AY3)/FLOOR(2000/Y86,1),1)</f>
        <v>0</v>
      </c>
      <c r="Z80" s="576"/>
      <c r="AA80" s="576">
        <f>CEILING((AA85*AY3)/FLOOR(2000/AA86,1),1)</f>
        <v>0</v>
      </c>
      <c r="AB80" s="576"/>
      <c r="AC80" s="576">
        <f>CEILING((AC85*AY3)/FLOOR(2000/AC86,1),1)</f>
        <v>0</v>
      </c>
      <c r="AD80" s="576"/>
      <c r="AE80" s="576">
        <f>CEILING((AE85*AY3)/FLOOR(2000/AE86,1),1)</f>
        <v>0</v>
      </c>
      <c r="AF80" s="576"/>
      <c r="AG80" s="576">
        <f>CEILING((AG85*AY3)/FLOOR(2000/AG86,1),1)</f>
        <v>0</v>
      </c>
      <c r="AH80" s="576"/>
      <c r="AI80" s="576">
        <f>CEILING((AI85*AY3)/FLOOR(2000/AI86,1),1)</f>
        <v>0</v>
      </c>
      <c r="AJ80" s="576"/>
      <c r="AU80" s="319">
        <f>OBJ!B340</f>
        <v>9256941</v>
      </c>
      <c r="AV80" s="21" t="str">
        <f>VLOOKUP(AU80,CENY!$B$11:$G$1054,2,FALSE)</f>
        <v>Quadro You(M) 600/P2O 25kg; EB21</v>
      </c>
      <c r="AW80" s="22">
        <f>VLOOKUP(AU80,CENY!$B$11:$G$1054,3,FALSE)</f>
        <v>1</v>
      </c>
      <c r="AX80" s="362">
        <v>8</v>
      </c>
      <c r="AY80" s="68"/>
      <c r="AZ80" s="326" t="str">
        <f t="shared" si="8"/>
        <v/>
      </c>
      <c r="BA80" s="95">
        <f>VLOOKUP(AU80,CENY!$B$11:$M$2025,12,FALSE)</f>
        <v>596.01683000000003</v>
      </c>
      <c r="BB80" s="95">
        <f t="shared" si="7"/>
        <v>0</v>
      </c>
      <c r="BD80" s="319">
        <f>OBJ!B278</f>
        <v>9318209</v>
      </c>
      <c r="BE80" s="21" t="str">
        <f>VLOOKUP(BD80,CENY!$B$11:$G$1054,2,FALSE)</f>
        <v>Actro You(XL) 550/SiSy 70kg; EB21; pravý</v>
      </c>
      <c r="BF80" s="22">
        <f>VLOOKUP(BD80,CENY!$B$11:$G$1054,3,FALSE)</f>
        <v>10</v>
      </c>
      <c r="BG80" s="22"/>
      <c r="BH80" s="23">
        <f>AY46</f>
        <v>0</v>
      </c>
      <c r="BI80" s="326">
        <f t="shared" si="2"/>
        <v>0</v>
      </c>
      <c r="BJ80" s="95">
        <f>VLOOKUP(BD80,CENY!$B$11:$M$2025,12,FALSE)</f>
        <v>392.11943000000002</v>
      </c>
      <c r="BK80" s="95">
        <f t="shared" si="3"/>
        <v>0</v>
      </c>
    </row>
    <row r="81" spans="1:63" ht="14.4" customHeight="1">
      <c r="A81" s="577"/>
      <c r="O81" s="575">
        <f>O86*O85*$AY$1</f>
        <v>0</v>
      </c>
      <c r="P81" s="575"/>
      <c r="Q81" s="575">
        <f>Q86*Q85*$AY$1</f>
        <v>0</v>
      </c>
      <c r="R81" s="575"/>
      <c r="S81" s="575">
        <f>S86*S85*$AY$1</f>
        <v>0</v>
      </c>
      <c r="T81" s="575"/>
      <c r="U81" s="575">
        <f>U86*U85*$AY$1</f>
        <v>0</v>
      </c>
      <c r="V81" s="575"/>
      <c r="W81" s="575">
        <f>W86*W85*$AY$1</f>
        <v>0</v>
      </c>
      <c r="X81" s="575"/>
      <c r="Y81" s="575">
        <f>Y86*Y85*$AY$1</f>
        <v>0</v>
      </c>
      <c r="Z81" s="575"/>
      <c r="AA81" s="575">
        <f>AA86*AA85*$AY$1</f>
        <v>0</v>
      </c>
      <c r="AB81" s="575"/>
      <c r="AC81" s="575">
        <f>AC86*AC85*$AY$1</f>
        <v>0</v>
      </c>
      <c r="AD81" s="575"/>
      <c r="AE81" s="575">
        <f>AE86*AE85*$AY$1</f>
        <v>0</v>
      </c>
      <c r="AF81" s="575"/>
      <c r="AG81" s="575">
        <f>AG86*AG85*$AY$1</f>
        <v>0</v>
      </c>
      <c r="AH81" s="575"/>
      <c r="AI81" s="575">
        <f>AI86*AI85*$AY$1</f>
        <v>0</v>
      </c>
      <c r="AJ81" s="575"/>
      <c r="AU81" s="319"/>
      <c r="AV81" s="21"/>
      <c r="AW81" s="22"/>
      <c r="AX81" s="22"/>
      <c r="AY81" s="23"/>
      <c r="AZ81" s="326" t="str">
        <f t="shared" si="8"/>
        <v/>
      </c>
      <c r="BA81" s="95"/>
      <c r="BB81" s="95" t="str">
        <f t="shared" si="7"/>
        <v/>
      </c>
      <c r="BD81" s="319">
        <f>OBJ!B279</f>
        <v>9318211</v>
      </c>
      <c r="BE81" s="21" t="str">
        <f>VLOOKUP(BD81,CENY!$B$11:$G$1054,2,FALSE)</f>
        <v>Actro You(XL) 600/SiSy 70kg; EB21; ľavý</v>
      </c>
      <c r="BF81" s="22">
        <f>VLOOKUP(BD81,CENY!$B$11:$G$1054,3,FALSE)</f>
        <v>10</v>
      </c>
      <c r="BG81" s="22"/>
      <c r="BH81" s="23">
        <f>AY47</f>
        <v>0</v>
      </c>
      <c r="BI81" s="326">
        <f t="shared" si="2"/>
        <v>0</v>
      </c>
      <c r="BJ81" s="95">
        <f>VLOOKUP(BD81,CENY!$B$11:$M$2025,12,FALSE)</f>
        <v>443.89010999999999</v>
      </c>
      <c r="BK81" s="95">
        <f t="shared" si="3"/>
        <v>0</v>
      </c>
    </row>
    <row r="82" spans="1:63" ht="14.4" customHeight="1">
      <c r="A82" s="577"/>
      <c r="O82" s="575">
        <f>O86*O85*$AY$3</f>
        <v>0</v>
      </c>
      <c r="P82" s="575"/>
      <c r="Q82" s="575">
        <f>Q86*Q85*$AY$3</f>
        <v>0</v>
      </c>
      <c r="R82" s="575"/>
      <c r="S82" s="575">
        <f>S86*S85*$AY$3</f>
        <v>0</v>
      </c>
      <c r="T82" s="575"/>
      <c r="U82" s="575">
        <f>U86*U85*$AY$3</f>
        <v>0</v>
      </c>
      <c r="V82" s="575"/>
      <c r="W82" s="575">
        <f>W86*W85*$AY$3</f>
        <v>0</v>
      </c>
      <c r="X82" s="575"/>
      <c r="Y82" s="575">
        <f>Y86*Y85*$AY$3</f>
        <v>0</v>
      </c>
      <c r="Z82" s="575"/>
      <c r="AA82" s="575">
        <f>AA86*AA85*$AY$3</f>
        <v>0</v>
      </c>
      <c r="AB82" s="575"/>
      <c r="AC82" s="575">
        <f>AC86*AC85*$AY$3</f>
        <v>0</v>
      </c>
      <c r="AD82" s="575"/>
      <c r="AE82" s="575">
        <f>AE86*AE85*$AY$3</f>
        <v>0</v>
      </c>
      <c r="AF82" s="575"/>
      <c r="AG82" s="575">
        <f>AG86*AG85*$AY$3</f>
        <v>0</v>
      </c>
      <c r="AH82" s="575"/>
      <c r="AI82" s="575">
        <f>AI86*AI85*$AY$3</f>
        <v>0</v>
      </c>
      <c r="AJ82" s="575"/>
      <c r="AK82" s="577"/>
      <c r="AL82" s="577"/>
      <c r="AU82" s="319">
        <f>OBJ!B358</f>
        <v>9219966</v>
      </c>
      <c r="AV82" s="21" t="str">
        <f>VLOOKUP(AU82,CENY!$B$11:$G$1054,2,FALSE)</f>
        <v>Push to open Synchro / adaptér typ A</v>
      </c>
      <c r="AW82" s="22">
        <f>VLOOKUP(AU82,CENY!$B$11:$G$1054,3,FALSE)</f>
        <v>200</v>
      </c>
      <c r="AX82" s="22"/>
      <c r="AY82" s="68"/>
      <c r="AZ82" s="326" t="str">
        <f t="shared" si="8"/>
        <v/>
      </c>
      <c r="BA82" s="95">
        <f>VLOOKUP(AU82,CENY!$B$11:$M$2025,12,FALSE)</f>
        <v>16.488900000000001</v>
      </c>
      <c r="BB82" s="95">
        <f t="shared" si="7"/>
        <v>0</v>
      </c>
      <c r="BD82" s="319">
        <f>OBJ!B280</f>
        <v>9318212</v>
      </c>
      <c r="BE82" s="21" t="str">
        <f>VLOOKUP(BD82,CENY!$B$11:$G$1054,2,FALSE)</f>
        <v>Actro You(XL) 600/SiSy 70kg; EB21; pravý</v>
      </c>
      <c r="BF82" s="22">
        <f>VLOOKUP(BD82,CENY!$B$11:$G$1054,3,FALSE)</f>
        <v>10</v>
      </c>
      <c r="BG82" s="22"/>
      <c r="BH82" s="23">
        <f>AY47</f>
        <v>0</v>
      </c>
      <c r="BI82" s="326">
        <f t="shared" si="2"/>
        <v>0</v>
      </c>
      <c r="BJ82" s="95">
        <f>VLOOKUP(BD82,CENY!$B$11:$M$2025,12,FALSE)</f>
        <v>443.89010999999999</v>
      </c>
      <c r="BK82" s="95">
        <f t="shared" si="3"/>
        <v>0</v>
      </c>
    </row>
    <row r="83" spans="1:63" ht="14.4" customHeight="1" thickBot="1">
      <c r="A83" s="577"/>
      <c r="B83" s="1" t="str">
        <f>verze!E162</f>
        <v>Čelo na vnitřní zásuvku</v>
      </c>
      <c r="O83" s="581" t="str">
        <f>verze!E163</f>
        <v>vnější rozměry zásuvkové skřínky [mm]</v>
      </c>
      <c r="P83" s="582"/>
      <c r="Q83" s="582"/>
      <c r="R83" s="582"/>
      <c r="S83" s="582"/>
      <c r="T83" s="582"/>
      <c r="U83" s="582"/>
      <c r="V83" s="582"/>
      <c r="W83" s="582"/>
      <c r="X83" s="582"/>
      <c r="Y83" s="582"/>
      <c r="Z83" s="582"/>
      <c r="AA83" s="582"/>
      <c r="AB83" s="582"/>
      <c r="AC83" s="582"/>
      <c r="AD83" s="582"/>
      <c r="AE83" s="582"/>
      <c r="AF83" s="582"/>
      <c r="AG83" s="582"/>
      <c r="AH83" s="582"/>
      <c r="AI83" s="582"/>
      <c r="AJ83" s="582"/>
      <c r="AU83" s="319"/>
      <c r="AV83" s="21"/>
      <c r="AW83" s="22"/>
      <c r="AX83" s="22"/>
      <c r="AY83" s="23"/>
      <c r="AZ83" s="326" t="str">
        <f t="shared" si="8"/>
        <v/>
      </c>
      <c r="BA83" s="95"/>
      <c r="BB83" s="95" t="str">
        <f t="shared" si="7"/>
        <v/>
      </c>
      <c r="BD83" s="319">
        <f>OBJ!B281</f>
        <v>9318213</v>
      </c>
      <c r="BE83" s="21" t="str">
        <f>VLOOKUP(BD83,CENY!$B$11:$G$1054,2,FALSE)</f>
        <v>Actro You(XL) 650/SiSy 70kg; EB21; ľavý</v>
      </c>
      <c r="BF83" s="22">
        <f>VLOOKUP(BD83,CENY!$B$11:$G$1054,3,FALSE)</f>
        <v>5</v>
      </c>
      <c r="BG83" s="22"/>
      <c r="BH83" s="23">
        <f>AY48</f>
        <v>0</v>
      </c>
      <c r="BI83" s="326">
        <f t="shared" si="2"/>
        <v>0</v>
      </c>
      <c r="BJ83" s="95">
        <f>VLOOKUP(BD83,CENY!$B$11:$M$2025,12,FALSE)</f>
        <v>462.41142000000002</v>
      </c>
      <c r="BK83" s="95">
        <f t="shared" si="3"/>
        <v>0</v>
      </c>
    </row>
    <row r="84" spans="1:63" ht="14.4" customHeight="1" thickBot="1">
      <c r="A84" s="577"/>
      <c r="B84" s="96"/>
      <c r="C84" s="96"/>
      <c r="D84" s="96"/>
      <c r="E84" s="96"/>
      <c r="F84" s="96"/>
      <c r="G84" s="96"/>
      <c r="H84" s="72"/>
      <c r="I84" s="72"/>
      <c r="J84" s="72"/>
      <c r="K84" s="72"/>
      <c r="L84" s="72"/>
      <c r="M84" s="72"/>
      <c r="N84" s="72" t="str">
        <f>verze!E166&amp;" "</f>
        <v xml:space="preserve">Šířka korpusu: </v>
      </c>
      <c r="O84" s="535">
        <v>300</v>
      </c>
      <c r="P84" s="536"/>
      <c r="Q84" s="535">
        <v>400</v>
      </c>
      <c r="R84" s="536"/>
      <c r="S84" s="535">
        <v>450</v>
      </c>
      <c r="T84" s="536"/>
      <c r="U84" s="535">
        <v>500</v>
      </c>
      <c r="V84" s="536"/>
      <c r="W84" s="535">
        <v>550</v>
      </c>
      <c r="X84" s="536"/>
      <c r="Y84" s="535">
        <v>600</v>
      </c>
      <c r="Z84" s="536"/>
      <c r="AA84" s="535">
        <v>700</v>
      </c>
      <c r="AB84" s="536"/>
      <c r="AC84" s="535">
        <v>800</v>
      </c>
      <c r="AD84" s="536"/>
      <c r="AE84" s="535">
        <v>900</v>
      </c>
      <c r="AF84" s="584"/>
      <c r="AG84" s="535">
        <v>1000</v>
      </c>
      <c r="AH84" s="584"/>
      <c r="AI84" s="535">
        <v>1200</v>
      </c>
      <c r="AJ84" s="536"/>
      <c r="AU84" s="442">
        <f>OBJ!B69</f>
        <v>9255835</v>
      </c>
      <c r="AV84" s="443" t="str">
        <f>VLOOKUP(AU84,CENY!$B$11:$G$1054,2,FALSE)</f>
        <v>AvanY-príchytka čela k naskrutk./ v101</v>
      </c>
      <c r="AW84" s="22">
        <f>VLOOKUP(AU84,CENY!$B$11:$G$1054,3,FALSE)</f>
        <v>200</v>
      </c>
      <c r="AX84" s="22"/>
      <c r="AY84" s="68">
        <f>IF(FORM!AM8=FORM!AU11,(2*(AY2)*(SUM(W20:AD20)+SUM(W22:AF22)+SUM(W28:AD28))),0)</f>
        <v>0</v>
      </c>
      <c r="AZ84" s="326">
        <f t="shared" si="8"/>
        <v>0</v>
      </c>
      <c r="BA84" s="95">
        <f>VLOOKUP(AU84,CENY!$B$11:$M$2025,12,FALSE)</f>
        <v>24.69378</v>
      </c>
      <c r="BB84" s="95">
        <f t="shared" si="7"/>
        <v>0</v>
      </c>
      <c r="BD84" s="319">
        <f>OBJ!B282</f>
        <v>9318214</v>
      </c>
      <c r="BE84" s="21" t="str">
        <f>VLOOKUP(BD84,CENY!$B$11:$G$1054,2,FALSE)</f>
        <v>Actro You(XL) 650/SiSy 70kg; EB21; pravý</v>
      </c>
      <c r="BF84" s="22">
        <f>VLOOKUP(BD84,CENY!$B$11:$G$1054,3,FALSE)</f>
        <v>5</v>
      </c>
      <c r="BG84" s="22"/>
      <c r="BH84" s="23">
        <f>AY48</f>
        <v>0</v>
      </c>
      <c r="BI84" s="326">
        <f t="shared" ref="BI84:BI157" si="9">IF(BH84="","",IF($AW$4=0,BH84,0))</f>
        <v>0</v>
      </c>
      <c r="BJ84" s="95">
        <f>VLOOKUP(BD84,CENY!$B$11:$M$2025,12,FALSE)</f>
        <v>462.41142000000002</v>
      </c>
      <c r="BK84" s="95">
        <f t="shared" ref="BK84:BK157" si="10">IF(BJ84="","",BJ84*BH84)</f>
        <v>0</v>
      </c>
    </row>
    <row r="85" spans="1:63" ht="14.4" customHeight="1" thickBot="1">
      <c r="A85" s="577"/>
      <c r="B85" s="158" t="str">
        <f>" "&amp;verze!E167</f>
        <v xml:space="preserve"> ALU čelo</v>
      </c>
      <c r="C85" s="158"/>
      <c r="D85" s="158"/>
      <c r="E85" s="158"/>
      <c r="F85" s="158"/>
      <c r="G85" s="158"/>
      <c r="H85" s="158"/>
      <c r="I85" s="158"/>
      <c r="J85" s="158"/>
      <c r="K85" s="158"/>
      <c r="L85" s="158"/>
      <c r="M85" s="523"/>
      <c r="N85" s="546"/>
      <c r="O85" s="578"/>
      <c r="P85" s="579"/>
      <c r="Q85" s="578"/>
      <c r="R85" s="579"/>
      <c r="S85" s="578"/>
      <c r="T85" s="579"/>
      <c r="U85" s="578"/>
      <c r="V85" s="579"/>
      <c r="W85" s="578"/>
      <c r="X85" s="579"/>
      <c r="Y85" s="578"/>
      <c r="Z85" s="579"/>
      <c r="AA85" s="578"/>
      <c r="AB85" s="579"/>
      <c r="AC85" s="578"/>
      <c r="AD85" s="579"/>
      <c r="AE85" s="578"/>
      <c r="AF85" s="579"/>
      <c r="AG85" s="578"/>
      <c r="AH85" s="579"/>
      <c r="AI85" s="578"/>
      <c r="AJ85" s="583"/>
      <c r="AU85" s="442">
        <f>OBJ!B191</f>
        <v>9257257</v>
      </c>
      <c r="AV85" s="443" t="str">
        <f>VLOOKUP(AU85,CENY!$B$11:$G$1054,2,FALSE)</f>
        <v>AvanY-prích.čela Inlay k naskrutk./ v187</v>
      </c>
      <c r="AW85" s="22">
        <f>VLOOKUP(AU85,CENY!$B$11:$G$1054,3,FALSE)</f>
        <v>100</v>
      </c>
      <c r="AX85" s="22"/>
      <c r="AY85" s="68">
        <f>IF(FORM!AM8=FORM!AU11,(2*(AY4)*(SUM(W20:AD20)+SUM(W22:AF22)+SUM(W28:AD28))),0)</f>
        <v>0</v>
      </c>
      <c r="AZ85" s="326">
        <f t="shared" si="8"/>
        <v>0</v>
      </c>
      <c r="BA85" s="95">
        <f>VLOOKUP(AU85,CENY!$B$11:$M$2025,12,FALSE)</f>
        <v>50.732700000000001</v>
      </c>
      <c r="BB85" s="95">
        <f t="shared" si="7"/>
        <v>0</v>
      </c>
      <c r="BD85" s="319"/>
      <c r="BE85" s="21"/>
      <c r="BF85" s="22"/>
      <c r="BG85" s="22"/>
      <c r="BH85" s="23"/>
      <c r="BI85" s="326" t="str">
        <f t="shared" si="9"/>
        <v/>
      </c>
      <c r="BJ85" s="95"/>
      <c r="BK85" s="95" t="str">
        <f t="shared" si="10"/>
        <v/>
      </c>
    </row>
    <row r="86" spans="1:63" ht="14.4" customHeight="1">
      <c r="A86" s="577"/>
      <c r="O86" s="580">
        <f>O84-2*FORM!$AM$24-12</f>
        <v>252</v>
      </c>
      <c r="P86" s="580"/>
      <c r="Q86" s="580">
        <f>Q84-2*FORM!$AM$24-12</f>
        <v>352</v>
      </c>
      <c r="R86" s="580"/>
      <c r="S86" s="580">
        <f>S84-2*FORM!$AM$24-12</f>
        <v>402</v>
      </c>
      <c r="T86" s="580"/>
      <c r="U86" s="580">
        <f>U84-2*FORM!$AM$24-12</f>
        <v>452</v>
      </c>
      <c r="V86" s="580"/>
      <c r="W86" s="580">
        <f>W84-2*FORM!$AM$24-12</f>
        <v>502</v>
      </c>
      <c r="X86" s="580"/>
      <c r="Y86" s="580">
        <f>Y84-2*FORM!$AM$24-12</f>
        <v>552</v>
      </c>
      <c r="Z86" s="580"/>
      <c r="AA86" s="580">
        <f>AA84-2*FORM!$AM$24-12</f>
        <v>652</v>
      </c>
      <c r="AB86" s="580"/>
      <c r="AC86" s="580">
        <f>AC84-2*FORM!$AM$24-12</f>
        <v>752</v>
      </c>
      <c r="AD86" s="580"/>
      <c r="AE86" s="580">
        <f>AE84-2*FORM!$AM$24-12</f>
        <v>852</v>
      </c>
      <c r="AF86" s="580"/>
      <c r="AG86" s="580">
        <f>AG84-2*FORM!$AM$24-12</f>
        <v>952</v>
      </c>
      <c r="AH86" s="580"/>
      <c r="AI86" s="580">
        <f>AI84-2*FORM!$AM$24-12</f>
        <v>1152</v>
      </c>
      <c r="AJ86" s="580"/>
      <c r="AU86" s="319"/>
      <c r="AV86" s="21"/>
      <c r="AW86" s="22"/>
      <c r="AX86" s="22"/>
      <c r="AY86" s="23"/>
      <c r="AZ86" s="326" t="str">
        <f t="shared" si="8"/>
        <v/>
      </c>
      <c r="BA86" s="95"/>
      <c r="BB86" s="95" t="str">
        <f t="shared" si="7"/>
        <v/>
      </c>
      <c r="BD86" s="319">
        <f>OBJ!B284</f>
        <v>9257890</v>
      </c>
      <c r="BE86" s="21" t="str">
        <f>VLOOKUP(BD86,CENY!$B$11:$G$1054,2,FALSE)</f>
        <v>Actro You - Push to open Silent; &lt;10kg</v>
      </c>
      <c r="BF86" s="22">
        <f>VLOOKUP(BD86,CENY!$B$11:$G$1054,3,FALSE)</f>
        <v>1</v>
      </c>
      <c r="BG86" s="22"/>
      <c r="BH86" s="68"/>
      <c r="BI86" s="326" t="str">
        <f t="shared" si="9"/>
        <v/>
      </c>
      <c r="BJ86" s="95">
        <f>VLOOKUP(BD86,CENY!$B$11:$M$2025,12,FALSE)</f>
        <v>481.81412999999998</v>
      </c>
      <c r="BK86" s="95">
        <f t="shared" si="10"/>
        <v>0</v>
      </c>
    </row>
    <row r="87" spans="1:63" ht="14.4" customHeight="1">
      <c r="A87" s="577"/>
      <c r="AR87" s="157" t="str">
        <f>IF(AU98=0,verze!E169&amp;" "&amp;AU96&amp;" "&amp;verze!E170,"")</f>
        <v>Je potřebné vybrat 0 ks vnitřních čel.</v>
      </c>
      <c r="AU87" s="320">
        <f>OBJ!B214</f>
        <v>0</v>
      </c>
      <c r="AV87" s="321" t="e">
        <f>VLOOKUP(AU87,CENY!$B$11:$G$1054,2,FALSE)</f>
        <v>#N/A</v>
      </c>
      <c r="AW87" s="22" t="e">
        <f>VLOOKUP(AU87,CENY!$B$11:$G$1054,3,FALSE)</f>
        <v>#N/A</v>
      </c>
      <c r="AX87" s="22"/>
      <c r="AY87" s="68">
        <f>IF(FORM!AM21&lt;&gt;FORM!AW16,(2*SUM(AY1:AY4)*(SUM(W20:AD20)+SUM(W22:AF22)+SUM(W28:AD28))),0)</f>
        <v>0</v>
      </c>
      <c r="AZ87" s="326">
        <f t="shared" si="8"/>
        <v>0</v>
      </c>
      <c r="BA87" s="324" t="str">
        <f>IF(AU87=0,"",VLOOKUP(AU87,CENY!$B$11:$M$2025,12,FALSE))</f>
        <v/>
      </c>
      <c r="BB87" s="95" t="str">
        <f>IF(BA87="","",BA87*AY87)</f>
        <v/>
      </c>
      <c r="BD87" s="319">
        <f>OBJ!B285</f>
        <v>9257891</v>
      </c>
      <c r="BE87" s="21" t="str">
        <f>VLOOKUP(BD87,CENY!$B$11:$G$1054,2,FALSE)</f>
        <v>Actro You - Push to open Silent; 8-20kg</v>
      </c>
      <c r="BF87" s="22">
        <f>VLOOKUP(BD87,CENY!$B$11:$G$1054,3,FALSE)</f>
        <v>1</v>
      </c>
      <c r="BG87" s="22"/>
      <c r="BH87" s="68"/>
      <c r="BI87" s="326" t="str">
        <f t="shared" si="9"/>
        <v/>
      </c>
      <c r="BJ87" s="95">
        <f>VLOOKUP(BD87,CENY!$B$11:$M$2025,12,FALSE)</f>
        <v>481.81412999999998</v>
      </c>
      <c r="BK87" s="95">
        <f t="shared" si="10"/>
        <v>0</v>
      </c>
    </row>
    <row r="88" spans="1:63" ht="14.4" customHeight="1">
      <c r="A88" s="577"/>
      <c r="AR88" s="332" t="str">
        <f>IF(AU98=0,"",IF(AU96=AU98,verze!E174,IF(AU99&gt;0,verze!E171&amp;" "&amp;AU99&amp;" "&amp;verze!E170,verze!E172&amp;" "&amp;AU100&amp;" "&amp;verze!E173)))</f>
        <v/>
      </c>
      <c r="AU88" s="319"/>
      <c r="AV88" s="21"/>
      <c r="AW88" s="22"/>
      <c r="AX88" s="22"/>
      <c r="AY88" s="23"/>
      <c r="AZ88" s="326" t="str">
        <f t="shared" si="8"/>
        <v/>
      </c>
      <c r="BA88" s="95"/>
      <c r="BB88" s="95" t="str">
        <f t="shared" si="7"/>
        <v/>
      </c>
      <c r="BD88" s="319">
        <f>OBJ!B286</f>
        <v>9257892</v>
      </c>
      <c r="BE88" s="21" t="str">
        <f>VLOOKUP(BD88,CENY!$B$11:$G$1054,2,FALSE)</f>
        <v>Actro You - Push to open Silent; 10-40kg</v>
      </c>
      <c r="BF88" s="22">
        <f>VLOOKUP(BD88,CENY!$B$11:$G$1054,3,FALSE)</f>
        <v>1</v>
      </c>
      <c r="BG88" s="22"/>
      <c r="BH88" s="68"/>
      <c r="BI88" s="326" t="str">
        <f t="shared" si="9"/>
        <v/>
      </c>
      <c r="BJ88" s="95">
        <f>VLOOKUP(BD88,CENY!$B$11:$M$2025,12,FALSE)</f>
        <v>481.81412999999998</v>
      </c>
      <c r="BK88" s="95">
        <f t="shared" si="10"/>
        <v>0</v>
      </c>
    </row>
    <row r="89" spans="1:63" ht="14.4" customHeight="1">
      <c r="A89" s="577"/>
      <c r="AU89" s="319"/>
      <c r="AV89" s="21"/>
      <c r="AW89" s="22"/>
      <c r="AX89" s="22"/>
      <c r="AY89" s="23"/>
      <c r="AZ89" s="326" t="str">
        <f t="shared" si="8"/>
        <v/>
      </c>
      <c r="BA89" s="95"/>
      <c r="BB89" s="95" t="str">
        <f t="shared" si="7"/>
        <v/>
      </c>
      <c r="BD89" s="319">
        <f>OBJ!B287</f>
        <v>9257893</v>
      </c>
      <c r="BE89" s="21" t="str">
        <f>VLOOKUP(BD89,CENY!$B$11:$G$1054,2,FALSE)</f>
        <v>Actro You - Push to open Silent; 20-70kg</v>
      </c>
      <c r="BF89" s="22">
        <f>VLOOKUP(BD89,CENY!$B$11:$G$1054,3,FALSE)</f>
        <v>1</v>
      </c>
      <c r="BG89" s="22"/>
      <c r="BH89" s="68"/>
      <c r="BI89" s="326" t="str">
        <f t="shared" si="9"/>
        <v/>
      </c>
      <c r="BJ89" s="95">
        <f>VLOOKUP(BD89,CENY!$B$11:$M$2025,12,FALSE)</f>
        <v>481.81412999999998</v>
      </c>
      <c r="BK89" s="95">
        <f t="shared" si="10"/>
        <v>0</v>
      </c>
    </row>
    <row r="90" spans="1:63" ht="14.4" customHeight="1">
      <c r="A90" s="577"/>
      <c r="AU90" s="319">
        <f>OBJ!B194</f>
        <v>9257269</v>
      </c>
      <c r="AV90" s="21" t="str">
        <f>VLOOKUP(AU90,CENY!$B$11:$G$1054,2,FALSE)</f>
        <v>AvanY-čelo vnút.zásuvky /v101/d2000/strieb.</v>
      </c>
      <c r="AW90" s="22">
        <f>VLOOKUP(AU90,CENY!$B$11:$G$1054,3,FALSE)</f>
        <v>1</v>
      </c>
      <c r="AX90" s="22"/>
      <c r="AY90" s="23">
        <f>IF(AU96=0,0,IF(AU102&lt;2000,1,SUM(O79:AJ79)))</f>
        <v>0</v>
      </c>
      <c r="AZ90" s="326">
        <f>IF(AY90="","",IF($AW$4=1,AY90,0))</f>
        <v>0</v>
      </c>
      <c r="BA90" s="95">
        <f>VLOOKUP(AU90,CENY!$B$11:$M$2025,12,FALSE)</f>
        <v>1483.13021</v>
      </c>
      <c r="BB90" s="95">
        <f>IF(BA90="","",BA90*AY90)</f>
        <v>0</v>
      </c>
      <c r="BD90" s="319">
        <f>OBJ!B288</f>
        <v>9236718</v>
      </c>
      <c r="BE90" s="21" t="str">
        <f>VLOOKUP(BD90,CENY!$B$11:$G$1054,2,FALSE)</f>
        <v>Push to open Synchro / tyč 2.000 mm</v>
      </c>
      <c r="BF90" s="22">
        <f>VLOOKUP(BD90,CENY!$B$11:$G$1054,3,FALSE)</f>
        <v>100</v>
      </c>
      <c r="BG90" s="22"/>
      <c r="BH90" s="68"/>
      <c r="BI90" s="326" t="str">
        <f t="shared" si="9"/>
        <v/>
      </c>
      <c r="BJ90" s="95">
        <f>VLOOKUP(BD90,CENY!$B$11:$M$2025,12,FALSE)</f>
        <v>182.03933000000001</v>
      </c>
      <c r="BK90" s="95">
        <f t="shared" si="10"/>
        <v>0</v>
      </c>
    </row>
    <row r="91" spans="1:63" ht="14.4" customHeight="1">
      <c r="A91" s="577"/>
      <c r="AU91" s="319">
        <f>OBJ!B198</f>
        <v>9257611</v>
      </c>
      <c r="AV91" s="21" t="str">
        <f>VLOOKUP(AU91,CENY!$B$11:$G$1054,2,FALSE)</f>
        <v>AvanY-spojky čela vnút.zás./v101/strieb.</v>
      </c>
      <c r="AW91" s="22">
        <f>VLOOKUP(AU91,CENY!$B$11:$G$1054,3,FALSE)</f>
        <v>1</v>
      </c>
      <c r="AX91" s="22"/>
      <c r="AY91" s="23">
        <f>1*(AY1)*(SUM(W20:AD20)+SUM(W22:AF22)+SUM(W28:AD28))</f>
        <v>0</v>
      </c>
      <c r="AZ91" s="326">
        <f>IF(AY91="","",IF($AW$4=1,AY91,0))</f>
        <v>0</v>
      </c>
      <c r="BA91" s="95">
        <f>VLOOKUP(AU91,CENY!$B$11:$M$2025,12,FALSE)</f>
        <v>97.260310000000004</v>
      </c>
      <c r="BB91" s="95">
        <f>IF(BA91="","",BA91*AY91)</f>
        <v>0</v>
      </c>
      <c r="BD91" s="319"/>
      <c r="BE91" s="21"/>
      <c r="BF91" s="22"/>
      <c r="BG91" s="22"/>
      <c r="BH91" s="23"/>
      <c r="BI91" s="326" t="str">
        <f t="shared" si="9"/>
        <v/>
      </c>
      <c r="BJ91" s="95"/>
      <c r="BK91" s="95" t="str">
        <f t="shared" si="10"/>
        <v/>
      </c>
    </row>
    <row r="92" spans="1:63" ht="14.4" customHeight="1">
      <c r="A92" s="577"/>
      <c r="AU92" s="319">
        <f>OBJ!B196</f>
        <v>9257271</v>
      </c>
      <c r="AV92" s="21" t="str">
        <f>VLOOKUP(AU92,CENY!$B$11:$G$1054,2,FALSE)</f>
        <v>AvanY-čelo vnút.zásuvky /v187/d2000/strieb.</v>
      </c>
      <c r="AW92" s="22">
        <f>VLOOKUP(AU92,CENY!$B$11:$G$1054,3,FALSE)</f>
        <v>1</v>
      </c>
      <c r="AX92" s="22"/>
      <c r="AY92" s="23">
        <f>IF(AW96=0,0,IF(AW102&lt;2000,1,SUM(O80:AJ80)))</f>
        <v>0</v>
      </c>
      <c r="AZ92" s="326">
        <f>IF(AY92="","",IF($AW$4=1,AY92,0))</f>
        <v>0</v>
      </c>
      <c r="BA92" s="95">
        <f>VLOOKUP(AU92,CENY!$B$11:$M$2025,12,FALSE)</f>
        <v>2217.7650899999999</v>
      </c>
      <c r="BB92" s="95">
        <f>IF(BA92="","",BA92*AY92)</f>
        <v>0</v>
      </c>
      <c r="BD92" s="319">
        <f>OBJ!B297</f>
        <v>9256944</v>
      </c>
      <c r="BE92" s="21" t="str">
        <f>VLOOKUP(BD92,CENY!$B$11:$G$1054,2,FALSE)</f>
        <v>Quadro You(S) 270/SiSy 10kg; EB21; ľavý</v>
      </c>
      <c r="BF92" s="22">
        <f>VLOOKUP(BD92,CENY!$B$11:$G$1054,3,FALSE)</f>
        <v>20</v>
      </c>
      <c r="BG92" s="22"/>
      <c r="BH92" s="68"/>
      <c r="BI92" s="326" t="str">
        <f t="shared" si="9"/>
        <v/>
      </c>
      <c r="BJ92" s="95">
        <f>VLOOKUP(BD92,CENY!$B$11:$M$2025,12,FALSE)</f>
        <v>223.77942999999999</v>
      </c>
      <c r="BK92" s="95">
        <f t="shared" si="10"/>
        <v>0</v>
      </c>
    </row>
    <row r="93" spans="1:63" ht="14.4" customHeight="1">
      <c r="A93" s="577"/>
      <c r="AU93" s="319">
        <f>OBJ!B201</f>
        <v>9257623</v>
      </c>
      <c r="AV93" s="21" t="str">
        <f>VLOOKUP(AU93,CENY!$B$11:$G$1054,2,FALSE)</f>
        <v>AvanY-spojky čela vnút.Inlay/v187/strieb.</v>
      </c>
      <c r="AW93" s="22">
        <f>VLOOKUP(AU93,CENY!$B$11:$G$1054,3,FALSE)</f>
        <v>1</v>
      </c>
      <c r="AX93" s="22"/>
      <c r="AY93" s="23">
        <f>1*(AY3)*(SUM(W20:AD20)+SUM(W22:AF22)+SUM(W28:AD28))</f>
        <v>0</v>
      </c>
      <c r="AZ93" s="326">
        <f>IF(AY93="","",IF($AW$4=1,AY93,0))</f>
        <v>0</v>
      </c>
      <c r="BA93" s="95">
        <f>VLOOKUP(AU93,CENY!$B$11:$M$2025,12,FALSE)</f>
        <v>150.04737</v>
      </c>
      <c r="BB93" s="95">
        <f>IF(BA93="","",BA93*AY93)</f>
        <v>0</v>
      </c>
      <c r="BD93" s="319">
        <f>OBJ!B298</f>
        <v>9256945</v>
      </c>
      <c r="BE93" s="21" t="str">
        <f>VLOOKUP(BD93,CENY!$B$11:$G$1054,2,FALSE)</f>
        <v>Quadro You(S) 270/SiSy 10kg; EB21; pravý</v>
      </c>
      <c r="BF93" s="22">
        <f>VLOOKUP(BD93,CENY!$B$11:$G$1054,3,FALSE)</f>
        <v>20</v>
      </c>
      <c r="BG93" s="22"/>
      <c r="BH93" s="68"/>
      <c r="BI93" s="326" t="str">
        <f t="shared" si="9"/>
        <v/>
      </c>
      <c r="BJ93" s="95">
        <f>VLOOKUP(BD93,CENY!$B$11:$M$2025,12,FALSE)</f>
        <v>223.77942999999999</v>
      </c>
      <c r="BK93" s="95">
        <f t="shared" si="10"/>
        <v>0</v>
      </c>
    </row>
    <row r="94" spans="1:63" ht="14.4" customHeight="1">
      <c r="A94" s="577"/>
      <c r="AU94" s="319"/>
      <c r="AV94" s="21"/>
      <c r="AW94" s="368"/>
      <c r="AX94" s="368"/>
      <c r="AY94" s="369"/>
      <c r="AZ94" s="326" t="str">
        <f t="shared" si="8"/>
        <v/>
      </c>
      <c r="BA94" s="95"/>
      <c r="BB94" s="95" t="str">
        <f t="shared" si="7"/>
        <v/>
      </c>
      <c r="BD94" s="319">
        <f>OBJ!B299</f>
        <v>9256946</v>
      </c>
      <c r="BE94" s="21" t="str">
        <f>VLOOKUP(BD94,CENY!$B$11:$G$1054,2,FALSE)</f>
        <v>Quadro You(S) 300/SiSy 10kg; EB21; ľavý</v>
      </c>
      <c r="BF94" s="22">
        <f>VLOOKUP(BD94,CENY!$B$11:$G$1054,3,FALSE)</f>
        <v>20</v>
      </c>
      <c r="BG94" s="22"/>
      <c r="BH94" s="68"/>
      <c r="BI94" s="326" t="str">
        <f t="shared" si="9"/>
        <v/>
      </c>
      <c r="BJ94" s="95">
        <f>VLOOKUP(BD94,CENY!$B$11:$M$2025,12,FALSE)</f>
        <v>224.26065</v>
      </c>
      <c r="BK94" s="95">
        <f t="shared" si="10"/>
        <v>0</v>
      </c>
    </row>
    <row r="95" spans="1:63" ht="14.4" customHeight="1">
      <c r="A95" s="577"/>
      <c r="AU95" s="372" t="s">
        <v>595</v>
      </c>
      <c r="AV95" s="21"/>
      <c r="AW95" s="611" t="s">
        <v>596</v>
      </c>
      <c r="AX95" s="611"/>
      <c r="AY95" s="611"/>
      <c r="AZ95" s="326" t="str">
        <f t="shared" si="8"/>
        <v/>
      </c>
      <c r="BA95" s="95"/>
      <c r="BB95" s="95" t="str">
        <f t="shared" si="7"/>
        <v/>
      </c>
      <c r="BD95" s="319">
        <f>OBJ!B300</f>
        <v>9256947</v>
      </c>
      <c r="BE95" s="21" t="str">
        <f>VLOOKUP(BD95,CENY!$B$11:$G$1054,2,FALSE)</f>
        <v>Quadro You(S) 300/SiSy 10kg; EB21; pravý</v>
      </c>
      <c r="BF95" s="22">
        <f>VLOOKUP(BD95,CENY!$B$11:$G$1054,3,FALSE)</f>
        <v>20</v>
      </c>
      <c r="BG95" s="22"/>
      <c r="BH95" s="68"/>
      <c r="BI95" s="326" t="str">
        <f t="shared" si="9"/>
        <v/>
      </c>
      <c r="BJ95" s="95">
        <f>VLOOKUP(BD95,CENY!$B$11:$M$2025,12,FALSE)</f>
        <v>224.26065</v>
      </c>
      <c r="BK95" s="95">
        <f t="shared" si="10"/>
        <v>0</v>
      </c>
    </row>
    <row r="96" spans="1:63" ht="14.4" customHeight="1">
      <c r="A96" s="577"/>
      <c r="AU96" s="330">
        <f>1*(AY1)*(SUM(W20:AD20)+SUM(W22:AF22)+SUM(W28:AD28))</f>
        <v>0</v>
      </c>
      <c r="AV96" s="329" t="s">
        <v>356</v>
      </c>
      <c r="AW96" s="610">
        <f>1*(AY3)*(SUM(W20:AD20)+SUM(W22:AF22)+SUM(W28:AD28))</f>
        <v>0</v>
      </c>
      <c r="AX96" s="610"/>
      <c r="AY96" s="610"/>
      <c r="AZ96" s="326" t="str">
        <f t="shared" si="8"/>
        <v/>
      </c>
      <c r="BA96" s="95"/>
      <c r="BB96" s="95" t="str">
        <f t="shared" si="7"/>
        <v/>
      </c>
      <c r="BD96" s="319">
        <f>OBJ!B301</f>
        <v>9256950</v>
      </c>
      <c r="BE96" s="21" t="str">
        <f>VLOOKUP(BD96,CENY!$B$11:$G$1054,2,FALSE)</f>
        <v>Quadro You(S) 350/SiSy 10kg; EB21; ľavý</v>
      </c>
      <c r="BF96" s="22">
        <f>VLOOKUP(BD96,CENY!$B$11:$G$1054,3,FALSE)</f>
        <v>20</v>
      </c>
      <c r="BG96" s="22"/>
      <c r="BH96" s="68"/>
      <c r="BI96" s="326" t="str">
        <f t="shared" si="9"/>
        <v/>
      </c>
      <c r="BJ96" s="95">
        <f>VLOOKUP(BD96,CENY!$B$11:$M$2025,12,FALSE)</f>
        <v>229.11434</v>
      </c>
      <c r="BK96" s="95">
        <f t="shared" si="10"/>
        <v>0</v>
      </c>
    </row>
    <row r="97" spans="1:63" ht="14.4" customHeight="1">
      <c r="A97" s="577"/>
      <c r="AU97" s="20"/>
      <c r="AV97" s="21"/>
      <c r="AW97" s="610"/>
      <c r="AX97" s="610"/>
      <c r="AY97" s="610"/>
      <c r="AZ97" s="326" t="str">
        <f t="shared" si="8"/>
        <v/>
      </c>
      <c r="BA97" s="95"/>
      <c r="BB97" s="95" t="str">
        <f t="shared" si="7"/>
        <v/>
      </c>
      <c r="BD97" s="319">
        <f>OBJ!B302</f>
        <v>9256951</v>
      </c>
      <c r="BE97" s="21" t="str">
        <f>VLOOKUP(BD97,CENY!$B$11:$G$1054,2,FALSE)</f>
        <v>Quadro You(S) 350/SiSy 10kg; EB21; pravý</v>
      </c>
      <c r="BF97" s="22">
        <f>VLOOKUP(BD97,CENY!$B$11:$G$1054,3,FALSE)</f>
        <v>20</v>
      </c>
      <c r="BG97" s="22"/>
      <c r="BH97" s="68"/>
      <c r="BI97" s="326" t="str">
        <f t="shared" si="9"/>
        <v/>
      </c>
      <c r="BJ97" s="95">
        <f>VLOOKUP(BD97,CENY!$B$11:$M$2025,12,FALSE)</f>
        <v>229.11434</v>
      </c>
      <c r="BK97" s="95">
        <f t="shared" si="10"/>
        <v>0</v>
      </c>
    </row>
    <row r="98" spans="1:63" ht="14.4" customHeight="1">
      <c r="A98" s="577"/>
      <c r="AU98" s="331">
        <f>SUM(O85:AJ85)*AY1</f>
        <v>0</v>
      </c>
      <c r="AV98" s="21" t="s">
        <v>357</v>
      </c>
      <c r="AW98" s="610">
        <f>SUM(O85:AJ85)*AY3</f>
        <v>0</v>
      </c>
      <c r="AX98" s="610"/>
      <c r="AY98" s="610"/>
      <c r="AZ98" s="326" t="str">
        <f t="shared" si="8"/>
        <v/>
      </c>
      <c r="BA98" s="95"/>
      <c r="BB98" s="95" t="str">
        <f t="shared" si="7"/>
        <v/>
      </c>
      <c r="BD98" s="319"/>
      <c r="BE98" s="21"/>
      <c r="BF98" s="22"/>
      <c r="BG98" s="22"/>
      <c r="BH98" s="23"/>
      <c r="BI98" s="326" t="str">
        <f t="shared" si="9"/>
        <v/>
      </c>
      <c r="BJ98" s="95"/>
      <c r="BK98" s="95" t="str">
        <f t="shared" si="10"/>
        <v/>
      </c>
    </row>
    <row r="99" spans="1:63" ht="14.4" customHeight="1">
      <c r="A99" s="577"/>
      <c r="AU99" s="22">
        <f>AU96-AU98</f>
        <v>0</v>
      </c>
      <c r="AV99" s="21"/>
      <c r="AW99" s="610">
        <f>AW96-AW98</f>
        <v>0</v>
      </c>
      <c r="AX99" s="610"/>
      <c r="AY99" s="610"/>
      <c r="AZ99" s="326" t="str">
        <f t="shared" si="8"/>
        <v/>
      </c>
      <c r="BA99" s="95"/>
      <c r="BB99" s="95" t="str">
        <f t="shared" si="7"/>
        <v/>
      </c>
      <c r="BD99" s="319">
        <f>OBJ!B312</f>
        <v>9256854</v>
      </c>
      <c r="BE99" s="21" t="str">
        <f>VLOOKUP(BD99,CENY!$B$11:$G$1054,2,FALSE)</f>
        <v>Quadro You(M) 270/SiSy 20kg; EB21; ľavý</v>
      </c>
      <c r="BF99" s="22">
        <f>VLOOKUP(BD99,CENY!$B$11:$G$1054,3,FALSE)</f>
        <v>20</v>
      </c>
      <c r="BG99" s="22"/>
      <c r="BH99" s="68"/>
      <c r="BI99" s="326" t="str">
        <f t="shared" si="9"/>
        <v/>
      </c>
      <c r="BJ99" s="95">
        <f>VLOOKUP(BD99,CENY!$B$11:$M$2025,12,FALSE)</f>
        <v>223.77942999999999</v>
      </c>
      <c r="BK99" s="95">
        <f t="shared" si="10"/>
        <v>0</v>
      </c>
    </row>
    <row r="100" spans="1:63" ht="14.4" customHeight="1">
      <c r="A100" s="577"/>
      <c r="AU100" s="22">
        <f>ABS(AU99)</f>
        <v>0</v>
      </c>
      <c r="AV100" s="21"/>
      <c r="AW100" s="610">
        <f>ABS(AW99)</f>
        <v>0</v>
      </c>
      <c r="AX100" s="610"/>
      <c r="AY100" s="610"/>
      <c r="AZ100" s="326" t="str">
        <f t="shared" si="8"/>
        <v/>
      </c>
      <c r="BA100" s="95"/>
      <c r="BB100" s="95" t="str">
        <f t="shared" si="7"/>
        <v/>
      </c>
      <c r="BD100" s="319">
        <f>OBJ!B313</f>
        <v>9256855</v>
      </c>
      <c r="BE100" s="21" t="str">
        <f>VLOOKUP(BD100,CENY!$B$11:$G$1054,2,FALSE)</f>
        <v>Quadro You(M) 270/SiSy 20kg; EB21; pravý</v>
      </c>
      <c r="BF100" s="22">
        <f>VLOOKUP(BD100,CENY!$B$11:$G$1054,3,FALSE)</f>
        <v>20</v>
      </c>
      <c r="BG100" s="22"/>
      <c r="BH100" s="68"/>
      <c r="BI100" s="326" t="str">
        <f t="shared" si="9"/>
        <v/>
      </c>
      <c r="BJ100" s="95">
        <f>VLOOKUP(BD100,CENY!$B$11:$M$2025,12,FALSE)</f>
        <v>223.77942999999999</v>
      </c>
      <c r="BK100" s="95">
        <f t="shared" si="10"/>
        <v>0</v>
      </c>
    </row>
    <row r="101" spans="1:63">
      <c r="A101" s="577"/>
      <c r="AU101" s="20"/>
      <c r="AV101" s="21"/>
      <c r="AW101" s="610"/>
      <c r="AX101" s="610"/>
      <c r="AY101" s="610"/>
      <c r="AZ101" s="326" t="str">
        <f t="shared" si="8"/>
        <v/>
      </c>
      <c r="BA101" s="95"/>
      <c r="BB101" s="95" t="str">
        <f t="shared" si="7"/>
        <v/>
      </c>
      <c r="BD101" s="319">
        <f>OBJ!B314</f>
        <v>9256856</v>
      </c>
      <c r="BE101" s="21" t="str">
        <f>VLOOKUP(BD101,CENY!$B$11:$G$1054,2,FALSE)</f>
        <v>Quadro You(M) 300/SiSy 20kg; EB21; ľavý</v>
      </c>
      <c r="BF101" s="22">
        <f>VLOOKUP(BD101,CENY!$B$11:$G$1054,3,FALSE)</f>
        <v>20</v>
      </c>
      <c r="BG101" s="22"/>
      <c r="BH101" s="68"/>
      <c r="BI101" s="326" t="str">
        <f t="shared" si="9"/>
        <v/>
      </c>
      <c r="BJ101" s="95">
        <f>VLOOKUP(BD101,CENY!$B$11:$M$2025,12,FALSE)</f>
        <v>224.26065</v>
      </c>
      <c r="BK101" s="95">
        <f t="shared" si="10"/>
        <v>0</v>
      </c>
    </row>
    <row r="102" spans="1:63">
      <c r="A102" s="577"/>
      <c r="AU102" s="22">
        <f>(AU98-1)*4+SUM(O81:AJ81)</f>
        <v>-4</v>
      </c>
      <c r="AV102" s="21" t="s">
        <v>358</v>
      </c>
      <c r="AW102" s="610">
        <f>(AW98-1)*4+SUM(O82:AJ82)</f>
        <v>-4</v>
      </c>
      <c r="AX102" s="610"/>
      <c r="AY102" s="610"/>
      <c r="AZ102" s="326" t="str">
        <f t="shared" si="8"/>
        <v/>
      </c>
      <c r="BA102" s="95"/>
      <c r="BB102" s="95" t="str">
        <f t="shared" si="7"/>
        <v/>
      </c>
      <c r="BD102" s="319">
        <f>OBJ!B315</f>
        <v>9256857</v>
      </c>
      <c r="BE102" s="21" t="str">
        <f>VLOOKUP(BD102,CENY!$B$11:$G$1054,2,FALSE)</f>
        <v>Quadro You(M) 300/SiSy 20kg; EB21; pravý</v>
      </c>
      <c r="BF102" s="22">
        <f>VLOOKUP(BD102,CENY!$B$11:$G$1054,3,FALSE)</f>
        <v>20</v>
      </c>
      <c r="BG102" s="22"/>
      <c r="BH102" s="68"/>
      <c r="BI102" s="326" t="str">
        <f t="shared" si="9"/>
        <v/>
      </c>
      <c r="BJ102" s="95">
        <f>VLOOKUP(BD102,CENY!$B$11:$M$2025,12,FALSE)</f>
        <v>224.26065</v>
      </c>
      <c r="BK102" s="95">
        <f t="shared" si="10"/>
        <v>0</v>
      </c>
    </row>
    <row r="103" spans="1:63">
      <c r="A103" s="577"/>
      <c r="AU103" s="22"/>
      <c r="AV103" s="21"/>
      <c r="AW103" s="370"/>
      <c r="AX103" s="370"/>
      <c r="AY103" s="371"/>
      <c r="AZ103" s="326" t="str">
        <f t="shared" si="8"/>
        <v/>
      </c>
      <c r="BA103" s="95"/>
      <c r="BB103" s="95" t="str">
        <f t="shared" si="7"/>
        <v/>
      </c>
      <c r="BD103" s="319">
        <f>OBJ!B316</f>
        <v>9256860</v>
      </c>
      <c r="BE103" s="21" t="str">
        <f>VLOOKUP(BD103,CENY!$B$11:$G$1054,2,FALSE)</f>
        <v>Quadro You(M) 350/SiSy 25kg; EB21; ľavý</v>
      </c>
      <c r="BF103" s="22">
        <f>VLOOKUP(BD103,CENY!$B$11:$G$1054,3,FALSE)</f>
        <v>20</v>
      </c>
      <c r="BG103" s="22"/>
      <c r="BH103" s="68"/>
      <c r="BI103" s="326" t="str">
        <f t="shared" si="9"/>
        <v/>
      </c>
      <c r="BJ103" s="95">
        <f>VLOOKUP(BD103,CENY!$B$11:$M$2025,12,FALSE)</f>
        <v>229.11434</v>
      </c>
      <c r="BK103" s="95">
        <f t="shared" si="10"/>
        <v>0</v>
      </c>
    </row>
    <row r="104" spans="1:63">
      <c r="A104" s="577"/>
      <c r="AU104" s="20"/>
      <c r="AV104" s="21"/>
      <c r="AW104" s="22"/>
      <c r="AX104" s="22"/>
      <c r="AY104" s="23"/>
      <c r="AZ104" s="326" t="str">
        <f t="shared" si="8"/>
        <v/>
      </c>
      <c r="BA104" s="95"/>
      <c r="BB104" s="95" t="str">
        <f t="shared" si="7"/>
        <v/>
      </c>
      <c r="BD104" s="319">
        <f>OBJ!B317</f>
        <v>9256861</v>
      </c>
      <c r="BE104" s="21" t="str">
        <f>VLOOKUP(BD104,CENY!$B$11:$G$1054,2,FALSE)</f>
        <v>Quadro You(M) 350/SiSy 25kg; EB21; pravý</v>
      </c>
      <c r="BF104" s="22">
        <f>VLOOKUP(BD104,CENY!$B$11:$G$1054,3,FALSE)</f>
        <v>20</v>
      </c>
      <c r="BG104" s="22"/>
      <c r="BH104" s="68"/>
      <c r="BI104" s="326" t="str">
        <f t="shared" si="9"/>
        <v/>
      </c>
      <c r="BJ104" s="95">
        <f>VLOOKUP(BD104,CENY!$B$11:$M$2025,12,FALSE)</f>
        <v>229.11434</v>
      </c>
      <c r="BK104" s="95">
        <f t="shared" si="10"/>
        <v>0</v>
      </c>
    </row>
    <row r="105" spans="1:63">
      <c r="A105" s="577"/>
      <c r="AU105" s="20"/>
      <c r="AV105" s="21"/>
      <c r="AW105" s="22"/>
      <c r="AX105" s="22"/>
      <c r="AY105" s="23"/>
      <c r="AZ105" s="326" t="str">
        <f t="shared" si="8"/>
        <v/>
      </c>
      <c r="BA105" s="95"/>
      <c r="BB105" s="95" t="str">
        <f t="shared" si="7"/>
        <v/>
      </c>
      <c r="BD105" s="319">
        <f>OBJ!B318</f>
        <v>9256864</v>
      </c>
      <c r="BE105" s="21" t="str">
        <f>VLOOKUP(BD105,CENY!$B$11:$G$1054,2,FALSE)</f>
        <v>Quadro You(M) 400/SiSy 30kg; EB21; ľavý</v>
      </c>
      <c r="BF105" s="22">
        <f>VLOOKUP(BD105,CENY!$B$11:$G$1054,3,FALSE)</f>
        <v>20</v>
      </c>
      <c r="BG105" s="22"/>
      <c r="BH105" s="68"/>
      <c r="BI105" s="326" t="str">
        <f t="shared" si="9"/>
        <v/>
      </c>
      <c r="BJ105" s="95">
        <f>VLOOKUP(BD105,CENY!$B$11:$M$2025,12,FALSE)</f>
        <v>233.96566000000001</v>
      </c>
      <c r="BK105" s="95">
        <f t="shared" si="10"/>
        <v>0</v>
      </c>
    </row>
    <row r="106" spans="1:63">
      <c r="AU106" s="20"/>
      <c r="AV106" s="21"/>
      <c r="AW106" s="22"/>
      <c r="AX106" s="22"/>
      <c r="AY106" s="23"/>
      <c r="AZ106" s="326" t="str">
        <f t="shared" si="8"/>
        <v/>
      </c>
      <c r="BA106" s="95"/>
      <c r="BB106" s="95" t="str">
        <f t="shared" si="7"/>
        <v/>
      </c>
      <c r="BD106" s="319">
        <f>OBJ!B319</f>
        <v>9256865</v>
      </c>
      <c r="BE106" s="21" t="str">
        <f>VLOOKUP(BD106,CENY!$B$11:$G$1054,2,FALSE)</f>
        <v>Quadro You(M) 400/SiSy 30kg; EB21; pravý</v>
      </c>
      <c r="BF106" s="22">
        <f>VLOOKUP(BD106,CENY!$B$11:$G$1054,3,FALSE)</f>
        <v>20</v>
      </c>
      <c r="BG106" s="22"/>
      <c r="BH106" s="68"/>
      <c r="BI106" s="326" t="str">
        <f t="shared" si="9"/>
        <v/>
      </c>
      <c r="BJ106" s="95">
        <f>VLOOKUP(BD106,CENY!$B$11:$M$2025,12,FALSE)</f>
        <v>233.96566000000001</v>
      </c>
      <c r="BK106" s="95">
        <f t="shared" si="10"/>
        <v>0</v>
      </c>
    </row>
    <row r="107" spans="1:63">
      <c r="AU107" s="20"/>
      <c r="AV107" s="21"/>
      <c r="AW107" s="22"/>
      <c r="AX107" s="22"/>
      <c r="AY107" s="23"/>
      <c r="AZ107" s="326" t="str">
        <f t="shared" si="8"/>
        <v/>
      </c>
      <c r="BA107" s="95"/>
      <c r="BB107" s="95" t="str">
        <f t="shared" si="7"/>
        <v/>
      </c>
      <c r="BD107" s="319">
        <f>OBJ!B320</f>
        <v>9256868</v>
      </c>
      <c r="BE107" s="21" t="str">
        <f>VLOOKUP(BD107,CENY!$B$11:$G$1054,2,FALSE)</f>
        <v>Quadro You(M) 450/SiSy 30kg; EB21; ľavý</v>
      </c>
      <c r="BF107" s="22">
        <f>VLOOKUP(BD107,CENY!$B$11:$G$1054,3,FALSE)</f>
        <v>20</v>
      </c>
      <c r="BG107" s="22"/>
      <c r="BH107" s="23">
        <f>AY64</f>
        <v>0</v>
      </c>
      <c r="BI107" s="326">
        <f t="shared" si="9"/>
        <v>0</v>
      </c>
      <c r="BJ107" s="95">
        <f>VLOOKUP(BD107,CENY!$B$11:$M$2025,12,FALSE)</f>
        <v>238.81201999999999</v>
      </c>
      <c r="BK107" s="95">
        <f t="shared" si="10"/>
        <v>0</v>
      </c>
    </row>
    <row r="108" spans="1:63">
      <c r="AU108" s="20"/>
      <c r="AV108" s="21"/>
      <c r="AW108" s="22"/>
      <c r="AX108" s="22"/>
      <c r="AY108" s="23"/>
      <c r="AZ108" s="326" t="str">
        <f t="shared" si="8"/>
        <v/>
      </c>
      <c r="BA108" s="95"/>
      <c r="BB108" s="95" t="str">
        <f t="shared" si="7"/>
        <v/>
      </c>
      <c r="BD108" s="319">
        <f>OBJ!B321</f>
        <v>9256869</v>
      </c>
      <c r="BE108" s="21" t="str">
        <f>VLOOKUP(BD108,CENY!$B$11:$G$1054,2,FALSE)</f>
        <v>Quadro You(M) 450/SiSy 30kg; EB21; pravý</v>
      </c>
      <c r="BF108" s="22">
        <f>VLOOKUP(BD108,CENY!$B$11:$G$1054,3,FALSE)</f>
        <v>20</v>
      </c>
      <c r="BG108" s="22"/>
      <c r="BH108" s="23">
        <f>AY64</f>
        <v>0</v>
      </c>
      <c r="BI108" s="326">
        <f t="shared" si="9"/>
        <v>0</v>
      </c>
      <c r="BJ108" s="95">
        <f>VLOOKUP(BD108,CENY!$B$11:$M$2025,12,FALSE)</f>
        <v>238.81201999999999</v>
      </c>
      <c r="BK108" s="95">
        <f t="shared" si="10"/>
        <v>0</v>
      </c>
    </row>
    <row r="109" spans="1:63">
      <c r="AU109" s="20"/>
      <c r="AV109" s="21"/>
      <c r="AW109" s="22"/>
      <c r="AX109" s="22"/>
      <c r="AY109" s="23"/>
      <c r="AZ109" s="326" t="str">
        <f t="shared" si="8"/>
        <v/>
      </c>
      <c r="BA109" s="95"/>
      <c r="BB109" s="95" t="str">
        <f t="shared" si="7"/>
        <v/>
      </c>
      <c r="BD109" s="319">
        <f>OBJ!B322</f>
        <v>9256872</v>
      </c>
      <c r="BE109" s="21" t="str">
        <f>VLOOKUP(BD109,CENY!$B$11:$G$1054,2,FALSE)</f>
        <v>Quadro You(M) 500/SiSy 30kg; EB21; ľavý</v>
      </c>
      <c r="BF109" s="22">
        <f>VLOOKUP(BD109,CENY!$B$11:$G$1054,3,FALSE)</f>
        <v>20</v>
      </c>
      <c r="BG109" s="22"/>
      <c r="BH109" s="23">
        <f>AY65</f>
        <v>0</v>
      </c>
      <c r="BI109" s="326">
        <f t="shared" si="9"/>
        <v>0</v>
      </c>
      <c r="BJ109" s="95">
        <f>VLOOKUP(BD109,CENY!$B$11:$M$2025,12,FALSE)</f>
        <v>237.18776</v>
      </c>
      <c r="BK109" s="95">
        <f t="shared" si="10"/>
        <v>0</v>
      </c>
    </row>
    <row r="110" spans="1:63">
      <c r="AU110" s="20"/>
      <c r="AV110" s="21"/>
      <c r="AW110" s="22"/>
      <c r="AX110" s="22"/>
      <c r="AY110" s="23"/>
      <c r="AZ110" s="326" t="str">
        <f t="shared" si="8"/>
        <v/>
      </c>
      <c r="BA110" s="95"/>
      <c r="BB110" s="95" t="str">
        <f t="shared" si="7"/>
        <v/>
      </c>
      <c r="BD110" s="319">
        <f>OBJ!B323</f>
        <v>9256873</v>
      </c>
      <c r="BE110" s="21" t="str">
        <f>VLOOKUP(BD110,CENY!$B$11:$G$1054,2,FALSE)</f>
        <v>Quadro You(M) 500/SiSy 30kg; EB21; pravý</v>
      </c>
      <c r="BF110" s="22">
        <f>VLOOKUP(BD110,CENY!$B$11:$G$1054,3,FALSE)</f>
        <v>20</v>
      </c>
      <c r="BG110" s="22"/>
      <c r="BH110" s="23">
        <f>AY65</f>
        <v>0</v>
      </c>
      <c r="BI110" s="326">
        <f t="shared" si="9"/>
        <v>0</v>
      </c>
      <c r="BJ110" s="95">
        <f>VLOOKUP(BD110,CENY!$B$11:$M$2025,12,FALSE)</f>
        <v>237.18776</v>
      </c>
      <c r="BK110" s="95">
        <f t="shared" si="10"/>
        <v>0</v>
      </c>
    </row>
    <row r="111" spans="1:63">
      <c r="AU111" s="20"/>
      <c r="AV111" s="21"/>
      <c r="AW111" s="22"/>
      <c r="AX111" s="22"/>
      <c r="AY111" s="23"/>
      <c r="AZ111" s="326" t="str">
        <f t="shared" si="8"/>
        <v/>
      </c>
      <c r="BA111" s="95"/>
      <c r="BB111" s="95" t="str">
        <f t="shared" si="7"/>
        <v/>
      </c>
      <c r="BD111" s="319">
        <f>OBJ!B324</f>
        <v>9256876</v>
      </c>
      <c r="BE111" s="21" t="str">
        <f>VLOOKUP(BD111,CENY!$B$11:$G$1054,2,FALSE)</f>
        <v>Quadro You(M) 550/SiSy 30kg; EB21; ľavý</v>
      </c>
      <c r="BF111" s="22">
        <f>VLOOKUP(BD111,CENY!$B$11:$G$1054,3,FALSE)</f>
        <v>20</v>
      </c>
      <c r="BG111" s="22"/>
      <c r="BH111" s="23">
        <f>AY66</f>
        <v>0</v>
      </c>
      <c r="BI111" s="326">
        <f t="shared" si="9"/>
        <v>0</v>
      </c>
      <c r="BJ111" s="95">
        <f>VLOOKUP(BD111,CENY!$B$11:$M$2025,12,FALSE)</f>
        <v>241.90996999999999</v>
      </c>
      <c r="BK111" s="95">
        <f t="shared" si="10"/>
        <v>0</v>
      </c>
    </row>
    <row r="112" spans="1:63">
      <c r="AU112" s="20"/>
      <c r="AV112" s="21"/>
      <c r="AW112" s="22"/>
      <c r="AX112" s="22"/>
      <c r="AY112" s="23"/>
      <c r="AZ112" s="326" t="str">
        <f t="shared" si="8"/>
        <v/>
      </c>
      <c r="BA112" s="95"/>
      <c r="BB112" s="95" t="str">
        <f t="shared" si="7"/>
        <v/>
      </c>
      <c r="BD112" s="319">
        <f>OBJ!B325</f>
        <v>9256877</v>
      </c>
      <c r="BE112" s="21" t="str">
        <f>VLOOKUP(BD112,CENY!$B$11:$G$1054,2,FALSE)</f>
        <v>Quadro You(M) 550/SiSy 30kg; EB21; pravý</v>
      </c>
      <c r="BF112" s="22">
        <f>VLOOKUP(BD112,CENY!$B$11:$G$1054,3,FALSE)</f>
        <v>20</v>
      </c>
      <c r="BG112" s="22"/>
      <c r="BH112" s="23">
        <f>AY66</f>
        <v>0</v>
      </c>
      <c r="BI112" s="326">
        <f t="shared" si="9"/>
        <v>0</v>
      </c>
      <c r="BJ112" s="95">
        <f>VLOOKUP(BD112,CENY!$B$11:$M$2025,12,FALSE)</f>
        <v>248.51953</v>
      </c>
      <c r="BK112" s="95">
        <f t="shared" si="10"/>
        <v>0</v>
      </c>
    </row>
    <row r="113" spans="47:63">
      <c r="AU113" s="20"/>
      <c r="AV113" s="21"/>
      <c r="AW113" s="22"/>
      <c r="AX113" s="22"/>
      <c r="AY113" s="23"/>
      <c r="AZ113" s="326" t="str">
        <f t="shared" si="8"/>
        <v/>
      </c>
      <c r="BA113" s="95"/>
      <c r="BB113" s="95" t="str">
        <f t="shared" si="7"/>
        <v/>
      </c>
      <c r="BD113" s="319">
        <f>OBJ!B326</f>
        <v>9256880</v>
      </c>
      <c r="BE113" s="21" t="str">
        <f>VLOOKUP(BD113,CENY!$B$11:$G$1054,2,FALSE)</f>
        <v>Quadro You(M) 600/SiSy 25kg; EB21; ľavý</v>
      </c>
      <c r="BF113" s="22">
        <f>VLOOKUP(BD113,CENY!$B$11:$G$1054,3,FALSE)</f>
        <v>20</v>
      </c>
      <c r="BG113" s="22"/>
      <c r="BH113" s="23">
        <f>AY67</f>
        <v>0</v>
      </c>
      <c r="BI113" s="326">
        <f t="shared" si="9"/>
        <v>0</v>
      </c>
      <c r="BJ113" s="95">
        <f>VLOOKUP(BD113,CENY!$B$11:$M$2025,12,FALSE)</f>
        <v>253.36837</v>
      </c>
      <c r="BK113" s="95">
        <f t="shared" si="10"/>
        <v>0</v>
      </c>
    </row>
    <row r="114" spans="47:63">
      <c r="AU114" s="20"/>
      <c r="AV114" s="21"/>
      <c r="AW114" s="22"/>
      <c r="AX114" s="22"/>
      <c r="AY114" s="23"/>
      <c r="AZ114" s="326" t="str">
        <f t="shared" si="8"/>
        <v/>
      </c>
      <c r="BA114" s="95"/>
      <c r="BB114" s="95" t="str">
        <f t="shared" si="7"/>
        <v/>
      </c>
      <c r="BD114" s="319">
        <f>OBJ!B327</f>
        <v>9256881</v>
      </c>
      <c r="BE114" s="21" t="str">
        <f>VLOOKUP(BD114,CENY!$B$11:$G$1054,2,FALSE)</f>
        <v>Quadro You(M) 600/SiSy 25kg; EB21; pravý</v>
      </c>
      <c r="BF114" s="22">
        <f>VLOOKUP(BD114,CENY!$B$11:$G$1054,3,FALSE)</f>
        <v>20</v>
      </c>
      <c r="BG114" s="22"/>
      <c r="BH114" s="23">
        <f>AY67</f>
        <v>0</v>
      </c>
      <c r="BI114" s="326">
        <f t="shared" si="9"/>
        <v>0</v>
      </c>
      <c r="BJ114" s="95">
        <f>VLOOKUP(BD114,CENY!$B$11:$M$2025,12,FALSE)</f>
        <v>253.36837</v>
      </c>
      <c r="BK114" s="95">
        <f t="shared" si="10"/>
        <v>0</v>
      </c>
    </row>
    <row r="115" spans="47:63">
      <c r="AU115" s="20"/>
      <c r="AV115" s="21"/>
      <c r="AW115" s="22"/>
      <c r="AX115" s="22"/>
      <c r="AY115" s="23"/>
      <c r="AZ115" s="326" t="str">
        <f t="shared" si="8"/>
        <v/>
      </c>
      <c r="BA115" s="95"/>
      <c r="BB115" s="95" t="str">
        <f t="shared" si="7"/>
        <v/>
      </c>
      <c r="BD115" s="319"/>
      <c r="BE115" s="21"/>
      <c r="BF115" s="22"/>
      <c r="BG115" s="22"/>
      <c r="BH115" s="23"/>
      <c r="BI115" s="326" t="str">
        <f t="shared" si="9"/>
        <v/>
      </c>
      <c r="BJ115" s="95"/>
      <c r="BK115" s="95" t="str">
        <f t="shared" si="10"/>
        <v/>
      </c>
    </row>
    <row r="116" spans="47:63">
      <c r="AU116" s="20"/>
      <c r="AV116" s="21"/>
      <c r="AW116" s="22"/>
      <c r="AX116" s="22"/>
      <c r="AY116" s="23"/>
      <c r="AZ116" s="326" t="str">
        <f t="shared" si="8"/>
        <v/>
      </c>
      <c r="BA116" s="95"/>
      <c r="BB116" s="95" t="str">
        <f t="shared" si="7"/>
        <v/>
      </c>
      <c r="BD116" s="319">
        <f>OBJ!B329</f>
        <v>9257894</v>
      </c>
      <c r="BE116" s="21" t="str">
        <f>VLOOKUP(BD116,CENY!$B$11:$G$1054,2,FALSE)</f>
        <v>Quadro You - Push to open Silent; &lt;10kg</v>
      </c>
      <c r="BF116" s="22">
        <f>VLOOKUP(BD116,CENY!$B$11:$G$1054,3,FALSE)</f>
        <v>1</v>
      </c>
      <c r="BG116" s="22"/>
      <c r="BH116" s="68"/>
      <c r="BI116" s="326" t="str">
        <f t="shared" si="9"/>
        <v/>
      </c>
      <c r="BJ116" s="95">
        <f>VLOOKUP(BD116,CENY!$B$11:$M$2025,12,FALSE)</f>
        <v>480.50922000000003</v>
      </c>
      <c r="BK116" s="95">
        <f t="shared" si="10"/>
        <v>0</v>
      </c>
    </row>
    <row r="117" spans="47:63">
      <c r="AU117" s="20"/>
      <c r="AV117" s="21"/>
      <c r="AW117" s="22"/>
      <c r="AX117" s="22"/>
      <c r="AY117" s="23"/>
      <c r="AZ117" s="326" t="str">
        <f t="shared" si="8"/>
        <v/>
      </c>
      <c r="BA117" s="95"/>
      <c r="BB117" s="95" t="str">
        <f t="shared" si="7"/>
        <v/>
      </c>
      <c r="BD117" s="319">
        <f>OBJ!B330</f>
        <v>9257895</v>
      </c>
      <c r="BE117" s="21" t="str">
        <f>VLOOKUP(BD117,CENY!$B$11:$G$1054,2,FALSE)</f>
        <v>Quadro You - Push to open Silent; 8-20kg</v>
      </c>
      <c r="BF117" s="22">
        <f>VLOOKUP(BD117,CENY!$B$11:$G$1054,3,FALSE)</f>
        <v>1</v>
      </c>
      <c r="BG117" s="22"/>
      <c r="BH117" s="68"/>
      <c r="BI117" s="326" t="str">
        <f t="shared" si="9"/>
        <v/>
      </c>
      <c r="BJ117" s="95">
        <f>VLOOKUP(BD117,CENY!$B$11:$M$2025,12,FALSE)</f>
        <v>480.50922000000003</v>
      </c>
      <c r="BK117" s="95">
        <f t="shared" si="10"/>
        <v>0</v>
      </c>
    </row>
    <row r="118" spans="47:63">
      <c r="AU118" s="20"/>
      <c r="AV118" s="21"/>
      <c r="AW118" s="22"/>
      <c r="AX118" s="22"/>
      <c r="AY118" s="23"/>
      <c r="AZ118" s="326" t="str">
        <f t="shared" si="8"/>
        <v/>
      </c>
      <c r="BA118" s="95"/>
      <c r="BB118" s="95" t="str">
        <f t="shared" si="7"/>
        <v/>
      </c>
      <c r="BD118" s="319">
        <f>OBJ!B331</f>
        <v>9257896</v>
      </c>
      <c r="BE118" s="21" t="str">
        <f>VLOOKUP(BD118,CENY!$B$11:$G$1054,2,FALSE)</f>
        <v>Quadro You - Push to open Silent; 10-30kg</v>
      </c>
      <c r="BF118" s="22">
        <f>VLOOKUP(BD118,CENY!$B$11:$G$1054,3,FALSE)</f>
        <v>1</v>
      </c>
      <c r="BG118" s="22"/>
      <c r="BH118" s="68"/>
      <c r="BI118" s="326" t="str">
        <f t="shared" si="9"/>
        <v/>
      </c>
      <c r="BJ118" s="95">
        <f>VLOOKUP(BD118,CENY!$B$11:$M$2025,12,FALSE)</f>
        <v>480.50922000000003</v>
      </c>
      <c r="BK118" s="95">
        <f t="shared" si="10"/>
        <v>0</v>
      </c>
    </row>
    <row r="119" spans="47:63">
      <c r="AU119" s="20"/>
      <c r="AV119" s="21"/>
      <c r="AW119" s="22"/>
      <c r="AX119" s="22"/>
      <c r="AY119" s="23"/>
      <c r="AZ119" s="326" t="str">
        <f t="shared" si="8"/>
        <v/>
      </c>
      <c r="BA119" s="95"/>
      <c r="BB119" s="95" t="str">
        <f t="shared" si="7"/>
        <v/>
      </c>
      <c r="BD119" s="319"/>
      <c r="BE119" s="21"/>
      <c r="BF119" s="22"/>
      <c r="BG119" s="22"/>
      <c r="BH119" s="23"/>
      <c r="BI119" s="326" t="str">
        <f t="shared" si="9"/>
        <v/>
      </c>
      <c r="BJ119" s="95"/>
      <c r="BK119" s="95" t="str">
        <f t="shared" si="10"/>
        <v/>
      </c>
    </row>
    <row r="120" spans="47:63">
      <c r="AU120" s="20"/>
      <c r="AV120" s="21"/>
      <c r="AW120" s="22"/>
      <c r="AX120" s="22"/>
      <c r="AY120" s="23"/>
      <c r="AZ120" s="326" t="str">
        <f t="shared" si="8"/>
        <v/>
      </c>
      <c r="BA120" s="95"/>
      <c r="BB120" s="95" t="str">
        <f t="shared" si="7"/>
        <v/>
      </c>
      <c r="BD120" s="319">
        <f>OBJ!B341</f>
        <v>9256899</v>
      </c>
      <c r="BE120" s="21" t="str">
        <f>VLOOKUP(BD120,CENY!$B$11:$G$1054,2,FALSE)</f>
        <v>Quadro You(M) 270/P2O 20kg; EB21; ľavý</v>
      </c>
      <c r="BF120" s="22">
        <f>VLOOKUP(BD120,CENY!$B$11:$G$1054,3,FALSE)</f>
        <v>20</v>
      </c>
      <c r="BG120" s="22"/>
      <c r="BH120" s="68"/>
      <c r="BI120" s="326" t="str">
        <f t="shared" si="9"/>
        <v/>
      </c>
      <c r="BJ120" s="95">
        <f>VLOOKUP(BD120,CENY!$B$11:$M$2025,12,FALSE)</f>
        <v>252.8922</v>
      </c>
      <c r="BK120" s="95">
        <f t="shared" si="10"/>
        <v>0</v>
      </c>
    </row>
    <row r="121" spans="47:63">
      <c r="AU121" s="20"/>
      <c r="AV121" s="21"/>
      <c r="AW121" s="22"/>
      <c r="AX121" s="22"/>
      <c r="AY121" s="23"/>
      <c r="AZ121" s="326" t="str">
        <f t="shared" si="8"/>
        <v/>
      </c>
      <c r="BA121" s="95"/>
      <c r="BB121" s="95" t="str">
        <f t="shared" si="7"/>
        <v/>
      </c>
      <c r="BD121" s="319">
        <f>OBJ!B342</f>
        <v>9256900</v>
      </c>
      <c r="BE121" s="21" t="str">
        <f>VLOOKUP(BD121,CENY!$B$11:$G$1054,2,FALSE)</f>
        <v>Quadro You(M) 270/P2O 20kg; EB21; pravý</v>
      </c>
      <c r="BF121" s="22">
        <f>VLOOKUP(BD121,CENY!$B$11:$G$1054,3,FALSE)</f>
        <v>20</v>
      </c>
      <c r="BG121" s="22"/>
      <c r="BH121" s="68"/>
      <c r="BI121" s="326" t="str">
        <f t="shared" si="9"/>
        <v/>
      </c>
      <c r="BJ121" s="95">
        <f>VLOOKUP(BD121,CENY!$B$11:$M$2025,12,FALSE)</f>
        <v>252.8922</v>
      </c>
      <c r="BK121" s="95">
        <f t="shared" si="10"/>
        <v>0</v>
      </c>
    </row>
    <row r="122" spans="47:63">
      <c r="AU122" s="20"/>
      <c r="AV122" s="21"/>
      <c r="AW122" s="22"/>
      <c r="AX122" s="22"/>
      <c r="AY122" s="23"/>
      <c r="AZ122" s="326" t="str">
        <f t="shared" si="8"/>
        <v/>
      </c>
      <c r="BA122" s="95"/>
      <c r="BB122" s="95" t="str">
        <f t="shared" si="7"/>
        <v/>
      </c>
      <c r="BD122" s="319">
        <f>OBJ!B343</f>
        <v>9256901</v>
      </c>
      <c r="BE122" s="21" t="str">
        <f>VLOOKUP(BD122,CENY!$B$11:$G$1054,2,FALSE)</f>
        <v>Quadro You(M) 300/P2O 20kg; EB21; ľavý</v>
      </c>
      <c r="BF122" s="22">
        <f>VLOOKUP(BD122,CENY!$B$11:$G$1054,3,FALSE)</f>
        <v>20</v>
      </c>
      <c r="BG122" s="22"/>
      <c r="BH122" s="68"/>
      <c r="BI122" s="326" t="str">
        <f t="shared" si="9"/>
        <v/>
      </c>
      <c r="BJ122" s="95">
        <f>VLOOKUP(BD122,CENY!$B$11:$M$2025,12,FALSE)</f>
        <v>253.36837</v>
      </c>
      <c r="BK122" s="95">
        <f t="shared" si="10"/>
        <v>0</v>
      </c>
    </row>
    <row r="123" spans="47:63">
      <c r="AU123" s="20"/>
      <c r="AV123" s="21"/>
      <c r="AW123" s="22"/>
      <c r="AX123" s="22"/>
      <c r="AY123" s="23"/>
      <c r="AZ123" s="326" t="str">
        <f t="shared" si="8"/>
        <v/>
      </c>
      <c r="BA123" s="95"/>
      <c r="BB123" s="95" t="str">
        <f t="shared" si="7"/>
        <v/>
      </c>
      <c r="BD123" s="319">
        <f>OBJ!B344</f>
        <v>9256902</v>
      </c>
      <c r="BE123" s="21" t="str">
        <f>VLOOKUP(BD123,CENY!$B$11:$G$1054,2,FALSE)</f>
        <v>Quadro You(M) 300/P2O 20kg; EB21; pravý</v>
      </c>
      <c r="BF123" s="22">
        <f>VLOOKUP(BD123,CENY!$B$11:$G$1054,3,FALSE)</f>
        <v>20</v>
      </c>
      <c r="BG123" s="22"/>
      <c r="BH123" s="68"/>
      <c r="BI123" s="326" t="str">
        <f t="shared" si="9"/>
        <v/>
      </c>
      <c r="BJ123" s="95">
        <f>VLOOKUP(BD123,CENY!$B$11:$M$2025,12,FALSE)</f>
        <v>253.36837</v>
      </c>
      <c r="BK123" s="95">
        <f t="shared" si="10"/>
        <v>0</v>
      </c>
    </row>
    <row r="124" spans="47:63">
      <c r="AU124" s="20"/>
      <c r="AV124" s="21"/>
      <c r="AW124" s="22"/>
      <c r="AX124" s="22"/>
      <c r="AY124" s="23"/>
      <c r="AZ124" s="326" t="str">
        <f t="shared" si="8"/>
        <v/>
      </c>
      <c r="BA124" s="95"/>
      <c r="BB124" s="95" t="str">
        <f t="shared" si="7"/>
        <v/>
      </c>
      <c r="BD124" s="319">
        <f>OBJ!B345</f>
        <v>9256905</v>
      </c>
      <c r="BE124" s="21" t="str">
        <f>VLOOKUP(BD124,CENY!$B$11:$G$1054,2,FALSE)</f>
        <v>Quadro You(M) 350/P2O 25kg; EB21; ľavý</v>
      </c>
      <c r="BF124" s="22">
        <f>VLOOKUP(BD124,CENY!$B$11:$G$1054,3,FALSE)</f>
        <v>20</v>
      </c>
      <c r="BG124" s="22"/>
      <c r="BH124" s="68"/>
      <c r="BI124" s="326" t="str">
        <f t="shared" si="9"/>
        <v/>
      </c>
      <c r="BJ124" s="95">
        <f>VLOOKUP(BD124,CENY!$B$11:$M$2025,12,FALSE)</f>
        <v>258.22465999999997</v>
      </c>
      <c r="BK124" s="95">
        <f t="shared" si="10"/>
        <v>0</v>
      </c>
    </row>
    <row r="125" spans="47:63">
      <c r="AU125" s="20"/>
      <c r="AV125" s="21"/>
      <c r="AW125" s="22"/>
      <c r="AX125" s="22"/>
      <c r="AY125" s="23"/>
      <c r="AZ125" s="326" t="str">
        <f t="shared" si="8"/>
        <v/>
      </c>
      <c r="BA125" s="95"/>
      <c r="BB125" s="95" t="str">
        <f t="shared" si="7"/>
        <v/>
      </c>
      <c r="BD125" s="319">
        <f>OBJ!B346</f>
        <v>9256906</v>
      </c>
      <c r="BE125" s="21" t="str">
        <f>VLOOKUP(BD125,CENY!$B$11:$G$1054,2,FALSE)</f>
        <v>Quadro You(M) 350/P2O 25kg; EB21; pravý</v>
      </c>
      <c r="BF125" s="22">
        <f>VLOOKUP(BD125,CENY!$B$11:$G$1054,3,FALSE)</f>
        <v>20</v>
      </c>
      <c r="BG125" s="22"/>
      <c r="BH125" s="68"/>
      <c r="BI125" s="326" t="str">
        <f t="shared" si="9"/>
        <v/>
      </c>
      <c r="BJ125" s="95">
        <f>VLOOKUP(BD125,CENY!$B$11:$M$2025,12,FALSE)</f>
        <v>258.22465999999997</v>
      </c>
      <c r="BK125" s="95">
        <f t="shared" si="10"/>
        <v>0</v>
      </c>
    </row>
    <row r="126" spans="47:63">
      <c r="AU126" s="20"/>
      <c r="AV126" s="21"/>
      <c r="AW126" s="22"/>
      <c r="AX126" s="22"/>
      <c r="AY126" s="23"/>
      <c r="AZ126" s="326" t="str">
        <f t="shared" si="8"/>
        <v/>
      </c>
      <c r="BA126" s="95"/>
      <c r="BB126" s="95" t="str">
        <f t="shared" si="7"/>
        <v/>
      </c>
      <c r="BD126" s="319">
        <f>OBJ!B347</f>
        <v>9256909</v>
      </c>
      <c r="BE126" s="21" t="str">
        <f>VLOOKUP(BD126,CENY!$B$11:$G$1054,2,FALSE)</f>
        <v>Quadro You(M) 400/P2O 30kg; EB21; ľavý</v>
      </c>
      <c r="BF126" s="22">
        <f>VLOOKUP(BD126,CENY!$B$11:$G$1054,3,FALSE)</f>
        <v>20</v>
      </c>
      <c r="BG126" s="22"/>
      <c r="BH126" s="68"/>
      <c r="BI126" s="326" t="str">
        <f t="shared" si="9"/>
        <v/>
      </c>
      <c r="BJ126" s="95">
        <f>VLOOKUP(BD126,CENY!$B$11:$M$2025,12,FALSE)</f>
        <v>263.07337999999999</v>
      </c>
      <c r="BK126" s="95">
        <f t="shared" si="10"/>
        <v>0</v>
      </c>
    </row>
    <row r="127" spans="47:63">
      <c r="AU127" s="20"/>
      <c r="AV127" s="21"/>
      <c r="AW127" s="22"/>
      <c r="AX127" s="22"/>
      <c r="AY127" s="23"/>
      <c r="AZ127" s="326" t="str">
        <f t="shared" si="8"/>
        <v/>
      </c>
      <c r="BA127" s="95"/>
      <c r="BB127" s="95" t="str">
        <f t="shared" si="7"/>
        <v/>
      </c>
      <c r="BD127" s="319">
        <f>OBJ!B348</f>
        <v>9256910</v>
      </c>
      <c r="BE127" s="21" t="str">
        <f>VLOOKUP(BD127,CENY!$B$11:$G$1054,2,FALSE)</f>
        <v>Quadro You(M) 400/P2O 30kg; EB21; pravý</v>
      </c>
      <c r="BF127" s="22">
        <f>VLOOKUP(BD127,CENY!$B$11:$G$1054,3,FALSE)</f>
        <v>20</v>
      </c>
      <c r="BG127" s="22"/>
      <c r="BH127" s="68"/>
      <c r="BI127" s="326" t="str">
        <f t="shared" si="9"/>
        <v/>
      </c>
      <c r="BJ127" s="95">
        <f>VLOOKUP(BD127,CENY!$B$11:$M$2025,12,FALSE)</f>
        <v>263.07337999999999</v>
      </c>
      <c r="BK127" s="95">
        <f t="shared" si="10"/>
        <v>0</v>
      </c>
    </row>
    <row r="128" spans="47:63">
      <c r="AU128" s="20"/>
      <c r="AV128" s="21"/>
      <c r="AW128" s="22"/>
      <c r="AX128" s="22"/>
      <c r="AY128" s="23"/>
      <c r="AZ128" s="326" t="str">
        <f t="shared" si="8"/>
        <v/>
      </c>
      <c r="BA128" s="95"/>
      <c r="BB128" s="95" t="str">
        <f t="shared" si="7"/>
        <v/>
      </c>
      <c r="BD128" s="319">
        <f>OBJ!B349</f>
        <v>9256913</v>
      </c>
      <c r="BE128" s="21" t="str">
        <f>VLOOKUP(BD128,CENY!$B$11:$G$1054,2,FALSE)</f>
        <v>Quadro You(M) 450/P2O 30kg; EB21; ľavý</v>
      </c>
      <c r="BF128" s="22">
        <f>VLOOKUP(BD128,CENY!$B$11:$G$1054,3,FALSE)</f>
        <v>20</v>
      </c>
      <c r="BG128" s="22"/>
      <c r="BH128" s="68"/>
      <c r="BI128" s="326" t="str">
        <f t="shared" si="9"/>
        <v/>
      </c>
      <c r="BJ128" s="95">
        <f>VLOOKUP(BD128,CENY!$B$11:$M$2025,12,FALSE)</f>
        <v>267.92221999999998</v>
      </c>
      <c r="BK128" s="95">
        <f t="shared" si="10"/>
        <v>0</v>
      </c>
    </row>
    <row r="129" spans="47:63">
      <c r="AU129" s="20"/>
      <c r="AV129" s="21"/>
      <c r="AW129" s="22"/>
      <c r="AX129" s="22"/>
      <c r="AY129" s="23"/>
      <c r="AZ129" s="326" t="str">
        <f t="shared" si="8"/>
        <v/>
      </c>
      <c r="BA129" s="95"/>
      <c r="BB129" s="95" t="str">
        <f t="shared" si="7"/>
        <v/>
      </c>
      <c r="BD129" s="319">
        <f>OBJ!B350</f>
        <v>9256914</v>
      </c>
      <c r="BE129" s="21" t="str">
        <f>VLOOKUP(BD129,CENY!$B$11:$G$1054,2,FALSE)</f>
        <v>Quadro You(M) 450/P2O 30kg; EB21; pravý</v>
      </c>
      <c r="BF129" s="22">
        <f>VLOOKUP(BD129,CENY!$B$11:$G$1054,3,FALSE)</f>
        <v>20</v>
      </c>
      <c r="BG129" s="22"/>
      <c r="BH129" s="68"/>
      <c r="BI129" s="326" t="str">
        <f t="shared" si="9"/>
        <v/>
      </c>
      <c r="BJ129" s="95">
        <f>VLOOKUP(BD129,CENY!$B$11:$M$2025,12,FALSE)</f>
        <v>267.92221999999998</v>
      </c>
      <c r="BK129" s="95">
        <f t="shared" si="10"/>
        <v>0</v>
      </c>
    </row>
    <row r="130" spans="47:63">
      <c r="AU130" s="20"/>
      <c r="AV130" s="21"/>
      <c r="AW130" s="22"/>
      <c r="AX130" s="22"/>
      <c r="AY130" s="23"/>
      <c r="AZ130" s="326" t="str">
        <f t="shared" si="8"/>
        <v/>
      </c>
      <c r="BA130" s="95"/>
      <c r="BB130" s="95" t="str">
        <f t="shared" si="7"/>
        <v/>
      </c>
      <c r="BD130" s="319">
        <f>OBJ!B351</f>
        <v>9256917</v>
      </c>
      <c r="BE130" s="21" t="str">
        <f>VLOOKUP(BD130,CENY!$B$11:$G$1054,2,FALSE)</f>
        <v>Quadro You(M) 500/P2O 30kg; EB21; ľavý</v>
      </c>
      <c r="BF130" s="22">
        <f>VLOOKUP(BD130,CENY!$B$11:$G$1054,3,FALSE)</f>
        <v>20</v>
      </c>
      <c r="BG130" s="22"/>
      <c r="BH130" s="68"/>
      <c r="BI130" s="326" t="str">
        <f t="shared" si="9"/>
        <v/>
      </c>
      <c r="BJ130" s="95">
        <f>VLOOKUP(BD130,CENY!$B$11:$M$2025,12,FALSE)</f>
        <v>265.52375999999998</v>
      </c>
      <c r="BK130" s="95">
        <f t="shared" si="10"/>
        <v>0</v>
      </c>
    </row>
    <row r="131" spans="47:63">
      <c r="AU131" s="20"/>
      <c r="AV131" s="21"/>
      <c r="AW131" s="22"/>
      <c r="AX131" s="22"/>
      <c r="AY131" s="23"/>
      <c r="AZ131" s="326" t="str">
        <f t="shared" si="8"/>
        <v/>
      </c>
      <c r="BA131" s="95"/>
      <c r="BB131" s="95" t="str">
        <f t="shared" si="7"/>
        <v/>
      </c>
      <c r="BD131" s="319">
        <f>OBJ!B352</f>
        <v>9256918</v>
      </c>
      <c r="BE131" s="21" t="str">
        <f>VLOOKUP(BD131,CENY!$B$11:$G$1054,2,FALSE)</f>
        <v>Quadro You(M) 500/P2O 30kg; EB21; pravý</v>
      </c>
      <c r="BF131" s="22">
        <f>VLOOKUP(BD131,CENY!$B$11:$G$1054,3,FALSE)</f>
        <v>20</v>
      </c>
      <c r="BG131" s="22"/>
      <c r="BH131" s="68"/>
      <c r="BI131" s="326" t="str">
        <f t="shared" si="9"/>
        <v/>
      </c>
      <c r="BJ131" s="95">
        <f>VLOOKUP(BD131,CENY!$B$11:$M$2025,12,FALSE)</f>
        <v>265.52375999999998</v>
      </c>
      <c r="BK131" s="95">
        <f t="shared" si="10"/>
        <v>0</v>
      </c>
    </row>
    <row r="132" spans="47:63">
      <c r="AU132" s="20"/>
      <c r="AV132" s="21"/>
      <c r="AW132" s="22"/>
      <c r="AX132" s="22"/>
      <c r="AY132" s="23"/>
      <c r="AZ132" s="326" t="str">
        <f t="shared" si="8"/>
        <v/>
      </c>
      <c r="BA132" s="95"/>
      <c r="BB132" s="95" t="str">
        <f t="shared" si="7"/>
        <v/>
      </c>
      <c r="BD132" s="319">
        <f>OBJ!B353</f>
        <v>9256921</v>
      </c>
      <c r="BE132" s="21" t="str">
        <f>VLOOKUP(BD132,CENY!$B$11:$G$1054,2,FALSE)</f>
        <v>Quadro You(M) 550/P2O 30kg; EB21; ľavý</v>
      </c>
      <c r="BF132" s="22">
        <f>VLOOKUP(BD132,CENY!$B$11:$G$1054,3,FALSE)</f>
        <v>20</v>
      </c>
      <c r="BG132" s="22"/>
      <c r="BH132" s="68"/>
      <c r="BI132" s="326" t="str">
        <f t="shared" si="9"/>
        <v/>
      </c>
      <c r="BJ132" s="95">
        <f>VLOOKUP(BD132,CENY!$B$11:$M$2025,12,FALSE)</f>
        <v>270.22431</v>
      </c>
      <c r="BK132" s="95">
        <f t="shared" si="10"/>
        <v>0</v>
      </c>
    </row>
    <row r="133" spans="47:63">
      <c r="AU133" s="20"/>
      <c r="AV133" s="21"/>
      <c r="AW133" s="22"/>
      <c r="AX133" s="22"/>
      <c r="AY133" s="23"/>
      <c r="AZ133" s="326" t="str">
        <f t="shared" si="8"/>
        <v/>
      </c>
      <c r="BA133" s="95"/>
      <c r="BB133" s="95" t="str">
        <f t="shared" si="7"/>
        <v/>
      </c>
      <c r="BD133" s="319">
        <f>OBJ!B354</f>
        <v>9256922</v>
      </c>
      <c r="BE133" s="21" t="str">
        <f>VLOOKUP(BD133,CENY!$B$11:$G$1054,2,FALSE)</f>
        <v>Quadro You(M) 550/P2O 30kg; EB21; pravý</v>
      </c>
      <c r="BF133" s="22">
        <f>VLOOKUP(BD133,CENY!$B$11:$G$1054,3,FALSE)</f>
        <v>20</v>
      </c>
      <c r="BG133" s="22"/>
      <c r="BH133" s="68"/>
      <c r="BI133" s="326" t="str">
        <f t="shared" si="9"/>
        <v/>
      </c>
      <c r="BJ133" s="95">
        <f>VLOOKUP(BD133,CENY!$B$11:$M$2025,12,FALSE)</f>
        <v>277.60748999999998</v>
      </c>
      <c r="BK133" s="95">
        <f t="shared" si="10"/>
        <v>0</v>
      </c>
    </row>
    <row r="134" spans="47:63">
      <c r="AU134" s="20"/>
      <c r="AV134" s="21"/>
      <c r="AW134" s="22"/>
      <c r="AX134" s="22"/>
      <c r="AY134" s="23"/>
      <c r="AZ134" s="326" t="str">
        <f t="shared" si="8"/>
        <v/>
      </c>
      <c r="BA134" s="95"/>
      <c r="BB134" s="95" t="str">
        <f t="shared" si="7"/>
        <v/>
      </c>
      <c r="BD134" s="319">
        <f>OBJ!B355</f>
        <v>9256925</v>
      </c>
      <c r="BE134" s="21" t="str">
        <f>VLOOKUP(BD134,CENY!$B$11:$G$1054,2,FALSE)</f>
        <v>Quadro You(M) 600/P2O 25kg; EB21; ľavý</v>
      </c>
      <c r="BF134" s="22">
        <f>VLOOKUP(BD134,CENY!$B$11:$G$1054,3,FALSE)</f>
        <v>20</v>
      </c>
      <c r="BG134" s="22"/>
      <c r="BH134" s="68"/>
      <c r="BI134" s="326" t="str">
        <f t="shared" si="9"/>
        <v/>
      </c>
      <c r="BJ134" s="95">
        <f>VLOOKUP(BD134,CENY!$B$11:$M$2025,12,FALSE)</f>
        <v>282.45375999999999</v>
      </c>
      <c r="BK134" s="95">
        <f t="shared" si="10"/>
        <v>0</v>
      </c>
    </row>
    <row r="135" spans="47:63">
      <c r="AU135" s="20"/>
      <c r="AV135" s="21"/>
      <c r="AW135" s="22"/>
      <c r="AX135" s="22"/>
      <c r="AY135" s="23"/>
      <c r="AZ135" s="326" t="str">
        <f t="shared" si="8"/>
        <v/>
      </c>
      <c r="BA135" s="95"/>
      <c r="BB135" s="95" t="str">
        <f t="shared" si="7"/>
        <v/>
      </c>
      <c r="BD135" s="319">
        <f>OBJ!B356</f>
        <v>9256926</v>
      </c>
      <c r="BE135" s="21" t="str">
        <f>VLOOKUP(BD135,CENY!$B$11:$G$1054,2,FALSE)</f>
        <v>Quadro You(M) 600/P2O 25kg; EB21; pravý</v>
      </c>
      <c r="BF135" s="22">
        <f>VLOOKUP(BD135,CENY!$B$11:$G$1054,3,FALSE)</f>
        <v>20</v>
      </c>
      <c r="BG135" s="22"/>
      <c r="BH135" s="68"/>
      <c r="BI135" s="326" t="str">
        <f t="shared" si="9"/>
        <v/>
      </c>
      <c r="BJ135" s="95">
        <f>VLOOKUP(BD135,CENY!$B$11:$M$2025,12,FALSE)</f>
        <v>282.45375999999999</v>
      </c>
      <c r="BK135" s="95">
        <f t="shared" si="10"/>
        <v>0</v>
      </c>
    </row>
    <row r="136" spans="47:63">
      <c r="AU136" s="20"/>
      <c r="AV136" s="21"/>
      <c r="AW136" s="22"/>
      <c r="AX136" s="22"/>
      <c r="AY136" s="23"/>
      <c r="AZ136" s="326" t="str">
        <f t="shared" si="8"/>
        <v/>
      </c>
      <c r="BA136" s="95"/>
      <c r="BB136" s="95" t="str">
        <f t="shared" si="7"/>
        <v/>
      </c>
      <c r="BD136" s="319"/>
      <c r="BE136" s="21"/>
      <c r="BF136" s="22"/>
      <c r="BG136" s="22"/>
      <c r="BH136" s="23"/>
      <c r="BI136" s="326" t="str">
        <f t="shared" si="9"/>
        <v/>
      </c>
      <c r="BJ136" s="95"/>
      <c r="BK136" s="95" t="str">
        <f t="shared" si="10"/>
        <v/>
      </c>
    </row>
    <row r="137" spans="47:63">
      <c r="AU137" s="20"/>
      <c r="AV137" s="21"/>
      <c r="AW137" s="22"/>
      <c r="AX137" s="22"/>
      <c r="AY137" s="23"/>
      <c r="AZ137" s="326" t="str">
        <f t="shared" si="8"/>
        <v/>
      </c>
      <c r="BA137" s="95"/>
      <c r="BB137" s="95" t="str">
        <f t="shared" si="7"/>
        <v/>
      </c>
      <c r="BD137" s="319">
        <f>OBJ!B358</f>
        <v>9219966</v>
      </c>
      <c r="BE137" s="21" t="str">
        <f>VLOOKUP(BD137,CENY!$B$11:$G$1054,2,FALSE)</f>
        <v>Push to open Synchro / adaptér typ A</v>
      </c>
      <c r="BF137" s="22">
        <f>VLOOKUP(BD137,CENY!$B$11:$G$1054,3,FALSE)</f>
        <v>200</v>
      </c>
      <c r="BG137" s="22"/>
      <c r="BH137" s="68"/>
      <c r="BI137" s="326" t="str">
        <f t="shared" si="9"/>
        <v/>
      </c>
      <c r="BJ137" s="95">
        <f>VLOOKUP(BD137,CENY!$B$11:$M$2025,12,FALSE)</f>
        <v>16.488900000000001</v>
      </c>
      <c r="BK137" s="95">
        <f t="shared" si="10"/>
        <v>0</v>
      </c>
    </row>
    <row r="138" spans="47:63">
      <c r="AU138" s="20"/>
      <c r="AV138" s="21"/>
      <c r="AW138" s="22"/>
      <c r="AX138" s="22"/>
      <c r="AY138" s="23"/>
      <c r="AZ138" s="326" t="str">
        <f t="shared" si="8"/>
        <v/>
      </c>
      <c r="BA138" s="95"/>
      <c r="BB138" s="95" t="str">
        <f t="shared" si="7"/>
        <v/>
      </c>
      <c r="BD138" s="319"/>
      <c r="BE138" s="21"/>
      <c r="BF138" s="22"/>
      <c r="BG138" s="22"/>
      <c r="BH138" s="23"/>
      <c r="BI138" s="326" t="str">
        <f t="shared" si="9"/>
        <v/>
      </c>
      <c r="BJ138" s="95"/>
      <c r="BK138" s="95" t="str">
        <f t="shared" si="10"/>
        <v/>
      </c>
    </row>
    <row r="139" spans="47:63">
      <c r="AU139" s="20"/>
      <c r="AV139" s="21"/>
      <c r="AW139" s="22"/>
      <c r="AX139" s="22"/>
      <c r="AY139" s="23"/>
      <c r="AZ139" s="326" t="str">
        <f t="shared" si="8"/>
        <v/>
      </c>
      <c r="BA139" s="95"/>
      <c r="BB139" s="95" t="str">
        <f t="shared" si="7"/>
        <v/>
      </c>
      <c r="BD139" s="319">
        <f>OBJ!B214</f>
        <v>0</v>
      </c>
      <c r="BE139" s="21" t="e">
        <f>VLOOKUP(BD139,CENY!$B$11:$G$1054,2,FALSE)</f>
        <v>#N/A</v>
      </c>
      <c r="BF139" s="22" t="e">
        <f>VLOOKUP(BD139,CENY!$B$11:$G$1054,3,FALSE)</f>
        <v>#N/A</v>
      </c>
      <c r="BG139" s="22"/>
      <c r="BH139" s="23">
        <f>AY87</f>
        <v>0</v>
      </c>
      <c r="BI139" s="326">
        <f t="shared" si="9"/>
        <v>0</v>
      </c>
      <c r="BJ139" s="324" t="str">
        <f>IF(BD139=0,"",VLOOKUP(BD139,CENY!$B$11:$M$2025,12,FALSE))</f>
        <v/>
      </c>
      <c r="BK139" s="95" t="str">
        <f t="shared" si="10"/>
        <v/>
      </c>
    </row>
    <row r="140" spans="47:63">
      <c r="AU140" s="20"/>
      <c r="AV140" s="21"/>
      <c r="AW140" s="22"/>
      <c r="AX140" s="22"/>
      <c r="AY140" s="23"/>
      <c r="AZ140" s="326" t="str">
        <f t="shared" si="8"/>
        <v/>
      </c>
      <c r="BA140" s="95"/>
      <c r="BB140" s="95" t="str">
        <f t="shared" si="7"/>
        <v/>
      </c>
      <c r="BD140" s="319"/>
      <c r="BE140" s="21"/>
      <c r="BF140" s="22"/>
      <c r="BG140" s="22"/>
      <c r="BH140" s="23"/>
      <c r="BI140" s="326" t="str">
        <f t="shared" si="9"/>
        <v/>
      </c>
      <c r="BJ140" s="95"/>
      <c r="BK140" s="95" t="str">
        <f t="shared" si="10"/>
        <v/>
      </c>
    </row>
    <row r="141" spans="47:63">
      <c r="AU141" s="20"/>
      <c r="AV141" s="21"/>
      <c r="AW141" s="22"/>
      <c r="AX141" s="22"/>
      <c r="AY141" s="23"/>
      <c r="AZ141" s="326" t="str">
        <f t="shared" si="8"/>
        <v/>
      </c>
      <c r="BA141" s="95"/>
      <c r="BB141" s="95" t="str">
        <f t="shared" si="7"/>
        <v/>
      </c>
      <c r="BD141" s="319"/>
      <c r="BE141" s="21"/>
      <c r="BF141" s="22"/>
      <c r="BG141" s="22"/>
      <c r="BH141" s="23"/>
      <c r="BI141" s="326" t="str">
        <f t="shared" si="9"/>
        <v/>
      </c>
      <c r="BJ141" s="95"/>
      <c r="BK141" s="95" t="str">
        <f t="shared" si="10"/>
        <v/>
      </c>
    </row>
    <row r="142" spans="47:63">
      <c r="AU142" s="319">
        <f>OBJ!B361</f>
        <v>45167</v>
      </c>
      <c r="AV142" s="21" t="str">
        <f>VLOOKUP(AU142,CENY!$B$11:$G$1054,2,FALSE)</f>
        <v>Skrutka s polgul.hlavou 3,5x12mm</v>
      </c>
      <c r="AW142" s="22">
        <f>VLOOKUP(AU142,CENY!$B$11:$G$1054,3,FALSE)</f>
        <v>200</v>
      </c>
      <c r="AX142" s="22"/>
      <c r="AY142" s="23">
        <f>SUMPRODUCT(AX9:AX19,AY9:AY19)</f>
        <v>0</v>
      </c>
      <c r="AZ142" s="326">
        <f t="shared" si="8"/>
        <v>0</v>
      </c>
      <c r="BA142" s="95">
        <f>VLOOKUP(AU142,CENY!$B$11:$M$2025,12,FALSE)</f>
        <v>0.84719999999999995</v>
      </c>
      <c r="BB142" s="95">
        <f>IF(BA142="","",BA142*AY142)</f>
        <v>0</v>
      </c>
      <c r="BC142" s="373" t="s">
        <v>396</v>
      </c>
      <c r="BD142" s="319">
        <f>OBJ!B194</f>
        <v>9257269</v>
      </c>
      <c r="BE142" s="21" t="str">
        <f>VLOOKUP(BD142,CENY!$B$11:$G$1054,2,FALSE)</f>
        <v>AvanY-čelo vnút.zásuvky /v101/d2000/strieb.</v>
      </c>
      <c r="BF142" s="22">
        <f>VLOOKUP(BD142,CENY!$B$11:$G$1054,3,FALSE)</f>
        <v>1</v>
      </c>
      <c r="BG142" s="22"/>
      <c r="BH142" s="23">
        <f>AY90</f>
        <v>0</v>
      </c>
      <c r="BI142" s="326">
        <f t="shared" si="9"/>
        <v>0</v>
      </c>
      <c r="BJ142" s="95">
        <f>VLOOKUP(BD142,CENY!$B$11:$M$2025,12,FALSE)</f>
        <v>1483.13021</v>
      </c>
      <c r="BK142" s="95">
        <f t="shared" si="10"/>
        <v>0</v>
      </c>
    </row>
    <row r="143" spans="47:63">
      <c r="AU143" s="319">
        <f>OBJ!B362</f>
        <v>45168</v>
      </c>
      <c r="AV143" s="21" t="str">
        <f>VLOOKUP(AU143,CENY!$B$11:$G$1054,2,FALSE)</f>
        <v>Skrutka s polgul.hlavou 3,5x20mm</v>
      </c>
      <c r="AW143" s="22">
        <f>VLOOKUP(AU143,CENY!$B$11:$G$1054,3,FALSE)</f>
        <v>200</v>
      </c>
      <c r="AX143" s="22"/>
      <c r="AY143" s="360"/>
      <c r="AZ143" s="326" t="str">
        <f t="shared" ref="AZ143:AZ146" si="11">IF(AY143="","",IF($AW$4=1,AY143,0))</f>
        <v/>
      </c>
      <c r="BA143" s="95">
        <f>VLOOKUP(AU143,CENY!$B$11:$M$2025,12,FALSE)</f>
        <v>1.2154199999999999</v>
      </c>
      <c r="BB143" s="95">
        <f>IF(BA143="","",BA143*AY143)</f>
        <v>0</v>
      </c>
      <c r="BC143" s="373" t="s">
        <v>397</v>
      </c>
      <c r="BD143" s="319">
        <f>OBJ!B196</f>
        <v>9257271</v>
      </c>
      <c r="BE143" s="21" t="str">
        <f>VLOOKUP(BD143,CENY!$B$11:$G$1054,2,FALSE)</f>
        <v>AvanY-čelo vnút.zásuvky /v187/d2000/strieb.</v>
      </c>
      <c r="BF143" s="22">
        <f>VLOOKUP(BD143,CENY!$B$11:$G$1054,3,FALSE)</f>
        <v>1</v>
      </c>
      <c r="BG143" s="22"/>
      <c r="BH143" s="23">
        <f>AY92</f>
        <v>0</v>
      </c>
      <c r="BI143" s="326">
        <f t="shared" si="9"/>
        <v>0</v>
      </c>
      <c r="BJ143" s="95">
        <f>VLOOKUP(BD143,CENY!$B$11:$M$2025,12,FALSE)</f>
        <v>2217.7650899999999</v>
      </c>
      <c r="BK143" s="95">
        <f t="shared" si="10"/>
        <v>0</v>
      </c>
    </row>
    <row r="144" spans="47:63">
      <c r="AU144" s="319">
        <f>OBJ!B363</f>
        <v>9278224</v>
      </c>
      <c r="AV144" s="21" t="str">
        <f>VLOOKUP(AU144,CENY!$B$11:$G$1054,2,FALSE)</f>
        <v>Skrutka s polgul.hlavou 3,5x30mm</v>
      </c>
      <c r="AW144" s="22">
        <f>VLOOKUP(AU144,CENY!$B$11:$G$1054,3,FALSE)</f>
        <v>200</v>
      </c>
      <c r="AX144" s="22"/>
      <c r="AY144" s="360"/>
      <c r="AZ144" s="326" t="str">
        <f t="shared" si="11"/>
        <v/>
      </c>
      <c r="BA144" s="95">
        <f>VLOOKUP(AU144,CENY!$B$11:$M$2025,12,FALSE)</f>
        <v>0.89337999999999995</v>
      </c>
      <c r="BB144" s="95">
        <f>IF(BA144="","",BA144*AY144)</f>
        <v>0</v>
      </c>
      <c r="BC144" s="373" t="s">
        <v>398</v>
      </c>
      <c r="BD144" s="319"/>
      <c r="BE144" s="21"/>
      <c r="BF144" s="22"/>
      <c r="BG144" s="22"/>
      <c r="BH144" s="23"/>
      <c r="BI144" s="326" t="str">
        <f>IF(BH144="","",IF($AW$4=0,BH144,0))</f>
        <v/>
      </c>
      <c r="BJ144" s="95"/>
      <c r="BK144" s="95" t="str">
        <f t="shared" si="10"/>
        <v/>
      </c>
    </row>
    <row r="145" spans="47:63">
      <c r="AU145" s="319">
        <f>OBJ!B364</f>
        <v>9279197</v>
      </c>
      <c r="AV145" s="21" t="str">
        <f>VLOOKUP(AU145,CENY!$B$11:$G$1054,2,FALSE)</f>
        <v>Skrutka s polgul.hlavou M3,5x12mm</v>
      </c>
      <c r="AW145" s="22">
        <f>VLOOKUP(AU145,CENY!$B$11:$G$1054,3,FALSE)</f>
        <v>1000</v>
      </c>
      <c r="AX145" s="22"/>
      <c r="AY145" s="68"/>
      <c r="AZ145" s="326" t="str">
        <f t="shared" si="11"/>
        <v/>
      </c>
      <c r="BA145" s="95">
        <f>VLOOKUP(AU145,CENY!$B$11:$M$2025,12,FALSE)</f>
        <v>0</v>
      </c>
      <c r="BB145" s="95">
        <f>IF(BA145="","",BA145*AY145)</f>
        <v>0</v>
      </c>
      <c r="BC145" s="373" t="s">
        <v>399</v>
      </c>
      <c r="BD145" s="319">
        <f>OBJ!B203</f>
        <v>9257641</v>
      </c>
      <c r="BE145" s="21" t="str">
        <f>VLOOKUP(BD145,CENY!$B$11:$G$1054,2,FALSE)</f>
        <v>AvanY-stabilizátor čela vnút.zásuvky</v>
      </c>
      <c r="BF145" s="22">
        <f>VLOOKUP(BD145,CENY!$B$11:$G$1054,3,FALSE)</f>
        <v>100</v>
      </c>
      <c r="BG145" s="22"/>
      <c r="BH145" s="23">
        <f>AY91+AY93</f>
        <v>0</v>
      </c>
      <c r="BI145" s="326">
        <f>IF(BH145="","",IF($AW$4=0,BH145,0))</f>
        <v>0</v>
      </c>
      <c r="BJ145" s="95">
        <f>VLOOKUP(BD145,CENY!$B$11:$M$2025,12,FALSE)</f>
        <v>10.840870000000001</v>
      </c>
      <c r="BK145" s="95">
        <f t="shared" si="10"/>
        <v>0</v>
      </c>
    </row>
    <row r="146" spans="47:63">
      <c r="AU146" s="319">
        <f>OBJ!B365</f>
        <v>9137114</v>
      </c>
      <c r="AV146" s="21" t="str">
        <f>VLOOKUP(AU146,CENY!$B$11:$G$1054,2,FALSE)</f>
        <v>EURO-skrutka  6,0x14mm / niklovaná</v>
      </c>
      <c r="AW146" s="22">
        <f>VLOOKUP(AU146,CENY!$B$11:$G$1054,3,FALSE)</f>
        <v>200</v>
      </c>
      <c r="AX146" s="22"/>
      <c r="AY146" s="23">
        <f>SUMPRODUCT(AX31:AX80,AY31:AY80)</f>
        <v>0</v>
      </c>
      <c r="AZ146" s="326">
        <f t="shared" si="11"/>
        <v>0</v>
      </c>
      <c r="BA146" s="95">
        <f>VLOOKUP(AU146,CENY!$B$11:$M$2025,12,FALSE)</f>
        <v>1.8839300000000001</v>
      </c>
      <c r="BB146" s="95">
        <f>IF(BA146="","",BA146*AY146)</f>
        <v>0</v>
      </c>
      <c r="BC146" s="373" t="s">
        <v>400</v>
      </c>
      <c r="BD146" s="319">
        <f>OBJ!B204</f>
        <v>9257629</v>
      </c>
      <c r="BE146" s="21" t="str">
        <f>VLOOKUP(BD146,CENY!$B$11:$G$1054,2,FALSE)</f>
        <v>AvanY-krytka čela vnút.zás./v101/strieb.</v>
      </c>
      <c r="BF146" s="22">
        <f>VLOOKUP(BD146,CENY!$B$11:$G$1054,3,FALSE)</f>
        <v>200</v>
      </c>
      <c r="BG146" s="22"/>
      <c r="BH146" s="23">
        <f>2*AY91</f>
        <v>0</v>
      </c>
      <c r="BI146" s="326">
        <f>IF(BH146="","",IF($AW$4=0,BH146,0))</f>
        <v>0</v>
      </c>
      <c r="BJ146" s="95">
        <f>VLOOKUP(BD146,CENY!$B$11:$M$2025,12,FALSE)</f>
        <v>4.4243899999999998</v>
      </c>
      <c r="BK146" s="95">
        <f t="shared" si="10"/>
        <v>0</v>
      </c>
    </row>
    <row r="147" spans="47:63">
      <c r="AU147" s="20"/>
      <c r="AV147" s="21"/>
      <c r="AW147" s="22"/>
      <c r="AX147" s="22"/>
      <c r="AY147" s="23"/>
      <c r="AZ147" s="326"/>
      <c r="BA147" s="95"/>
      <c r="BB147" s="95"/>
      <c r="BD147" s="319">
        <f>OBJ!B206</f>
        <v>9257631</v>
      </c>
      <c r="BE147" s="21" t="str">
        <f>VLOOKUP(BD147,CENY!$B$11:$G$1054,2,FALSE)</f>
        <v>AvanY-krytka čela vnút.zás./v187/strieb.</v>
      </c>
      <c r="BF147" s="22">
        <f>VLOOKUP(BD147,CENY!$B$11:$G$1054,3,FALSE)</f>
        <v>200</v>
      </c>
      <c r="BG147" s="22"/>
      <c r="BH147" s="23">
        <f>2*AY93</f>
        <v>0</v>
      </c>
      <c r="BI147" s="326">
        <f>IF(BH147="","",IF($AW$4=0,BH147,0))</f>
        <v>0</v>
      </c>
      <c r="BJ147" s="95">
        <f>VLOOKUP(BD147,CENY!$B$11:$M$2025,12,FALSE)</f>
        <v>7.9287099999999997</v>
      </c>
      <c r="BK147" s="95">
        <f t="shared" si="10"/>
        <v>0</v>
      </c>
    </row>
    <row r="148" spans="47:63">
      <c r="AU148" s="20"/>
      <c r="AV148" s="21"/>
      <c r="AW148" s="22"/>
      <c r="AX148" s="22"/>
      <c r="AY148" s="23"/>
      <c r="AZ148" s="326"/>
      <c r="BA148" s="95"/>
      <c r="BB148" s="95"/>
      <c r="BD148" s="319"/>
      <c r="BE148" s="21"/>
      <c r="BF148" s="22"/>
      <c r="BG148" s="22"/>
      <c r="BH148" s="23"/>
      <c r="BI148" s="326" t="str">
        <f t="shared" si="9"/>
        <v/>
      </c>
      <c r="BJ148" s="95"/>
      <c r="BK148" s="95" t="str">
        <f t="shared" si="10"/>
        <v/>
      </c>
    </row>
    <row r="149" spans="47:63">
      <c r="AU149" s="20"/>
      <c r="AV149" s="21"/>
      <c r="AW149" s="22"/>
      <c r="AX149" s="22"/>
      <c r="AY149" s="23"/>
      <c r="AZ149" s="326"/>
      <c r="BA149" s="95"/>
      <c r="BB149" s="95"/>
      <c r="BD149" s="319">
        <f>OBJ!B361</f>
        <v>45167</v>
      </c>
      <c r="BE149" s="21" t="str">
        <f>VLOOKUP(BD149,CENY!$B$11:$G$1054,2,FALSE)</f>
        <v>Skrutka s polgul.hlavou 3,5x12mm</v>
      </c>
      <c r="BF149" s="22">
        <f>VLOOKUP(BD149,CENY!$B$11:$G$1054,3,FALSE)</f>
        <v>200</v>
      </c>
      <c r="BG149" s="22"/>
      <c r="BH149" s="23">
        <f>AY142+BH39*2+BH145</f>
        <v>0</v>
      </c>
      <c r="BI149" s="326">
        <f>IF(BH149="","",IF($AW$4=0,BH149,0))</f>
        <v>0</v>
      </c>
      <c r="BJ149" s="95">
        <f>VLOOKUP(BD149,CENY!$B$11:$M$2025,12,FALSE)</f>
        <v>0.84719999999999995</v>
      </c>
      <c r="BK149" s="95">
        <f t="shared" si="10"/>
        <v>0</v>
      </c>
    </row>
    <row r="150" spans="47:63">
      <c r="AU150" s="20"/>
      <c r="AV150" s="21"/>
      <c r="AW150" s="22"/>
      <c r="AX150" s="22"/>
      <c r="AY150" s="23"/>
      <c r="AZ150" s="326" t="str">
        <f>IF(AY150="","",IF($AW$4=1,AY150,0))</f>
        <v/>
      </c>
      <c r="BA150" s="95"/>
      <c r="BB150" s="95" t="str">
        <f>IF(BA150="","",BA150*AY150)</f>
        <v/>
      </c>
      <c r="BD150" s="319">
        <f>OBJ!B362</f>
        <v>45168</v>
      </c>
      <c r="BE150" s="21" t="str">
        <f>VLOOKUP(BD150,CENY!$B$11:$G$1054,2,FALSE)</f>
        <v>Skrutka s polgul.hlavou 3,5x20mm</v>
      </c>
      <c r="BF150" s="22">
        <f>VLOOKUP(BD150,CENY!$B$11:$G$1054,3,FALSE)</f>
        <v>200</v>
      </c>
      <c r="BG150" s="22"/>
      <c r="BH150" s="360">
        <f>IF(FORM!$AM$8=FORM!$AU$10,BH35*2+BH36*3,0)</f>
        <v>0</v>
      </c>
      <c r="BI150" s="326">
        <f>IF(BH150="","",IF($AW$4=0,BH150,0))</f>
        <v>0</v>
      </c>
      <c r="BJ150" s="95">
        <f>VLOOKUP(BD150,CENY!$B$11:$M$2025,12,FALSE)</f>
        <v>1.2154199999999999</v>
      </c>
      <c r="BK150" s="95">
        <f t="shared" si="10"/>
        <v>0</v>
      </c>
    </row>
    <row r="151" spans="47:63">
      <c r="BD151" s="319">
        <f>OBJ!B363</f>
        <v>9278224</v>
      </c>
      <c r="BE151" s="21" t="str">
        <f>VLOOKUP(BD151,CENY!$B$11:$G$1054,2,FALSE)</f>
        <v>Skrutka s polgul.hlavou 3,5x30mm</v>
      </c>
      <c r="BF151" s="22">
        <f>VLOOKUP(BD151,CENY!$B$11:$G$1054,3,FALSE)</f>
        <v>200</v>
      </c>
      <c r="BG151" s="22"/>
      <c r="BH151" s="360">
        <f>SUM(BH5:BH22)+2*SUM(BH24:BH33)</f>
        <v>0</v>
      </c>
      <c r="BI151" s="326">
        <f>IF(BH151="","",IF($AW$4=0,BH151,0))</f>
        <v>0</v>
      </c>
      <c r="BJ151" s="95">
        <f>VLOOKUP(BD151,CENY!$B$11:$M$2025,12,FALSE)</f>
        <v>0.89337999999999995</v>
      </c>
      <c r="BK151" s="95">
        <f t="shared" si="10"/>
        <v>0</v>
      </c>
    </row>
    <row r="152" spans="47:63">
      <c r="BD152" s="319">
        <f>OBJ!B364</f>
        <v>9279197</v>
      </c>
      <c r="BE152" s="21" t="str">
        <f>VLOOKUP(BD152,CENY!$B$11:$G$1054,2,FALSE)</f>
        <v>Skrutka s polgul.hlavou M3,5x12mm</v>
      </c>
      <c r="BF152" s="22">
        <f>VLOOKUP(BD152,CENY!$B$11:$G$1054,3,FALSE)</f>
        <v>1000</v>
      </c>
      <c r="BG152" s="22"/>
      <c r="BH152" s="68">
        <f>2*BH37+3*BH38</f>
        <v>0</v>
      </c>
      <c r="BI152" s="326">
        <f>IF(BH152="","",IF($AW$4=0,BH152,0))</f>
        <v>0</v>
      </c>
      <c r="BJ152" s="95">
        <f>VLOOKUP(BD152,CENY!$B$11:$M$2025,12,FALSE)</f>
        <v>0</v>
      </c>
      <c r="BK152" s="95">
        <f t="shared" si="10"/>
        <v>0</v>
      </c>
    </row>
    <row r="153" spans="47:63">
      <c r="BD153" s="319">
        <f>OBJ!B365</f>
        <v>9137114</v>
      </c>
      <c r="BE153" s="21" t="str">
        <f>VLOOKUP(BD153,CENY!$B$11:$G$1054,2,FALSE)</f>
        <v>EURO-skrutka  6,0x14mm / niklovaná</v>
      </c>
      <c r="BF153" s="22">
        <f>VLOOKUP(BD153,CENY!$B$11:$G$1054,3,FALSE)</f>
        <v>200</v>
      </c>
      <c r="BG153" s="22"/>
      <c r="BH153" s="23">
        <f>AY146</f>
        <v>0</v>
      </c>
      <c r="BI153" s="326">
        <f>IF(BH153="","",IF($AW$4=0,BH153,0))</f>
        <v>0</v>
      </c>
      <c r="BJ153" s="95">
        <f>VLOOKUP(BD153,CENY!$B$11:$M$2025,12,FALSE)</f>
        <v>1.8839300000000001</v>
      </c>
      <c r="BK153" s="95">
        <f t="shared" si="10"/>
        <v>0</v>
      </c>
    </row>
    <row r="154" spans="47:63">
      <c r="BD154" s="319"/>
      <c r="BE154" s="21"/>
      <c r="BF154" s="22"/>
      <c r="BG154" s="22"/>
      <c r="BH154" s="23"/>
      <c r="BI154" s="326"/>
      <c r="BJ154" s="95"/>
      <c r="BK154" s="95"/>
    </row>
    <row r="155" spans="47:63">
      <c r="BD155" s="319"/>
      <c r="BE155" s="21"/>
      <c r="BF155" s="22"/>
      <c r="BG155" s="22"/>
      <c r="BH155" s="23"/>
      <c r="BI155" s="326"/>
      <c r="BJ155" s="95"/>
      <c r="BK155" s="95"/>
    </row>
    <row r="156" spans="47:63">
      <c r="BD156" s="319"/>
      <c r="BE156" s="21"/>
      <c r="BF156" s="22"/>
      <c r="BG156" s="22"/>
      <c r="BH156" s="23"/>
      <c r="BI156" s="326"/>
      <c r="BJ156" s="95"/>
      <c r="BK156" s="95"/>
    </row>
    <row r="157" spans="47:63">
      <c r="BD157" s="319"/>
      <c r="BE157" s="21"/>
      <c r="BF157" s="22"/>
      <c r="BG157" s="22"/>
      <c r="BH157" s="23"/>
      <c r="BI157" s="326" t="str">
        <f t="shared" si="9"/>
        <v/>
      </c>
      <c r="BJ157" s="95"/>
      <c r="BK157" s="95" t="str">
        <f t="shared" si="10"/>
        <v/>
      </c>
    </row>
    <row r="158" spans="47:63">
      <c r="BD158" s="319"/>
      <c r="BE158" s="21"/>
      <c r="BF158" s="22"/>
      <c r="BG158" s="22"/>
      <c r="BH158" s="23"/>
      <c r="BI158" s="326" t="str">
        <f>IF(BH158="","",IF($AW$4=0,BH158,0))</f>
        <v/>
      </c>
      <c r="BJ158" s="95"/>
      <c r="BK158" s="95" t="str">
        <f>IF(BJ158="","",BJ158*BH158)</f>
        <v/>
      </c>
    </row>
    <row r="159" spans="47:63">
      <c r="BD159" s="319"/>
      <c r="BE159" s="21"/>
      <c r="BF159" s="22"/>
      <c r="BG159" s="22"/>
      <c r="BH159" s="23"/>
      <c r="BI159" s="326" t="str">
        <f>IF(BH159="","",IF($AW$4=0,BH159,0))</f>
        <v/>
      </c>
      <c r="BJ159" s="95"/>
      <c r="BK159" s="95" t="str">
        <f>IF(BJ159="","",BJ159*BH159)</f>
        <v/>
      </c>
    </row>
  </sheetData>
  <sheetProtection algorithmName="SHA-512" hashValue="J/n2tM81+Y7Z6+mLStYra0rmEzNfnoRXzo9CjgwvJemxg3e1bEEn3QuIAmR6iiqGq57+La6IHOaui5cYWaFnbA==" saltValue="VJjtwJc1lU/vDFGurnb2yg==" spinCount="100000" sheet="1" objects="1" scenarios="1"/>
  <mergeCells count="191">
    <mergeCell ref="AO2:AR2"/>
    <mergeCell ref="B6:E6"/>
    <mergeCell ref="F6:K6"/>
    <mergeCell ref="B7:E7"/>
    <mergeCell ref="F7:K7"/>
    <mergeCell ref="B8:E8"/>
    <mergeCell ref="F8:K8"/>
    <mergeCell ref="B2:E2"/>
    <mergeCell ref="G2:K2"/>
    <mergeCell ref="O2:S2"/>
    <mergeCell ref="U2:Y2"/>
    <mergeCell ref="AA2:AE2"/>
    <mergeCell ref="AI2:AM2"/>
    <mergeCell ref="B12:E12"/>
    <mergeCell ref="F12:I12"/>
    <mergeCell ref="J12:K12"/>
    <mergeCell ref="B13:E13"/>
    <mergeCell ref="F13:I13"/>
    <mergeCell ref="J13:K13"/>
    <mergeCell ref="B9:E9"/>
    <mergeCell ref="F9:K9"/>
    <mergeCell ref="AK9:AP10"/>
    <mergeCell ref="B10:E10"/>
    <mergeCell ref="F10:K10"/>
    <mergeCell ref="B11:E11"/>
    <mergeCell ref="F11:K11"/>
    <mergeCell ref="AQ18:AR18"/>
    <mergeCell ref="B19:G19"/>
    <mergeCell ref="H19:L19"/>
    <mergeCell ref="M19:N19"/>
    <mergeCell ref="O19:P19"/>
    <mergeCell ref="Q19:R19"/>
    <mergeCell ref="S19:T19"/>
    <mergeCell ref="O17:AF17"/>
    <mergeCell ref="O18:P18"/>
    <mergeCell ref="Q18:R18"/>
    <mergeCell ref="S18:T18"/>
    <mergeCell ref="U18:V18"/>
    <mergeCell ref="W18:X18"/>
    <mergeCell ref="Y18:Z18"/>
    <mergeCell ref="AA18:AB18"/>
    <mergeCell ref="AC18:AD18"/>
    <mergeCell ref="AE18:AF18"/>
    <mergeCell ref="U20:V20"/>
    <mergeCell ref="W20:X20"/>
    <mergeCell ref="Y20:Z20"/>
    <mergeCell ref="AA20:AB20"/>
    <mergeCell ref="AC20:AD20"/>
    <mergeCell ref="AE20:AF20"/>
    <mergeCell ref="B20:G20"/>
    <mergeCell ref="H20:L20"/>
    <mergeCell ref="M20:N20"/>
    <mergeCell ref="O20:P20"/>
    <mergeCell ref="Q20:R20"/>
    <mergeCell ref="S20:T20"/>
    <mergeCell ref="AQ21:AR21"/>
    <mergeCell ref="O22:P22"/>
    <mergeCell ref="Q22:R22"/>
    <mergeCell ref="S22:T22"/>
    <mergeCell ref="U22:V22"/>
    <mergeCell ref="W22:X22"/>
    <mergeCell ref="Y22:Z22"/>
    <mergeCell ref="AA26:AB26"/>
    <mergeCell ref="AC26:AD26"/>
    <mergeCell ref="AA22:AB22"/>
    <mergeCell ref="AC22:AD22"/>
    <mergeCell ref="B22:G22"/>
    <mergeCell ref="H22:L22"/>
    <mergeCell ref="M22:N22"/>
    <mergeCell ref="AE22:AF22"/>
    <mergeCell ref="AQ24:AR24"/>
    <mergeCell ref="O26:P26"/>
    <mergeCell ref="Q26:R26"/>
    <mergeCell ref="S26:T26"/>
    <mergeCell ref="U26:V26"/>
    <mergeCell ref="W26:X26"/>
    <mergeCell ref="Y26:Z26"/>
    <mergeCell ref="AQ27:AR27"/>
    <mergeCell ref="B28:G28"/>
    <mergeCell ref="H28:L28"/>
    <mergeCell ref="M28:N28"/>
    <mergeCell ref="O28:P28"/>
    <mergeCell ref="Q28:R28"/>
    <mergeCell ref="S28:T28"/>
    <mergeCell ref="U28:V28"/>
    <mergeCell ref="W28:X28"/>
    <mergeCell ref="Y28:Z28"/>
    <mergeCell ref="AA28:AB28"/>
    <mergeCell ref="AC28:AD28"/>
    <mergeCell ref="B27:G27"/>
    <mergeCell ref="H27:L27"/>
    <mergeCell ref="M27:N27"/>
    <mergeCell ref="O27:P27"/>
    <mergeCell ref="Q27:R27"/>
    <mergeCell ref="S27:T27"/>
    <mergeCell ref="A66:A105"/>
    <mergeCell ref="B67:E67"/>
    <mergeCell ref="G67:K67"/>
    <mergeCell ref="O67:S67"/>
    <mergeCell ref="U67:Y67"/>
    <mergeCell ref="AA67:AE67"/>
    <mergeCell ref="AE79:AF79"/>
    <mergeCell ref="AE80:AF80"/>
    <mergeCell ref="AI67:AM67"/>
    <mergeCell ref="O80:P80"/>
    <mergeCell ref="Q80:R80"/>
    <mergeCell ref="S80:T80"/>
    <mergeCell ref="U80:V80"/>
    <mergeCell ref="W80:X80"/>
    <mergeCell ref="Y80:Z80"/>
    <mergeCell ref="AA80:AB80"/>
    <mergeCell ref="AC80:AD80"/>
    <mergeCell ref="AG80:AH80"/>
    <mergeCell ref="AI80:AJ80"/>
    <mergeCell ref="O81:P81"/>
    <mergeCell ref="Q81:R81"/>
    <mergeCell ref="S81:T81"/>
    <mergeCell ref="U81:V81"/>
    <mergeCell ref="W81:X81"/>
    <mergeCell ref="AO67:AR67"/>
    <mergeCell ref="O79:P79"/>
    <mergeCell ref="Q79:R79"/>
    <mergeCell ref="S79:T79"/>
    <mergeCell ref="U79:V79"/>
    <mergeCell ref="W79:X79"/>
    <mergeCell ref="Y79:Z79"/>
    <mergeCell ref="AA79:AB79"/>
    <mergeCell ref="AC79:AD79"/>
    <mergeCell ref="AG79:AH79"/>
    <mergeCell ref="AI79:AJ79"/>
    <mergeCell ref="Y81:Z81"/>
    <mergeCell ref="AA81:AB81"/>
    <mergeCell ref="AC81:AD81"/>
    <mergeCell ref="AC82:AD82"/>
    <mergeCell ref="AE82:AF82"/>
    <mergeCell ref="AG82:AH82"/>
    <mergeCell ref="AI82:AJ82"/>
    <mergeCell ref="AK82:AL82"/>
    <mergeCell ref="O83:AJ83"/>
    <mergeCell ref="AE81:AF81"/>
    <mergeCell ref="AG81:AH81"/>
    <mergeCell ref="AI81:AJ81"/>
    <mergeCell ref="O82:P82"/>
    <mergeCell ref="Q82:R82"/>
    <mergeCell ref="S82:T82"/>
    <mergeCell ref="U82:V82"/>
    <mergeCell ref="W82:X82"/>
    <mergeCell ref="Y82:Z82"/>
    <mergeCell ref="AA82:AB82"/>
    <mergeCell ref="AA84:AB84"/>
    <mergeCell ref="AC84:AD84"/>
    <mergeCell ref="AE84:AF84"/>
    <mergeCell ref="AG84:AH84"/>
    <mergeCell ref="AI84:AJ84"/>
    <mergeCell ref="M85:N85"/>
    <mergeCell ref="O85:P85"/>
    <mergeCell ref="Q85:R85"/>
    <mergeCell ref="S85:T85"/>
    <mergeCell ref="U85:V85"/>
    <mergeCell ref="O84:P84"/>
    <mergeCell ref="Q84:R84"/>
    <mergeCell ref="S84:T84"/>
    <mergeCell ref="U84:V84"/>
    <mergeCell ref="W84:X84"/>
    <mergeCell ref="Y84:Z84"/>
    <mergeCell ref="AI85:AJ85"/>
    <mergeCell ref="W85:X85"/>
    <mergeCell ref="Y85:Z85"/>
    <mergeCell ref="AA85:AB85"/>
    <mergeCell ref="AC85:AD85"/>
    <mergeCell ref="AE85:AF85"/>
    <mergeCell ref="AG85:AH85"/>
    <mergeCell ref="O86:P86"/>
    <mergeCell ref="Q86:R86"/>
    <mergeCell ref="S86:T86"/>
    <mergeCell ref="U86:V86"/>
    <mergeCell ref="W86:X86"/>
    <mergeCell ref="Y86:Z86"/>
    <mergeCell ref="AA86:AB86"/>
    <mergeCell ref="AC86:AD86"/>
    <mergeCell ref="AE86:AF86"/>
    <mergeCell ref="AW99:AY99"/>
    <mergeCell ref="AW100:AY100"/>
    <mergeCell ref="AW101:AY101"/>
    <mergeCell ref="AW102:AY102"/>
    <mergeCell ref="AG86:AH86"/>
    <mergeCell ref="AI86:AJ86"/>
    <mergeCell ref="AW95:AY95"/>
    <mergeCell ref="AW96:AY96"/>
    <mergeCell ref="AW97:AY97"/>
    <mergeCell ref="AW98:AY98"/>
  </mergeCells>
  <conditionalFormatting sqref="AZ94:AZ141 AZ147:AZ150 BI5:BI21 AZ20:AZ84 AZ86:AZ89 BI39:BI141 BH25:BI34 BH40:BH98 AY5:AZ19 AY20:AY48 BH13:BH24 BH142:BI144">
    <cfRule type="cellIs" dxfId="230" priority="52" stopIfTrue="1" operator="equal">
      <formula>0</formula>
    </cfRule>
  </conditionalFormatting>
  <conditionalFormatting sqref="AY59 AY72 AY49 AY55">
    <cfRule type="cellIs" dxfId="229" priority="50" stopIfTrue="1" operator="equal">
      <formula>0</formula>
    </cfRule>
  </conditionalFormatting>
  <conditionalFormatting sqref="O17:AF17 W20:AD20 W22:AF22 W28:AD28">
    <cfRule type="expression" dxfId="228" priority="51" stopIfTrue="1">
      <formula>$AW$4=0</formula>
    </cfRule>
  </conditionalFormatting>
  <conditionalFormatting sqref="AY83 AY86 AY88:AY89">
    <cfRule type="cellIs" dxfId="227" priority="49" stopIfTrue="1" operator="equal">
      <formula>0</formula>
    </cfRule>
  </conditionalFormatting>
  <conditionalFormatting sqref="AY103:AY106">
    <cfRule type="cellIs" dxfId="226" priority="48" stopIfTrue="1" operator="equal">
      <formula>0</formula>
    </cfRule>
  </conditionalFormatting>
  <conditionalFormatting sqref="BH39">
    <cfRule type="cellIs" dxfId="225" priority="47" stopIfTrue="1" operator="equal">
      <formula>0</formula>
    </cfRule>
  </conditionalFormatting>
  <conditionalFormatting sqref="AY64:AY68">
    <cfRule type="cellIs" dxfId="224" priority="46" stopIfTrue="1" operator="equal">
      <formula>0</formula>
    </cfRule>
  </conditionalFormatting>
  <conditionalFormatting sqref="AY107:AY141 AY147:AY150">
    <cfRule type="cellIs" dxfId="223" priority="40" stopIfTrue="1" operator="equal">
      <formula>0</formula>
    </cfRule>
  </conditionalFormatting>
  <conditionalFormatting sqref="AY81">
    <cfRule type="cellIs" dxfId="222" priority="45" stopIfTrue="1" operator="equal">
      <formula>0</formula>
    </cfRule>
  </conditionalFormatting>
  <conditionalFormatting sqref="AY84">
    <cfRule type="cellIs" dxfId="221" priority="44" stopIfTrue="1" operator="equal">
      <formula>0</formula>
    </cfRule>
  </conditionalFormatting>
  <conditionalFormatting sqref="AY94">
    <cfRule type="cellIs" dxfId="220" priority="43" stopIfTrue="1" operator="equal">
      <formula>0</formula>
    </cfRule>
  </conditionalFormatting>
  <conditionalFormatting sqref="BH115 BH119">
    <cfRule type="cellIs" dxfId="219" priority="42" stopIfTrue="1" operator="equal">
      <formula>0</formula>
    </cfRule>
  </conditionalFormatting>
  <conditionalFormatting sqref="BH136 BH140:BH141 BH148 BH154:BH159 BH138">
    <cfRule type="cellIs" dxfId="218" priority="41" stopIfTrue="1" operator="equal">
      <formula>0</formula>
    </cfRule>
  </conditionalFormatting>
  <conditionalFormatting sqref="BH105:BH114">
    <cfRule type="cellIs" dxfId="217" priority="39" stopIfTrue="1" operator="equal">
      <formula>0</formula>
    </cfRule>
  </conditionalFormatting>
  <conditionalFormatting sqref="BH139">
    <cfRule type="cellIs" dxfId="216" priority="37" stopIfTrue="1" operator="equal">
      <formula>0</formula>
    </cfRule>
  </conditionalFormatting>
  <conditionalFormatting sqref="AY87">
    <cfRule type="cellIs" dxfId="215" priority="38" stopIfTrue="1" operator="equal">
      <formula>0</formula>
    </cfRule>
  </conditionalFormatting>
  <conditionalFormatting sqref="F13:K13">
    <cfRule type="expression" dxfId="214" priority="36" stopIfTrue="1">
      <formula>$AW$4=1</formula>
    </cfRule>
  </conditionalFormatting>
  <conditionalFormatting sqref="BI148 BI154:BI159">
    <cfRule type="cellIs" dxfId="213" priority="35" stopIfTrue="1" operator="equal">
      <formula>0</formula>
    </cfRule>
  </conditionalFormatting>
  <conditionalFormatting sqref="AZ90:AZ91">
    <cfRule type="cellIs" dxfId="212" priority="34" stopIfTrue="1" operator="equal">
      <formula>0</formula>
    </cfRule>
  </conditionalFormatting>
  <conditionalFormatting sqref="AY90:AY91">
    <cfRule type="cellIs" dxfId="211" priority="33" stopIfTrue="1" operator="equal">
      <formula>0</formula>
    </cfRule>
  </conditionalFormatting>
  <conditionalFormatting sqref="BH145:BH146">
    <cfRule type="cellIs" dxfId="210" priority="32" stopIfTrue="1" operator="equal">
      <formula>0</formula>
    </cfRule>
  </conditionalFormatting>
  <conditionalFormatting sqref="BI145:BI146">
    <cfRule type="cellIs" dxfId="209" priority="31" stopIfTrue="1" operator="equal">
      <formula>0</formula>
    </cfRule>
  </conditionalFormatting>
  <conditionalFormatting sqref="AR88">
    <cfRule type="expression" dxfId="208" priority="30" stopIfTrue="1">
      <formula>$AU$96=AU98</formula>
    </cfRule>
  </conditionalFormatting>
  <conditionalFormatting sqref="AZ142:AZ146">
    <cfRule type="cellIs" dxfId="207" priority="29" stopIfTrue="1" operator="equal">
      <formula>0</formula>
    </cfRule>
  </conditionalFormatting>
  <conditionalFormatting sqref="AY142:AY146">
    <cfRule type="cellIs" dxfId="206" priority="28" stopIfTrue="1" operator="equal">
      <formula>0</formula>
    </cfRule>
  </conditionalFormatting>
  <conditionalFormatting sqref="BH149 BH152:BH153">
    <cfRule type="cellIs" dxfId="205" priority="27" stopIfTrue="1" operator="equal">
      <formula>0</formula>
    </cfRule>
  </conditionalFormatting>
  <conditionalFormatting sqref="BI149:BI153">
    <cfRule type="cellIs" dxfId="204" priority="26" stopIfTrue="1" operator="equal">
      <formula>0</formula>
    </cfRule>
  </conditionalFormatting>
  <conditionalFormatting sqref="BH150:BH151">
    <cfRule type="cellIs" dxfId="203" priority="25" stopIfTrue="1" operator="equal">
      <formula>0</formula>
    </cfRule>
  </conditionalFormatting>
  <conditionalFormatting sqref="AY50:AY54">
    <cfRule type="cellIs" dxfId="202" priority="24" stopIfTrue="1" operator="equal">
      <formula>0</formula>
    </cfRule>
  </conditionalFormatting>
  <conditionalFormatting sqref="AY56:AY58">
    <cfRule type="cellIs" dxfId="201" priority="23" stopIfTrue="1" operator="equal">
      <formula>0</formula>
    </cfRule>
  </conditionalFormatting>
  <conditionalFormatting sqref="AY60:AY62">
    <cfRule type="cellIs" dxfId="200" priority="22" stopIfTrue="1" operator="equal">
      <formula>0</formula>
    </cfRule>
  </conditionalFormatting>
  <conditionalFormatting sqref="AY69:AY71">
    <cfRule type="cellIs" dxfId="199" priority="21" stopIfTrue="1" operator="equal">
      <formula>0</formula>
    </cfRule>
  </conditionalFormatting>
  <conditionalFormatting sqref="AY73:AY74">
    <cfRule type="cellIs" dxfId="198" priority="20" stopIfTrue="1" operator="equal">
      <formula>0</formula>
    </cfRule>
  </conditionalFormatting>
  <conditionalFormatting sqref="AY75">
    <cfRule type="cellIs" dxfId="197" priority="19" stopIfTrue="1" operator="equal">
      <formula>0</formula>
    </cfRule>
  </conditionalFormatting>
  <conditionalFormatting sqref="AY76:AY80">
    <cfRule type="cellIs" dxfId="196" priority="18" stopIfTrue="1" operator="equal">
      <formula>0</formula>
    </cfRule>
  </conditionalFormatting>
  <conditionalFormatting sqref="AY82">
    <cfRule type="cellIs" dxfId="195" priority="17" stopIfTrue="1" operator="equal">
      <formula>0</formula>
    </cfRule>
  </conditionalFormatting>
  <conditionalFormatting sqref="BH5:BH10">
    <cfRule type="cellIs" dxfId="194" priority="16" stopIfTrue="1" operator="equal">
      <formula>0</formula>
    </cfRule>
  </conditionalFormatting>
  <conditionalFormatting sqref="BH99:BH106">
    <cfRule type="cellIs" dxfId="193" priority="15" stopIfTrue="1" operator="equal">
      <formula>0</formula>
    </cfRule>
  </conditionalFormatting>
  <conditionalFormatting sqref="BH116:BH118">
    <cfRule type="cellIs" dxfId="192" priority="14" stopIfTrue="1" operator="equal">
      <formula>0</formula>
    </cfRule>
  </conditionalFormatting>
  <conditionalFormatting sqref="BH120:BH135">
    <cfRule type="cellIs" dxfId="191" priority="13" stopIfTrue="1" operator="equal">
      <formula>0</formula>
    </cfRule>
  </conditionalFormatting>
  <conditionalFormatting sqref="BH137">
    <cfRule type="cellIs" dxfId="190" priority="12" stopIfTrue="1" operator="equal">
      <formula>0</formula>
    </cfRule>
  </conditionalFormatting>
  <conditionalFormatting sqref="AZ85">
    <cfRule type="cellIs" dxfId="189" priority="11" stopIfTrue="1" operator="equal">
      <formula>0</formula>
    </cfRule>
  </conditionalFormatting>
  <conditionalFormatting sqref="AY85">
    <cfRule type="cellIs" dxfId="188" priority="10" stopIfTrue="1" operator="equal">
      <formula>0</formula>
    </cfRule>
  </conditionalFormatting>
  <conditionalFormatting sqref="BH37:BI38">
    <cfRule type="cellIs" dxfId="187" priority="9" stopIfTrue="1" operator="equal">
      <formula>0</formula>
    </cfRule>
  </conditionalFormatting>
  <conditionalFormatting sqref="BH35:BI36">
    <cfRule type="cellIs" dxfId="186" priority="8" stopIfTrue="1" operator="equal">
      <formula>0</formula>
    </cfRule>
  </conditionalFormatting>
  <conditionalFormatting sqref="AY63">
    <cfRule type="cellIs" dxfId="185" priority="7" stopIfTrue="1" operator="equal">
      <formula>0</formula>
    </cfRule>
  </conditionalFormatting>
  <conditionalFormatting sqref="BH11:BH12">
    <cfRule type="cellIs" dxfId="184" priority="6" stopIfTrue="1" operator="equal">
      <formula>0</formula>
    </cfRule>
  </conditionalFormatting>
  <conditionalFormatting sqref="AZ92:AZ93">
    <cfRule type="cellIs" dxfId="183" priority="5" stopIfTrue="1" operator="equal">
      <formula>0</formula>
    </cfRule>
  </conditionalFormatting>
  <conditionalFormatting sqref="AY92:AY93">
    <cfRule type="cellIs" dxfId="182" priority="4" stopIfTrue="1" operator="equal">
      <formula>0</formula>
    </cfRule>
  </conditionalFormatting>
  <conditionalFormatting sqref="BI22:BI24">
    <cfRule type="cellIs" dxfId="181" priority="3" stopIfTrue="1" operator="equal">
      <formula>0</formula>
    </cfRule>
  </conditionalFormatting>
  <conditionalFormatting sqref="BH147">
    <cfRule type="cellIs" dxfId="180" priority="2" stopIfTrue="1" operator="equal">
      <formula>0</formula>
    </cfRule>
  </conditionalFormatting>
  <conditionalFormatting sqref="BI147">
    <cfRule type="cellIs" dxfId="179" priority="1" stopIfTrue="1" operator="equal">
      <formula>0</formula>
    </cfRule>
  </conditionalFormatting>
  <hyperlinks>
    <hyperlink ref="M4" location="MENU!A1" display="MENU!A1" xr:uid="{00000000-0004-0000-1500-000000000000}"/>
    <hyperlink ref="M10" location="OBJ!A1" display="OBJ!A1" xr:uid="{00000000-0004-0000-1500-000001000000}"/>
    <hyperlink ref="M9" location="suhrn!A1" display="suhrn!A1" xr:uid="{00000000-0004-0000-1500-000002000000}"/>
    <hyperlink ref="O2:S2" location="MENU!A5" display="MENU!A5" xr:uid="{00000000-0004-0000-1500-000003000000}"/>
    <hyperlink ref="M69" location="MENU!A1" display="MENU!A1" xr:uid="{00000000-0004-0000-1500-000004000000}"/>
    <hyperlink ref="B67:E67" location="'potr-v101+187-IL'!A1" display="'potr-v101+187-IL'!A1" xr:uid="{00000000-0004-0000-1500-000005000000}"/>
    <hyperlink ref="AK9:AO10" location="'IT70(vn100)'!A66" display="'IT70(vn100)'!A66" xr:uid="{00000000-0004-0000-1500-000006000000}"/>
    <hyperlink ref="AK9:AP10" location="'potr-v101+187-IL'!A66" display="'potr-v101+187-IL'!A66" xr:uid="{00000000-0004-0000-1500-000007000000}"/>
  </hyperlinks>
  <printOptions horizontalCentered="1"/>
  <pageMargins left="0.19685039370078741" right="0.19685039370078741" top="0.19685039370078741" bottom="0.19685039370078741" header="0.31496062992125984" footer="0.31496062992125984"/>
  <pageSetup paperSize="9" orientation="landscape" r:id="rId1"/>
  <headerFooter>
    <oddHeader>&amp;R&amp;"Aptos"&amp;10&amp;K000000 Restricted&amp;1#_x000D_</oddHeader>
  </headerFooter>
  <drawing r:id="rId2"/>
  <legacyDrawing r:id="rId3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List61">
    <tabColor theme="1"/>
  </sheetPr>
  <dimension ref="A1:BK161"/>
  <sheetViews>
    <sheetView showGridLines="0" showRowColHeaders="0" zoomScale="95" zoomScaleNormal="95" workbookViewId="0"/>
  </sheetViews>
  <sheetFormatPr defaultColWidth="9" defaultRowHeight="13.8"/>
  <cols>
    <col min="1" max="1" width="3.59765625" style="86" customWidth="1"/>
    <col min="2" max="4" width="3.09765625" style="86" customWidth="1"/>
    <col min="5" max="5" width="7.59765625" style="86" customWidth="1"/>
    <col min="6" max="44" width="3.09765625" style="86" customWidth="1"/>
    <col min="45" max="45" width="3.59765625" style="86" customWidth="1"/>
    <col min="46" max="46" width="9" style="86" customWidth="1"/>
    <col min="47" max="47" width="9" style="86" hidden="1" customWidth="1"/>
    <col min="48" max="48" width="51.3984375" style="86" hidden="1" customWidth="1"/>
    <col min="49" max="49" width="4.3984375" style="86" hidden="1" customWidth="1"/>
    <col min="50" max="50" width="2" style="86" hidden="1" customWidth="1"/>
    <col min="51" max="52" width="4.59765625" style="86" hidden="1" customWidth="1"/>
    <col min="53" max="53" width="9" style="86" hidden="1" customWidth="1"/>
    <col min="54" max="54" width="9.09765625" style="86" hidden="1" customWidth="1"/>
    <col min="55" max="55" width="2.59765625" style="86" hidden="1" customWidth="1"/>
    <col min="56" max="56" width="9" style="86" hidden="1" customWidth="1"/>
    <col min="57" max="57" width="49.8984375" style="86" hidden="1" customWidth="1"/>
    <col min="58" max="58" width="4.3984375" style="86" hidden="1" customWidth="1"/>
    <col min="59" max="59" width="2" style="86" hidden="1" customWidth="1"/>
    <col min="60" max="61" width="4.59765625" style="86" hidden="1" customWidth="1"/>
    <col min="62" max="63" width="9" style="86" hidden="1" customWidth="1"/>
    <col min="64" max="75" width="9" style="86" customWidth="1"/>
    <col min="76" max="16384" width="9" style="86"/>
  </cols>
  <sheetData>
    <row r="1" spans="1:63" ht="12.9" customHeight="1" thickBot="1">
      <c r="AU1" s="140"/>
      <c r="AV1" s="279"/>
      <c r="AW1" s="279"/>
      <c r="AX1" s="140"/>
      <c r="AY1" s="212">
        <f>AQ18</f>
        <v>1</v>
      </c>
      <c r="AZ1" s="367" t="s">
        <v>593</v>
      </c>
      <c r="BA1" s="367"/>
      <c r="BB1" s="140"/>
      <c r="BC1" s="140"/>
      <c r="BD1" s="140"/>
      <c r="BE1" s="140"/>
      <c r="BF1" s="140"/>
      <c r="BG1" s="140"/>
      <c r="BH1" s="140"/>
      <c r="BI1" s="140"/>
      <c r="BJ1" s="140"/>
      <c r="BK1" s="140"/>
    </row>
    <row r="2" spans="1:63" ht="23.1" customHeight="1" thickBot="1">
      <c r="B2" s="475" t="str">
        <f>verze!E13</f>
        <v>&lt;&lt;  zpět</v>
      </c>
      <c r="C2" s="476"/>
      <c r="D2" s="476"/>
      <c r="E2" s="477"/>
      <c r="G2" s="513" t="str">
        <f>verze!E6</f>
        <v xml:space="preserve"> Úvod</v>
      </c>
      <c r="H2" s="514"/>
      <c r="I2" s="514"/>
      <c r="J2" s="514"/>
      <c r="K2" s="515"/>
      <c r="O2" s="500" t="str">
        <f>verze!E7</f>
        <v xml:space="preserve"> Výběr zásuvek</v>
      </c>
      <c r="P2" s="501"/>
      <c r="Q2" s="501"/>
      <c r="R2" s="501"/>
      <c r="S2" s="502"/>
      <c r="U2" s="513" t="str">
        <f>verze!E8</f>
        <v xml:space="preserve"> </v>
      </c>
      <c r="V2" s="514"/>
      <c r="W2" s="514"/>
      <c r="X2" s="514"/>
      <c r="Y2" s="515"/>
      <c r="AA2" s="513" t="str">
        <f>verze!E9</f>
        <v xml:space="preserve"> </v>
      </c>
      <c r="AB2" s="514"/>
      <c r="AC2" s="514"/>
      <c r="AD2" s="514"/>
      <c r="AE2" s="515"/>
      <c r="AI2" s="513" t="str">
        <f>verze!E10</f>
        <v xml:space="preserve"> Objednávka</v>
      </c>
      <c r="AJ2" s="514"/>
      <c r="AK2" s="514"/>
      <c r="AL2" s="514"/>
      <c r="AM2" s="515"/>
      <c r="AO2" s="475" t="str">
        <f>verze!E14</f>
        <v>vpřed  &gt;&gt;</v>
      </c>
      <c r="AP2" s="476"/>
      <c r="AQ2" s="476"/>
      <c r="AR2" s="477"/>
      <c r="AV2" s="143"/>
      <c r="AW2" s="143"/>
      <c r="AY2" s="212">
        <f>AQ21</f>
        <v>0</v>
      </c>
      <c r="AZ2" s="367" t="s">
        <v>591</v>
      </c>
      <c r="BA2" s="367"/>
    </row>
    <row r="3" spans="1:63" ht="12.9" customHeight="1">
      <c r="AV3" s="143"/>
      <c r="AW3" s="143"/>
      <c r="AY3" s="212">
        <f>AQ24</f>
        <v>2</v>
      </c>
      <c r="AZ3" s="367" t="s">
        <v>594</v>
      </c>
      <c r="BA3" s="367"/>
    </row>
    <row r="4" spans="1:63" ht="23.1" customHeight="1">
      <c r="A4" s="89"/>
      <c r="B4" s="93" t="str">
        <f>verze!E206&amp;" AVANTECH YOU  101 / 187"</f>
        <v>Zásuvka AVANTECH YOU  101 / 187</v>
      </c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U4" s="94" t="s">
        <v>33</v>
      </c>
      <c r="AW4" s="285">
        <f>IF(FORM!AU13=FORM!U18,1,0)</f>
        <v>1</v>
      </c>
      <c r="AY4" s="212">
        <f>AQ27</f>
        <v>0</v>
      </c>
      <c r="AZ4" s="367" t="s">
        <v>592</v>
      </c>
      <c r="BA4" s="367"/>
      <c r="BB4" s="322">
        <f>SUM(BB5:BB150)</f>
        <v>0</v>
      </c>
      <c r="BD4" s="94" t="s">
        <v>34</v>
      </c>
      <c r="BK4" s="322">
        <f>SUM(BK5:BK1009)</f>
        <v>0</v>
      </c>
    </row>
    <row r="5" spans="1:63" ht="14.4" customHeight="1">
      <c r="AU5" s="319">
        <f>OBJ!B39</f>
        <v>9353335</v>
      </c>
      <c r="AV5" s="21" t="str">
        <f>VLOOKUP(AU5,CENY!$B$11:$G$1054,2,FALSE)</f>
        <v>AvanY-sólo oceľ.boky-NW 101/400mm/strieb.</v>
      </c>
      <c r="AW5" s="22">
        <f>VLOOKUP(AU5,CENY!$B$11:$G$1054,3,FALSE)</f>
        <v>1</v>
      </c>
      <c r="AX5" s="362">
        <v>4</v>
      </c>
      <c r="AY5" s="68"/>
      <c r="AZ5" s="326" t="str">
        <f>IF(AY5="","",IF($AW$4=1,AY5,0))</f>
        <v/>
      </c>
      <c r="BA5" s="95">
        <f>VLOOKUP(AU5,CENY!$B$11:$M$2025,12,FALSE)</f>
        <v>545.66444999999999</v>
      </c>
      <c r="BB5" s="95">
        <f t="shared" ref="BB5:BB74" si="0">IF(BA5="","",BA5*AY5)</f>
        <v>0</v>
      </c>
      <c r="BD5" s="319">
        <f>OBJ!B50</f>
        <v>9255008</v>
      </c>
      <c r="BE5" s="21" t="str">
        <f>VLOOKUP(BD5,CENY!$B$11:$G$1054,2,FALSE)</f>
        <v>AvanY-bok ľavý /v101/h270/ strieborná</v>
      </c>
      <c r="BF5" s="22">
        <f>VLOOKUP(BD5,CENY!$B$11:$G$1054,3,FALSE)</f>
        <v>20</v>
      </c>
      <c r="BG5" s="22"/>
      <c r="BH5" s="68"/>
      <c r="BI5" s="326" t="str">
        <f>IF(BH5="","",IF($AW$4=0,BH5,0))</f>
        <v/>
      </c>
      <c r="BJ5" s="95">
        <f>VLOOKUP(BD5,CENY!$B$11:$M$2025,12,FALSE)</f>
        <v>208.07782</v>
      </c>
      <c r="BK5" s="95">
        <f>IF(BJ5="","",BJ5*BH5)</f>
        <v>0</v>
      </c>
    </row>
    <row r="6" spans="1:63" ht="14.4" customHeight="1">
      <c r="B6" s="549" t="str">
        <f>" "&amp;verze!E90</f>
        <v xml:space="preserve"> bočnice:</v>
      </c>
      <c r="C6" s="549"/>
      <c r="D6" s="549"/>
      <c r="E6" s="549"/>
      <c r="F6" s="564" t="s">
        <v>387</v>
      </c>
      <c r="G6" s="564"/>
      <c r="H6" s="564"/>
      <c r="I6" s="564"/>
      <c r="J6" s="564"/>
      <c r="K6" s="564"/>
      <c r="AU6" s="319">
        <f>OBJ!B40</f>
        <v>9353336</v>
      </c>
      <c r="AV6" s="21" t="str">
        <f>VLOOKUP(AU6,CENY!$B$11:$G$1054,2,FALSE)</f>
        <v>AvanY-sólo oceľ.boky-NW 101/450mm/strieb.</v>
      </c>
      <c r="AW6" s="22">
        <f>VLOOKUP(AU6,CENY!$B$11:$G$1054,3,FALSE)</f>
        <v>1</v>
      </c>
      <c r="AX6" s="362">
        <v>4</v>
      </c>
      <c r="AY6" s="68"/>
      <c r="AZ6" s="326" t="str">
        <f t="shared" ref="AZ6:AZ75" si="1">IF(AY6="","",IF($AW$4=1,AY6,0))</f>
        <v/>
      </c>
      <c r="BA6" s="95">
        <f>VLOOKUP(AU6,CENY!$B$11:$M$2025,12,FALSE)</f>
        <v>550.21777999999995</v>
      </c>
      <c r="BB6" s="95">
        <f t="shared" si="0"/>
        <v>0</v>
      </c>
      <c r="BD6" s="319">
        <f>OBJ!B51</f>
        <v>9255009</v>
      </c>
      <c r="BE6" s="21" t="str">
        <f>VLOOKUP(BD6,CENY!$B$11:$G$1054,2,FALSE)</f>
        <v>AvanY-bok pravý /v101/h270/ strieborná</v>
      </c>
      <c r="BF6" s="22">
        <f>VLOOKUP(BD6,CENY!$B$11:$G$1054,3,FALSE)</f>
        <v>20</v>
      </c>
      <c r="BG6" s="22"/>
      <c r="BH6" s="68"/>
      <c r="BI6" s="326" t="str">
        <f t="shared" ref="BI6:BI83" si="2">IF(BH6="","",IF($AW$4=0,BH6,0))</f>
        <v/>
      </c>
      <c r="BJ6" s="95">
        <f>VLOOKUP(BD6,CENY!$B$11:$M$2025,12,FALSE)</f>
        <v>208.07782</v>
      </c>
      <c r="BK6" s="95">
        <f t="shared" ref="BK6:BK83" si="3">IF(BJ6="","",BJ6*BH6)</f>
        <v>0</v>
      </c>
    </row>
    <row r="7" spans="1:63" ht="14.4" customHeight="1">
      <c r="B7" s="549" t="str">
        <f>" "&amp;verze!E56</f>
        <v xml:space="preserve"> barva:</v>
      </c>
      <c r="C7" s="549"/>
      <c r="D7" s="549"/>
      <c r="E7" s="549"/>
      <c r="F7" s="564" t="str">
        <f>" "&amp;FORM!U8</f>
        <v xml:space="preserve"> stříbrná</v>
      </c>
      <c r="G7" s="564"/>
      <c r="H7" s="564"/>
      <c r="I7" s="564"/>
      <c r="J7" s="564"/>
      <c r="K7" s="564"/>
      <c r="AU7" s="319">
        <f>OBJ!B41</f>
        <v>9353337</v>
      </c>
      <c r="AV7" s="21" t="str">
        <f>VLOOKUP(AU7,CENY!$B$11:$G$1054,2,FALSE)</f>
        <v>AvanY-sólo oceľ.boky-NW 101/500mm/strieb.</v>
      </c>
      <c r="AW7" s="22">
        <f>VLOOKUP(AU7,CENY!$B$11:$G$1054,3,FALSE)</f>
        <v>1</v>
      </c>
      <c r="AX7" s="362">
        <v>6</v>
      </c>
      <c r="AY7" s="68"/>
      <c r="AZ7" s="326" t="str">
        <f t="shared" si="1"/>
        <v/>
      </c>
      <c r="BA7" s="95">
        <f>VLOOKUP(AU7,CENY!$B$11:$M$2025,12,FALSE)</f>
        <v>557.82863999999995</v>
      </c>
      <c r="BB7" s="95">
        <f t="shared" si="0"/>
        <v>0</v>
      </c>
      <c r="BD7" s="319">
        <f>OBJ!B52</f>
        <v>9255010</v>
      </c>
      <c r="BE7" s="21" t="str">
        <f>VLOOKUP(BD7,CENY!$B$11:$G$1054,2,FALSE)</f>
        <v>AvanY-bok ľavý /v101/h300/ strieborná</v>
      </c>
      <c r="BF7" s="22">
        <f>VLOOKUP(BD7,CENY!$B$11:$G$1054,3,FALSE)</f>
        <v>20</v>
      </c>
      <c r="BG7" s="22"/>
      <c r="BH7" s="68"/>
      <c r="BI7" s="326" t="str">
        <f t="shared" si="2"/>
        <v/>
      </c>
      <c r="BJ7" s="95">
        <f>VLOOKUP(BD7,CENY!$B$11:$M$2025,12,FALSE)</f>
        <v>210.40101000000001</v>
      </c>
      <c r="BK7" s="95">
        <f t="shared" si="3"/>
        <v>0</v>
      </c>
    </row>
    <row r="8" spans="1:63" ht="14.4" customHeight="1" thickBot="1">
      <c r="B8" s="549" t="str">
        <f>" "&amp;verze!E70</f>
        <v xml:space="preserve"> dekorativní profil:</v>
      </c>
      <c r="C8" s="549"/>
      <c r="D8" s="549"/>
      <c r="E8" s="549"/>
      <c r="F8" s="564" t="str">
        <f>" "&amp;FORM!AM18</f>
        <v xml:space="preserve"> v barvě bočnice</v>
      </c>
      <c r="G8" s="564"/>
      <c r="H8" s="564"/>
      <c r="I8" s="564"/>
      <c r="J8" s="564"/>
      <c r="K8" s="564"/>
      <c r="AU8" s="319">
        <f>OBJ!B42</f>
        <v>9353338</v>
      </c>
      <c r="AV8" s="21" t="str">
        <f>VLOOKUP(AU8,CENY!$B$11:$G$1054,2,FALSE)</f>
        <v>AvanY-sólo oceľ.boky-NW 101/550mm/strieb.</v>
      </c>
      <c r="AW8" s="22">
        <f>VLOOKUP(AU8,CENY!$B$11:$G$1054,3,FALSE)</f>
        <v>1</v>
      </c>
      <c r="AX8" s="362">
        <v>6</v>
      </c>
      <c r="AY8" s="68"/>
      <c r="AZ8" s="326" t="str">
        <f t="shared" si="1"/>
        <v/>
      </c>
      <c r="BA8" s="95">
        <f>VLOOKUP(AU8,CENY!$B$11:$M$2025,12,FALSE)</f>
        <v>565.42625999999996</v>
      </c>
      <c r="BB8" s="95">
        <f t="shared" si="0"/>
        <v>0</v>
      </c>
      <c r="BD8" s="319">
        <f>OBJ!B53</f>
        <v>9255011</v>
      </c>
      <c r="BE8" s="21" t="str">
        <f>VLOOKUP(BD8,CENY!$B$11:$G$1054,2,FALSE)</f>
        <v>AvanY-bok pravý /v101/h300/ strieborná</v>
      </c>
      <c r="BF8" s="22">
        <f>VLOOKUP(BD8,CENY!$B$11:$G$1054,3,FALSE)</f>
        <v>20</v>
      </c>
      <c r="BG8" s="22"/>
      <c r="BH8" s="68"/>
      <c r="BI8" s="326" t="str">
        <f t="shared" si="2"/>
        <v/>
      </c>
      <c r="BJ8" s="95">
        <f>VLOOKUP(BD8,CENY!$B$11:$M$2025,12,FALSE)</f>
        <v>210.40101000000001</v>
      </c>
      <c r="BK8" s="95">
        <f t="shared" si="3"/>
        <v>0</v>
      </c>
    </row>
    <row r="9" spans="1:63" ht="14.4" customHeight="1" thickTop="1">
      <c r="B9" s="550"/>
      <c r="C9" s="558"/>
      <c r="D9" s="558"/>
      <c r="E9" s="559"/>
      <c r="F9" s="560"/>
      <c r="G9" s="561"/>
      <c r="H9" s="561"/>
      <c r="I9" s="561"/>
      <c r="J9" s="561"/>
      <c r="K9" s="562"/>
      <c r="AK9" s="585" t="str">
        <f>verze!E160</f>
        <v>Je nutné natypovat šířky čel ?</v>
      </c>
      <c r="AL9" s="586"/>
      <c r="AM9" s="586"/>
      <c r="AN9" s="586"/>
      <c r="AO9" s="586"/>
      <c r="AP9" s="587"/>
      <c r="AU9" s="319">
        <f>OBJ!B43</f>
        <v>9353339</v>
      </c>
      <c r="AV9" s="21" t="str">
        <f>VLOOKUP(AU9,CENY!$B$11:$G$1054,2,FALSE)</f>
        <v>AvanY-sólo oceľ.boky-NW 101/600mm/strieb.</v>
      </c>
      <c r="AW9" s="22">
        <f>VLOOKUP(AU9,CENY!$B$11:$G$1054,3,FALSE)</f>
        <v>1</v>
      </c>
      <c r="AX9" s="362">
        <v>6</v>
      </c>
      <c r="AY9" s="23">
        <f>SUM(AY1:AY2)*(W20+W22+W28)</f>
        <v>0</v>
      </c>
      <c r="AZ9" s="326">
        <f t="shared" si="1"/>
        <v>0</v>
      </c>
      <c r="BA9" s="95">
        <f>VLOOKUP(AU9,CENY!$B$11:$M$2025,12,FALSE)</f>
        <v>557.79244000000006</v>
      </c>
      <c r="BB9" s="95">
        <f t="shared" si="0"/>
        <v>0</v>
      </c>
      <c r="BD9" s="319">
        <f>OBJ!B54</f>
        <v>9255012</v>
      </c>
      <c r="BE9" s="21" t="str">
        <f>VLOOKUP(BD9,CENY!$B$11:$G$1054,2,FALSE)</f>
        <v>AvanY-bok ľavý /v101/h350/ strieborná</v>
      </c>
      <c r="BF9" s="22">
        <f>VLOOKUP(BD9,CENY!$B$11:$G$1054,3,FALSE)</f>
        <v>20</v>
      </c>
      <c r="BG9" s="22"/>
      <c r="BH9" s="68"/>
      <c r="BI9" s="326" t="str">
        <f t="shared" si="2"/>
        <v/>
      </c>
      <c r="BJ9" s="95">
        <f>VLOOKUP(BD9,CENY!$B$11:$M$2025,12,FALSE)</f>
        <v>214.27737999999999</v>
      </c>
      <c r="BK9" s="95">
        <f t="shared" si="3"/>
        <v>0</v>
      </c>
    </row>
    <row r="10" spans="1:63" ht="14.4" customHeight="1">
      <c r="B10" s="549" t="str">
        <f>" "&amp;verze!E57</f>
        <v xml:space="preserve"> čelní kování:</v>
      </c>
      <c r="C10" s="549"/>
      <c r="D10" s="549"/>
      <c r="E10" s="549"/>
      <c r="F10" s="563" t="str">
        <f>" "&amp;FORM!AM8</f>
        <v xml:space="preserve"> na vruty</v>
      </c>
      <c r="G10" s="563"/>
      <c r="H10" s="563"/>
      <c r="I10" s="563"/>
      <c r="J10" s="563"/>
      <c r="K10" s="563"/>
      <c r="AK10" s="588"/>
      <c r="AL10" s="589"/>
      <c r="AM10" s="589"/>
      <c r="AN10" s="589"/>
      <c r="AO10" s="589"/>
      <c r="AP10" s="590"/>
      <c r="AU10" s="319">
        <f>OBJ!B44</f>
        <v>9353340</v>
      </c>
      <c r="AV10" s="21" t="str">
        <f>VLOOKUP(AU10,CENY!$B$11:$G$1054,2,FALSE)</f>
        <v>AvanY-sólo oceľ.boky-NW 101/650mm/strieb.</v>
      </c>
      <c r="AW10" s="22">
        <f>VLOOKUP(AU10,CENY!$B$11:$G$1054,3,FALSE)</f>
        <v>1</v>
      </c>
      <c r="AX10" s="362">
        <v>8</v>
      </c>
      <c r="AY10" s="23">
        <f>SUM(AY1:AY2)*(Y20+Y22+Y28)</f>
        <v>0</v>
      </c>
      <c r="AZ10" s="326">
        <f t="shared" si="1"/>
        <v>0</v>
      </c>
      <c r="BA10" s="95">
        <f>VLOOKUP(AU10,CENY!$B$11:$M$2025,12,FALSE)</f>
        <v>565.19020999999998</v>
      </c>
      <c r="BB10" s="95">
        <f t="shared" si="0"/>
        <v>0</v>
      </c>
      <c r="BD10" s="319">
        <f>OBJ!B55</f>
        <v>9255013</v>
      </c>
      <c r="BE10" s="21" t="str">
        <f>VLOOKUP(BD10,CENY!$B$11:$G$1054,2,FALSE)</f>
        <v>AvanY-bok pravý /v101/h350/ strieborná</v>
      </c>
      <c r="BF10" s="22">
        <f>VLOOKUP(BD10,CENY!$B$11:$G$1054,3,FALSE)</f>
        <v>20</v>
      </c>
      <c r="BG10" s="22"/>
      <c r="BH10" s="68"/>
      <c r="BI10" s="326" t="str">
        <f t="shared" si="2"/>
        <v/>
      </c>
      <c r="BJ10" s="95">
        <f>VLOOKUP(BD10,CENY!$B$11:$M$2025,12,FALSE)</f>
        <v>214.27737999999999</v>
      </c>
      <c r="BK10" s="95">
        <f t="shared" si="3"/>
        <v>0</v>
      </c>
    </row>
    <row r="11" spans="1:63" ht="14.4" customHeight="1">
      <c r="B11" s="549" t="str">
        <f>" "&amp;verze!E76</f>
        <v xml:space="preserve"> krytka:</v>
      </c>
      <c r="C11" s="549"/>
      <c r="D11" s="549"/>
      <c r="E11" s="549"/>
      <c r="F11" s="563" t="str">
        <f>" "&amp;FORM!AM21</f>
        <v xml:space="preserve"> žádná</v>
      </c>
      <c r="G11" s="563"/>
      <c r="H11" s="563"/>
      <c r="I11" s="563"/>
      <c r="J11" s="563"/>
      <c r="K11" s="563"/>
      <c r="AU11" s="319">
        <f>OBJ!B45</f>
        <v>9353341</v>
      </c>
      <c r="AV11" s="21" t="str">
        <f>VLOOKUP(AU11,CENY!$B$11:$G$1054,2,FALSE)</f>
        <v>AvanY-sólo oceľ.boky-NW 101/270mm/biela</v>
      </c>
      <c r="AW11" s="22">
        <f>VLOOKUP(AU11,CENY!$B$11:$G$1054,3,FALSE)</f>
        <v>1</v>
      </c>
      <c r="AX11" s="362">
        <v>8</v>
      </c>
      <c r="AY11" s="23">
        <f>SUM(AY1:AY2)*(AA20+AA22+AA28)</f>
        <v>0</v>
      </c>
      <c r="AZ11" s="326">
        <f t="shared" si="1"/>
        <v>0</v>
      </c>
      <c r="BA11" s="95">
        <f>VLOOKUP(AU11,CENY!$B$11:$M$2025,12,FALSE)</f>
        <v>588.23680999999999</v>
      </c>
      <c r="BB11" s="95">
        <f t="shared" si="0"/>
        <v>0</v>
      </c>
      <c r="BD11" s="319">
        <f>OBJ!B56</f>
        <v>9255014</v>
      </c>
      <c r="BE11" s="21" t="str">
        <f>VLOOKUP(BD11,CENY!$B$11:$G$1054,2,FALSE)</f>
        <v>AvanY-bok ľavý /v101/h400/ strieborná</v>
      </c>
      <c r="BF11" s="22">
        <f>VLOOKUP(BD11,CENY!$B$11:$G$1054,3,FALSE)</f>
        <v>20</v>
      </c>
      <c r="BG11" s="22"/>
      <c r="BH11" s="68"/>
      <c r="BI11" s="326" t="str">
        <f t="shared" si="2"/>
        <v/>
      </c>
      <c r="BJ11" s="95">
        <f>VLOOKUP(BD11,CENY!$B$11:$M$2025,12,FALSE)</f>
        <v>218.14608000000001</v>
      </c>
      <c r="BK11" s="95">
        <f t="shared" si="3"/>
        <v>0</v>
      </c>
    </row>
    <row r="12" spans="1:63" ht="14.4" customHeight="1" thickBot="1">
      <c r="B12" s="549"/>
      <c r="C12" s="549"/>
      <c r="D12" s="549"/>
      <c r="E12" s="550"/>
      <c r="F12" s="551"/>
      <c r="G12" s="552"/>
      <c r="H12" s="552"/>
      <c r="I12" s="552"/>
      <c r="J12" s="553"/>
      <c r="K12" s="554"/>
      <c r="AU12" s="319">
        <f>OBJ!B46</f>
        <v>9353342</v>
      </c>
      <c r="AV12" s="21" t="str">
        <f>VLOOKUP(AU12,CENY!$B$11:$G$1054,2,FALSE)</f>
        <v>AvanY-sólo oceľ.boky-NW 101/300mm/biela</v>
      </c>
      <c r="AW12" s="22">
        <f>VLOOKUP(AU12,CENY!$B$11:$G$1054,3,FALSE)</f>
        <v>1</v>
      </c>
      <c r="AX12" s="362">
        <v>8</v>
      </c>
      <c r="AY12" s="23">
        <f>SUM(AY1:AY2)*(AC20+AC22+AC28)</f>
        <v>0</v>
      </c>
      <c r="AZ12" s="326">
        <f t="shared" si="1"/>
        <v>0</v>
      </c>
      <c r="BA12" s="95">
        <f>VLOOKUP(AU12,CENY!$B$11:$M$2025,12,FALSE)</f>
        <v>600.62784999999997</v>
      </c>
      <c r="BB12" s="95">
        <f t="shared" si="0"/>
        <v>0</v>
      </c>
      <c r="BD12" s="319">
        <f>OBJ!B57</f>
        <v>9255015</v>
      </c>
      <c r="BE12" s="21" t="str">
        <f>VLOOKUP(BD12,CENY!$B$11:$G$1054,2,FALSE)</f>
        <v>AvanY-bok pravý /v101/h400/ strieborná</v>
      </c>
      <c r="BF12" s="22">
        <f>VLOOKUP(BD12,CENY!$B$11:$G$1054,3,FALSE)</f>
        <v>20</v>
      </c>
      <c r="BG12" s="22"/>
      <c r="BH12" s="68"/>
      <c r="BI12" s="326" t="str">
        <f t="shared" si="2"/>
        <v/>
      </c>
      <c r="BJ12" s="95">
        <f>VLOOKUP(BD12,CENY!$B$11:$M$2025,12,FALSE)</f>
        <v>218.14608000000001</v>
      </c>
      <c r="BK12" s="95">
        <f t="shared" si="3"/>
        <v>0</v>
      </c>
    </row>
    <row r="13" spans="1:63" ht="14.4" customHeight="1">
      <c r="B13" s="549" t="str">
        <f>" "&amp;verze!E92</f>
        <v xml:space="preserve"> cena kování:</v>
      </c>
      <c r="C13" s="549"/>
      <c r="D13" s="549"/>
      <c r="E13" s="550"/>
      <c r="F13" s="555">
        <f>IF(AW4=1,BB4,BK4)</f>
        <v>0</v>
      </c>
      <c r="G13" s="555"/>
      <c r="H13" s="555"/>
      <c r="I13" s="555"/>
      <c r="J13" s="556" t="str">
        <f>IF(verze!E1="CZK","CZK","EUR")</f>
        <v>CZK</v>
      </c>
      <c r="K13" s="557"/>
      <c r="AU13" s="319">
        <f>OBJ!B47</f>
        <v>9353343</v>
      </c>
      <c r="AV13" s="21" t="str">
        <f>VLOOKUP(AU13,CENY!$B$11:$G$1054,2,FALSE)</f>
        <v>AvanY-sólo oceľ.boky-NW 101/350mm/biela</v>
      </c>
      <c r="AW13" s="22">
        <f>VLOOKUP(AU13,CENY!$B$11:$G$1054,3,FALSE)</f>
        <v>1</v>
      </c>
      <c r="AX13" s="362">
        <v>10</v>
      </c>
      <c r="AY13" s="23">
        <f>SUM(AY1:AY2)*(AE22)</f>
        <v>0</v>
      </c>
      <c r="AZ13" s="326">
        <f t="shared" si="1"/>
        <v>0</v>
      </c>
      <c r="BA13" s="95">
        <f>VLOOKUP(AU13,CENY!$B$11:$M$2025,12,FALSE)</f>
        <v>618.65596000000005</v>
      </c>
      <c r="BB13" s="95">
        <f t="shared" si="0"/>
        <v>0</v>
      </c>
      <c r="BD13" s="319">
        <f>OBJ!B58</f>
        <v>9255016</v>
      </c>
      <c r="BE13" s="21" t="str">
        <f>VLOOKUP(BD13,CENY!$B$11:$G$1054,2,FALSE)</f>
        <v>AvanY-bok ľavý /v101/h450/ strieborná</v>
      </c>
      <c r="BF13" s="22">
        <f>VLOOKUP(BD13,CENY!$B$11:$G$1054,3,FALSE)</f>
        <v>20</v>
      </c>
      <c r="BG13" s="22"/>
      <c r="BH13" s="23">
        <f>AY9</f>
        <v>0</v>
      </c>
      <c r="BI13" s="326">
        <f t="shared" si="2"/>
        <v>0</v>
      </c>
      <c r="BJ13" s="95">
        <f>VLOOKUP(BD13,CENY!$B$11:$M$2025,12,FALSE)</f>
        <v>222.02244999999999</v>
      </c>
      <c r="BK13" s="95">
        <f t="shared" si="3"/>
        <v>0</v>
      </c>
    </row>
    <row r="14" spans="1:63" ht="14.4" customHeight="1">
      <c r="AU14" s="319"/>
      <c r="AV14" s="21"/>
      <c r="AW14" s="22"/>
      <c r="AX14" s="362"/>
      <c r="AY14" s="23"/>
      <c r="AZ14" s="326"/>
      <c r="BA14" s="95"/>
      <c r="BB14" s="95"/>
      <c r="BD14" s="319">
        <f>OBJ!B59</f>
        <v>9255017</v>
      </c>
      <c r="BE14" s="21" t="str">
        <f>VLOOKUP(BD14,CENY!$B$11:$G$1054,2,FALSE)</f>
        <v>AvanY-bok pravý /v101/h450/ strieborná</v>
      </c>
      <c r="BF14" s="22">
        <f>VLOOKUP(BD14,CENY!$B$11:$G$1054,3,FALSE)</f>
        <v>20</v>
      </c>
      <c r="BG14" s="22"/>
      <c r="BH14" s="23">
        <f>AY9</f>
        <v>0</v>
      </c>
      <c r="BI14" s="326">
        <f t="shared" si="2"/>
        <v>0</v>
      </c>
      <c r="BJ14" s="95">
        <f>VLOOKUP(BD14,CENY!$B$11:$M$2025,12,FALSE)</f>
        <v>222.02244999999999</v>
      </c>
      <c r="BK14" s="95">
        <f t="shared" si="3"/>
        <v>0</v>
      </c>
    </row>
    <row r="15" spans="1:63" ht="14.4" customHeight="1">
      <c r="AU15" s="319">
        <f>OBJ!B116</f>
        <v>9353357</v>
      </c>
      <c r="AV15" s="21" t="str">
        <f>VLOOKUP(AU15,CENY!$B$11:$G$1054,2,FALSE)</f>
        <v>AvanY-sólo oceľ.boky-NW 187/450mm/strieb.</v>
      </c>
      <c r="AW15" s="22">
        <f>VLOOKUP(AU15,CENY!$B$11:$G$1054,3,FALSE)</f>
        <v>1</v>
      </c>
      <c r="AX15" s="362">
        <v>6</v>
      </c>
      <c r="AY15" s="23">
        <f>SUM(AY3:AY4)*(W20+W22+W28)</f>
        <v>0</v>
      </c>
      <c r="AZ15" s="326">
        <f t="shared" ref="AZ15:AZ19" si="4">IF(AY15="","",IF($AW$4=1,AY15,0))</f>
        <v>0</v>
      </c>
      <c r="BA15" s="95">
        <f>VLOOKUP(AU15,CENY!$B$11:$M$2025,12,FALSE)</f>
        <v>803.01720999999998</v>
      </c>
      <c r="BB15" s="95">
        <f t="shared" ref="BB15:BB19" si="5">IF(BA15="","",BA15*AY15)</f>
        <v>0</v>
      </c>
      <c r="BD15" s="319">
        <f>OBJ!B60</f>
        <v>9255018</v>
      </c>
      <c r="BE15" s="21" t="str">
        <f>VLOOKUP(BD15,CENY!$B$11:$G$1054,2,FALSE)</f>
        <v>AvanY-bok ľavý /v101/h500/ strieborná</v>
      </c>
      <c r="BF15" s="22">
        <f>VLOOKUP(BD15,CENY!$B$11:$G$1054,3,FALSE)</f>
        <v>20</v>
      </c>
      <c r="BG15" s="22"/>
      <c r="BH15" s="23">
        <f>AY10</f>
        <v>0</v>
      </c>
      <c r="BI15" s="326">
        <f t="shared" si="2"/>
        <v>0</v>
      </c>
      <c r="BJ15" s="95">
        <f>VLOOKUP(BD15,CENY!$B$11:$M$2025,12,FALSE)</f>
        <v>219.88341</v>
      </c>
      <c r="BK15" s="95">
        <f t="shared" si="3"/>
        <v>0</v>
      </c>
    </row>
    <row r="16" spans="1:63" ht="14.4" customHeight="1">
      <c r="AB16" s="341"/>
      <c r="AU16" s="319">
        <f>OBJ!B117</f>
        <v>9353358</v>
      </c>
      <c r="AV16" s="21" t="str">
        <f>VLOOKUP(AU16,CENY!$B$11:$G$1054,2,FALSE)</f>
        <v>AvanY-sólo oceľ.boky-NW 187/500mm/strieb.</v>
      </c>
      <c r="AW16" s="22">
        <f>VLOOKUP(AU16,CENY!$B$11:$G$1054,3,FALSE)</f>
        <v>1</v>
      </c>
      <c r="AX16" s="362">
        <v>8</v>
      </c>
      <c r="AY16" s="23">
        <f>SUM(AY3:AY4)*(Y20+Y22+Y28)</f>
        <v>0</v>
      </c>
      <c r="AZ16" s="326">
        <f t="shared" si="4"/>
        <v>0</v>
      </c>
      <c r="BA16" s="95">
        <f>VLOOKUP(AU16,CENY!$B$11:$M$2025,12,FALSE)</f>
        <v>814.69060000000002</v>
      </c>
      <c r="BB16" s="95">
        <f t="shared" si="5"/>
        <v>0</v>
      </c>
      <c r="BD16" s="319">
        <f>OBJ!B61</f>
        <v>9255019</v>
      </c>
      <c r="BE16" s="21" t="str">
        <f>VLOOKUP(BD16,CENY!$B$11:$G$1054,2,FALSE)</f>
        <v>AvanY-bok pravý /v101/h500/ strieborná</v>
      </c>
      <c r="BF16" s="22">
        <f>VLOOKUP(BD16,CENY!$B$11:$G$1054,3,FALSE)</f>
        <v>20</v>
      </c>
      <c r="BG16" s="22"/>
      <c r="BH16" s="23">
        <f>AY10</f>
        <v>0</v>
      </c>
      <c r="BI16" s="326">
        <f t="shared" si="2"/>
        <v>0</v>
      </c>
      <c r="BJ16" s="95">
        <f>VLOOKUP(BD16,CENY!$B$11:$M$2025,12,FALSE)</f>
        <v>219.88341</v>
      </c>
      <c r="BK16" s="95">
        <f t="shared" si="3"/>
        <v>0</v>
      </c>
    </row>
    <row r="17" spans="2:63" ht="14.4" customHeight="1" thickBot="1">
      <c r="B17" s="1" t="s">
        <v>284</v>
      </c>
      <c r="O17" s="547" t="str">
        <f>FORM!U18</f>
        <v>flexibilní sety</v>
      </c>
      <c r="P17" s="548"/>
      <c r="Q17" s="548"/>
      <c r="R17" s="548"/>
      <c r="S17" s="548"/>
      <c r="T17" s="548"/>
      <c r="U17" s="548"/>
      <c r="V17" s="548"/>
      <c r="W17" s="548"/>
      <c r="X17" s="548"/>
      <c r="Y17" s="548"/>
      <c r="Z17" s="548"/>
      <c r="AA17" s="548"/>
      <c r="AB17" s="548"/>
      <c r="AC17" s="548"/>
      <c r="AD17" s="548"/>
      <c r="AE17" s="548"/>
      <c r="AF17" s="548"/>
      <c r="AU17" s="319">
        <f>OBJ!B118</f>
        <v>9353359</v>
      </c>
      <c r="AV17" s="21" t="str">
        <f>VLOOKUP(AU17,CENY!$B$11:$G$1054,2,FALSE)</f>
        <v>AvanY-sólo oceľ.boky-NW 187/550mm/strieb.</v>
      </c>
      <c r="AW17" s="22">
        <f>VLOOKUP(AU17,CENY!$B$11:$G$1054,3,FALSE)</f>
        <v>1</v>
      </c>
      <c r="AX17" s="362">
        <v>8</v>
      </c>
      <c r="AY17" s="23">
        <f>SUM(AY3:AY4)*(AA20+AA22+AA28)</f>
        <v>0</v>
      </c>
      <c r="AZ17" s="326">
        <f t="shared" si="4"/>
        <v>0</v>
      </c>
      <c r="BA17" s="95">
        <f>VLOOKUP(AU17,CENY!$B$11:$M$2025,12,FALSE)</f>
        <v>848.94223999999997</v>
      </c>
      <c r="BB17" s="95">
        <f t="shared" si="5"/>
        <v>0</v>
      </c>
      <c r="BD17" s="319">
        <f>OBJ!B62</f>
        <v>9255020</v>
      </c>
      <c r="BE17" s="21" t="str">
        <f>VLOOKUP(BD17,CENY!$B$11:$G$1054,2,FALSE)</f>
        <v>AvanY-bok ľavý /v101/h550/ strieborná</v>
      </c>
      <c r="BF17" s="22">
        <f>VLOOKUP(BD17,CENY!$B$11:$G$1054,3,FALSE)</f>
        <v>20</v>
      </c>
      <c r="BG17" s="22"/>
      <c r="BH17" s="23">
        <f>AY11</f>
        <v>0</v>
      </c>
      <c r="BI17" s="326">
        <f t="shared" si="2"/>
        <v>0</v>
      </c>
      <c r="BJ17" s="95">
        <f>VLOOKUP(BD17,CENY!$B$11:$M$2025,12,FALSE)</f>
        <v>229.76492999999999</v>
      </c>
      <c r="BK17" s="95">
        <f t="shared" si="3"/>
        <v>0</v>
      </c>
    </row>
    <row r="18" spans="2:63" ht="14.4" customHeight="1" thickBot="1">
      <c r="B18" s="96"/>
      <c r="C18" s="96"/>
      <c r="D18" s="96"/>
      <c r="E18" s="96"/>
      <c r="F18" s="96"/>
      <c r="G18" s="96"/>
      <c r="H18" s="72"/>
      <c r="I18" s="72"/>
      <c r="J18" s="72"/>
      <c r="K18" s="72"/>
      <c r="L18" s="72"/>
      <c r="M18" s="72"/>
      <c r="N18" s="72" t="str">
        <f>verze!$E$20&amp;" "</f>
        <v xml:space="preserve">Jmenovitá délka: </v>
      </c>
      <c r="O18" s="535">
        <v>270</v>
      </c>
      <c r="P18" s="536"/>
      <c r="Q18" s="535">
        <v>300</v>
      </c>
      <c r="R18" s="536"/>
      <c r="S18" s="535">
        <v>350</v>
      </c>
      <c r="T18" s="536"/>
      <c r="U18" s="535">
        <v>400</v>
      </c>
      <c r="V18" s="536"/>
      <c r="W18" s="535">
        <v>450</v>
      </c>
      <c r="X18" s="536"/>
      <c r="Y18" s="537">
        <v>500</v>
      </c>
      <c r="Z18" s="538"/>
      <c r="AA18" s="535">
        <v>550</v>
      </c>
      <c r="AB18" s="536"/>
      <c r="AC18" s="535">
        <v>600</v>
      </c>
      <c r="AD18" s="536"/>
      <c r="AE18" s="535">
        <v>650</v>
      </c>
      <c r="AF18" s="536"/>
      <c r="AP18" s="233" t="s">
        <v>258</v>
      </c>
      <c r="AQ18" s="614">
        <v>1</v>
      </c>
      <c r="AR18" s="615"/>
      <c r="AU18" s="319">
        <f>OBJ!B119</f>
        <v>9353360</v>
      </c>
      <c r="AV18" s="21" t="str">
        <f>VLOOKUP(AU18,CENY!$B$11:$G$1054,2,FALSE)</f>
        <v>AvanY-sólo oceľ.boky-NW 187/600mm/strieb.</v>
      </c>
      <c r="AW18" s="22">
        <f>VLOOKUP(AU18,CENY!$B$11:$G$1054,3,FALSE)</f>
        <v>1</v>
      </c>
      <c r="AX18" s="362">
        <v>8</v>
      </c>
      <c r="AY18" s="23">
        <f>SUM(AY3:AY4)*(AC20+AC22+AC28)</f>
        <v>0</v>
      </c>
      <c r="AZ18" s="326">
        <f t="shared" si="4"/>
        <v>0</v>
      </c>
      <c r="BA18" s="95">
        <f>VLOOKUP(AU18,CENY!$B$11:$M$2025,12,FALSE)</f>
        <v>867.96834999999999</v>
      </c>
      <c r="BB18" s="95">
        <f t="shared" si="5"/>
        <v>0</v>
      </c>
      <c r="BD18" s="319">
        <f>OBJ!B63</f>
        <v>9255021</v>
      </c>
      <c r="BE18" s="21" t="str">
        <f>VLOOKUP(BD18,CENY!$B$11:$G$1054,2,FALSE)</f>
        <v>AvanY-bok pravý /v101/h550/ strieborná</v>
      </c>
      <c r="BF18" s="22">
        <f>VLOOKUP(BD18,CENY!$B$11:$G$1054,3,FALSE)</f>
        <v>20</v>
      </c>
      <c r="BG18" s="22"/>
      <c r="BH18" s="23">
        <f>AY11</f>
        <v>0</v>
      </c>
      <c r="BI18" s="326">
        <f t="shared" si="2"/>
        <v>0</v>
      </c>
      <c r="BJ18" s="95">
        <f>VLOOKUP(BD18,CENY!$B$11:$M$2025,12,FALSE)</f>
        <v>229.76492999999999</v>
      </c>
      <c r="BK18" s="95">
        <f t="shared" si="3"/>
        <v>0</v>
      </c>
    </row>
    <row r="19" spans="2:63" ht="14.4" customHeight="1" thickBot="1">
      <c r="B19" s="530" t="s">
        <v>289</v>
      </c>
      <c r="C19" s="530"/>
      <c r="D19" s="530"/>
      <c r="E19" s="530"/>
      <c r="F19" s="530"/>
      <c r="G19" s="530"/>
      <c r="H19" s="531" t="str">
        <f>verze!E18</f>
        <v>plnovýsuv</v>
      </c>
      <c r="I19" s="531"/>
      <c r="J19" s="531"/>
      <c r="K19" s="531"/>
      <c r="L19" s="531"/>
      <c r="M19" s="532" t="s">
        <v>286</v>
      </c>
      <c r="N19" s="533"/>
      <c r="O19" s="569"/>
      <c r="P19" s="612"/>
      <c r="Q19" s="613"/>
      <c r="R19" s="612"/>
      <c r="S19" s="613"/>
      <c r="T19" s="570"/>
      <c r="U19" s="283"/>
      <c r="V19" s="284"/>
      <c r="W19" s="283"/>
      <c r="X19" s="284"/>
      <c r="Y19" s="283"/>
      <c r="Z19" s="284"/>
      <c r="AA19" s="283"/>
      <c r="AB19" s="284"/>
      <c r="AC19" s="283"/>
      <c r="AD19" s="284"/>
      <c r="AE19" s="280"/>
      <c r="AF19" s="281"/>
      <c r="AU19" s="319">
        <f>OBJ!B120</f>
        <v>9353371</v>
      </c>
      <c r="AV19" s="21" t="str">
        <f>VLOOKUP(AU19,CENY!$B$11:$G$1054,2,FALSE)</f>
        <v>AvanY-sólo oceľ.boky-NW 187/650mm/strieb.</v>
      </c>
      <c r="AW19" s="22">
        <f>VLOOKUP(AU19,CENY!$B$11:$G$1054,3,FALSE)</f>
        <v>1</v>
      </c>
      <c r="AX19" s="362">
        <v>10</v>
      </c>
      <c r="AY19" s="23">
        <f>SUM(AY3:AY4)*(AE22)</f>
        <v>0</v>
      </c>
      <c r="AZ19" s="326">
        <f t="shared" si="4"/>
        <v>0</v>
      </c>
      <c r="BA19" s="95">
        <f>VLOOKUP(AU19,CENY!$B$11:$M$2025,12,FALSE)</f>
        <v>895.00838999999996</v>
      </c>
      <c r="BB19" s="95">
        <f t="shared" si="5"/>
        <v>0</v>
      </c>
      <c r="BD19" s="319">
        <f>OBJ!B64</f>
        <v>9255022</v>
      </c>
      <c r="BE19" s="21" t="str">
        <f>VLOOKUP(BD19,CENY!$B$11:$G$1054,2,FALSE)</f>
        <v>AvanY-bok ľavý /v101/h600/ strieborná</v>
      </c>
      <c r="BF19" s="22">
        <f>VLOOKUP(BD19,CENY!$B$11:$G$1054,3,FALSE)</f>
        <v>20</v>
      </c>
      <c r="BG19" s="22"/>
      <c r="BH19" s="23">
        <f>AY12</f>
        <v>0</v>
      </c>
      <c r="BI19" s="326">
        <f t="shared" si="2"/>
        <v>0</v>
      </c>
      <c r="BJ19" s="95">
        <f>VLOOKUP(BD19,CENY!$B$11:$M$2025,12,FALSE)</f>
        <v>235.60476</v>
      </c>
      <c r="BK19" s="95">
        <f t="shared" si="3"/>
        <v>0</v>
      </c>
    </row>
    <row r="20" spans="2:63" ht="14.4" customHeight="1" thickBot="1">
      <c r="B20" s="521" t="s">
        <v>290</v>
      </c>
      <c r="C20" s="521"/>
      <c r="D20" s="521"/>
      <c r="E20" s="521"/>
      <c r="F20" s="521"/>
      <c r="G20" s="521"/>
      <c r="H20" s="522" t="str">
        <f>verze!E18</f>
        <v>plnovýsuv</v>
      </c>
      <c r="I20" s="522"/>
      <c r="J20" s="522"/>
      <c r="K20" s="522"/>
      <c r="L20" s="522"/>
      <c r="M20" s="523" t="s">
        <v>287</v>
      </c>
      <c r="N20" s="546"/>
      <c r="O20" s="518"/>
      <c r="P20" s="519"/>
      <c r="Q20" s="518"/>
      <c r="R20" s="519"/>
      <c r="S20" s="518"/>
      <c r="T20" s="519"/>
      <c r="U20" s="518"/>
      <c r="V20" s="519"/>
      <c r="W20" s="516"/>
      <c r="X20" s="517"/>
      <c r="Y20" s="516"/>
      <c r="Z20" s="517"/>
      <c r="AA20" s="516"/>
      <c r="AB20" s="517"/>
      <c r="AC20" s="565"/>
      <c r="AD20" s="566"/>
      <c r="AE20" s="518"/>
      <c r="AF20" s="519"/>
      <c r="AU20" s="319"/>
      <c r="AV20" s="21"/>
      <c r="AW20" s="22"/>
      <c r="AX20" s="22"/>
      <c r="AY20" s="23"/>
      <c r="AZ20" s="326" t="str">
        <f t="shared" si="1"/>
        <v/>
      </c>
      <c r="BA20" s="95"/>
      <c r="BB20" s="95" t="str">
        <f t="shared" si="0"/>
        <v/>
      </c>
      <c r="BD20" s="319">
        <f>OBJ!B65</f>
        <v>9255023</v>
      </c>
      <c r="BE20" s="21" t="str">
        <f>VLOOKUP(BD20,CENY!$B$11:$G$1054,2,FALSE)</f>
        <v>AvanY-bok pravý /v101/h600/ strieborná</v>
      </c>
      <c r="BF20" s="22">
        <f>VLOOKUP(BD20,CENY!$B$11:$G$1054,3,FALSE)</f>
        <v>20</v>
      </c>
      <c r="BG20" s="22"/>
      <c r="BH20" s="23">
        <f>AY12</f>
        <v>0</v>
      </c>
      <c r="BI20" s="326">
        <f t="shared" si="2"/>
        <v>0</v>
      </c>
      <c r="BJ20" s="95">
        <f>VLOOKUP(BD20,CENY!$B$11:$M$2025,12,FALSE)</f>
        <v>235.60476</v>
      </c>
      <c r="BK20" s="95">
        <f t="shared" si="3"/>
        <v>0</v>
      </c>
    </row>
    <row r="21" spans="2:63" ht="14.4" customHeight="1" thickBot="1">
      <c r="O21" s="283"/>
      <c r="P21" s="284"/>
      <c r="Q21" s="283"/>
      <c r="R21" s="284"/>
      <c r="S21" s="283"/>
      <c r="T21" s="284"/>
      <c r="U21" s="283"/>
      <c r="V21" s="284"/>
      <c r="W21" s="283"/>
      <c r="X21" s="284"/>
      <c r="Y21" s="283"/>
      <c r="Z21" s="284"/>
      <c r="AA21" s="283"/>
      <c r="AB21" s="284"/>
      <c r="AC21" s="283"/>
      <c r="AD21" s="284"/>
      <c r="AE21" s="283"/>
      <c r="AF21" s="284"/>
      <c r="AU21" s="319">
        <f>OBJ!B71</f>
        <v>9347502</v>
      </c>
      <c r="AV21" s="21" t="str">
        <f>VLOOKUP(AU21,CENY!$B$11:$G$1054,2,FALSE)</f>
        <v>AvanY-design ALprofil Hybrid na bok 270/ strieb.</v>
      </c>
      <c r="AW21" s="22">
        <f>VLOOKUP(AU21,CENY!$B$11:$G$1054,3,FALSE)</f>
        <v>200</v>
      </c>
      <c r="AX21" s="22"/>
      <c r="AY21" s="68"/>
      <c r="AZ21" s="326" t="str">
        <f t="shared" si="1"/>
        <v/>
      </c>
      <c r="BA21" s="95">
        <f>VLOOKUP(AU21,CENY!$B$11:$M$2025,12,FALSE)</f>
        <v>19.78839</v>
      </c>
      <c r="BB21" s="95">
        <f t="shared" si="0"/>
        <v>0</v>
      </c>
      <c r="BD21" s="319">
        <f>OBJ!B66</f>
        <v>9255024</v>
      </c>
      <c r="BE21" s="21" t="str">
        <f>VLOOKUP(BD21,CENY!$B$11:$G$1054,2,FALSE)</f>
        <v>AvanY-bok ľavý /v101/h650/ strieborná</v>
      </c>
      <c r="BF21" s="22">
        <f>VLOOKUP(BD21,CENY!$B$11:$G$1054,3,FALSE)</f>
        <v>20</v>
      </c>
      <c r="BG21" s="22"/>
      <c r="BH21" s="23">
        <f>AY13</f>
        <v>0</v>
      </c>
      <c r="BI21" s="326">
        <f t="shared" si="2"/>
        <v>0</v>
      </c>
      <c r="BJ21" s="95">
        <f>VLOOKUP(BD21,CENY!$B$11:$M$2025,12,FALSE)</f>
        <v>243.54496</v>
      </c>
      <c r="BK21" s="95">
        <f t="shared" si="3"/>
        <v>0</v>
      </c>
    </row>
    <row r="22" spans="2:63" ht="14.4" customHeight="1" thickBot="1">
      <c r="B22" s="544" t="s">
        <v>291</v>
      </c>
      <c r="C22" s="544"/>
      <c r="D22" s="544"/>
      <c r="E22" s="544"/>
      <c r="F22" s="544"/>
      <c r="G22" s="544"/>
      <c r="H22" s="545" t="str">
        <f>verze!E18</f>
        <v>plnovýsuv</v>
      </c>
      <c r="I22" s="545"/>
      <c r="J22" s="545"/>
      <c r="K22" s="545"/>
      <c r="L22" s="545"/>
      <c r="M22" s="523" t="s">
        <v>288</v>
      </c>
      <c r="N22" s="524"/>
      <c r="O22" s="518"/>
      <c r="P22" s="519"/>
      <c r="Q22" s="518"/>
      <c r="R22" s="519"/>
      <c r="S22" s="518"/>
      <c r="T22" s="519"/>
      <c r="U22" s="518"/>
      <c r="V22" s="519"/>
      <c r="W22" s="516"/>
      <c r="X22" s="517"/>
      <c r="Y22" s="516"/>
      <c r="Z22" s="517"/>
      <c r="AA22" s="516"/>
      <c r="AB22" s="517"/>
      <c r="AC22" s="516"/>
      <c r="AD22" s="517"/>
      <c r="AE22" s="565"/>
      <c r="AF22" s="566"/>
      <c r="AU22" s="319">
        <f>OBJ!B72</f>
        <v>9347503</v>
      </c>
      <c r="AV22" s="21" t="str">
        <f>VLOOKUP(AU22,CENY!$B$11:$G$1054,2,FALSE)</f>
        <v>AvanY-design ALprofil Hybrid na bok 300/ strieb.</v>
      </c>
      <c r="AW22" s="22">
        <f>VLOOKUP(AU22,CENY!$B$11:$G$1054,3,FALSE)</f>
        <v>200</v>
      </c>
      <c r="AX22" s="22"/>
      <c r="AY22" s="68"/>
      <c r="AZ22" s="326" t="str">
        <f t="shared" si="1"/>
        <v/>
      </c>
      <c r="BA22" s="95">
        <f>VLOOKUP(AU22,CENY!$B$11:$M$2025,12,FALSE)</f>
        <v>20.006769999999999</v>
      </c>
      <c r="BB22" s="95">
        <f t="shared" si="0"/>
        <v>0</v>
      </c>
      <c r="BD22" s="319">
        <f>OBJ!B67</f>
        <v>9255025</v>
      </c>
      <c r="BE22" s="21" t="str">
        <f>VLOOKUP(BD22,CENY!$B$11:$G$1054,2,FALSE)</f>
        <v>AvanY-bok pravý /v101/h650/ strieborná</v>
      </c>
      <c r="BF22" s="22">
        <f>VLOOKUP(BD22,CENY!$B$11:$G$1054,3,FALSE)</f>
        <v>20</v>
      </c>
      <c r="BG22" s="22"/>
      <c r="BH22" s="23">
        <f>AY13</f>
        <v>0</v>
      </c>
      <c r="BI22" s="326">
        <f t="shared" si="2"/>
        <v>0</v>
      </c>
      <c r="BJ22" s="95">
        <f>VLOOKUP(BD22,CENY!$B$11:$M$2025,12,FALSE)</f>
        <v>243.54496</v>
      </c>
      <c r="BK22" s="95">
        <f t="shared" si="3"/>
        <v>0</v>
      </c>
    </row>
    <row r="23" spans="2:63" ht="14.4" customHeight="1" thickBot="1">
      <c r="O23" s="4"/>
      <c r="P23" s="4"/>
      <c r="AU23" s="319">
        <f>OBJ!B73</f>
        <v>9347504</v>
      </c>
      <c r="AV23" s="21" t="str">
        <f>VLOOKUP(AU23,CENY!$B$11:$G$1054,2,FALSE)</f>
        <v>AvanY-design ALprofil Hybrid na bok 350/ strieb.</v>
      </c>
      <c r="AW23" s="22">
        <f>VLOOKUP(AU23,CENY!$B$11:$G$1054,3,FALSE)</f>
        <v>200</v>
      </c>
      <c r="AX23" s="22"/>
      <c r="AY23" s="68"/>
      <c r="AZ23" s="326" t="str">
        <f t="shared" si="1"/>
        <v/>
      </c>
      <c r="BA23" s="95">
        <f>VLOOKUP(AU23,CENY!$B$11:$M$2025,12,FALSE)</f>
        <v>20.37642</v>
      </c>
      <c r="BB23" s="95">
        <f t="shared" si="0"/>
        <v>0</v>
      </c>
      <c r="BD23" s="319"/>
      <c r="BE23" s="21"/>
      <c r="BF23" s="22"/>
      <c r="BG23" s="22"/>
      <c r="BH23" s="23"/>
      <c r="BI23" s="326" t="str">
        <f t="shared" si="2"/>
        <v/>
      </c>
      <c r="BJ23" s="95"/>
      <c r="BK23" s="95"/>
    </row>
    <row r="24" spans="2:63" ht="14.4" customHeight="1" thickBot="1">
      <c r="AP24" s="233" t="s">
        <v>258</v>
      </c>
      <c r="AQ24" s="614">
        <v>2</v>
      </c>
      <c r="AR24" s="615"/>
      <c r="AU24" s="319">
        <f>OBJ!B74</f>
        <v>9347505</v>
      </c>
      <c r="AV24" s="21" t="str">
        <f>VLOOKUP(AU24,CENY!$B$11:$G$1054,2,FALSE)</f>
        <v>AvanY-design ALprofil Hybrid na bok 400/ strieb.</v>
      </c>
      <c r="AW24" s="22">
        <f>VLOOKUP(AU24,CENY!$B$11:$G$1054,3,FALSE)</f>
        <v>200</v>
      </c>
      <c r="AX24" s="22"/>
      <c r="AY24" s="68"/>
      <c r="AZ24" s="326" t="str">
        <f t="shared" si="1"/>
        <v/>
      </c>
      <c r="BA24" s="95">
        <f>VLOOKUP(AU24,CENY!$B$11:$M$2025,12,FALSE)</f>
        <v>20.742249999999999</v>
      </c>
      <c r="BB24" s="95">
        <f t="shared" si="0"/>
        <v>0</v>
      </c>
      <c r="BD24" s="319">
        <f>OBJ!B130</f>
        <v>9255052</v>
      </c>
      <c r="BE24" s="21" t="str">
        <f>VLOOKUP(BD24,CENY!$B$11:$G$1054,2,FALSE)</f>
        <v>AvanY-bok ľavý /v187/h450/ strieborná</v>
      </c>
      <c r="BF24" s="22">
        <f>VLOOKUP(BD24,CENY!$B$11:$G$1054,3,FALSE)</f>
        <v>10</v>
      </c>
      <c r="BG24" s="22"/>
      <c r="BH24" s="23">
        <f>AY15</f>
        <v>0</v>
      </c>
      <c r="BI24" s="326">
        <f t="shared" si="2"/>
        <v>0</v>
      </c>
      <c r="BJ24" s="95">
        <f>VLOOKUP(BD24,CENY!$B$11:$M$2025,12,FALSE)</f>
        <v>357.13297</v>
      </c>
      <c r="BK24" s="95">
        <f t="shared" ref="BK24:BK33" si="6">IF(BJ24="","",BJ24*BH24)</f>
        <v>0</v>
      </c>
    </row>
    <row r="25" spans="2:63" ht="14.4" customHeight="1" thickBot="1">
      <c r="B25" s="2" t="s">
        <v>285</v>
      </c>
      <c r="AU25" s="319">
        <f>OBJ!B75</f>
        <v>9347506</v>
      </c>
      <c r="AV25" s="21" t="str">
        <f>VLOOKUP(AU25,CENY!$B$11:$G$1054,2,FALSE)</f>
        <v>AvanY-design ALprofil Hybrid na bok 450/ strieb.</v>
      </c>
      <c r="AW25" s="22">
        <f>VLOOKUP(AU25,CENY!$B$11:$G$1054,3,FALSE)</f>
        <v>200</v>
      </c>
      <c r="AX25" s="22"/>
      <c r="AY25" s="23">
        <f>IF(FORM!AM18=FORM!AU16,0,2*SUM(AY1:AY4)*(W20+W22+W28))</f>
        <v>0</v>
      </c>
      <c r="AZ25" s="326">
        <f t="shared" si="1"/>
        <v>0</v>
      </c>
      <c r="BA25" s="95">
        <f>VLOOKUP(AU25,CENY!$B$11:$M$2025,12,FALSE)</f>
        <v>21.111910000000002</v>
      </c>
      <c r="BB25" s="95">
        <f t="shared" si="0"/>
        <v>0</v>
      </c>
      <c r="BD25" s="319">
        <f>OBJ!B131</f>
        <v>9255053</v>
      </c>
      <c r="BE25" s="21" t="str">
        <f>VLOOKUP(BD25,CENY!$B$11:$G$1054,2,FALSE)</f>
        <v>AvanY-bok pravý /v187/h450/ strieborná</v>
      </c>
      <c r="BF25" s="22">
        <f>VLOOKUP(BD25,CENY!$B$11:$G$1054,3,FALSE)</f>
        <v>10</v>
      </c>
      <c r="BG25" s="22"/>
      <c r="BH25" s="23">
        <f>AY15</f>
        <v>0</v>
      </c>
      <c r="BI25" s="326">
        <f t="shared" si="2"/>
        <v>0</v>
      </c>
      <c r="BJ25" s="95">
        <f>VLOOKUP(BD25,CENY!$B$11:$M$2025,12,FALSE)</f>
        <v>357.13297</v>
      </c>
      <c r="BK25" s="95">
        <f t="shared" si="6"/>
        <v>0</v>
      </c>
    </row>
    <row r="26" spans="2:63" ht="14.4" customHeight="1" thickBot="1">
      <c r="B26" s="96"/>
      <c r="C26" s="96"/>
      <c r="D26" s="96"/>
      <c r="E26" s="96"/>
      <c r="F26" s="96"/>
      <c r="G26" s="96"/>
      <c r="H26" s="72"/>
      <c r="I26" s="72"/>
      <c r="J26" s="72"/>
      <c r="K26" s="72"/>
      <c r="L26" s="72"/>
      <c r="M26" s="72"/>
      <c r="N26" s="72" t="str">
        <f>verze!$E$20&amp;" "</f>
        <v xml:space="preserve">Jmenovitá délka: </v>
      </c>
      <c r="O26" s="535">
        <v>270</v>
      </c>
      <c r="P26" s="536"/>
      <c r="Q26" s="535">
        <v>300</v>
      </c>
      <c r="R26" s="536"/>
      <c r="S26" s="535">
        <v>350</v>
      </c>
      <c r="T26" s="536"/>
      <c r="U26" s="535">
        <v>400</v>
      </c>
      <c r="V26" s="536"/>
      <c r="W26" s="535">
        <v>450</v>
      </c>
      <c r="X26" s="536"/>
      <c r="Y26" s="537">
        <v>500</v>
      </c>
      <c r="Z26" s="538"/>
      <c r="AA26" s="535">
        <v>550</v>
      </c>
      <c r="AB26" s="536"/>
      <c r="AC26" s="535">
        <v>600</v>
      </c>
      <c r="AD26" s="536"/>
      <c r="AU26" s="319">
        <f>OBJ!B76</f>
        <v>9347507</v>
      </c>
      <c r="AV26" s="21" t="str">
        <f>VLOOKUP(AU26,CENY!$B$11:$G$1054,2,FALSE)</f>
        <v>AvanY-design ALprofil Hybrid na bok 500/ strieb.</v>
      </c>
      <c r="AW26" s="22">
        <f>VLOOKUP(AU26,CENY!$B$11:$G$1054,3,FALSE)</f>
        <v>200</v>
      </c>
      <c r="AX26" s="22"/>
      <c r="AY26" s="23">
        <f>IF(FORM!AM18=FORM!AU16,0,2*SUM(AY1:AY4)*(Y20+Y22+Y28))</f>
        <v>0</v>
      </c>
      <c r="AZ26" s="326">
        <f t="shared" si="1"/>
        <v>0</v>
      </c>
      <c r="BA26" s="95">
        <f>VLOOKUP(AU26,CENY!$B$11:$M$2025,12,FALSE)</f>
        <v>21.479700000000001</v>
      </c>
      <c r="BB26" s="95">
        <f t="shared" si="0"/>
        <v>0</v>
      </c>
      <c r="BD26" s="319">
        <f>OBJ!B132</f>
        <v>9255054</v>
      </c>
      <c r="BE26" s="21" t="str">
        <f>VLOOKUP(BD26,CENY!$B$11:$G$1054,2,FALSE)</f>
        <v>AvanY-bok ľavý /v187/h500/ strieborná</v>
      </c>
      <c r="BF26" s="22">
        <f>VLOOKUP(BD26,CENY!$B$11:$G$1054,3,FALSE)</f>
        <v>10</v>
      </c>
      <c r="BG26" s="22"/>
      <c r="BH26" s="23">
        <f>AY16</f>
        <v>0</v>
      </c>
      <c r="BI26" s="326">
        <f t="shared" si="2"/>
        <v>0</v>
      </c>
      <c r="BJ26" s="95">
        <f>VLOOKUP(BD26,CENY!$B$11:$M$2025,12,FALSE)</f>
        <v>363.36250999999999</v>
      </c>
      <c r="BK26" s="95">
        <f t="shared" si="6"/>
        <v>0</v>
      </c>
    </row>
    <row r="27" spans="2:63" ht="14.4" customHeight="1" thickBot="1">
      <c r="B27" s="530" t="s">
        <v>292</v>
      </c>
      <c r="C27" s="530"/>
      <c r="D27" s="530"/>
      <c r="E27" s="530"/>
      <c r="F27" s="530"/>
      <c r="G27" s="530"/>
      <c r="H27" s="531" t="str">
        <f>verze!E18</f>
        <v>plnovýsuv</v>
      </c>
      <c r="I27" s="531"/>
      <c r="J27" s="531"/>
      <c r="K27" s="531"/>
      <c r="L27" s="531"/>
      <c r="M27" s="532" t="s">
        <v>286</v>
      </c>
      <c r="N27" s="533"/>
      <c r="O27" s="569"/>
      <c r="P27" s="612"/>
      <c r="Q27" s="613"/>
      <c r="R27" s="612"/>
      <c r="S27" s="613"/>
      <c r="T27" s="570"/>
      <c r="U27" s="283"/>
      <c r="V27" s="284"/>
      <c r="W27" s="283"/>
      <c r="X27" s="284"/>
      <c r="Y27" s="283"/>
      <c r="Z27" s="284"/>
      <c r="AA27" s="283"/>
      <c r="AB27" s="284"/>
      <c r="AC27" s="283"/>
      <c r="AD27" s="284"/>
      <c r="AU27" s="319">
        <f>OBJ!B77</f>
        <v>9347508</v>
      </c>
      <c r="AV27" s="21" t="str">
        <f>VLOOKUP(AU27,CENY!$B$11:$G$1054,2,FALSE)</f>
        <v>AvanY-design ALprofil Hybrid na bok 550/ strieb.</v>
      </c>
      <c r="AW27" s="22">
        <f>VLOOKUP(AU27,CENY!$B$11:$G$1054,3,FALSE)</f>
        <v>200</v>
      </c>
      <c r="AX27" s="22"/>
      <c r="AY27" s="23">
        <f>IF(FORM!AM18=FORM!AU16,0,2*SUM(AY1:AY4)*(AA20+AA22+AA28))</f>
        <v>0</v>
      </c>
      <c r="AZ27" s="326">
        <f t="shared" si="1"/>
        <v>0</v>
      </c>
      <c r="BA27" s="95">
        <f>VLOOKUP(AU27,CENY!$B$11:$M$2025,12,FALSE)</f>
        <v>21.84564</v>
      </c>
      <c r="BB27" s="95">
        <f t="shared" si="0"/>
        <v>0</v>
      </c>
      <c r="BD27" s="319">
        <f>OBJ!B133</f>
        <v>9255055</v>
      </c>
      <c r="BE27" s="21" t="str">
        <f>VLOOKUP(BD27,CENY!$B$11:$G$1054,2,FALSE)</f>
        <v>AvanY-bok pravý /v187/h500/ strieborná</v>
      </c>
      <c r="BF27" s="22">
        <f>VLOOKUP(BD27,CENY!$B$11:$G$1054,3,FALSE)</f>
        <v>10</v>
      </c>
      <c r="BG27" s="22"/>
      <c r="BH27" s="23">
        <f>AY16</f>
        <v>0</v>
      </c>
      <c r="BI27" s="326">
        <f t="shared" si="2"/>
        <v>0</v>
      </c>
      <c r="BJ27" s="95">
        <f>VLOOKUP(BD27,CENY!$B$11:$M$2025,12,FALSE)</f>
        <v>363.36250999999999</v>
      </c>
      <c r="BK27" s="95">
        <f t="shared" si="6"/>
        <v>0</v>
      </c>
    </row>
    <row r="28" spans="2:63" ht="14.4" customHeight="1" thickBot="1">
      <c r="B28" s="521" t="s">
        <v>372</v>
      </c>
      <c r="C28" s="521"/>
      <c r="D28" s="521"/>
      <c r="E28" s="521"/>
      <c r="F28" s="521"/>
      <c r="G28" s="521"/>
      <c r="H28" s="522" t="str">
        <f>verze!E18</f>
        <v>plnovýsuv</v>
      </c>
      <c r="I28" s="522"/>
      <c r="J28" s="522"/>
      <c r="K28" s="522"/>
      <c r="L28" s="522"/>
      <c r="M28" s="523" t="s">
        <v>1</v>
      </c>
      <c r="N28" s="524"/>
      <c r="O28" s="518"/>
      <c r="P28" s="519"/>
      <c r="Q28" s="518"/>
      <c r="R28" s="519"/>
      <c r="S28" s="518"/>
      <c r="T28" s="519"/>
      <c r="U28" s="518"/>
      <c r="V28" s="519"/>
      <c r="W28" s="516"/>
      <c r="X28" s="517"/>
      <c r="Y28" s="516"/>
      <c r="Z28" s="517"/>
      <c r="AA28" s="516"/>
      <c r="AB28" s="517"/>
      <c r="AC28" s="516"/>
      <c r="AD28" s="517"/>
      <c r="AU28" s="319">
        <f>OBJ!B78</f>
        <v>9347509</v>
      </c>
      <c r="AV28" s="21" t="str">
        <f>VLOOKUP(AU28,CENY!$B$11:$G$1054,2,FALSE)</f>
        <v>AvanY-design ALprofil Hybrid na bok 600/ strieb.</v>
      </c>
      <c r="AW28" s="22">
        <f>VLOOKUP(AU28,CENY!$B$11:$G$1054,3,FALSE)</f>
        <v>200</v>
      </c>
      <c r="AX28" s="22"/>
      <c r="AY28" s="23">
        <f>IF(FORM!AM18=FORM!AU16,0,2*SUM(AY1:AY4)*(AC20+AC22+AC28))</f>
        <v>0</v>
      </c>
      <c r="AZ28" s="326">
        <f t="shared" si="1"/>
        <v>0</v>
      </c>
      <c r="BA28" s="95">
        <f>VLOOKUP(AU28,CENY!$B$11:$M$2025,12,FALSE)</f>
        <v>22.79205</v>
      </c>
      <c r="BB28" s="95">
        <f t="shared" si="0"/>
        <v>0</v>
      </c>
      <c r="BD28" s="319">
        <f>OBJ!B134</f>
        <v>9255056</v>
      </c>
      <c r="BE28" s="21" t="str">
        <f>VLOOKUP(BD28,CENY!$B$11:$G$1054,2,FALSE)</f>
        <v>AvanY-bok ľavý /v187/h550/ strieborná</v>
      </c>
      <c r="BF28" s="22">
        <f>VLOOKUP(BD28,CENY!$B$11:$G$1054,3,FALSE)</f>
        <v>10</v>
      </c>
      <c r="BG28" s="22"/>
      <c r="BH28" s="23">
        <f>AY17</f>
        <v>0</v>
      </c>
      <c r="BI28" s="326">
        <f t="shared" si="2"/>
        <v>0</v>
      </c>
      <c r="BJ28" s="95">
        <f>VLOOKUP(BD28,CENY!$B$11:$M$2025,12,FALSE)</f>
        <v>379.68511999999998</v>
      </c>
      <c r="BK28" s="95">
        <f t="shared" si="6"/>
        <v>0</v>
      </c>
    </row>
    <row r="29" spans="2:63" ht="14.4" customHeight="1">
      <c r="AU29" s="319">
        <f>OBJ!B79</f>
        <v>9347510</v>
      </c>
      <c r="AV29" s="21" t="str">
        <f>VLOOKUP(AU29,CENY!$B$11:$G$1054,2,FALSE)</f>
        <v>AvanY-design ALprofil Hybrid na bok 650/ strieb.</v>
      </c>
      <c r="AW29" s="22">
        <f>VLOOKUP(AU29,CENY!$B$11:$G$1054,3,FALSE)</f>
        <v>200</v>
      </c>
      <c r="AX29" s="22"/>
      <c r="AY29" s="23">
        <f>IF(FORM!AM18=FORM!AU16,0,2*SUM(AY1:AY4)*AE22)</f>
        <v>0</v>
      </c>
      <c r="AZ29" s="326">
        <f t="shared" si="1"/>
        <v>0</v>
      </c>
      <c r="BA29" s="95">
        <f>VLOOKUP(AU29,CENY!$B$11:$M$2025,12,FALSE)</f>
        <v>24.580449999999999</v>
      </c>
      <c r="BB29" s="95">
        <f t="shared" si="0"/>
        <v>0</v>
      </c>
      <c r="BD29" s="319">
        <f>OBJ!B135</f>
        <v>9255057</v>
      </c>
      <c r="BE29" s="21" t="str">
        <f>VLOOKUP(BD29,CENY!$B$11:$G$1054,2,FALSE)</f>
        <v>AvanY-bok pravý /v187/h550/ strieborná</v>
      </c>
      <c r="BF29" s="22">
        <f>VLOOKUP(BD29,CENY!$B$11:$G$1054,3,FALSE)</f>
        <v>10</v>
      </c>
      <c r="BG29" s="22"/>
      <c r="BH29" s="23">
        <f>AY17</f>
        <v>0</v>
      </c>
      <c r="BI29" s="326">
        <f t="shared" si="2"/>
        <v>0</v>
      </c>
      <c r="BJ29" s="95">
        <f>VLOOKUP(BD29,CENY!$B$11:$M$2025,12,FALSE)</f>
        <v>379.68511999999998</v>
      </c>
      <c r="BK29" s="95">
        <f t="shared" si="6"/>
        <v>0</v>
      </c>
    </row>
    <row r="30" spans="2:63" ht="14.4" customHeight="1">
      <c r="B30" s="366" t="str">
        <f>verze!E201</f>
        <v>SiSy = tlumení Silent System</v>
      </c>
      <c r="AU30" s="319"/>
      <c r="AV30" s="21"/>
      <c r="AW30" s="22"/>
      <c r="AX30" s="22"/>
      <c r="AY30" s="23"/>
      <c r="AZ30" s="326" t="str">
        <f t="shared" si="1"/>
        <v/>
      </c>
      <c r="BA30" s="95"/>
      <c r="BB30" s="95" t="str">
        <f t="shared" si="0"/>
        <v/>
      </c>
      <c r="BD30" s="319">
        <f>OBJ!B136</f>
        <v>9255058</v>
      </c>
      <c r="BE30" s="21" t="str">
        <f>VLOOKUP(BD30,CENY!$B$11:$G$1054,2,FALSE)</f>
        <v>AvanY-bok ľavý /v187/h600/ strieborná</v>
      </c>
      <c r="BF30" s="22">
        <f>VLOOKUP(BD30,CENY!$B$11:$G$1054,3,FALSE)</f>
        <v>10</v>
      </c>
      <c r="BG30" s="22"/>
      <c r="BH30" s="23">
        <f>AY18</f>
        <v>0</v>
      </c>
      <c r="BI30" s="326">
        <f t="shared" si="2"/>
        <v>0</v>
      </c>
      <c r="BJ30" s="95">
        <f>VLOOKUP(BD30,CENY!$B$11:$M$2025,12,FALSE)</f>
        <v>389.34050000000002</v>
      </c>
      <c r="BK30" s="95">
        <f t="shared" si="6"/>
        <v>0</v>
      </c>
    </row>
    <row r="31" spans="2:63" ht="14.4" customHeight="1">
      <c r="AU31" s="319">
        <f>OBJ!B233</f>
        <v>9318154</v>
      </c>
      <c r="AV31" s="21" t="str">
        <f>VLOOKUP(AU31,CENY!$B$11:$G$1054,2,FALSE)</f>
        <v>Actro You(S) 270/SiSy 10kg; EB21</v>
      </c>
      <c r="AW31" s="22">
        <f>VLOOKUP(AU31,CENY!$B$11:$G$1054,3,FALSE)</f>
        <v>1</v>
      </c>
      <c r="AX31" s="362">
        <v>4</v>
      </c>
      <c r="AY31" s="68"/>
      <c r="AZ31" s="326" t="str">
        <f t="shared" si="1"/>
        <v/>
      </c>
      <c r="BA31" s="95">
        <f>VLOOKUP(AU31,CENY!$B$11:$M$2025,12,FALSE)</f>
        <v>657.45060999999998</v>
      </c>
      <c r="BB31" s="95">
        <f t="shared" si="0"/>
        <v>0</v>
      </c>
      <c r="BD31" s="319">
        <f>OBJ!B137</f>
        <v>9255059</v>
      </c>
      <c r="BE31" s="21" t="str">
        <f>VLOOKUP(BD31,CENY!$B$11:$G$1054,2,FALSE)</f>
        <v>AvanY-bok pravý /v187/h600/ strieborná</v>
      </c>
      <c r="BF31" s="22">
        <f>VLOOKUP(BD31,CENY!$B$11:$G$1054,3,FALSE)</f>
        <v>10</v>
      </c>
      <c r="BG31" s="22"/>
      <c r="BH31" s="23">
        <f>AY18</f>
        <v>0</v>
      </c>
      <c r="BI31" s="326">
        <f t="shared" si="2"/>
        <v>0</v>
      </c>
      <c r="BJ31" s="95">
        <f>VLOOKUP(BD31,CENY!$B$11:$M$2025,12,FALSE)</f>
        <v>389.34050000000002</v>
      </c>
      <c r="BK31" s="95">
        <f t="shared" si="6"/>
        <v>0</v>
      </c>
    </row>
    <row r="32" spans="2:63" ht="14.4" customHeight="1">
      <c r="AU32" s="319">
        <f>OBJ!B234</f>
        <v>9318156</v>
      </c>
      <c r="AV32" s="21" t="str">
        <f>VLOOKUP(AU32,CENY!$B$11:$G$1054,2,FALSE)</f>
        <v>Actro You(S) 300/SiSy 10kg; EB21</v>
      </c>
      <c r="AW32" s="22">
        <f>VLOOKUP(AU32,CENY!$B$11:$G$1054,3,FALSE)</f>
        <v>1</v>
      </c>
      <c r="AX32" s="362">
        <v>4</v>
      </c>
      <c r="AY32" s="68"/>
      <c r="AZ32" s="326" t="str">
        <f t="shared" si="1"/>
        <v/>
      </c>
      <c r="BA32" s="95">
        <f>VLOOKUP(AU32,CENY!$B$11:$M$2025,12,FALSE)</f>
        <v>657.45060999999998</v>
      </c>
      <c r="BB32" s="95">
        <f t="shared" si="0"/>
        <v>0</v>
      </c>
      <c r="BD32" s="319">
        <f>OBJ!B138</f>
        <v>9255060</v>
      </c>
      <c r="BE32" s="21" t="str">
        <f>VLOOKUP(BD32,CENY!$B$11:$G$1054,2,FALSE)</f>
        <v>AvanY-bok ľavý /v187/h650/ strieborná</v>
      </c>
      <c r="BF32" s="22">
        <f>VLOOKUP(BD32,CENY!$B$11:$G$1054,3,FALSE)</f>
        <v>10</v>
      </c>
      <c r="BG32" s="22"/>
      <c r="BH32" s="23">
        <f>AY19</f>
        <v>0</v>
      </c>
      <c r="BI32" s="326">
        <f t="shared" si="2"/>
        <v>0</v>
      </c>
      <c r="BJ32" s="95">
        <f>VLOOKUP(BD32,CENY!$B$11:$M$2025,12,FALSE)</f>
        <v>402.46422999999999</v>
      </c>
      <c r="BK32" s="95">
        <f t="shared" si="6"/>
        <v>0</v>
      </c>
    </row>
    <row r="33" spans="47:63" ht="14.4" customHeight="1">
      <c r="AU33" s="319">
        <f>OBJ!B235</f>
        <v>9318160</v>
      </c>
      <c r="AV33" s="21" t="str">
        <f>VLOOKUP(AU33,CENY!$B$11:$G$1054,2,FALSE)</f>
        <v>Actro You(S) 350/SiSy 10kg; EB21</v>
      </c>
      <c r="AW33" s="22">
        <f>VLOOKUP(AU33,CENY!$B$11:$G$1054,3,FALSE)</f>
        <v>1</v>
      </c>
      <c r="AX33" s="362">
        <v>4</v>
      </c>
      <c r="AY33" s="68"/>
      <c r="AZ33" s="326" t="str">
        <f t="shared" si="1"/>
        <v/>
      </c>
      <c r="BA33" s="95">
        <f>VLOOKUP(AU33,CENY!$B$11:$M$2025,12,FALSE)</f>
        <v>657.45060999999998</v>
      </c>
      <c r="BB33" s="95">
        <f t="shared" si="0"/>
        <v>0</v>
      </c>
      <c r="BD33" s="319">
        <f>OBJ!B139</f>
        <v>9255061</v>
      </c>
      <c r="BE33" s="21" t="str">
        <f>VLOOKUP(BD33,CENY!$B$11:$G$1054,2,FALSE)</f>
        <v>AvanY-bok pravý /v187/h650/ strieborná</v>
      </c>
      <c r="BF33" s="22">
        <f>VLOOKUP(BD33,CENY!$B$11:$G$1054,3,FALSE)</f>
        <v>10</v>
      </c>
      <c r="BG33" s="22"/>
      <c r="BH33" s="23">
        <f>AY19</f>
        <v>0</v>
      </c>
      <c r="BI33" s="326">
        <f t="shared" si="2"/>
        <v>0</v>
      </c>
      <c r="BJ33" s="95">
        <f>VLOOKUP(BD33,CENY!$B$11:$M$2025,12,FALSE)</f>
        <v>402.46422999999999</v>
      </c>
      <c r="BK33" s="95">
        <f t="shared" si="6"/>
        <v>0</v>
      </c>
    </row>
    <row r="34" spans="47:63" ht="14.4" customHeight="1">
      <c r="AU34" s="20"/>
      <c r="AV34" s="21"/>
      <c r="AW34" s="22"/>
      <c r="AX34" s="22"/>
      <c r="AY34" s="23"/>
      <c r="AZ34" s="326" t="str">
        <f t="shared" si="1"/>
        <v/>
      </c>
      <c r="BA34" s="95"/>
      <c r="BB34" s="95" t="str">
        <f t="shared" si="0"/>
        <v/>
      </c>
      <c r="BD34" s="319"/>
      <c r="BE34" s="21"/>
      <c r="BF34" s="22"/>
      <c r="BG34" s="22"/>
      <c r="BH34" s="23"/>
      <c r="BI34" s="326" t="str">
        <f t="shared" si="2"/>
        <v/>
      </c>
      <c r="BJ34" s="95"/>
      <c r="BK34" s="95" t="str">
        <f t="shared" si="3"/>
        <v/>
      </c>
    </row>
    <row r="35" spans="47:63" ht="14.4" customHeight="1">
      <c r="AU35" s="319">
        <f>OBJ!B243</f>
        <v>9318186</v>
      </c>
      <c r="AV35" s="21" t="str">
        <f>VLOOKUP(AU35,CENY!$B$11:$G$1054,2,FALSE)</f>
        <v>Actro You(L) 270/SiSy 40kg; EB21</v>
      </c>
      <c r="AW35" s="22">
        <f>VLOOKUP(AU35,CENY!$B$11:$G$1054,3,FALSE)</f>
        <v>1</v>
      </c>
      <c r="AX35" s="362">
        <v>8</v>
      </c>
      <c r="AY35" s="68"/>
      <c r="AZ35" s="326" t="str">
        <f t="shared" si="1"/>
        <v/>
      </c>
      <c r="BA35" s="95">
        <f>VLOOKUP(AU35,CENY!$B$11:$M$2025,12,FALSE)</f>
        <v>657.45060999999998</v>
      </c>
      <c r="BB35" s="95">
        <f t="shared" si="0"/>
        <v>0</v>
      </c>
      <c r="BD35" s="319">
        <f>OBJ!B69</f>
        <v>9255835</v>
      </c>
      <c r="BE35" s="21" t="str">
        <f>VLOOKUP(BD35,CENY!$B$11:$G$1054,2,FALSE)</f>
        <v>AvanY-príchytka čela k naskrutk./ v101</v>
      </c>
      <c r="BF35" s="22">
        <f>VLOOKUP(BD35,CENY!$B$11:$G$1054,3,FALSE)</f>
        <v>200</v>
      </c>
      <c r="BG35" s="22"/>
      <c r="BH35" s="23">
        <f>2*(AY2)*(SUM(W20:AD20)+SUM(W22:AF22)+SUM(W28:AD28))</f>
        <v>0</v>
      </c>
      <c r="BI35" s="326">
        <f t="shared" si="2"/>
        <v>0</v>
      </c>
      <c r="BJ35" s="95">
        <f>VLOOKUP(BD35,CENY!$B$11:$M$2025,12,FALSE)</f>
        <v>24.69378</v>
      </c>
      <c r="BK35" s="95">
        <f t="shared" si="3"/>
        <v>0</v>
      </c>
    </row>
    <row r="36" spans="47:63" ht="14.4" customHeight="1">
      <c r="AU36" s="319">
        <f>OBJ!B244</f>
        <v>9318187</v>
      </c>
      <c r="AV36" s="21" t="str">
        <f>VLOOKUP(AU36,CENY!$B$11:$G$1054,2,FALSE)</f>
        <v>Actro You(L) 300/SiSy 40kg; EB21</v>
      </c>
      <c r="AW36" s="22">
        <f>VLOOKUP(AU36,CENY!$B$11:$G$1054,3,FALSE)</f>
        <v>1</v>
      </c>
      <c r="AX36" s="362">
        <v>8</v>
      </c>
      <c r="AY36" s="68"/>
      <c r="AZ36" s="326" t="str">
        <f t="shared" si="1"/>
        <v/>
      </c>
      <c r="BA36" s="95">
        <f>VLOOKUP(AU36,CENY!$B$11:$M$2025,12,FALSE)</f>
        <v>657.45060999999998</v>
      </c>
      <c r="BB36" s="95">
        <f t="shared" si="0"/>
        <v>0</v>
      </c>
      <c r="BD36" s="319">
        <f>OBJ!B141</f>
        <v>9255838</v>
      </c>
      <c r="BE36" s="21" t="str">
        <f>VLOOKUP(BD36,CENY!$B$11:$G$1054,2,FALSE)</f>
        <v>AvanY-prích.čela k naskrutk./ v187-251</v>
      </c>
      <c r="BF36" s="22">
        <f>VLOOKUP(BD36,CENY!$B$11:$G$1054,3,FALSE)</f>
        <v>200</v>
      </c>
      <c r="BG36" s="22"/>
      <c r="BH36" s="23">
        <f>2*(AY4)*(SUM(W20:AD20)+SUM(W22:AF22)+SUM(W28:AD28))</f>
        <v>0</v>
      </c>
      <c r="BI36" s="326">
        <f t="shared" si="2"/>
        <v>0</v>
      </c>
      <c r="BJ36" s="95">
        <f>VLOOKUP(BD36,CENY!$B$11:$M$2025,12,FALSE)</f>
        <v>49.383429999999997</v>
      </c>
      <c r="BK36" s="95">
        <f t="shared" si="3"/>
        <v>0</v>
      </c>
    </row>
    <row r="37" spans="47:63" ht="14.4" customHeight="1">
      <c r="AU37" s="319">
        <f>OBJ!B245</f>
        <v>9318188</v>
      </c>
      <c r="AV37" s="21" t="str">
        <f>VLOOKUP(AU37,CENY!$B$11:$G$1054,2,FALSE)</f>
        <v>Actro You(L) 350/SiSy 40kg; EB21</v>
      </c>
      <c r="AW37" s="22">
        <f>VLOOKUP(AU37,CENY!$B$11:$G$1054,3,FALSE)</f>
        <v>1</v>
      </c>
      <c r="AX37" s="362">
        <v>8</v>
      </c>
      <c r="AY37" s="68"/>
      <c r="AZ37" s="326" t="str">
        <f t="shared" si="1"/>
        <v/>
      </c>
      <c r="BA37" s="95">
        <f>VLOOKUP(AU37,CENY!$B$11:$M$2025,12,FALSE)</f>
        <v>657.45060999999998</v>
      </c>
      <c r="BB37" s="95">
        <f t="shared" si="0"/>
        <v>0</v>
      </c>
      <c r="BD37" s="320">
        <v>9255835</v>
      </c>
      <c r="BE37" s="321" t="str">
        <f>VLOOKUP(BD37,CENY!$B$11:$G$1054,2,FALSE)</f>
        <v>AvanY-príchytka čela k naskrutk./ v101</v>
      </c>
      <c r="BF37" s="22">
        <f>VLOOKUP(BD37,CENY!$B$11:$G$1054,3,FALSE)</f>
        <v>200</v>
      </c>
      <c r="BG37" s="22"/>
      <c r="BH37" s="68">
        <f>2*(AY1)*(SUM(W20:AD20)+SUM(W22:AF22)+SUM(W28:AD28))</f>
        <v>0</v>
      </c>
      <c r="BI37" s="326">
        <f t="shared" si="2"/>
        <v>0</v>
      </c>
      <c r="BJ37" s="95">
        <f>VLOOKUP(BD37,CENY!$B$11:$M$2025,12,FALSE)</f>
        <v>24.69378</v>
      </c>
      <c r="BK37" s="95">
        <f t="shared" si="3"/>
        <v>0</v>
      </c>
    </row>
    <row r="38" spans="47:63" ht="14.4" customHeight="1">
      <c r="AU38" s="319">
        <f>OBJ!B246</f>
        <v>9318190</v>
      </c>
      <c r="AV38" s="21" t="str">
        <f>VLOOKUP(AU38,CENY!$B$11:$G$1054,2,FALSE)</f>
        <v>Actro You(L) 400/SiSy 40kg; EB21</v>
      </c>
      <c r="AW38" s="22">
        <f>VLOOKUP(AU38,CENY!$B$11:$G$1054,3,FALSE)</f>
        <v>1</v>
      </c>
      <c r="AX38" s="362">
        <v>8</v>
      </c>
      <c r="AY38" s="68"/>
      <c r="AZ38" s="326" t="str">
        <f t="shared" si="1"/>
        <v/>
      </c>
      <c r="BA38" s="95">
        <f>VLOOKUP(AU38,CENY!$B$11:$M$2025,12,FALSE)</f>
        <v>664.73978</v>
      </c>
      <c r="BB38" s="95">
        <f t="shared" si="0"/>
        <v>0</v>
      </c>
      <c r="BD38" s="320">
        <v>9255838</v>
      </c>
      <c r="BE38" s="321" t="str">
        <f>VLOOKUP(BD38,CENY!$B$11:$G$1054,2,FALSE)</f>
        <v>AvanY-prích.čela k naskrutk./ v187-251</v>
      </c>
      <c r="BF38" s="22">
        <f>VLOOKUP(BD38,CENY!$B$11:$G$1054,3,FALSE)</f>
        <v>200</v>
      </c>
      <c r="BG38" s="22"/>
      <c r="BH38" s="68">
        <f>2*(AY3)*(SUM(W20:AD20)+SUM(W22:AF22)+SUM(W28:AD28))</f>
        <v>0</v>
      </c>
      <c r="BI38" s="326">
        <f t="shared" si="2"/>
        <v>0</v>
      </c>
      <c r="BJ38" s="95">
        <f>VLOOKUP(BD38,CENY!$B$11:$M$2025,12,FALSE)</f>
        <v>49.383429999999997</v>
      </c>
      <c r="BK38" s="95">
        <f t="shared" si="3"/>
        <v>0</v>
      </c>
    </row>
    <row r="39" spans="47:63" ht="14.4" customHeight="1">
      <c r="AU39" s="319">
        <f>OBJ!B247</f>
        <v>9318191</v>
      </c>
      <c r="AV39" s="21" t="str">
        <f>VLOOKUP(AU39,CENY!$B$11:$G$1054,2,FALSE)</f>
        <v>Actro You(L) 450/SiSy 40kg; EB21</v>
      </c>
      <c r="AW39" s="22">
        <f>VLOOKUP(AU39,CENY!$B$11:$G$1054,3,FALSE)</f>
        <v>1</v>
      </c>
      <c r="AX39" s="362">
        <v>10</v>
      </c>
      <c r="AY39" s="23">
        <f>SUM(AY1:AY4)*W20</f>
        <v>0</v>
      </c>
      <c r="AZ39" s="326">
        <f t="shared" si="1"/>
        <v>0</v>
      </c>
      <c r="BA39" s="95">
        <f>VLOOKUP(AU39,CENY!$B$11:$M$2025,12,FALSE)</f>
        <v>671.97520999999995</v>
      </c>
      <c r="BB39" s="95">
        <f t="shared" si="0"/>
        <v>0</v>
      </c>
      <c r="BD39" s="319">
        <f>OBJ!B48</f>
        <v>9257702</v>
      </c>
      <c r="BE39" s="21" t="str">
        <f>VLOOKUP(BD39,CENY!$B$11:$G$1054,2,FALSE)</f>
        <v>AvanY-stabilizátor chrbáta</v>
      </c>
      <c r="BF39" s="22">
        <f>VLOOKUP(BD39,CENY!$B$11:$G$1054,3,FALSE)</f>
        <v>200</v>
      </c>
      <c r="BG39" s="22"/>
      <c r="BH39" s="23">
        <f>2*(SUM(AY1:AY4)*(SUM(W20:AD20)+SUM(W22:AF22)+SUM(W28:AD28)))</f>
        <v>0</v>
      </c>
      <c r="BI39" s="326">
        <f t="shared" si="2"/>
        <v>0</v>
      </c>
      <c r="BJ39" s="95">
        <f>VLOOKUP(BD39,CENY!$B$11:$M$2025,12,FALSE)</f>
        <v>15.54837</v>
      </c>
      <c r="BK39" s="95">
        <f t="shared" si="3"/>
        <v>0</v>
      </c>
    </row>
    <row r="40" spans="47:63" ht="14.4" customHeight="1">
      <c r="AU40" s="319">
        <f>OBJ!B248</f>
        <v>9318192</v>
      </c>
      <c r="AV40" s="21" t="str">
        <f>VLOOKUP(AU40,CENY!$B$11:$G$1054,2,FALSE)</f>
        <v>Actro You(L) 500/SiSy 40kg; EB21</v>
      </c>
      <c r="AW40" s="22">
        <f>VLOOKUP(AU40,CENY!$B$11:$G$1054,3,FALSE)</f>
        <v>1</v>
      </c>
      <c r="AX40" s="362">
        <v>10</v>
      </c>
      <c r="AY40" s="23">
        <f>SUM(AY1:AY4)*Y20</f>
        <v>0</v>
      </c>
      <c r="AZ40" s="326">
        <f t="shared" si="1"/>
        <v>0</v>
      </c>
      <c r="BA40" s="95">
        <f>VLOOKUP(AU40,CENY!$B$11:$M$2025,12,FALSE)</f>
        <v>164.23333</v>
      </c>
      <c r="BB40" s="95">
        <f t="shared" si="0"/>
        <v>0</v>
      </c>
      <c r="BD40" s="20"/>
      <c r="BE40" s="21"/>
      <c r="BF40" s="22"/>
      <c r="BG40" s="22"/>
      <c r="BH40" s="23"/>
      <c r="BI40" s="326" t="str">
        <f t="shared" si="2"/>
        <v/>
      </c>
      <c r="BJ40" s="95"/>
      <c r="BK40" s="95" t="str">
        <f t="shared" si="3"/>
        <v/>
      </c>
    </row>
    <row r="41" spans="47:63" ht="14.4" customHeight="1">
      <c r="AU41" s="319">
        <f>OBJ!B249</f>
        <v>9318194</v>
      </c>
      <c r="AV41" s="21" t="str">
        <f>VLOOKUP(AU41,CENY!$B$11:$G$1054,2,FALSE)</f>
        <v>Actro You(L) 550/SiSy 40kg; EB21</v>
      </c>
      <c r="AW41" s="22">
        <f>VLOOKUP(AU41,CENY!$B$11:$G$1054,3,FALSE)</f>
        <v>1</v>
      </c>
      <c r="AX41" s="362">
        <v>10</v>
      </c>
      <c r="AY41" s="23">
        <f>SUM(AY1:AY4)*AA20</f>
        <v>0</v>
      </c>
      <c r="AZ41" s="326">
        <f t="shared" si="1"/>
        <v>0</v>
      </c>
      <c r="BA41" s="95">
        <f>VLOOKUP(AU41,CENY!$B$11:$M$2025,12,FALSE)</f>
        <v>173.62268</v>
      </c>
      <c r="BB41" s="95">
        <f t="shared" si="0"/>
        <v>0</v>
      </c>
      <c r="BD41" s="319">
        <f>OBJ!B71</f>
        <v>9347502</v>
      </c>
      <c r="BE41" s="21" t="str">
        <f>VLOOKUP(BD41,CENY!$B$11:$G$1054,2,FALSE)</f>
        <v>AvanY-design ALprofil Hybrid na bok 270/ strieb.</v>
      </c>
      <c r="BF41" s="22">
        <f>VLOOKUP(BD41,CENY!$B$11:$G$1054,3,FALSE)</f>
        <v>200</v>
      </c>
      <c r="BG41" s="22"/>
      <c r="BH41" s="68"/>
      <c r="BI41" s="326" t="str">
        <f t="shared" si="2"/>
        <v/>
      </c>
      <c r="BJ41" s="95">
        <f>VLOOKUP(BD41,CENY!$B$11:$M$2025,12,FALSE)</f>
        <v>19.78839</v>
      </c>
      <c r="BK41" s="95">
        <f t="shared" si="3"/>
        <v>0</v>
      </c>
    </row>
    <row r="42" spans="47:63" ht="14.4" customHeight="1">
      <c r="AU42" s="319">
        <f>OBJ!B250</f>
        <v>9318196</v>
      </c>
      <c r="AV42" s="21" t="str">
        <f>VLOOKUP(AU42,CENY!$B$11:$G$1054,2,FALSE)</f>
        <v>Actro You(L) 600/SiSy 40kg; EB21</v>
      </c>
      <c r="AW42" s="22">
        <f>VLOOKUP(AU42,CENY!$B$11:$G$1054,3,FALSE)</f>
        <v>1</v>
      </c>
      <c r="AX42" s="362">
        <v>10</v>
      </c>
      <c r="AY42" s="23">
        <f>SUM(AY1:AY4)*AC20</f>
        <v>0</v>
      </c>
      <c r="AZ42" s="326">
        <f t="shared" si="1"/>
        <v>0</v>
      </c>
      <c r="BA42" s="95">
        <f>VLOOKUP(AU42,CENY!$B$11:$M$2025,12,FALSE)</f>
        <v>726.70140000000004</v>
      </c>
      <c r="BB42" s="95">
        <f t="shared" si="0"/>
        <v>0</v>
      </c>
      <c r="BD42" s="319">
        <f>OBJ!B72</f>
        <v>9347503</v>
      </c>
      <c r="BE42" s="21" t="str">
        <f>VLOOKUP(BD42,CENY!$B$11:$G$1054,2,FALSE)</f>
        <v>AvanY-design ALprofil Hybrid na bok 300/ strieb.</v>
      </c>
      <c r="BF42" s="22">
        <f>VLOOKUP(BD42,CENY!$B$11:$G$1054,3,FALSE)</f>
        <v>200</v>
      </c>
      <c r="BG42" s="22"/>
      <c r="BH42" s="68"/>
      <c r="BI42" s="326" t="str">
        <f t="shared" si="2"/>
        <v/>
      </c>
      <c r="BJ42" s="95">
        <f>VLOOKUP(BD42,CENY!$B$11:$M$2025,12,FALSE)</f>
        <v>20.006769999999999</v>
      </c>
      <c r="BK42" s="95">
        <f t="shared" si="3"/>
        <v>0</v>
      </c>
    </row>
    <row r="43" spans="47:63" ht="14.4" customHeight="1">
      <c r="AU43" s="319"/>
      <c r="AV43" s="21"/>
      <c r="AW43" s="22"/>
      <c r="AX43" s="22"/>
      <c r="AY43" s="23"/>
      <c r="AZ43" s="326" t="str">
        <f t="shared" si="1"/>
        <v/>
      </c>
      <c r="BA43" s="95"/>
      <c r="BB43" s="95" t="str">
        <f t="shared" si="0"/>
        <v/>
      </c>
      <c r="BD43" s="319">
        <f>OBJ!B73</f>
        <v>9347504</v>
      </c>
      <c r="BE43" s="21" t="str">
        <f>VLOOKUP(BD43,CENY!$B$11:$G$1054,2,FALSE)</f>
        <v>AvanY-design ALprofil Hybrid na bok 350/ strieb.</v>
      </c>
      <c r="BF43" s="22">
        <f>VLOOKUP(BD43,CENY!$B$11:$G$1054,3,FALSE)</f>
        <v>200</v>
      </c>
      <c r="BG43" s="22"/>
      <c r="BH43" s="68"/>
      <c r="BI43" s="326" t="str">
        <f t="shared" si="2"/>
        <v/>
      </c>
      <c r="BJ43" s="95">
        <f>VLOOKUP(BD43,CENY!$B$11:$M$2025,12,FALSE)</f>
        <v>20.37642</v>
      </c>
      <c r="BK43" s="95">
        <f t="shared" si="3"/>
        <v>0</v>
      </c>
    </row>
    <row r="44" spans="47:63" ht="14.4" customHeight="1">
      <c r="AU44" s="319">
        <f>OBJ!B268</f>
        <v>9318215</v>
      </c>
      <c r="AV44" s="21" t="str">
        <f>VLOOKUP(AU44,CENY!$B$11:$G$1054,2,FALSE)</f>
        <v>Actro You(XL) 450/SiSy 70kg; EB21</v>
      </c>
      <c r="AW44" s="22">
        <f>VLOOKUP(AU44,CENY!$B$11:$G$1054,3,FALSE)</f>
        <v>1</v>
      </c>
      <c r="AX44" s="362">
        <v>10</v>
      </c>
      <c r="AY44" s="23">
        <f>SUM(AY1:AY4)*W22</f>
        <v>0</v>
      </c>
      <c r="AZ44" s="326">
        <f t="shared" si="1"/>
        <v>0</v>
      </c>
      <c r="BA44" s="95">
        <f>VLOOKUP(AU44,CENY!$B$11:$M$2025,12,FALSE)</f>
        <v>197.37184999999999</v>
      </c>
      <c r="BB44" s="95">
        <f t="shared" si="0"/>
        <v>0</v>
      </c>
      <c r="BD44" s="319">
        <f>OBJ!B74</f>
        <v>9347505</v>
      </c>
      <c r="BE44" s="21" t="str">
        <f>VLOOKUP(BD44,CENY!$B$11:$G$1054,2,FALSE)</f>
        <v>AvanY-design ALprofil Hybrid na bok 400/ strieb.</v>
      </c>
      <c r="BF44" s="22">
        <f>VLOOKUP(BD44,CENY!$B$11:$G$1054,3,FALSE)</f>
        <v>200</v>
      </c>
      <c r="BG44" s="22"/>
      <c r="BH44" s="68"/>
      <c r="BI44" s="326" t="str">
        <f t="shared" si="2"/>
        <v/>
      </c>
      <c r="BJ44" s="95">
        <f>VLOOKUP(BD44,CENY!$B$11:$M$2025,12,FALSE)</f>
        <v>20.742249999999999</v>
      </c>
      <c r="BK44" s="95">
        <f t="shared" si="3"/>
        <v>0</v>
      </c>
    </row>
    <row r="45" spans="47:63" ht="14.4" customHeight="1">
      <c r="AU45" s="319">
        <f>OBJ!B269</f>
        <v>9318216</v>
      </c>
      <c r="AV45" s="21" t="str">
        <f>VLOOKUP(AU45,CENY!$B$11:$G$1054,2,FALSE)</f>
        <v>Actro You(XL) 500/SiSy 70kg; EB21</v>
      </c>
      <c r="AW45" s="22">
        <f>VLOOKUP(AU45,CENY!$B$11:$G$1054,3,FALSE)</f>
        <v>1</v>
      </c>
      <c r="AX45" s="362">
        <v>10</v>
      </c>
      <c r="AY45" s="23">
        <f>SUM(AY1:AY4)*Y22</f>
        <v>0</v>
      </c>
      <c r="AZ45" s="326">
        <f t="shared" si="1"/>
        <v>0</v>
      </c>
      <c r="BA45" s="95">
        <f>VLOOKUP(AU45,CENY!$B$11:$M$2025,12,FALSE)</f>
        <v>823.68502000000001</v>
      </c>
      <c r="BB45" s="95">
        <f t="shared" si="0"/>
        <v>0</v>
      </c>
      <c r="BD45" s="319">
        <f>OBJ!B75</f>
        <v>9347506</v>
      </c>
      <c r="BE45" s="21" t="str">
        <f>VLOOKUP(BD45,CENY!$B$11:$G$1054,2,FALSE)</f>
        <v>AvanY-design ALprofil Hybrid na bok 450/ strieb.</v>
      </c>
      <c r="BF45" s="22">
        <f>VLOOKUP(BD45,CENY!$B$11:$G$1054,3,FALSE)</f>
        <v>200</v>
      </c>
      <c r="BG45" s="22"/>
      <c r="BH45" s="23">
        <f>2*SUM(AY1:AY4)*(W20+W22+W28)</f>
        <v>0</v>
      </c>
      <c r="BI45" s="326">
        <f t="shared" si="2"/>
        <v>0</v>
      </c>
      <c r="BJ45" s="95">
        <f>VLOOKUP(BD45,CENY!$B$11:$M$2025,12,FALSE)</f>
        <v>21.111910000000002</v>
      </c>
      <c r="BK45" s="95">
        <f t="shared" si="3"/>
        <v>0</v>
      </c>
    </row>
    <row r="46" spans="47:63" ht="14.4" customHeight="1">
      <c r="AU46" s="319">
        <f>OBJ!B270</f>
        <v>9318217</v>
      </c>
      <c r="AV46" s="21" t="str">
        <f>VLOOKUP(AU46,CENY!$B$11:$G$1054,2,FALSE)</f>
        <v>Actro You(XL) 550/SiSy 70kg; EB21</v>
      </c>
      <c r="AW46" s="22">
        <f>VLOOKUP(AU46,CENY!$B$11:$G$1054,3,FALSE)</f>
        <v>1</v>
      </c>
      <c r="AX46" s="362">
        <v>10</v>
      </c>
      <c r="AY46" s="23">
        <f>SUM(AY1:AY4)*AA22</f>
        <v>0</v>
      </c>
      <c r="AZ46" s="326">
        <f t="shared" si="1"/>
        <v>0</v>
      </c>
      <c r="BA46" s="95">
        <f>VLOOKUP(AU46,CENY!$B$11:$M$2025,12,FALSE)</f>
        <v>862.82307000000003</v>
      </c>
      <c r="BB46" s="95">
        <f t="shared" si="0"/>
        <v>0</v>
      </c>
      <c r="BD46" s="319">
        <f>OBJ!B76</f>
        <v>9347507</v>
      </c>
      <c r="BE46" s="21" t="str">
        <f>VLOOKUP(BD46,CENY!$B$11:$G$1054,2,FALSE)</f>
        <v>AvanY-design ALprofil Hybrid na bok 500/ strieb.</v>
      </c>
      <c r="BF46" s="22">
        <f>VLOOKUP(BD46,CENY!$B$11:$G$1054,3,FALSE)</f>
        <v>200</v>
      </c>
      <c r="BG46" s="22"/>
      <c r="BH46" s="23">
        <f>2*SUM(AY1:AY4)*(Y20+Y22+Y28)</f>
        <v>0</v>
      </c>
      <c r="BI46" s="326">
        <f t="shared" si="2"/>
        <v>0</v>
      </c>
      <c r="BJ46" s="95">
        <f>VLOOKUP(BD46,CENY!$B$11:$M$2025,12,FALSE)</f>
        <v>21.479700000000001</v>
      </c>
      <c r="BK46" s="95">
        <f t="shared" si="3"/>
        <v>0</v>
      </c>
    </row>
    <row r="47" spans="47:63" ht="14.4" customHeight="1">
      <c r="AU47" s="319">
        <f>OBJ!B271</f>
        <v>9318218</v>
      </c>
      <c r="AV47" s="21" t="str">
        <f>VLOOKUP(AU47,CENY!$B$11:$G$1054,2,FALSE)</f>
        <v>Actro You(XL) 600/SiSy 70kg; EB21</v>
      </c>
      <c r="AW47" s="22">
        <f>VLOOKUP(AU47,CENY!$B$11:$G$1054,3,FALSE)</f>
        <v>1</v>
      </c>
      <c r="AX47" s="362">
        <v>10</v>
      </c>
      <c r="AY47" s="23">
        <f>SUM(AY1:AY4)*AC22</f>
        <v>0</v>
      </c>
      <c r="AZ47" s="326">
        <f t="shared" si="1"/>
        <v>0</v>
      </c>
      <c r="BA47" s="95">
        <f>VLOOKUP(AU47,CENY!$B$11:$M$2025,12,FALSE)</f>
        <v>941.88580999999999</v>
      </c>
      <c r="BB47" s="95">
        <f t="shared" si="0"/>
        <v>0</v>
      </c>
      <c r="BD47" s="319">
        <f>OBJ!B77</f>
        <v>9347508</v>
      </c>
      <c r="BE47" s="21" t="str">
        <f>VLOOKUP(BD47,CENY!$B$11:$G$1054,2,FALSE)</f>
        <v>AvanY-design ALprofil Hybrid na bok 550/ strieb.</v>
      </c>
      <c r="BF47" s="22">
        <f>VLOOKUP(BD47,CENY!$B$11:$G$1054,3,FALSE)</f>
        <v>200</v>
      </c>
      <c r="BG47" s="22"/>
      <c r="BH47" s="23">
        <f>2*SUM(AY1:AY4)*(AA20+AA22+AA28)</f>
        <v>0</v>
      </c>
      <c r="BI47" s="326">
        <f t="shared" si="2"/>
        <v>0</v>
      </c>
      <c r="BJ47" s="95">
        <f>VLOOKUP(BD47,CENY!$B$11:$M$2025,12,FALSE)</f>
        <v>21.84564</v>
      </c>
      <c r="BK47" s="95">
        <f t="shared" si="3"/>
        <v>0</v>
      </c>
    </row>
    <row r="48" spans="47:63" ht="14.4" customHeight="1">
      <c r="AU48" s="319">
        <f>OBJ!B272</f>
        <v>9318219</v>
      </c>
      <c r="AV48" s="21" t="str">
        <f>VLOOKUP(AU48,CENY!$B$11:$G$1054,2,FALSE)</f>
        <v>Actro You(XL) 650/SiSy 70kg; EB21</v>
      </c>
      <c r="AW48" s="22">
        <f>VLOOKUP(AU48,CENY!$B$11:$G$1054,3,FALSE)</f>
        <v>1</v>
      </c>
      <c r="AX48" s="362">
        <v>10</v>
      </c>
      <c r="AY48" s="23">
        <f>SUM(AY1:AY4)*AE22</f>
        <v>0</v>
      </c>
      <c r="AZ48" s="326">
        <f t="shared" si="1"/>
        <v>0</v>
      </c>
      <c r="BA48" s="95">
        <f>VLOOKUP(AU48,CENY!$B$11:$M$2025,12,FALSE)</f>
        <v>977.56314999999995</v>
      </c>
      <c r="BB48" s="95">
        <f t="shared" si="0"/>
        <v>0</v>
      </c>
      <c r="BD48" s="319">
        <f>OBJ!B78</f>
        <v>9347509</v>
      </c>
      <c r="BE48" s="21" t="str">
        <f>VLOOKUP(BD48,CENY!$B$11:$G$1054,2,FALSE)</f>
        <v>AvanY-design ALprofil Hybrid na bok 600/ strieb.</v>
      </c>
      <c r="BF48" s="22">
        <f>VLOOKUP(BD48,CENY!$B$11:$G$1054,3,FALSE)</f>
        <v>200</v>
      </c>
      <c r="BG48" s="22"/>
      <c r="BH48" s="23">
        <f>2*SUM(AY1:AY4)*(AC20+AC22+AC28)</f>
        <v>0</v>
      </c>
      <c r="BI48" s="326">
        <f t="shared" si="2"/>
        <v>0</v>
      </c>
      <c r="BJ48" s="95">
        <f>VLOOKUP(BD48,CENY!$B$11:$M$2025,12,FALSE)</f>
        <v>22.79205</v>
      </c>
      <c r="BK48" s="95">
        <f t="shared" si="3"/>
        <v>0</v>
      </c>
    </row>
    <row r="49" spans="47:63" ht="14.4" customHeight="1">
      <c r="AU49" s="319"/>
      <c r="AV49" s="21"/>
      <c r="AW49" s="22"/>
      <c r="AX49" s="22"/>
      <c r="AY49" s="23"/>
      <c r="AZ49" s="326" t="str">
        <f t="shared" si="1"/>
        <v/>
      </c>
      <c r="BA49" s="95"/>
      <c r="BB49" s="95" t="str">
        <f t="shared" si="0"/>
        <v/>
      </c>
      <c r="BD49" s="319">
        <f>OBJ!B79</f>
        <v>9347510</v>
      </c>
      <c r="BE49" s="21" t="str">
        <f>VLOOKUP(BD49,CENY!$B$11:$G$1054,2,FALSE)</f>
        <v>AvanY-design ALprofil Hybrid na bok 650/ strieb.</v>
      </c>
      <c r="BF49" s="22">
        <f>VLOOKUP(BD49,CENY!$B$11:$G$1054,3,FALSE)</f>
        <v>200</v>
      </c>
      <c r="BG49" s="22"/>
      <c r="BH49" s="23">
        <f>2*SUM(AY1:AY4)*AE22</f>
        <v>0</v>
      </c>
      <c r="BI49" s="326">
        <f t="shared" si="2"/>
        <v>0</v>
      </c>
      <c r="BJ49" s="95">
        <f>VLOOKUP(BD49,CENY!$B$11:$M$2025,12,FALSE)</f>
        <v>24.580449999999999</v>
      </c>
      <c r="BK49" s="95">
        <f t="shared" si="3"/>
        <v>0</v>
      </c>
    </row>
    <row r="50" spans="47:63" ht="14.4" customHeight="1">
      <c r="AU50" s="319">
        <f>OBJ!B284</f>
        <v>9257890</v>
      </c>
      <c r="AV50" s="21" t="str">
        <f>VLOOKUP(AU50,CENY!$B$11:$G$1054,2,FALSE)</f>
        <v>Actro You - Push to open Silent; &lt;10kg</v>
      </c>
      <c r="AW50" s="22">
        <f>VLOOKUP(AU50,CENY!$B$11:$G$1054,3,FALSE)</f>
        <v>1</v>
      </c>
      <c r="AX50" s="22"/>
      <c r="AY50" s="68"/>
      <c r="AZ50" s="326" t="str">
        <f t="shared" si="1"/>
        <v/>
      </c>
      <c r="BA50" s="95">
        <f>VLOOKUP(AU50,CENY!$B$11:$M$2025,12,FALSE)</f>
        <v>481.81412999999998</v>
      </c>
      <c r="BB50" s="95">
        <f t="shared" si="0"/>
        <v>0</v>
      </c>
      <c r="BD50" s="319"/>
      <c r="BE50" s="21"/>
      <c r="BF50" s="22"/>
      <c r="BG50" s="22"/>
      <c r="BH50" s="23"/>
      <c r="BI50" s="326" t="str">
        <f t="shared" si="2"/>
        <v/>
      </c>
      <c r="BJ50" s="95"/>
      <c r="BK50" s="95" t="str">
        <f t="shared" si="3"/>
        <v/>
      </c>
    </row>
    <row r="51" spans="47:63" ht="14.4" customHeight="1">
      <c r="AU51" s="319">
        <f>OBJ!B285</f>
        <v>9257891</v>
      </c>
      <c r="AV51" s="21" t="str">
        <f>VLOOKUP(AU51,CENY!$B$11:$G$1054,2,FALSE)</f>
        <v>Actro You - Push to open Silent; 8-20kg</v>
      </c>
      <c r="AW51" s="22">
        <f>VLOOKUP(AU51,CENY!$B$11:$G$1054,3,FALSE)</f>
        <v>1</v>
      </c>
      <c r="AX51" s="22"/>
      <c r="AY51" s="68"/>
      <c r="AZ51" s="326" t="str">
        <f t="shared" si="1"/>
        <v/>
      </c>
      <c r="BA51" s="95">
        <f>VLOOKUP(AU51,CENY!$B$11:$M$2025,12,FALSE)</f>
        <v>481.81412999999998</v>
      </c>
      <c r="BB51" s="95">
        <f t="shared" si="0"/>
        <v>0</v>
      </c>
      <c r="BD51" s="319">
        <f>OBJ!B236</f>
        <v>9318145</v>
      </c>
      <c r="BE51" s="21" t="str">
        <f>VLOOKUP(BD51,CENY!$B$11:$G$1054,2,FALSE)</f>
        <v>Actro You(S) 270/SiSy 10kg; EB21; ľavý</v>
      </c>
      <c r="BF51" s="22">
        <f>VLOOKUP(BD51,CENY!$B$11:$G$1054,3,FALSE)</f>
        <v>10</v>
      </c>
      <c r="BG51" s="22"/>
      <c r="BH51" s="68"/>
      <c r="BI51" s="326" t="str">
        <f t="shared" si="2"/>
        <v/>
      </c>
      <c r="BJ51" s="95">
        <f>VLOOKUP(BD51,CENY!$B$11:$M$2025,12,FALSE)</f>
        <v>298.88173999999998</v>
      </c>
      <c r="BK51" s="95">
        <f t="shared" si="3"/>
        <v>0</v>
      </c>
    </row>
    <row r="52" spans="47:63" ht="14.4" customHeight="1">
      <c r="AU52" s="319">
        <f>OBJ!B286</f>
        <v>9257892</v>
      </c>
      <c r="AV52" s="21" t="str">
        <f>VLOOKUP(AU52,CENY!$B$11:$G$1054,2,FALSE)</f>
        <v>Actro You - Push to open Silent; 10-40kg</v>
      </c>
      <c r="AW52" s="22">
        <f>VLOOKUP(AU52,CENY!$B$11:$G$1054,3,FALSE)</f>
        <v>1</v>
      </c>
      <c r="AX52" s="22"/>
      <c r="AY52" s="68"/>
      <c r="AZ52" s="326" t="str">
        <f t="shared" si="1"/>
        <v/>
      </c>
      <c r="BA52" s="95">
        <f>VLOOKUP(AU52,CENY!$B$11:$M$2025,12,FALSE)</f>
        <v>481.81412999999998</v>
      </c>
      <c r="BB52" s="95">
        <f t="shared" si="0"/>
        <v>0</v>
      </c>
      <c r="BD52" s="319">
        <f>OBJ!B237</f>
        <v>9318146</v>
      </c>
      <c r="BE52" s="21" t="str">
        <f>VLOOKUP(BD52,CENY!$B$11:$G$1054,2,FALSE)</f>
        <v>Actro You(S) 270/SiSy 10kg; EB21; pravý</v>
      </c>
      <c r="BF52" s="22">
        <f>VLOOKUP(BD52,CENY!$B$11:$G$1054,3,FALSE)</f>
        <v>10</v>
      </c>
      <c r="BG52" s="22"/>
      <c r="BH52" s="68"/>
      <c r="BI52" s="326" t="str">
        <f t="shared" si="2"/>
        <v/>
      </c>
      <c r="BJ52" s="95">
        <f>VLOOKUP(BD52,CENY!$B$11:$M$2025,12,FALSE)</f>
        <v>298.88173999999998</v>
      </c>
      <c r="BK52" s="95">
        <f t="shared" si="3"/>
        <v>0</v>
      </c>
    </row>
    <row r="53" spans="47:63" ht="14.4" customHeight="1">
      <c r="AU53" s="319">
        <f>OBJ!B287</f>
        <v>9257893</v>
      </c>
      <c r="AV53" s="21" t="str">
        <f>VLOOKUP(AU53,CENY!$B$11:$G$1054,2,FALSE)</f>
        <v>Actro You - Push to open Silent; 20-70kg</v>
      </c>
      <c r="AW53" s="22">
        <f>VLOOKUP(AU53,CENY!$B$11:$G$1054,3,FALSE)</f>
        <v>1</v>
      </c>
      <c r="AX53" s="22"/>
      <c r="AY53" s="68"/>
      <c r="AZ53" s="326" t="str">
        <f t="shared" si="1"/>
        <v/>
      </c>
      <c r="BA53" s="95">
        <f>VLOOKUP(AU53,CENY!$B$11:$M$2025,12,FALSE)</f>
        <v>481.81412999999998</v>
      </c>
      <c r="BB53" s="95">
        <f t="shared" si="0"/>
        <v>0</v>
      </c>
      <c r="BD53" s="319">
        <f>OBJ!B238</f>
        <v>9318147</v>
      </c>
      <c r="BE53" s="21" t="str">
        <f>VLOOKUP(BD53,CENY!$B$11:$G$1054,2,FALSE)</f>
        <v>Actro You(S) 300/SiSy 10kg; EB21; ľavý</v>
      </c>
      <c r="BF53" s="22">
        <f>VLOOKUP(BD53,CENY!$B$11:$G$1054,3,FALSE)</f>
        <v>10</v>
      </c>
      <c r="BG53" s="22"/>
      <c r="BH53" s="68"/>
      <c r="BI53" s="326" t="str">
        <f t="shared" si="2"/>
        <v/>
      </c>
      <c r="BJ53" s="95">
        <f>VLOOKUP(BD53,CENY!$B$11:$M$2025,12,FALSE)</f>
        <v>298.88173999999998</v>
      </c>
      <c r="BK53" s="95">
        <f t="shared" si="3"/>
        <v>0</v>
      </c>
    </row>
    <row r="54" spans="47:63" ht="14.4" customHeight="1">
      <c r="AU54" s="319">
        <f>OBJ!B288</f>
        <v>9236718</v>
      </c>
      <c r="AV54" s="21" t="str">
        <f>VLOOKUP(AU54,CENY!$B$11:$G$1054,2,FALSE)</f>
        <v>Push to open Synchro / tyč 2.000 mm</v>
      </c>
      <c r="AW54" s="22">
        <f>VLOOKUP(AU54,CENY!$B$11:$G$1054,3,FALSE)</f>
        <v>100</v>
      </c>
      <c r="AX54" s="22"/>
      <c r="AY54" s="68"/>
      <c r="AZ54" s="326" t="str">
        <f t="shared" si="1"/>
        <v/>
      </c>
      <c r="BA54" s="95">
        <f>VLOOKUP(AU54,CENY!$B$11:$M$2025,12,FALSE)</f>
        <v>182.03933000000001</v>
      </c>
      <c r="BB54" s="95">
        <f t="shared" si="0"/>
        <v>0</v>
      </c>
      <c r="BD54" s="319">
        <f>OBJ!B239</f>
        <v>9318148</v>
      </c>
      <c r="BE54" s="21" t="str">
        <f>VLOOKUP(BD54,CENY!$B$11:$G$1054,2,FALSE)</f>
        <v>Actro You(S) 300/SiSy 10kg; EB21; pravý</v>
      </c>
      <c r="BF54" s="22">
        <f>VLOOKUP(BD54,CENY!$B$11:$G$1054,3,FALSE)</f>
        <v>10</v>
      </c>
      <c r="BG54" s="22"/>
      <c r="BH54" s="68"/>
      <c r="BI54" s="326" t="str">
        <f t="shared" si="2"/>
        <v/>
      </c>
      <c r="BJ54" s="95">
        <f>VLOOKUP(BD54,CENY!$B$11:$M$2025,12,FALSE)</f>
        <v>298.88173999999998</v>
      </c>
      <c r="BK54" s="95">
        <f t="shared" si="3"/>
        <v>0</v>
      </c>
    </row>
    <row r="55" spans="47:63" ht="14.4" customHeight="1">
      <c r="AU55" s="319"/>
      <c r="AV55" s="21"/>
      <c r="AW55" s="22"/>
      <c r="AX55" s="22"/>
      <c r="AY55" s="23"/>
      <c r="AZ55" s="326" t="str">
        <f t="shared" si="1"/>
        <v/>
      </c>
      <c r="BA55" s="95"/>
      <c r="BB55" s="95" t="str">
        <f t="shared" si="0"/>
        <v/>
      </c>
      <c r="BD55" s="319">
        <f>OBJ!B240</f>
        <v>9318149</v>
      </c>
      <c r="BE55" s="21" t="str">
        <f>VLOOKUP(BD55,CENY!$B$11:$G$1054,2,FALSE)</f>
        <v>Actro You(S) 350/SiSy 10kg; EB21; ľavý</v>
      </c>
      <c r="BF55" s="22">
        <f>VLOOKUP(BD55,CENY!$B$11:$G$1054,3,FALSE)</f>
        <v>10</v>
      </c>
      <c r="BG55" s="22"/>
      <c r="BH55" s="68"/>
      <c r="BI55" s="326" t="str">
        <f t="shared" si="2"/>
        <v/>
      </c>
      <c r="BJ55" s="95">
        <f>VLOOKUP(BD55,CENY!$B$11:$M$2025,12,FALSE)</f>
        <v>298.88173999999998</v>
      </c>
      <c r="BK55" s="95">
        <f t="shared" si="3"/>
        <v>0</v>
      </c>
    </row>
    <row r="56" spans="47:63" ht="14.4" customHeight="1">
      <c r="AU56" s="319">
        <f>OBJ!B294</f>
        <v>9256953</v>
      </c>
      <c r="AV56" s="21" t="str">
        <f>VLOOKUP(AU56,CENY!$B$11:$G$1054,2,FALSE)</f>
        <v>Quadro You(S) 270/SiSy 10kg; EB21</v>
      </c>
      <c r="AW56" s="22">
        <f>VLOOKUP(AU56,CENY!$B$11:$G$1054,3,FALSE)</f>
        <v>1</v>
      </c>
      <c r="AX56" s="362">
        <v>4</v>
      </c>
      <c r="AY56" s="68"/>
      <c r="AZ56" s="326" t="str">
        <f t="shared" si="1"/>
        <v/>
      </c>
      <c r="BA56" s="95">
        <f>VLOOKUP(AU56,CENY!$B$11:$M$2025,12,FALSE)</f>
        <v>478.60127999999997</v>
      </c>
      <c r="BB56" s="95">
        <f t="shared" si="0"/>
        <v>0</v>
      </c>
      <c r="BD56" s="319">
        <f>OBJ!B241</f>
        <v>9318150</v>
      </c>
      <c r="BE56" s="21" t="str">
        <f>VLOOKUP(BD56,CENY!$B$11:$G$1054,2,FALSE)</f>
        <v>Actro You(S) 350/SiSy 10kg; EB21; pravý</v>
      </c>
      <c r="BF56" s="22">
        <f>VLOOKUP(BD56,CENY!$B$11:$G$1054,3,FALSE)</f>
        <v>10</v>
      </c>
      <c r="BG56" s="22"/>
      <c r="BH56" s="68"/>
      <c r="BI56" s="326" t="str">
        <f t="shared" si="2"/>
        <v/>
      </c>
      <c r="BJ56" s="95">
        <f>VLOOKUP(BD56,CENY!$B$11:$M$2025,12,FALSE)</f>
        <v>298.88173999999998</v>
      </c>
      <c r="BK56" s="95">
        <f t="shared" si="3"/>
        <v>0</v>
      </c>
    </row>
    <row r="57" spans="47:63" ht="14.4" customHeight="1">
      <c r="AU57" s="319">
        <f>OBJ!B295</f>
        <v>9256954</v>
      </c>
      <c r="AV57" s="21" t="str">
        <f>VLOOKUP(AU57,CENY!$B$11:$G$1054,2,FALSE)</f>
        <v>Quadro You(S) 300/SiSy 10kg; EB21</v>
      </c>
      <c r="AW57" s="22">
        <f>VLOOKUP(AU57,CENY!$B$11:$G$1054,3,FALSE)</f>
        <v>1</v>
      </c>
      <c r="AX57" s="362">
        <v>4</v>
      </c>
      <c r="AY57" s="68"/>
      <c r="AZ57" s="326" t="str">
        <f t="shared" si="1"/>
        <v/>
      </c>
      <c r="BA57" s="95">
        <f>VLOOKUP(AU57,CENY!$B$11:$M$2025,12,FALSE)</f>
        <v>479.57344999999998</v>
      </c>
      <c r="BB57" s="95">
        <f t="shared" si="0"/>
        <v>0</v>
      </c>
      <c r="BD57" s="319"/>
      <c r="BE57" s="21"/>
      <c r="BF57" s="22"/>
      <c r="BG57" s="22"/>
      <c r="BH57" s="23"/>
      <c r="BI57" s="326" t="str">
        <f t="shared" si="2"/>
        <v/>
      </c>
      <c r="BJ57" s="95"/>
      <c r="BK57" s="95" t="str">
        <f t="shared" si="3"/>
        <v/>
      </c>
    </row>
    <row r="58" spans="47:63" ht="14.4" customHeight="1">
      <c r="AU58" s="319">
        <f>OBJ!B296</f>
        <v>9256956</v>
      </c>
      <c r="AV58" s="21" t="str">
        <f>VLOOKUP(AU58,CENY!$B$11:$G$1054,2,FALSE)</f>
        <v>Quadro You(S) 350/SiSy 10kg; EB21</v>
      </c>
      <c r="AW58" s="22">
        <f>VLOOKUP(AU58,CENY!$B$11:$G$1054,3,FALSE)</f>
        <v>1</v>
      </c>
      <c r="AX58" s="362">
        <v>4</v>
      </c>
      <c r="AY58" s="68"/>
      <c r="AZ58" s="326" t="str">
        <f t="shared" si="1"/>
        <v/>
      </c>
      <c r="BA58" s="95">
        <f>VLOOKUP(AU58,CENY!$B$11:$M$2025,12,FALSE)</f>
        <v>489.27857</v>
      </c>
      <c r="BB58" s="95">
        <f t="shared" si="0"/>
        <v>0</v>
      </c>
      <c r="BD58" s="319">
        <f>OBJ!B251</f>
        <v>9318167</v>
      </c>
      <c r="BE58" s="21" t="str">
        <f>VLOOKUP(BD58,CENY!$B$11:$G$1054,2,FALSE)</f>
        <v>Actro You(L) 270/SiSy 40kg; EB21; ľavý</v>
      </c>
      <c r="BF58" s="22">
        <f>VLOOKUP(BD58,CENY!$B$11:$G$1054,3,FALSE)</f>
        <v>10</v>
      </c>
      <c r="BG58" s="22"/>
      <c r="BH58" s="68"/>
      <c r="BI58" s="326" t="str">
        <f t="shared" si="2"/>
        <v/>
      </c>
      <c r="BJ58" s="95">
        <f>VLOOKUP(BD58,CENY!$B$11:$M$2025,12,FALSE)</f>
        <v>298.88173999999998</v>
      </c>
      <c r="BK58" s="95">
        <f t="shared" si="3"/>
        <v>0</v>
      </c>
    </row>
    <row r="59" spans="47:63" ht="14.4" customHeight="1">
      <c r="AU59" s="319"/>
      <c r="AV59" s="21"/>
      <c r="AW59" s="22"/>
      <c r="AX59" s="22"/>
      <c r="AY59" s="23"/>
      <c r="AZ59" s="326" t="str">
        <f t="shared" si="1"/>
        <v/>
      </c>
      <c r="BA59" s="95"/>
      <c r="BB59" s="95" t="str">
        <f t="shared" si="0"/>
        <v/>
      </c>
      <c r="BD59" s="319">
        <f>OBJ!B252</f>
        <v>9318170</v>
      </c>
      <c r="BE59" s="21" t="str">
        <f>VLOOKUP(BD59,CENY!$B$11:$G$1054,2,FALSE)</f>
        <v>Actro You(L) 270/SiSy 40kg; EB21; pravý</v>
      </c>
      <c r="BF59" s="22">
        <f>VLOOKUP(BD59,CENY!$B$11:$G$1054,3,FALSE)</f>
        <v>10</v>
      </c>
      <c r="BG59" s="22"/>
      <c r="BH59" s="68"/>
      <c r="BI59" s="326" t="str">
        <f t="shared" si="2"/>
        <v/>
      </c>
      <c r="BJ59" s="95">
        <f>VLOOKUP(BD59,CENY!$B$11:$M$2025,12,FALSE)</f>
        <v>298.88173999999998</v>
      </c>
      <c r="BK59" s="95">
        <f t="shared" si="3"/>
        <v>0</v>
      </c>
    </row>
    <row r="60" spans="47:63" ht="14.4" customHeight="1">
      <c r="AU60" s="319">
        <f>OBJ!B304</f>
        <v>9256883</v>
      </c>
      <c r="AV60" s="21" t="str">
        <f>VLOOKUP(AU60,CENY!$B$11:$G$1054,2,FALSE)</f>
        <v>Quadro You(M) 270/SiSy 20kg; EB21</v>
      </c>
      <c r="AW60" s="22">
        <f>VLOOKUP(AU60,CENY!$B$11:$G$1054,3,FALSE)</f>
        <v>1</v>
      </c>
      <c r="AX60" s="362">
        <v>8</v>
      </c>
      <c r="AY60" s="68"/>
      <c r="AZ60" s="326" t="str">
        <f t="shared" si="1"/>
        <v/>
      </c>
      <c r="BA60" s="95">
        <f>VLOOKUP(AU60,CENY!$B$11:$M$2025,12,FALSE)</f>
        <v>478.60127999999997</v>
      </c>
      <c r="BB60" s="95">
        <f t="shared" si="0"/>
        <v>0</v>
      </c>
      <c r="BD60" s="319">
        <f>OBJ!B253</f>
        <v>9318171</v>
      </c>
      <c r="BE60" s="21" t="str">
        <f>VLOOKUP(BD60,CENY!$B$11:$G$1054,2,FALSE)</f>
        <v>Actro You(L) 300/SiSy 40kg; EB21; ľavý</v>
      </c>
      <c r="BF60" s="22">
        <f>VLOOKUP(BD60,CENY!$B$11:$G$1054,3,FALSE)</f>
        <v>10</v>
      </c>
      <c r="BG60" s="22"/>
      <c r="BH60" s="68"/>
      <c r="BI60" s="326" t="str">
        <f t="shared" si="2"/>
        <v/>
      </c>
      <c r="BJ60" s="95">
        <f>VLOOKUP(BD60,CENY!$B$11:$M$2025,12,FALSE)</f>
        <v>298.88173999999998</v>
      </c>
      <c r="BK60" s="95">
        <f t="shared" si="3"/>
        <v>0</v>
      </c>
    </row>
    <row r="61" spans="47:63" ht="14.4" customHeight="1">
      <c r="AU61" s="319">
        <f>OBJ!B305</f>
        <v>9256884</v>
      </c>
      <c r="AV61" s="21" t="str">
        <f>VLOOKUP(AU61,CENY!$B$11:$G$1054,2,FALSE)</f>
        <v>Quadro You(M) 300/SiSy 20kg; EB21</v>
      </c>
      <c r="AW61" s="22">
        <f>VLOOKUP(AU61,CENY!$B$11:$G$1054,3,FALSE)</f>
        <v>1</v>
      </c>
      <c r="AX61" s="362">
        <v>8</v>
      </c>
      <c r="AY61" s="68"/>
      <c r="AZ61" s="326" t="str">
        <f t="shared" si="1"/>
        <v/>
      </c>
      <c r="BA61" s="95">
        <f>VLOOKUP(AU61,CENY!$B$11:$M$2025,12,FALSE)</f>
        <v>479.57344999999998</v>
      </c>
      <c r="BB61" s="95">
        <f t="shared" si="0"/>
        <v>0</v>
      </c>
      <c r="BD61" s="319">
        <f>OBJ!B254</f>
        <v>9318172</v>
      </c>
      <c r="BE61" s="21" t="str">
        <f>VLOOKUP(BD61,CENY!$B$11:$G$1054,2,FALSE)</f>
        <v>Actro You(L) 300/SiSy 40kg; EB21; pravý</v>
      </c>
      <c r="BF61" s="22">
        <f>VLOOKUP(BD61,CENY!$B$11:$G$1054,3,FALSE)</f>
        <v>10</v>
      </c>
      <c r="BG61" s="22"/>
      <c r="BH61" s="68"/>
      <c r="BI61" s="326" t="str">
        <f t="shared" si="2"/>
        <v/>
      </c>
      <c r="BJ61" s="95">
        <f>VLOOKUP(BD61,CENY!$B$11:$M$2025,12,FALSE)</f>
        <v>298.88173999999998</v>
      </c>
      <c r="BK61" s="95">
        <f t="shared" si="3"/>
        <v>0</v>
      </c>
    </row>
    <row r="62" spans="47:63" ht="14.4" customHeight="1">
      <c r="AU62" s="319">
        <f>OBJ!B306</f>
        <v>9256886</v>
      </c>
      <c r="AV62" s="21" t="str">
        <f>VLOOKUP(AU62,CENY!$B$11:$G$1054,2,FALSE)</f>
        <v>Quadro You(M) 350/SiSy 25kg; EB21</v>
      </c>
      <c r="AW62" s="22">
        <f>VLOOKUP(AU62,CENY!$B$11:$G$1054,3,FALSE)</f>
        <v>1</v>
      </c>
      <c r="AX62" s="362">
        <v>8</v>
      </c>
      <c r="AY62" s="68"/>
      <c r="AZ62" s="326" t="str">
        <f t="shared" si="1"/>
        <v/>
      </c>
      <c r="BA62" s="95">
        <f>VLOOKUP(AU62,CENY!$B$11:$M$2025,12,FALSE)</f>
        <v>489.27857</v>
      </c>
      <c r="BB62" s="95">
        <f t="shared" si="0"/>
        <v>0</v>
      </c>
      <c r="BD62" s="319">
        <f>OBJ!B255</f>
        <v>9318173</v>
      </c>
      <c r="BE62" s="21" t="str">
        <f>VLOOKUP(BD62,CENY!$B$11:$G$1054,2,FALSE)</f>
        <v>Actro You(L) 350/SiSy 40kg; EB21; ľavý</v>
      </c>
      <c r="BF62" s="22">
        <f>VLOOKUP(BD62,CENY!$B$11:$G$1054,3,FALSE)</f>
        <v>10</v>
      </c>
      <c r="BG62" s="22"/>
      <c r="BH62" s="68"/>
      <c r="BI62" s="326" t="str">
        <f t="shared" si="2"/>
        <v/>
      </c>
      <c r="BJ62" s="95">
        <f>VLOOKUP(BD62,CENY!$B$11:$M$2025,12,FALSE)</f>
        <v>298.88173999999998</v>
      </c>
      <c r="BK62" s="95">
        <f t="shared" si="3"/>
        <v>0</v>
      </c>
    </row>
    <row r="63" spans="47:63" ht="14.4" customHeight="1">
      <c r="AU63" s="319">
        <f>OBJ!B307</f>
        <v>9256888</v>
      </c>
      <c r="AV63" s="21" t="str">
        <f>VLOOKUP(AU63,CENY!$B$11:$G$1054,2,FALSE)</f>
        <v>Quadro You(M) 400/SiSy 30kg; EB21</v>
      </c>
      <c r="AW63" s="22">
        <f>VLOOKUP(AU63,CENY!$B$11:$G$1054,3,FALSE)</f>
        <v>1</v>
      </c>
      <c r="AX63" s="362">
        <v>8</v>
      </c>
      <c r="AY63" s="68"/>
      <c r="AZ63" s="326" t="str">
        <f t="shared" si="1"/>
        <v/>
      </c>
      <c r="BA63" s="95">
        <f>VLOOKUP(AU63,CENY!$B$11:$M$2025,12,FALSE)</f>
        <v>498.97861999999998</v>
      </c>
      <c r="BB63" s="95">
        <f t="shared" si="0"/>
        <v>0</v>
      </c>
      <c r="BD63" s="319">
        <f>OBJ!B256</f>
        <v>9318174</v>
      </c>
      <c r="BE63" s="21" t="str">
        <f>VLOOKUP(BD63,CENY!$B$11:$G$1054,2,FALSE)</f>
        <v>Actro You(L) 350/SiSy 40kg; EB21; pravý</v>
      </c>
      <c r="BF63" s="22">
        <f>VLOOKUP(BD63,CENY!$B$11:$G$1054,3,FALSE)</f>
        <v>10</v>
      </c>
      <c r="BG63" s="22"/>
      <c r="BH63" s="68"/>
      <c r="BI63" s="326" t="str">
        <f t="shared" si="2"/>
        <v/>
      </c>
      <c r="BJ63" s="95">
        <f>VLOOKUP(BD63,CENY!$B$11:$M$2025,12,FALSE)</f>
        <v>298.88173999999998</v>
      </c>
      <c r="BK63" s="95">
        <f t="shared" si="3"/>
        <v>0</v>
      </c>
    </row>
    <row r="64" spans="47:63" ht="14.4" customHeight="1">
      <c r="AU64" s="319">
        <f>OBJ!B308</f>
        <v>9256890</v>
      </c>
      <c r="AV64" s="21" t="str">
        <f>VLOOKUP(AU64,CENY!$B$11:$G$1054,2,FALSE)</f>
        <v>Quadro You(M) 450/SiSy 30kg; EB21</v>
      </c>
      <c r="AW64" s="22">
        <f>VLOOKUP(AU64,CENY!$B$11:$G$1054,3,FALSE)</f>
        <v>1</v>
      </c>
      <c r="AX64" s="362">
        <v>8</v>
      </c>
      <c r="AY64" s="23">
        <f>SUM(AY1:AY4)*W28</f>
        <v>0</v>
      </c>
      <c r="AZ64" s="326">
        <f t="shared" si="1"/>
        <v>0</v>
      </c>
      <c r="BA64" s="95">
        <f>VLOOKUP(AU64,CENY!$B$11:$M$2025,12,FALSE)</f>
        <v>122.98869999999999</v>
      </c>
      <c r="BB64" s="95">
        <f t="shared" si="0"/>
        <v>0</v>
      </c>
      <c r="BD64" s="319">
        <f>OBJ!B257</f>
        <v>9318175</v>
      </c>
      <c r="BE64" s="21" t="str">
        <f>VLOOKUP(BD64,CENY!$B$11:$G$1054,2,FALSE)</f>
        <v>Actro You(L) 400/SiSy 40kg; EB21; ľavý</v>
      </c>
      <c r="BF64" s="22">
        <f>VLOOKUP(BD64,CENY!$B$11:$G$1054,3,FALSE)</f>
        <v>10</v>
      </c>
      <c r="BG64" s="22"/>
      <c r="BH64" s="68"/>
      <c r="BI64" s="326" t="str">
        <f t="shared" si="2"/>
        <v/>
      </c>
      <c r="BJ64" s="95">
        <f>VLOOKUP(BD64,CENY!$B$11:$M$2025,12,FALSE)</f>
        <v>302.69770999999997</v>
      </c>
      <c r="BK64" s="95">
        <f t="shared" si="3"/>
        <v>0</v>
      </c>
    </row>
    <row r="65" spans="1:63" ht="14.4" customHeight="1">
      <c r="AU65" s="319">
        <f>OBJ!B309</f>
        <v>9256892</v>
      </c>
      <c r="AV65" s="21" t="str">
        <f>VLOOKUP(AU65,CENY!$B$11:$G$1054,2,FALSE)</f>
        <v>Quadro You(M) 500/SiSy 30kg; EB21</v>
      </c>
      <c r="AW65" s="22">
        <f>VLOOKUP(AU65,CENY!$B$11:$G$1054,3,FALSE)</f>
        <v>1</v>
      </c>
      <c r="AX65" s="362">
        <v>8</v>
      </c>
      <c r="AY65" s="23">
        <f>SUM(AY1:AY4)*Y28</f>
        <v>0</v>
      </c>
      <c r="AZ65" s="326">
        <f t="shared" si="1"/>
        <v>0</v>
      </c>
      <c r="BA65" s="95">
        <f>VLOOKUP(AU65,CENY!$B$11:$M$2025,12,FALSE)</f>
        <v>504.59701000000001</v>
      </c>
      <c r="BB65" s="95">
        <f t="shared" si="0"/>
        <v>0</v>
      </c>
      <c r="BD65" s="319">
        <f>OBJ!B258</f>
        <v>9318176</v>
      </c>
      <c r="BE65" s="21" t="str">
        <f>VLOOKUP(BD65,CENY!$B$11:$G$1054,2,FALSE)</f>
        <v>Actro You(L) 400/SiSy 40kg; EB21; pravý</v>
      </c>
      <c r="BF65" s="22">
        <f>VLOOKUP(BD65,CENY!$B$11:$G$1054,3,FALSE)</f>
        <v>10</v>
      </c>
      <c r="BG65" s="22"/>
      <c r="BH65" s="68"/>
      <c r="BI65" s="326" t="str">
        <f t="shared" si="2"/>
        <v/>
      </c>
      <c r="BJ65" s="95">
        <f>VLOOKUP(BD65,CENY!$B$11:$M$2025,12,FALSE)</f>
        <v>302.69770999999997</v>
      </c>
      <c r="BK65" s="95">
        <f t="shared" si="3"/>
        <v>0</v>
      </c>
    </row>
    <row r="66" spans="1:63" ht="12.9" customHeight="1" thickBot="1">
      <c r="A66" s="577"/>
      <c r="AU66" s="319">
        <f>OBJ!B310</f>
        <v>9256894</v>
      </c>
      <c r="AV66" s="21" t="str">
        <f>VLOOKUP(AU66,CENY!$B$11:$G$1054,2,FALSE)</f>
        <v>Quadro You(M) 550/SiSy 30kg; EB21</v>
      </c>
      <c r="AW66" s="22">
        <f>VLOOKUP(AU66,CENY!$B$11:$G$1054,3,FALSE)</f>
        <v>1</v>
      </c>
      <c r="AX66" s="362">
        <v>8</v>
      </c>
      <c r="AY66" s="23">
        <f>SUM(AY1:AY4)*AA28</f>
        <v>0</v>
      </c>
      <c r="AZ66" s="326">
        <f t="shared" si="1"/>
        <v>0</v>
      </c>
      <c r="BA66" s="95">
        <f>VLOOKUP(AU66,CENY!$B$11:$M$2025,12,FALSE)</f>
        <v>127.68105</v>
      </c>
      <c r="BB66" s="95">
        <f t="shared" si="0"/>
        <v>0</v>
      </c>
      <c r="BD66" s="319">
        <f>OBJ!B259</f>
        <v>9318177</v>
      </c>
      <c r="BE66" s="21" t="str">
        <f>VLOOKUP(BD66,CENY!$B$11:$G$1054,2,FALSE)</f>
        <v>Actro You(L) 450/SiSy 40kg; EB21; ľavý</v>
      </c>
      <c r="BF66" s="22">
        <f>VLOOKUP(BD66,CENY!$B$11:$G$1054,3,FALSE)</f>
        <v>10</v>
      </c>
      <c r="BG66" s="22"/>
      <c r="BH66" s="23">
        <f>AY39</f>
        <v>0</v>
      </c>
      <c r="BI66" s="326">
        <f t="shared" si="2"/>
        <v>0</v>
      </c>
      <c r="BJ66" s="95">
        <f>VLOOKUP(BD66,CENY!$B$11:$M$2025,12,FALSE)</f>
        <v>298.33073999999999</v>
      </c>
      <c r="BK66" s="95">
        <f t="shared" si="3"/>
        <v>0</v>
      </c>
    </row>
    <row r="67" spans="1:63" ht="23.1" customHeight="1" thickBot="1">
      <c r="A67" s="577"/>
      <c r="B67" s="484" t="str">
        <f>verze!E13</f>
        <v>&lt;&lt;  zpět</v>
      </c>
      <c r="C67" s="485"/>
      <c r="D67" s="485"/>
      <c r="E67" s="486"/>
      <c r="G67" s="513" t="str">
        <f>verze!E6</f>
        <v xml:space="preserve"> Úvod</v>
      </c>
      <c r="H67" s="514"/>
      <c r="I67" s="514"/>
      <c r="J67" s="514"/>
      <c r="K67" s="515"/>
      <c r="O67" s="513" t="str">
        <f>verze!E7</f>
        <v xml:space="preserve"> Výběr zásuvek</v>
      </c>
      <c r="P67" s="514"/>
      <c r="Q67" s="514"/>
      <c r="R67" s="514"/>
      <c r="S67" s="515"/>
      <c r="U67" s="513" t="str">
        <f>verze!E8</f>
        <v xml:space="preserve"> </v>
      </c>
      <c r="V67" s="514"/>
      <c r="W67" s="514"/>
      <c r="X67" s="514"/>
      <c r="Y67" s="515"/>
      <c r="AA67" s="513" t="str">
        <f>verze!E9</f>
        <v xml:space="preserve"> </v>
      </c>
      <c r="AB67" s="514"/>
      <c r="AC67" s="514"/>
      <c r="AD67" s="514"/>
      <c r="AE67" s="515"/>
      <c r="AI67" s="513" t="str">
        <f>verze!E10</f>
        <v xml:space="preserve"> Objednávka</v>
      </c>
      <c r="AJ67" s="514"/>
      <c r="AK67" s="514"/>
      <c r="AL67" s="514"/>
      <c r="AM67" s="515"/>
      <c r="AO67" s="475" t="str">
        <f>verze!E14</f>
        <v>vpřed  &gt;&gt;</v>
      </c>
      <c r="AP67" s="476"/>
      <c r="AQ67" s="476"/>
      <c r="AR67" s="477"/>
      <c r="AU67" s="319">
        <f>OBJ!B311</f>
        <v>9256896</v>
      </c>
      <c r="AV67" s="21" t="str">
        <f>VLOOKUP(AU67,CENY!$B$11:$G$1054,2,FALSE)</f>
        <v>Quadro You(M) 600/SiSy 25kg; EB21</v>
      </c>
      <c r="AW67" s="22">
        <f>VLOOKUP(AU67,CENY!$B$11:$G$1054,3,FALSE)</f>
        <v>1</v>
      </c>
      <c r="AX67" s="362">
        <v>8</v>
      </c>
      <c r="AY67" s="23">
        <f>SUM(AY1:AY4)*AC28</f>
        <v>0</v>
      </c>
      <c r="AZ67" s="326">
        <f t="shared" si="1"/>
        <v>0</v>
      </c>
      <c r="BA67" s="95">
        <f>VLOOKUP(AU67,CENY!$B$11:$M$2025,12,FALSE)</f>
        <v>537.79395</v>
      </c>
      <c r="BB67" s="95">
        <f t="shared" si="0"/>
        <v>0</v>
      </c>
      <c r="BD67" s="319">
        <f>OBJ!B260</f>
        <v>9318178</v>
      </c>
      <c r="BE67" s="21" t="str">
        <f>VLOOKUP(BD67,CENY!$B$11:$G$1054,2,FALSE)</f>
        <v>Actro You(L) 450/SiSy 40kg; EB21; pravý</v>
      </c>
      <c r="BF67" s="22">
        <f>VLOOKUP(BD67,CENY!$B$11:$G$1054,3,FALSE)</f>
        <v>10</v>
      </c>
      <c r="BG67" s="22"/>
      <c r="BH67" s="23">
        <f>AY39</f>
        <v>0</v>
      </c>
      <c r="BI67" s="326">
        <f t="shared" si="2"/>
        <v>0</v>
      </c>
      <c r="BJ67" s="95">
        <f>VLOOKUP(BD67,CENY!$B$11:$M$2025,12,FALSE)</f>
        <v>298.33073999999999</v>
      </c>
      <c r="BK67" s="95">
        <f t="shared" si="3"/>
        <v>0</v>
      </c>
    </row>
    <row r="68" spans="1:63" ht="12.9" customHeight="1">
      <c r="A68" s="577"/>
      <c r="AU68" s="319"/>
      <c r="AV68" s="21"/>
      <c r="AW68" s="22"/>
      <c r="AX68" s="22"/>
      <c r="AY68" s="23"/>
      <c r="AZ68" s="326" t="str">
        <f t="shared" si="1"/>
        <v/>
      </c>
      <c r="BA68" s="95"/>
      <c r="BB68" s="95" t="str">
        <f t="shared" si="0"/>
        <v/>
      </c>
      <c r="BD68" s="319">
        <f>OBJ!B261</f>
        <v>9318179</v>
      </c>
      <c r="BE68" s="21" t="str">
        <f>VLOOKUP(BD68,CENY!$B$11:$G$1054,2,FALSE)</f>
        <v>Actro You(L) 500/SiSy 40kg; EB21; ľavý</v>
      </c>
      <c r="BF68" s="22">
        <f>VLOOKUP(BD68,CENY!$B$11:$G$1054,3,FALSE)</f>
        <v>10</v>
      </c>
      <c r="BG68" s="22"/>
      <c r="BH68" s="23">
        <f>AY40</f>
        <v>0</v>
      </c>
      <c r="BI68" s="326">
        <f t="shared" si="2"/>
        <v>0</v>
      </c>
      <c r="BJ68" s="95">
        <f>VLOOKUP(BD68,CENY!$B$11:$M$2025,12,FALSE)</f>
        <v>296.00905</v>
      </c>
      <c r="BK68" s="95">
        <f t="shared" si="3"/>
        <v>0</v>
      </c>
    </row>
    <row r="69" spans="1:63" ht="23.1" customHeight="1">
      <c r="A69" s="577"/>
      <c r="B69" s="93" t="str">
        <f>B4</f>
        <v>Zásuvka AVANTECH YOU  101 / 187</v>
      </c>
      <c r="C69" s="89"/>
      <c r="D69" s="89"/>
      <c r="E69" s="89"/>
      <c r="F69" s="89"/>
      <c r="G69" s="89"/>
      <c r="H69" s="89"/>
      <c r="I69" s="89"/>
      <c r="J69" s="89"/>
      <c r="K69" s="89"/>
      <c r="L69" s="89"/>
      <c r="M69" s="89"/>
      <c r="N69" s="89"/>
      <c r="O69" s="89"/>
      <c r="P69" s="89"/>
      <c r="Q69" s="89"/>
      <c r="R69" s="89"/>
      <c r="S69" s="89"/>
      <c r="T69" s="89"/>
      <c r="U69" s="89"/>
      <c r="V69" s="89"/>
      <c r="W69" s="89"/>
      <c r="X69" s="89"/>
      <c r="Y69" s="89"/>
      <c r="Z69" s="89"/>
      <c r="AA69" s="89"/>
      <c r="AB69" s="89"/>
      <c r="AC69" s="89"/>
      <c r="AD69" s="89"/>
      <c r="AE69" s="89"/>
      <c r="AF69" s="89"/>
      <c r="AG69" s="89"/>
      <c r="AH69" s="89"/>
      <c r="AI69" s="89"/>
      <c r="AJ69" s="89"/>
      <c r="AK69" s="89"/>
      <c r="AL69" s="89"/>
      <c r="AM69" s="89"/>
      <c r="AN69" s="89"/>
      <c r="AO69" s="89"/>
      <c r="AP69" s="89"/>
      <c r="AQ69" s="89"/>
      <c r="AR69" s="89"/>
      <c r="AU69" s="319">
        <f>OBJ!B329</f>
        <v>9257894</v>
      </c>
      <c r="AV69" s="21" t="str">
        <f>VLOOKUP(AU69,CENY!$B$11:$G$1054,2,FALSE)</f>
        <v>Quadro You - Push to open Silent; &lt;10kg</v>
      </c>
      <c r="AW69" s="22">
        <f>VLOOKUP(AU69,CENY!$B$11:$G$1054,3,FALSE)</f>
        <v>1</v>
      </c>
      <c r="AX69" s="22"/>
      <c r="AY69" s="68"/>
      <c r="AZ69" s="326" t="str">
        <f t="shared" si="1"/>
        <v/>
      </c>
      <c r="BA69" s="95">
        <f>VLOOKUP(AU69,CENY!$B$11:$M$2025,12,FALSE)</f>
        <v>480.50922000000003</v>
      </c>
      <c r="BB69" s="95">
        <f t="shared" si="0"/>
        <v>0</v>
      </c>
      <c r="BD69" s="319">
        <f>OBJ!B262</f>
        <v>9318180</v>
      </c>
      <c r="BE69" s="21" t="str">
        <f>VLOOKUP(BD69,CENY!$B$11:$G$1054,2,FALSE)</f>
        <v>Actro You(L) 500/SiSy 40kg; EB21; pravý</v>
      </c>
      <c r="BF69" s="22">
        <f>VLOOKUP(BD69,CENY!$B$11:$G$1054,3,FALSE)</f>
        <v>10</v>
      </c>
      <c r="BG69" s="22"/>
      <c r="BH69" s="23">
        <f>AY40</f>
        <v>0</v>
      </c>
      <c r="BI69" s="326">
        <f t="shared" si="2"/>
        <v>0</v>
      </c>
      <c r="BJ69" s="95">
        <f>VLOOKUP(BD69,CENY!$B$11:$M$2025,12,FALSE)</f>
        <v>296.00905</v>
      </c>
      <c r="BK69" s="95">
        <f t="shared" si="3"/>
        <v>0</v>
      </c>
    </row>
    <row r="70" spans="1:63" ht="14.4" customHeight="1">
      <c r="A70" s="577"/>
      <c r="AU70" s="319">
        <f>OBJ!B330</f>
        <v>9257895</v>
      </c>
      <c r="AV70" s="21" t="str">
        <f>VLOOKUP(AU70,CENY!$B$11:$G$1054,2,FALSE)</f>
        <v>Quadro You - Push to open Silent; 8-20kg</v>
      </c>
      <c r="AW70" s="22">
        <f>VLOOKUP(AU70,CENY!$B$11:$G$1054,3,FALSE)</f>
        <v>1</v>
      </c>
      <c r="AX70" s="22"/>
      <c r="AY70" s="68"/>
      <c r="AZ70" s="326" t="str">
        <f t="shared" si="1"/>
        <v/>
      </c>
      <c r="BA70" s="95">
        <f>VLOOKUP(AU70,CENY!$B$11:$M$2025,12,FALSE)</f>
        <v>480.50922000000003</v>
      </c>
      <c r="BB70" s="95">
        <f t="shared" si="0"/>
        <v>0</v>
      </c>
      <c r="BD70" s="319">
        <f>OBJ!B263</f>
        <v>9318181</v>
      </c>
      <c r="BE70" s="21" t="str">
        <f>VLOOKUP(BD70,CENY!$B$11:$G$1054,2,FALSE)</f>
        <v>Actro You(L) 550/SiSy 40kg; EB21; ľavý</v>
      </c>
      <c r="BF70" s="22">
        <f>VLOOKUP(BD70,CENY!$B$11:$G$1054,3,FALSE)</f>
        <v>10</v>
      </c>
      <c r="BG70" s="22"/>
      <c r="BH70" s="23">
        <f>AY41</f>
        <v>0</v>
      </c>
      <c r="BI70" s="326">
        <f t="shared" si="2"/>
        <v>0</v>
      </c>
      <c r="BJ70" s="95">
        <f>VLOOKUP(BD70,CENY!$B$11:$M$2025,12,FALSE)</f>
        <v>321.83461999999997</v>
      </c>
      <c r="BK70" s="95">
        <f t="shared" si="3"/>
        <v>0</v>
      </c>
    </row>
    <row r="71" spans="1:63" ht="14.4" customHeight="1">
      <c r="A71" s="577"/>
      <c r="AU71" s="319">
        <f>OBJ!B331</f>
        <v>9257896</v>
      </c>
      <c r="AV71" s="21" t="str">
        <f>VLOOKUP(AU71,CENY!$B$11:$G$1054,2,FALSE)</f>
        <v>Quadro You - Push to open Silent; 10-30kg</v>
      </c>
      <c r="AW71" s="22">
        <f>VLOOKUP(AU71,CENY!$B$11:$G$1054,3,FALSE)</f>
        <v>1</v>
      </c>
      <c r="AX71" s="22"/>
      <c r="AY71" s="68"/>
      <c r="AZ71" s="326" t="str">
        <f t="shared" si="1"/>
        <v/>
      </c>
      <c r="BA71" s="95">
        <f>VLOOKUP(AU71,CENY!$B$11:$M$2025,12,FALSE)</f>
        <v>480.50922000000003</v>
      </c>
      <c r="BB71" s="95">
        <f t="shared" si="0"/>
        <v>0</v>
      </c>
      <c r="BD71" s="319">
        <f>OBJ!B264</f>
        <v>9318182</v>
      </c>
      <c r="BE71" s="21" t="str">
        <f>VLOOKUP(BD71,CENY!$B$11:$G$1054,2,FALSE)</f>
        <v>Actro You(L) 550/SiSy 40kg; EB21; pravý</v>
      </c>
      <c r="BF71" s="22">
        <f>VLOOKUP(BD71,CENY!$B$11:$G$1054,3,FALSE)</f>
        <v>10</v>
      </c>
      <c r="BG71" s="22"/>
      <c r="BH71" s="23">
        <f>AY41</f>
        <v>0</v>
      </c>
      <c r="BI71" s="326">
        <f t="shared" si="2"/>
        <v>0</v>
      </c>
      <c r="BJ71" s="95">
        <f>VLOOKUP(BD71,CENY!$B$11:$M$2025,12,FALSE)</f>
        <v>321.83461999999997</v>
      </c>
      <c r="BK71" s="95">
        <f t="shared" si="3"/>
        <v>0</v>
      </c>
    </row>
    <row r="72" spans="1:63" ht="14.4" customHeight="1">
      <c r="A72" s="577"/>
      <c r="AU72" s="319"/>
      <c r="AV72" s="21"/>
      <c r="AW72" s="22"/>
      <c r="AX72" s="22"/>
      <c r="AY72" s="23"/>
      <c r="AZ72" s="326" t="str">
        <f t="shared" si="1"/>
        <v/>
      </c>
      <c r="BA72" s="95"/>
      <c r="BB72" s="95" t="str">
        <f t="shared" si="0"/>
        <v/>
      </c>
      <c r="BD72" s="319">
        <f>OBJ!B265</f>
        <v>9318183</v>
      </c>
      <c r="BE72" s="21" t="str">
        <f>VLOOKUP(BD72,CENY!$B$11:$G$1054,2,FALSE)</f>
        <v>Actro You(L) 600/SiSy 40kg; EB21; ľavý</v>
      </c>
      <c r="BF72" s="22">
        <f>VLOOKUP(BD72,CENY!$B$11:$G$1054,3,FALSE)</f>
        <v>10</v>
      </c>
      <c r="BG72" s="22"/>
      <c r="BH72" s="23">
        <f>AY42</f>
        <v>0</v>
      </c>
      <c r="BI72" s="326">
        <f t="shared" si="2"/>
        <v>0</v>
      </c>
      <c r="BJ72" s="95">
        <f>VLOOKUP(BD72,CENY!$B$11:$M$2025,12,FALSE)</f>
        <v>326.21229</v>
      </c>
      <c r="BK72" s="95">
        <f t="shared" si="3"/>
        <v>0</v>
      </c>
    </row>
    <row r="73" spans="1:63" ht="14.4" customHeight="1">
      <c r="A73" s="577"/>
      <c r="AU73" s="319">
        <f>OBJ!B333</f>
        <v>9256928</v>
      </c>
      <c r="AV73" s="21" t="str">
        <f>VLOOKUP(AU73,CENY!$B$11:$G$1054,2,FALSE)</f>
        <v>Quadro You(M) 270/P2O 20kg; EB21</v>
      </c>
      <c r="AW73" s="22">
        <f>VLOOKUP(AU73,CENY!$B$11:$G$1054,3,FALSE)</f>
        <v>1</v>
      </c>
      <c r="AX73" s="362">
        <v>8</v>
      </c>
      <c r="AY73" s="68"/>
      <c r="AZ73" s="326" t="str">
        <f t="shared" si="1"/>
        <v/>
      </c>
      <c r="BA73" s="95">
        <f>VLOOKUP(AU73,CENY!$B$11:$M$2025,12,FALSE)</f>
        <v>536.84897999999998</v>
      </c>
      <c r="BB73" s="95">
        <f t="shared" si="0"/>
        <v>0</v>
      </c>
      <c r="BD73" s="319">
        <f>OBJ!B266</f>
        <v>9318184</v>
      </c>
      <c r="BE73" s="21" t="str">
        <f>VLOOKUP(BD73,CENY!$B$11:$G$1054,2,FALSE)</f>
        <v>Actro You(L) 600/SiSy 40kg; EB21; pravý</v>
      </c>
      <c r="BF73" s="22">
        <f>VLOOKUP(BD73,CENY!$B$11:$G$1054,3,FALSE)</f>
        <v>10</v>
      </c>
      <c r="BG73" s="22"/>
      <c r="BH73" s="23">
        <f>AY42</f>
        <v>0</v>
      </c>
      <c r="BI73" s="326">
        <f t="shared" si="2"/>
        <v>0</v>
      </c>
      <c r="BJ73" s="95">
        <f>VLOOKUP(BD73,CENY!$B$11:$M$2025,12,FALSE)</f>
        <v>326.21229</v>
      </c>
      <c r="BK73" s="95">
        <f t="shared" si="3"/>
        <v>0</v>
      </c>
    </row>
    <row r="74" spans="1:63" ht="14.4" customHeight="1">
      <c r="A74" s="577"/>
      <c r="AU74" s="319">
        <f>OBJ!B334</f>
        <v>9256929</v>
      </c>
      <c r="AV74" s="21" t="str">
        <f>VLOOKUP(AU74,CENY!$B$11:$G$1054,2,FALSE)</f>
        <v>Quadro You(M) 300/P2O 20kg; EB21</v>
      </c>
      <c r="AW74" s="22">
        <f>VLOOKUP(AU74,CENY!$B$11:$G$1054,3,FALSE)</f>
        <v>1</v>
      </c>
      <c r="AX74" s="362">
        <v>8</v>
      </c>
      <c r="AY74" s="68"/>
      <c r="AZ74" s="326" t="str">
        <f t="shared" si="1"/>
        <v/>
      </c>
      <c r="BA74" s="95">
        <f>VLOOKUP(AU74,CENY!$B$11:$M$2025,12,FALSE)</f>
        <v>537.79395</v>
      </c>
      <c r="BB74" s="95">
        <f t="shared" si="0"/>
        <v>0</v>
      </c>
      <c r="BD74" s="319"/>
      <c r="BE74" s="21"/>
      <c r="BF74" s="22"/>
      <c r="BG74" s="22"/>
      <c r="BH74" s="23"/>
      <c r="BI74" s="326" t="str">
        <f t="shared" si="2"/>
        <v/>
      </c>
      <c r="BJ74" s="95"/>
      <c r="BK74" s="95" t="str">
        <f t="shared" si="3"/>
        <v/>
      </c>
    </row>
    <row r="75" spans="1:63" ht="14.4" customHeight="1">
      <c r="A75" s="577"/>
      <c r="AU75" s="319">
        <f>OBJ!B335</f>
        <v>9256931</v>
      </c>
      <c r="AV75" s="21" t="str">
        <f>VLOOKUP(AU75,CENY!$B$11:$G$1054,2,FALSE)</f>
        <v>Quadro You(M) 350/P2O 25kg; EB21</v>
      </c>
      <c r="AW75" s="22">
        <f>VLOOKUP(AU75,CENY!$B$11:$G$1054,3,FALSE)</f>
        <v>1</v>
      </c>
      <c r="AX75" s="362">
        <v>8</v>
      </c>
      <c r="AY75" s="68"/>
      <c r="AZ75" s="326" t="str">
        <f t="shared" si="1"/>
        <v/>
      </c>
      <c r="BA75" s="95">
        <f>VLOOKUP(AU75,CENY!$B$11:$M$2025,12,FALSE)</f>
        <v>547.49897999999996</v>
      </c>
      <c r="BB75" s="95">
        <f t="shared" ref="BB75:BB106" si="7">IF(BA75="","",BA75*AY75)</f>
        <v>0</v>
      </c>
      <c r="BD75" s="319">
        <f>OBJ!B273</f>
        <v>9318198</v>
      </c>
      <c r="BE75" s="21" t="str">
        <f>VLOOKUP(BD75,CENY!$B$11:$G$1054,2,FALSE)</f>
        <v>Actro You(XL) 450/SiSy 70kg; EB21; ľavý</v>
      </c>
      <c r="BF75" s="22">
        <f>VLOOKUP(BD75,CENY!$B$11:$G$1054,3,FALSE)</f>
        <v>10</v>
      </c>
      <c r="BG75" s="22"/>
      <c r="BH75" s="23">
        <f>AY44</f>
        <v>0</v>
      </c>
      <c r="BI75" s="326">
        <f t="shared" si="2"/>
        <v>0</v>
      </c>
      <c r="BJ75" s="95">
        <f>VLOOKUP(BD75,CENY!$B$11:$M$2025,12,FALSE)</f>
        <v>368.62277</v>
      </c>
      <c r="BK75" s="95">
        <f t="shared" si="3"/>
        <v>0</v>
      </c>
    </row>
    <row r="76" spans="1:63" ht="14.4" customHeight="1">
      <c r="A76" s="577"/>
      <c r="AU76" s="319">
        <f>OBJ!B336</f>
        <v>9256933</v>
      </c>
      <c r="AV76" s="21" t="str">
        <f>VLOOKUP(AU76,CENY!$B$11:$G$1054,2,FALSE)</f>
        <v>Quadro You(M) 400/P2O 30kg; EB21</v>
      </c>
      <c r="AW76" s="22">
        <f>VLOOKUP(AU76,CENY!$B$11:$G$1054,3,FALSE)</f>
        <v>1</v>
      </c>
      <c r="AX76" s="362">
        <v>8</v>
      </c>
      <c r="AY76" s="68"/>
      <c r="AZ76" s="326" t="str">
        <f t="shared" ref="AZ76:AZ142" si="8">IF(AY76="","",IF($AW$4=1,AY76,0))</f>
        <v/>
      </c>
      <c r="BA76" s="95">
        <f>VLOOKUP(AU76,CENY!$B$11:$M$2025,12,FALSE)</f>
        <v>557.20162000000005</v>
      </c>
      <c r="BB76" s="95">
        <f t="shared" si="7"/>
        <v>0</v>
      </c>
      <c r="BD76" s="319">
        <f>OBJ!B274</f>
        <v>9318199</v>
      </c>
      <c r="BE76" s="21" t="str">
        <f>VLOOKUP(BD76,CENY!$B$11:$G$1054,2,FALSE)</f>
        <v>Actro You(XL) 450/SiSy 70kg; EB21; pravý</v>
      </c>
      <c r="BF76" s="22">
        <f>VLOOKUP(BD76,CENY!$B$11:$G$1054,3,FALSE)</f>
        <v>10</v>
      </c>
      <c r="BG76" s="22"/>
      <c r="BH76" s="23">
        <f>AY44</f>
        <v>0</v>
      </c>
      <c r="BI76" s="326">
        <f t="shared" si="2"/>
        <v>0</v>
      </c>
      <c r="BJ76" s="95">
        <f>VLOOKUP(BD76,CENY!$B$11:$M$2025,12,FALSE)</f>
        <v>368.62277</v>
      </c>
      <c r="BK76" s="95">
        <f t="shared" si="3"/>
        <v>0</v>
      </c>
    </row>
    <row r="77" spans="1:63" ht="14.4" customHeight="1">
      <c r="A77" s="577"/>
      <c r="AU77" s="319">
        <f>OBJ!B337</f>
        <v>9256935</v>
      </c>
      <c r="AV77" s="21" t="str">
        <f>VLOOKUP(AU77,CENY!$B$11:$G$1054,2,FALSE)</f>
        <v>Quadro You(M) 450/P2O 30kg; EB21</v>
      </c>
      <c r="AW77" s="22">
        <f>VLOOKUP(AU77,CENY!$B$11:$G$1054,3,FALSE)</f>
        <v>1</v>
      </c>
      <c r="AX77" s="362">
        <v>8</v>
      </c>
      <c r="AY77" s="68"/>
      <c r="AZ77" s="326" t="str">
        <f t="shared" si="8"/>
        <v/>
      </c>
      <c r="BA77" s="95">
        <f>VLOOKUP(AU77,CENY!$B$11:$M$2025,12,FALSE)</f>
        <v>566.90911000000006</v>
      </c>
      <c r="BB77" s="95">
        <f t="shared" si="7"/>
        <v>0</v>
      </c>
      <c r="BD77" s="319">
        <f>OBJ!B275</f>
        <v>9318201</v>
      </c>
      <c r="BE77" s="21" t="str">
        <f>VLOOKUP(BD77,CENY!$B$11:$G$1054,2,FALSE)</f>
        <v>Actro You(XL) 500/SiSy 70kg; EB21; ľavý</v>
      </c>
      <c r="BF77" s="22">
        <f>VLOOKUP(BD77,CENY!$B$11:$G$1054,3,FALSE)</f>
        <v>10</v>
      </c>
      <c r="BG77" s="22"/>
      <c r="BH77" s="23">
        <f>AY45</f>
        <v>0</v>
      </c>
      <c r="BI77" s="326">
        <f t="shared" si="2"/>
        <v>0</v>
      </c>
      <c r="BJ77" s="95">
        <f>VLOOKUP(BD77,CENY!$B$11:$M$2025,12,FALSE)</f>
        <v>372.33726999999999</v>
      </c>
      <c r="BK77" s="95">
        <f t="shared" si="3"/>
        <v>0</v>
      </c>
    </row>
    <row r="78" spans="1:63" ht="14.4" customHeight="1">
      <c r="A78" s="577"/>
      <c r="AU78" s="319">
        <f>OBJ!B338</f>
        <v>9256937</v>
      </c>
      <c r="AV78" s="21" t="str">
        <f>VLOOKUP(AU78,CENY!$B$11:$G$1054,2,FALSE)</f>
        <v>Quadro You(M) 500/P2O 30kg; EB21</v>
      </c>
      <c r="AW78" s="22">
        <f>VLOOKUP(AU78,CENY!$B$11:$G$1054,3,FALSE)</f>
        <v>1</v>
      </c>
      <c r="AX78" s="362">
        <v>8</v>
      </c>
      <c r="AY78" s="68"/>
      <c r="AZ78" s="326" t="str">
        <f t="shared" si="8"/>
        <v/>
      </c>
      <c r="BA78" s="95">
        <f>VLOOKUP(AU78,CENY!$B$11:$M$2025,12,FALSE)</f>
        <v>139.41228000000001</v>
      </c>
      <c r="BB78" s="95">
        <f t="shared" si="7"/>
        <v>0</v>
      </c>
      <c r="BD78" s="319">
        <f>OBJ!B276</f>
        <v>9318203</v>
      </c>
      <c r="BE78" s="21" t="str">
        <f>VLOOKUP(BD78,CENY!$B$11:$G$1054,2,FALSE)</f>
        <v>Actro You(XL) 500/SiSy 70kg; EB21; pravý</v>
      </c>
      <c r="BF78" s="22">
        <f>VLOOKUP(BD78,CENY!$B$11:$G$1054,3,FALSE)</f>
        <v>10</v>
      </c>
      <c r="BG78" s="22"/>
      <c r="BH78" s="23">
        <f>AY45</f>
        <v>0</v>
      </c>
      <c r="BI78" s="326">
        <f t="shared" si="2"/>
        <v>0</v>
      </c>
      <c r="BJ78" s="95">
        <f>VLOOKUP(BD78,CENY!$B$11:$M$2025,12,FALSE)</f>
        <v>372.33726999999999</v>
      </c>
      <c r="BK78" s="95">
        <f t="shared" si="3"/>
        <v>0</v>
      </c>
    </row>
    <row r="79" spans="1:63" ht="14.4" customHeight="1">
      <c r="A79" s="577"/>
      <c r="O79" s="576">
        <f>CEILING((O85*AY1)/FLOOR(2000/O86,1),1)</f>
        <v>0</v>
      </c>
      <c r="P79" s="576"/>
      <c r="Q79" s="576">
        <f>CEILING((Q85*AY1)/FLOOR(2000/Q86,1),1)</f>
        <v>0</v>
      </c>
      <c r="R79" s="576"/>
      <c r="S79" s="576">
        <f>CEILING((S85*AY1)/FLOOR(2000/S86,1),1)</f>
        <v>0</v>
      </c>
      <c r="T79" s="576"/>
      <c r="U79" s="576">
        <f>CEILING((U85*AY1)/FLOOR(2000/U86,1),1)</f>
        <v>0</v>
      </c>
      <c r="V79" s="576"/>
      <c r="W79" s="576">
        <f>CEILING((W85*AY1)/FLOOR(2000/W86,1),1)</f>
        <v>0</v>
      </c>
      <c r="X79" s="576"/>
      <c r="Y79" s="576">
        <f>CEILING((Y85*AY1)/FLOOR(2000/Y86,1),1)</f>
        <v>0</v>
      </c>
      <c r="Z79" s="576"/>
      <c r="AA79" s="576">
        <f>CEILING((AA85*AY1)/FLOOR(2000/AA86,1),1)</f>
        <v>0</v>
      </c>
      <c r="AB79" s="576"/>
      <c r="AC79" s="576">
        <f>CEILING((AC85*AY1)/FLOOR(2000/AC86,1),1)</f>
        <v>0</v>
      </c>
      <c r="AD79" s="576"/>
      <c r="AE79" s="576">
        <f>CEILING((AE85*AY1)/FLOOR(2000/AE86,1),1)</f>
        <v>0</v>
      </c>
      <c r="AF79" s="576"/>
      <c r="AG79" s="576">
        <f>CEILING((AG85*AY1)/FLOOR(2000/AG86,1),1)</f>
        <v>0</v>
      </c>
      <c r="AH79" s="576"/>
      <c r="AI79" s="576">
        <f>CEILING((AI85*AY1)/FLOOR(2000/AI86,1),1)</f>
        <v>0</v>
      </c>
      <c r="AJ79" s="576"/>
      <c r="AU79" s="319">
        <f>OBJ!B339</f>
        <v>9256939</v>
      </c>
      <c r="AV79" s="21" t="str">
        <f>VLOOKUP(AU79,CENY!$B$11:$G$1054,2,FALSE)</f>
        <v>Quadro You(M) 550/P2O 30kg; EB21</v>
      </c>
      <c r="AW79" s="22">
        <f>VLOOKUP(AU79,CENY!$B$11:$G$1054,3,FALSE)</f>
        <v>1</v>
      </c>
      <c r="AX79" s="362">
        <v>8</v>
      </c>
      <c r="AY79" s="68"/>
      <c r="AZ79" s="326" t="str">
        <f t="shared" si="8"/>
        <v/>
      </c>
      <c r="BA79" s="95">
        <f>VLOOKUP(AU79,CENY!$B$11:$M$2025,12,FALSE)</f>
        <v>586.3143</v>
      </c>
      <c r="BB79" s="95">
        <f t="shared" si="7"/>
        <v>0</v>
      </c>
      <c r="BD79" s="319">
        <f>OBJ!B277</f>
        <v>9318208</v>
      </c>
      <c r="BE79" s="21" t="str">
        <f>VLOOKUP(BD79,CENY!$B$11:$G$1054,2,FALSE)</f>
        <v>Actro You(XL) 550/SiSy 70kg; EB21; ľavý</v>
      </c>
      <c r="BF79" s="22">
        <f>VLOOKUP(BD79,CENY!$B$11:$G$1054,3,FALSE)</f>
        <v>10</v>
      </c>
      <c r="BG79" s="22"/>
      <c r="BH79" s="23">
        <f>AY46</f>
        <v>0</v>
      </c>
      <c r="BI79" s="326">
        <f t="shared" si="2"/>
        <v>0</v>
      </c>
      <c r="BJ79" s="95">
        <f>VLOOKUP(BD79,CENY!$B$11:$M$2025,12,FALSE)</f>
        <v>392.11943000000002</v>
      </c>
      <c r="BK79" s="95">
        <f t="shared" si="3"/>
        <v>0</v>
      </c>
    </row>
    <row r="80" spans="1:63" ht="14.4" customHeight="1">
      <c r="A80" s="577"/>
      <c r="O80" s="576">
        <f>CEILING((O85*AY3)/FLOOR(2000/O86,1),1)</f>
        <v>0</v>
      </c>
      <c r="P80" s="576"/>
      <c r="Q80" s="576">
        <f>CEILING((Q85*AY3)/FLOOR(2000/Q86,1),1)</f>
        <v>0</v>
      </c>
      <c r="R80" s="576"/>
      <c r="S80" s="576">
        <f>CEILING((S85*AY3)/FLOOR(2000/S86,1),1)</f>
        <v>0</v>
      </c>
      <c r="T80" s="576"/>
      <c r="U80" s="576">
        <f>CEILING((U85*AY3)/FLOOR(2000/U86,1),1)</f>
        <v>0</v>
      </c>
      <c r="V80" s="576"/>
      <c r="W80" s="576">
        <f>CEILING((W85*AY3)/FLOOR(2000/W86,1),1)</f>
        <v>0</v>
      </c>
      <c r="X80" s="576"/>
      <c r="Y80" s="576">
        <f>CEILING((Y85*AY3)/FLOOR(2000/Y86,1),1)</f>
        <v>0</v>
      </c>
      <c r="Z80" s="576"/>
      <c r="AA80" s="576">
        <f>CEILING((AA85*AY3)/FLOOR(2000/AA86,1),1)</f>
        <v>0</v>
      </c>
      <c r="AB80" s="576"/>
      <c r="AC80" s="576">
        <f>CEILING((AC85*AY3)/FLOOR(2000/AC86,1),1)</f>
        <v>0</v>
      </c>
      <c r="AD80" s="576"/>
      <c r="AE80" s="576">
        <f>CEILING((AE85*AY3)/FLOOR(2000/AE86,1),1)</f>
        <v>0</v>
      </c>
      <c r="AF80" s="576"/>
      <c r="AG80" s="576">
        <f>CEILING((AG85*AY3)/FLOOR(2000/AG86,1),1)</f>
        <v>0</v>
      </c>
      <c r="AH80" s="576"/>
      <c r="AI80" s="576">
        <f>CEILING((AI85*AY3)/FLOOR(2000/AI86,1),1)</f>
        <v>0</v>
      </c>
      <c r="AJ80" s="576"/>
      <c r="AU80" s="319">
        <f>OBJ!B340</f>
        <v>9256941</v>
      </c>
      <c r="AV80" s="21" t="str">
        <f>VLOOKUP(AU80,CENY!$B$11:$G$1054,2,FALSE)</f>
        <v>Quadro You(M) 600/P2O 25kg; EB21</v>
      </c>
      <c r="AW80" s="22">
        <f>VLOOKUP(AU80,CENY!$B$11:$G$1054,3,FALSE)</f>
        <v>1</v>
      </c>
      <c r="AX80" s="362">
        <v>8</v>
      </c>
      <c r="AY80" s="68"/>
      <c r="AZ80" s="326" t="str">
        <f t="shared" si="8"/>
        <v/>
      </c>
      <c r="BA80" s="95">
        <f>VLOOKUP(AU80,CENY!$B$11:$M$2025,12,FALSE)</f>
        <v>596.01683000000003</v>
      </c>
      <c r="BB80" s="95">
        <f t="shared" si="7"/>
        <v>0</v>
      </c>
      <c r="BD80" s="319">
        <f>OBJ!B278</f>
        <v>9318209</v>
      </c>
      <c r="BE80" s="21" t="str">
        <f>VLOOKUP(BD80,CENY!$B$11:$G$1054,2,FALSE)</f>
        <v>Actro You(XL) 550/SiSy 70kg; EB21; pravý</v>
      </c>
      <c r="BF80" s="22">
        <f>VLOOKUP(BD80,CENY!$B$11:$G$1054,3,FALSE)</f>
        <v>10</v>
      </c>
      <c r="BG80" s="22"/>
      <c r="BH80" s="23">
        <f>AY46</f>
        <v>0</v>
      </c>
      <c r="BI80" s="326">
        <f t="shared" si="2"/>
        <v>0</v>
      </c>
      <c r="BJ80" s="95">
        <f>VLOOKUP(BD80,CENY!$B$11:$M$2025,12,FALSE)</f>
        <v>392.11943000000002</v>
      </c>
      <c r="BK80" s="95">
        <f t="shared" si="3"/>
        <v>0</v>
      </c>
    </row>
    <row r="81" spans="1:63" ht="14.4" customHeight="1">
      <c r="A81" s="577"/>
      <c r="O81" s="575">
        <f>O86*O85*$AY$1</f>
        <v>0</v>
      </c>
      <c r="P81" s="575"/>
      <c r="Q81" s="575">
        <f>Q86*Q85*$AY$1</f>
        <v>0</v>
      </c>
      <c r="R81" s="575"/>
      <c r="S81" s="575">
        <f>S86*S85*$AY$1</f>
        <v>0</v>
      </c>
      <c r="T81" s="575"/>
      <c r="U81" s="575">
        <f>U86*U85*$AY$1</f>
        <v>0</v>
      </c>
      <c r="V81" s="575"/>
      <c r="W81" s="575">
        <f>W86*W85*$AY$1</f>
        <v>0</v>
      </c>
      <c r="X81" s="575"/>
      <c r="Y81" s="575">
        <f>Y86*Y85*$AY$1</f>
        <v>0</v>
      </c>
      <c r="Z81" s="575"/>
      <c r="AA81" s="575">
        <f>AA86*AA85*$AY$1</f>
        <v>0</v>
      </c>
      <c r="AB81" s="575"/>
      <c r="AC81" s="575">
        <f>AC86*AC85*$AY$1</f>
        <v>0</v>
      </c>
      <c r="AD81" s="575"/>
      <c r="AE81" s="575">
        <f>AE86*AE85*$AY$1</f>
        <v>0</v>
      </c>
      <c r="AF81" s="575"/>
      <c r="AG81" s="575">
        <f>AG86*AG85*$AY$1</f>
        <v>0</v>
      </c>
      <c r="AH81" s="575"/>
      <c r="AI81" s="575">
        <f>AI86*AI85*$AY$1</f>
        <v>0</v>
      </c>
      <c r="AJ81" s="575"/>
      <c r="AU81" s="319"/>
      <c r="AV81" s="21"/>
      <c r="AW81" s="22"/>
      <c r="AX81" s="22"/>
      <c r="AY81" s="23"/>
      <c r="AZ81" s="326" t="str">
        <f t="shared" si="8"/>
        <v/>
      </c>
      <c r="BA81" s="95"/>
      <c r="BB81" s="95" t="str">
        <f t="shared" si="7"/>
        <v/>
      </c>
      <c r="BD81" s="319">
        <f>OBJ!B279</f>
        <v>9318211</v>
      </c>
      <c r="BE81" s="21" t="str">
        <f>VLOOKUP(BD81,CENY!$B$11:$G$1054,2,FALSE)</f>
        <v>Actro You(XL) 600/SiSy 70kg; EB21; ľavý</v>
      </c>
      <c r="BF81" s="22">
        <f>VLOOKUP(BD81,CENY!$B$11:$G$1054,3,FALSE)</f>
        <v>10</v>
      </c>
      <c r="BG81" s="22"/>
      <c r="BH81" s="23">
        <f>AY47</f>
        <v>0</v>
      </c>
      <c r="BI81" s="326">
        <f t="shared" si="2"/>
        <v>0</v>
      </c>
      <c r="BJ81" s="95">
        <f>VLOOKUP(BD81,CENY!$B$11:$M$2025,12,FALSE)</f>
        <v>443.89010999999999</v>
      </c>
      <c r="BK81" s="95">
        <f t="shared" si="3"/>
        <v>0</v>
      </c>
    </row>
    <row r="82" spans="1:63" ht="14.4" customHeight="1">
      <c r="A82" s="577"/>
      <c r="O82" s="575">
        <f>O86*O85*$AY$3</f>
        <v>0</v>
      </c>
      <c r="P82" s="575"/>
      <c r="Q82" s="575">
        <f>Q86*Q85*$AY$3</f>
        <v>0</v>
      </c>
      <c r="R82" s="575"/>
      <c r="S82" s="575">
        <f>S86*S85*$AY$3</f>
        <v>0</v>
      </c>
      <c r="T82" s="575"/>
      <c r="U82" s="575">
        <f>U86*U85*$AY$3</f>
        <v>0</v>
      </c>
      <c r="V82" s="575"/>
      <c r="W82" s="575">
        <f>W86*W85*$AY$3</f>
        <v>0</v>
      </c>
      <c r="X82" s="575"/>
      <c r="Y82" s="575">
        <f>Y86*Y85*$AY$3</f>
        <v>0</v>
      </c>
      <c r="Z82" s="575"/>
      <c r="AA82" s="575">
        <f>AA86*AA85*$AY$3</f>
        <v>0</v>
      </c>
      <c r="AB82" s="575"/>
      <c r="AC82" s="575">
        <f>AC86*AC85*$AY$3</f>
        <v>0</v>
      </c>
      <c r="AD82" s="575"/>
      <c r="AE82" s="575">
        <f>AE86*AE85*$AY$3</f>
        <v>0</v>
      </c>
      <c r="AF82" s="575"/>
      <c r="AG82" s="575">
        <f>AG86*AG85*$AY$3</f>
        <v>0</v>
      </c>
      <c r="AH82" s="575"/>
      <c r="AI82" s="575">
        <f>AI86*AI85*$AY$3</f>
        <v>0</v>
      </c>
      <c r="AJ82" s="575"/>
      <c r="AK82" s="577"/>
      <c r="AL82" s="577"/>
      <c r="AU82" s="319">
        <f>OBJ!B358</f>
        <v>9219966</v>
      </c>
      <c r="AV82" s="21" t="str">
        <f>VLOOKUP(AU82,CENY!$B$11:$G$1054,2,FALSE)</f>
        <v>Push to open Synchro / adaptér typ A</v>
      </c>
      <c r="AW82" s="22">
        <f>VLOOKUP(AU82,CENY!$B$11:$G$1054,3,FALSE)</f>
        <v>200</v>
      </c>
      <c r="AX82" s="22"/>
      <c r="AY82" s="68"/>
      <c r="AZ82" s="326" t="str">
        <f t="shared" si="8"/>
        <v/>
      </c>
      <c r="BA82" s="95">
        <f>VLOOKUP(AU82,CENY!$B$11:$M$2025,12,FALSE)</f>
        <v>16.488900000000001</v>
      </c>
      <c r="BB82" s="95">
        <f t="shared" si="7"/>
        <v>0</v>
      </c>
      <c r="BD82" s="319">
        <f>OBJ!B280</f>
        <v>9318212</v>
      </c>
      <c r="BE82" s="21" t="str">
        <f>VLOOKUP(BD82,CENY!$B$11:$G$1054,2,FALSE)</f>
        <v>Actro You(XL) 600/SiSy 70kg; EB21; pravý</v>
      </c>
      <c r="BF82" s="22">
        <f>VLOOKUP(BD82,CENY!$B$11:$G$1054,3,FALSE)</f>
        <v>10</v>
      </c>
      <c r="BG82" s="22"/>
      <c r="BH82" s="23">
        <f>AY47</f>
        <v>0</v>
      </c>
      <c r="BI82" s="326">
        <f t="shared" si="2"/>
        <v>0</v>
      </c>
      <c r="BJ82" s="95">
        <f>VLOOKUP(BD82,CENY!$B$11:$M$2025,12,FALSE)</f>
        <v>443.89010999999999</v>
      </c>
      <c r="BK82" s="95">
        <f t="shared" si="3"/>
        <v>0</v>
      </c>
    </row>
    <row r="83" spans="1:63" ht="14.4" customHeight="1" thickBot="1">
      <c r="A83" s="577"/>
      <c r="B83" s="1" t="str">
        <f>verze!E162</f>
        <v>Čelo na vnitřní zásuvku</v>
      </c>
      <c r="O83" s="581" t="str">
        <f>verze!E163</f>
        <v>vnější rozměry zásuvkové skřínky [mm]</v>
      </c>
      <c r="P83" s="582"/>
      <c r="Q83" s="582"/>
      <c r="R83" s="582"/>
      <c r="S83" s="582"/>
      <c r="T83" s="582"/>
      <c r="U83" s="582"/>
      <c r="V83" s="582"/>
      <c r="W83" s="582"/>
      <c r="X83" s="582"/>
      <c r="Y83" s="582"/>
      <c r="Z83" s="582"/>
      <c r="AA83" s="582"/>
      <c r="AB83" s="582"/>
      <c r="AC83" s="582"/>
      <c r="AD83" s="582"/>
      <c r="AE83" s="582"/>
      <c r="AF83" s="582"/>
      <c r="AG83" s="582"/>
      <c r="AH83" s="582"/>
      <c r="AI83" s="582"/>
      <c r="AJ83" s="582"/>
      <c r="AU83" s="319"/>
      <c r="AV83" s="21"/>
      <c r="AW83" s="22"/>
      <c r="AX83" s="22"/>
      <c r="AY83" s="23"/>
      <c r="AZ83" s="326" t="str">
        <f t="shared" si="8"/>
        <v/>
      </c>
      <c r="BA83" s="95"/>
      <c r="BB83" s="95" t="str">
        <f t="shared" si="7"/>
        <v/>
      </c>
      <c r="BD83" s="319">
        <f>OBJ!B281</f>
        <v>9318213</v>
      </c>
      <c r="BE83" s="21" t="str">
        <f>VLOOKUP(BD83,CENY!$B$11:$G$1054,2,FALSE)</f>
        <v>Actro You(XL) 650/SiSy 70kg; EB21; ľavý</v>
      </c>
      <c r="BF83" s="22">
        <f>VLOOKUP(BD83,CENY!$B$11:$G$1054,3,FALSE)</f>
        <v>5</v>
      </c>
      <c r="BG83" s="22"/>
      <c r="BH83" s="23">
        <f>AY48</f>
        <v>0</v>
      </c>
      <c r="BI83" s="326">
        <f t="shared" si="2"/>
        <v>0</v>
      </c>
      <c r="BJ83" s="95">
        <f>VLOOKUP(BD83,CENY!$B$11:$M$2025,12,FALSE)</f>
        <v>462.41142000000002</v>
      </c>
      <c r="BK83" s="95">
        <f t="shared" si="3"/>
        <v>0</v>
      </c>
    </row>
    <row r="84" spans="1:63" ht="14.4" customHeight="1" thickBot="1">
      <c r="A84" s="577"/>
      <c r="B84" s="96"/>
      <c r="C84" s="96"/>
      <c r="D84" s="96"/>
      <c r="E84" s="96"/>
      <c r="F84" s="96"/>
      <c r="G84" s="96"/>
      <c r="H84" s="72"/>
      <c r="I84" s="72"/>
      <c r="J84" s="72"/>
      <c r="K84" s="72"/>
      <c r="L84" s="72"/>
      <c r="M84" s="72"/>
      <c r="N84" s="72" t="str">
        <f>verze!E166&amp;" "</f>
        <v xml:space="preserve">Šířka korpusu: </v>
      </c>
      <c r="O84" s="535">
        <v>300</v>
      </c>
      <c r="P84" s="536"/>
      <c r="Q84" s="535">
        <v>400</v>
      </c>
      <c r="R84" s="536"/>
      <c r="S84" s="535">
        <v>450</v>
      </c>
      <c r="T84" s="536"/>
      <c r="U84" s="535">
        <v>500</v>
      </c>
      <c r="V84" s="536"/>
      <c r="W84" s="535">
        <v>550</v>
      </c>
      <c r="X84" s="536"/>
      <c r="Y84" s="535">
        <v>600</v>
      </c>
      <c r="Z84" s="536"/>
      <c r="AA84" s="535">
        <v>700</v>
      </c>
      <c r="AB84" s="536"/>
      <c r="AC84" s="535">
        <v>800</v>
      </c>
      <c r="AD84" s="536"/>
      <c r="AE84" s="535">
        <v>900</v>
      </c>
      <c r="AF84" s="584"/>
      <c r="AG84" s="535">
        <v>1000</v>
      </c>
      <c r="AH84" s="584"/>
      <c r="AI84" s="535">
        <v>1200</v>
      </c>
      <c r="AJ84" s="536"/>
      <c r="AU84" s="320">
        <v>9255836</v>
      </c>
      <c r="AV84" s="321" t="str">
        <f>VLOOKUP(AU84,CENY!$B$11:$G$1054,2,FALSE)</f>
        <v>AvanY-príchytka čela s rozp.púzdrom/ v101</v>
      </c>
      <c r="AW84" s="22">
        <f>VLOOKUP(AU84,CENY!$B$11:$G$1054,3,FALSE)</f>
        <v>200</v>
      </c>
      <c r="AX84" s="22"/>
      <c r="AY84" s="68">
        <f>IF(FORM!AM8=FORM!AU11,(2*(AY2)*(SUM(W20:AD20)+SUM(W22:AF22)+SUM(W28:AD28))),0)</f>
        <v>0</v>
      </c>
      <c r="AZ84" s="326">
        <f t="shared" si="8"/>
        <v>0</v>
      </c>
      <c r="BA84" s="95">
        <f>VLOOKUP(AU84,CENY!$B$11:$M$2025,12,FALSE)</f>
        <v>25.299289999999999</v>
      </c>
      <c r="BB84" s="95">
        <f t="shared" si="7"/>
        <v>0</v>
      </c>
      <c r="BD84" s="319">
        <f>OBJ!B282</f>
        <v>9318214</v>
      </c>
      <c r="BE84" s="21" t="str">
        <f>VLOOKUP(BD84,CENY!$B$11:$G$1054,2,FALSE)</f>
        <v>Actro You(XL) 650/SiSy 70kg; EB21; pravý</v>
      </c>
      <c r="BF84" s="22">
        <f>VLOOKUP(BD84,CENY!$B$11:$G$1054,3,FALSE)</f>
        <v>5</v>
      </c>
      <c r="BG84" s="22"/>
      <c r="BH84" s="23">
        <f>AY48</f>
        <v>0</v>
      </c>
      <c r="BI84" s="326">
        <f t="shared" ref="BI84:BI148" si="9">IF(BH84="","",IF($AW$4=0,BH84,0))</f>
        <v>0</v>
      </c>
      <c r="BJ84" s="95">
        <f>VLOOKUP(BD84,CENY!$B$11:$M$2025,12,FALSE)</f>
        <v>462.41142000000002</v>
      </c>
      <c r="BK84" s="95">
        <f t="shared" ref="BK84:BK153" si="10">IF(BJ84="","",BJ84*BH84)</f>
        <v>0</v>
      </c>
    </row>
    <row r="85" spans="1:63" ht="14.4" customHeight="1" thickBot="1">
      <c r="A85" s="577"/>
      <c r="B85" s="158" t="str">
        <f>" "&amp;verze!E167</f>
        <v xml:space="preserve"> ALU čelo</v>
      </c>
      <c r="C85" s="158"/>
      <c r="D85" s="158"/>
      <c r="E85" s="158"/>
      <c r="F85" s="158"/>
      <c r="G85" s="158"/>
      <c r="H85" s="158"/>
      <c r="I85" s="158"/>
      <c r="J85" s="158"/>
      <c r="K85" s="158"/>
      <c r="L85" s="158"/>
      <c r="M85" s="523"/>
      <c r="N85" s="546"/>
      <c r="O85" s="578"/>
      <c r="P85" s="579"/>
      <c r="Q85" s="578"/>
      <c r="R85" s="579"/>
      <c r="S85" s="578"/>
      <c r="T85" s="579"/>
      <c r="U85" s="578"/>
      <c r="V85" s="579"/>
      <c r="W85" s="578"/>
      <c r="X85" s="579"/>
      <c r="Y85" s="578"/>
      <c r="Z85" s="579"/>
      <c r="AA85" s="578"/>
      <c r="AB85" s="579"/>
      <c r="AC85" s="578"/>
      <c r="AD85" s="579"/>
      <c r="AE85" s="578"/>
      <c r="AF85" s="579"/>
      <c r="AG85" s="578"/>
      <c r="AH85" s="579"/>
      <c r="AI85" s="578"/>
      <c r="AJ85" s="583"/>
      <c r="AU85" s="320">
        <v>9255839</v>
      </c>
      <c r="AV85" s="321" t="str">
        <f>VLOOKUP(AU85,CENY!$B$11:$G$1054,2,FALSE)</f>
        <v>AvanY-prích.čela s rozp.púzdrom/ v187-251</v>
      </c>
      <c r="AW85" s="22">
        <f>VLOOKUP(AU85,CENY!$B$11:$G$1054,3,FALSE)</f>
        <v>200</v>
      </c>
      <c r="AX85" s="22"/>
      <c r="AY85" s="68">
        <f>IF(FORM!AM8=FORM!AU11,(2*(AY4)*(SUM(W20:AD20)+SUM(W22:AF22)+SUM(W28:AD28))),0)</f>
        <v>0</v>
      </c>
      <c r="AZ85" s="326">
        <f t="shared" si="8"/>
        <v>0</v>
      </c>
      <c r="BA85" s="95">
        <f>VLOOKUP(AU85,CENY!$B$11:$M$2025,12,FALSE)</f>
        <v>49.991039999999998</v>
      </c>
      <c r="BB85" s="95">
        <f t="shared" si="7"/>
        <v>0</v>
      </c>
      <c r="BD85" s="319"/>
      <c r="BE85" s="21"/>
      <c r="BF85" s="22"/>
      <c r="BG85" s="22"/>
      <c r="BH85" s="23"/>
      <c r="BI85" s="326" t="str">
        <f t="shared" si="9"/>
        <v/>
      </c>
      <c r="BJ85" s="95"/>
      <c r="BK85" s="95" t="str">
        <f t="shared" si="10"/>
        <v/>
      </c>
    </row>
    <row r="86" spans="1:63" ht="14.4" customHeight="1">
      <c r="A86" s="577"/>
      <c r="O86" s="580">
        <f>O84-2*FORM!$AM$24-12</f>
        <v>252</v>
      </c>
      <c r="P86" s="580"/>
      <c r="Q86" s="580">
        <f>Q84-2*FORM!$AM$24-12</f>
        <v>352</v>
      </c>
      <c r="R86" s="580"/>
      <c r="S86" s="580">
        <f>S84-2*FORM!$AM$24-12</f>
        <v>402</v>
      </c>
      <c r="T86" s="580"/>
      <c r="U86" s="580">
        <f>U84-2*FORM!$AM$24-12</f>
        <v>452</v>
      </c>
      <c r="V86" s="580"/>
      <c r="W86" s="580">
        <f>W84-2*FORM!$AM$24-12</f>
        <v>502</v>
      </c>
      <c r="X86" s="580"/>
      <c r="Y86" s="580">
        <f>Y84-2*FORM!$AM$24-12</f>
        <v>552</v>
      </c>
      <c r="Z86" s="580"/>
      <c r="AA86" s="580">
        <f>AA84-2*FORM!$AM$24-12</f>
        <v>652</v>
      </c>
      <c r="AB86" s="580"/>
      <c r="AC86" s="580">
        <f>AC84-2*FORM!$AM$24-12</f>
        <v>752</v>
      </c>
      <c r="AD86" s="580"/>
      <c r="AE86" s="580">
        <f>AE84-2*FORM!$AM$24-12</f>
        <v>852</v>
      </c>
      <c r="AF86" s="580"/>
      <c r="AG86" s="580">
        <f>AG84-2*FORM!$AM$24-12</f>
        <v>952</v>
      </c>
      <c r="AH86" s="580"/>
      <c r="AI86" s="580">
        <f>AI84-2*FORM!$AM$24-12</f>
        <v>1152</v>
      </c>
      <c r="AJ86" s="580"/>
      <c r="AU86" s="319"/>
      <c r="AV86" s="21"/>
      <c r="AW86" s="22"/>
      <c r="AX86" s="22"/>
      <c r="AY86" s="23"/>
      <c r="AZ86" s="326" t="str">
        <f t="shared" si="8"/>
        <v/>
      </c>
      <c r="BA86" s="95"/>
      <c r="BB86" s="95" t="str">
        <f t="shared" si="7"/>
        <v/>
      </c>
      <c r="BD86" s="319">
        <f>OBJ!B284</f>
        <v>9257890</v>
      </c>
      <c r="BE86" s="21" t="str">
        <f>VLOOKUP(BD86,CENY!$B$11:$G$1054,2,FALSE)</f>
        <v>Actro You - Push to open Silent; &lt;10kg</v>
      </c>
      <c r="BF86" s="22">
        <f>VLOOKUP(BD86,CENY!$B$11:$G$1054,3,FALSE)</f>
        <v>1</v>
      </c>
      <c r="BG86" s="22"/>
      <c r="BH86" s="68"/>
      <c r="BI86" s="326" t="str">
        <f t="shared" si="9"/>
        <v/>
      </c>
      <c r="BJ86" s="95">
        <f>VLOOKUP(BD86,CENY!$B$11:$M$2025,12,FALSE)</f>
        <v>481.81412999999998</v>
      </c>
      <c r="BK86" s="95">
        <f t="shared" si="10"/>
        <v>0</v>
      </c>
    </row>
    <row r="87" spans="1:63" ht="14.4" customHeight="1">
      <c r="A87" s="577"/>
      <c r="AR87" s="157" t="str">
        <f>IF(AU98=0,verze!E169&amp;" "&amp;AU96&amp;" "&amp;verze!E170,"")</f>
        <v>Je potřebné vybrat 0 ks vnitřních čel.</v>
      </c>
      <c r="AU87" s="319">
        <f>OBJ!B214</f>
        <v>0</v>
      </c>
      <c r="AV87" s="21" t="e">
        <f>VLOOKUP(AU87,CENY!$B$11:$G$1054,2,FALSE)</f>
        <v>#N/A</v>
      </c>
      <c r="AW87" s="22" t="e">
        <f>VLOOKUP(AU87,CENY!$B$11:$G$1054,3,FALSE)</f>
        <v>#N/A</v>
      </c>
      <c r="AX87" s="22"/>
      <c r="AY87" s="68">
        <f>IF(FORM!AM21&lt;&gt;FORM!AW16,(2*SUM(AY1:AY4)*(SUM(W20:AD20)+SUM(W22:AF22)+SUM(W28:AD28))),0)</f>
        <v>0</v>
      </c>
      <c r="AZ87" s="326">
        <f t="shared" si="8"/>
        <v>0</v>
      </c>
      <c r="BA87" s="324" t="str">
        <f>IF(AU87=0,"",VLOOKUP(AU87,CENY!$B$11:$M$2025,12,FALSE))</f>
        <v/>
      </c>
      <c r="BB87" s="95" t="str">
        <f>IF(BA87="","",BA87*AY87)</f>
        <v/>
      </c>
      <c r="BD87" s="319">
        <f>OBJ!B285</f>
        <v>9257891</v>
      </c>
      <c r="BE87" s="21" t="str">
        <f>VLOOKUP(BD87,CENY!$B$11:$G$1054,2,FALSE)</f>
        <v>Actro You - Push to open Silent; 8-20kg</v>
      </c>
      <c r="BF87" s="22">
        <f>VLOOKUP(BD87,CENY!$B$11:$G$1054,3,FALSE)</f>
        <v>1</v>
      </c>
      <c r="BG87" s="22"/>
      <c r="BH87" s="68"/>
      <c r="BI87" s="326" t="str">
        <f t="shared" si="9"/>
        <v/>
      </c>
      <c r="BJ87" s="95">
        <f>VLOOKUP(BD87,CENY!$B$11:$M$2025,12,FALSE)</f>
        <v>481.81412999999998</v>
      </c>
      <c r="BK87" s="95">
        <f t="shared" si="10"/>
        <v>0</v>
      </c>
    </row>
    <row r="88" spans="1:63" ht="14.4" customHeight="1">
      <c r="A88" s="577"/>
      <c r="AR88" s="332" t="str">
        <f>IF(AU98=0,"",IF(AU96=AU98,verze!E174,IF(AU99&gt;0,verze!E171&amp;" "&amp;AU99&amp;" "&amp;verze!E170,verze!E172&amp;" "&amp;AU100&amp;" "&amp;verze!E173)))</f>
        <v/>
      </c>
      <c r="AU88" s="319"/>
      <c r="AV88" s="21"/>
      <c r="AW88" s="22"/>
      <c r="AX88" s="22"/>
      <c r="AY88" s="23"/>
      <c r="AZ88" s="326" t="str">
        <f t="shared" si="8"/>
        <v/>
      </c>
      <c r="BA88" s="95"/>
      <c r="BB88" s="95" t="str">
        <f t="shared" si="7"/>
        <v/>
      </c>
      <c r="BD88" s="319">
        <f>OBJ!B286</f>
        <v>9257892</v>
      </c>
      <c r="BE88" s="21" t="str">
        <f>VLOOKUP(BD88,CENY!$B$11:$G$1054,2,FALSE)</f>
        <v>Actro You - Push to open Silent; 10-40kg</v>
      </c>
      <c r="BF88" s="22">
        <f>VLOOKUP(BD88,CENY!$B$11:$G$1054,3,FALSE)</f>
        <v>1</v>
      </c>
      <c r="BG88" s="22"/>
      <c r="BH88" s="68"/>
      <c r="BI88" s="326" t="str">
        <f t="shared" si="9"/>
        <v/>
      </c>
      <c r="BJ88" s="95">
        <f>VLOOKUP(BD88,CENY!$B$11:$M$2025,12,FALSE)</f>
        <v>481.81412999999998</v>
      </c>
      <c r="BK88" s="95">
        <f t="shared" si="10"/>
        <v>0</v>
      </c>
    </row>
    <row r="89" spans="1:63" ht="14.4" customHeight="1">
      <c r="A89" s="577"/>
      <c r="AU89" s="319"/>
      <c r="AV89" s="21"/>
      <c r="AW89" s="22"/>
      <c r="AX89" s="22"/>
      <c r="AY89" s="23"/>
      <c r="AZ89" s="326" t="str">
        <f t="shared" si="8"/>
        <v/>
      </c>
      <c r="BA89" s="95"/>
      <c r="BB89" s="95" t="str">
        <f t="shared" si="7"/>
        <v/>
      </c>
      <c r="BD89" s="319">
        <f>OBJ!B287</f>
        <v>9257893</v>
      </c>
      <c r="BE89" s="21" t="str">
        <f>VLOOKUP(BD89,CENY!$B$11:$G$1054,2,FALSE)</f>
        <v>Actro You - Push to open Silent; 20-70kg</v>
      </c>
      <c r="BF89" s="22">
        <f>VLOOKUP(BD89,CENY!$B$11:$G$1054,3,FALSE)</f>
        <v>1</v>
      </c>
      <c r="BG89" s="22"/>
      <c r="BH89" s="68"/>
      <c r="BI89" s="326" t="str">
        <f t="shared" si="9"/>
        <v/>
      </c>
      <c r="BJ89" s="95">
        <f>VLOOKUP(BD89,CENY!$B$11:$M$2025,12,FALSE)</f>
        <v>481.81412999999998</v>
      </c>
      <c r="BK89" s="95">
        <f t="shared" si="10"/>
        <v>0</v>
      </c>
    </row>
    <row r="90" spans="1:63" ht="14.4" customHeight="1">
      <c r="A90" s="577"/>
      <c r="AU90" s="319">
        <f>OBJ!B194</f>
        <v>9257269</v>
      </c>
      <c r="AV90" s="21" t="str">
        <f>VLOOKUP(AU90,CENY!$B$11:$G$1054,2,FALSE)</f>
        <v>AvanY-čelo vnút.zásuvky /v101/d2000/strieb.</v>
      </c>
      <c r="AW90" s="22">
        <f>VLOOKUP(AU90,CENY!$B$11:$G$1054,3,FALSE)</f>
        <v>1</v>
      </c>
      <c r="AX90" s="22"/>
      <c r="AY90" s="23">
        <f>IF(AU96=0,0,IF(AU102&lt;2000,1,SUM(O79:AJ79)))</f>
        <v>0</v>
      </c>
      <c r="AZ90" s="326">
        <f>IF(AY90="","",IF($AW$4=1,AY90,0))</f>
        <v>0</v>
      </c>
      <c r="BA90" s="95">
        <f>VLOOKUP(AU90,CENY!$B$11:$M$2025,12,FALSE)</f>
        <v>1483.13021</v>
      </c>
      <c r="BB90" s="95">
        <f>IF(BA90="","",BA90*AY90)</f>
        <v>0</v>
      </c>
      <c r="BD90" s="319">
        <f>OBJ!B288</f>
        <v>9236718</v>
      </c>
      <c r="BE90" s="21" t="str">
        <f>VLOOKUP(BD90,CENY!$B$11:$G$1054,2,FALSE)</f>
        <v>Push to open Synchro / tyč 2.000 mm</v>
      </c>
      <c r="BF90" s="22">
        <f>VLOOKUP(BD90,CENY!$B$11:$G$1054,3,FALSE)</f>
        <v>100</v>
      </c>
      <c r="BG90" s="22"/>
      <c r="BH90" s="68"/>
      <c r="BI90" s="326" t="str">
        <f t="shared" si="9"/>
        <v/>
      </c>
      <c r="BJ90" s="95">
        <f>VLOOKUP(BD90,CENY!$B$11:$M$2025,12,FALSE)</f>
        <v>182.03933000000001</v>
      </c>
      <c r="BK90" s="95">
        <f t="shared" si="10"/>
        <v>0</v>
      </c>
    </row>
    <row r="91" spans="1:63" ht="14.4" customHeight="1">
      <c r="A91" s="577"/>
      <c r="AU91" s="319">
        <f>OBJ!B198</f>
        <v>9257611</v>
      </c>
      <c r="AV91" s="21" t="str">
        <f>VLOOKUP(AU91,CENY!$B$11:$G$1054,2,FALSE)</f>
        <v>AvanY-spojky čela vnút.zás./v101/strieb.</v>
      </c>
      <c r="AW91" s="22">
        <f>VLOOKUP(AU91,CENY!$B$11:$G$1054,3,FALSE)</f>
        <v>1</v>
      </c>
      <c r="AX91" s="22"/>
      <c r="AY91" s="23">
        <f>1*(AY1)*(SUM(W20:AD20)+SUM(W22:AF22)+SUM(W28:AD28))</f>
        <v>0</v>
      </c>
      <c r="AZ91" s="326">
        <f>IF(AY91="","",IF($AW$4=1,AY91,0))</f>
        <v>0</v>
      </c>
      <c r="BA91" s="95">
        <f>VLOOKUP(AU91,CENY!$B$11:$M$2025,12,FALSE)</f>
        <v>97.260310000000004</v>
      </c>
      <c r="BB91" s="95">
        <f>IF(BA91="","",BA91*AY91)</f>
        <v>0</v>
      </c>
      <c r="BD91" s="319"/>
      <c r="BE91" s="21"/>
      <c r="BF91" s="22"/>
      <c r="BG91" s="22"/>
      <c r="BH91" s="23"/>
      <c r="BI91" s="326" t="str">
        <f t="shared" si="9"/>
        <v/>
      </c>
      <c r="BJ91" s="95"/>
      <c r="BK91" s="95" t="str">
        <f t="shared" si="10"/>
        <v/>
      </c>
    </row>
    <row r="92" spans="1:63" ht="14.4" customHeight="1">
      <c r="A92" s="577"/>
      <c r="AU92" s="319">
        <f>OBJ!B196</f>
        <v>9257271</v>
      </c>
      <c r="AV92" s="21" t="str">
        <f>VLOOKUP(AU92,CENY!$B$11:$G$1054,2,FALSE)</f>
        <v>AvanY-čelo vnút.zásuvky /v187/d2000/strieb.</v>
      </c>
      <c r="AW92" s="22">
        <f>VLOOKUP(AU92,CENY!$B$11:$G$1054,3,FALSE)</f>
        <v>1</v>
      </c>
      <c r="AX92" s="22"/>
      <c r="AY92" s="23">
        <f>IF(AW96=0,0,IF(AW102&lt;2000,1,SUM(O80:AJ80)))</f>
        <v>0</v>
      </c>
      <c r="AZ92" s="326">
        <f>IF(AY92="","",IF($AW$4=1,AY92,0))</f>
        <v>0</v>
      </c>
      <c r="BA92" s="95">
        <f>VLOOKUP(AU92,CENY!$B$11:$M$2025,12,FALSE)</f>
        <v>2217.7650899999999</v>
      </c>
      <c r="BB92" s="95">
        <f>IF(BA92="","",BA92*AY92)</f>
        <v>0</v>
      </c>
      <c r="BD92" s="319">
        <f>OBJ!B297</f>
        <v>9256944</v>
      </c>
      <c r="BE92" s="21" t="str">
        <f>VLOOKUP(BD92,CENY!$B$11:$G$1054,2,FALSE)</f>
        <v>Quadro You(S) 270/SiSy 10kg; EB21; ľavý</v>
      </c>
      <c r="BF92" s="22">
        <f>VLOOKUP(BD92,CENY!$B$11:$G$1054,3,FALSE)</f>
        <v>20</v>
      </c>
      <c r="BG92" s="22"/>
      <c r="BH92" s="68"/>
      <c r="BI92" s="326" t="str">
        <f t="shared" si="9"/>
        <v/>
      </c>
      <c r="BJ92" s="95">
        <f>VLOOKUP(BD92,CENY!$B$11:$M$2025,12,FALSE)</f>
        <v>223.77942999999999</v>
      </c>
      <c r="BK92" s="95">
        <f t="shared" si="10"/>
        <v>0</v>
      </c>
    </row>
    <row r="93" spans="1:63" ht="14.4" customHeight="1">
      <c r="A93" s="577"/>
      <c r="AU93" s="319">
        <f>OBJ!B200</f>
        <v>9257613</v>
      </c>
      <c r="AV93" s="21" t="str">
        <f>VLOOKUP(AU93,CENY!$B$11:$G$1054,2,FALSE)</f>
        <v>AvanY-spojky čela vnút.zás./v187/strieb.</v>
      </c>
      <c r="AW93" s="22">
        <f>VLOOKUP(AU93,CENY!$B$11:$G$1054,3,FALSE)</f>
        <v>1</v>
      </c>
      <c r="AX93" s="22"/>
      <c r="AY93" s="23">
        <f>1*(AY3)*(SUM(W20:AD20)+SUM(W22:AF22)+SUM(W28:AD28))</f>
        <v>0</v>
      </c>
      <c r="AZ93" s="326">
        <f>IF(AY93="","",IF($AW$4=1,AY93,0))</f>
        <v>0</v>
      </c>
      <c r="BA93" s="95">
        <f>VLOOKUP(AU93,CENY!$B$11:$M$2025,12,FALSE)</f>
        <v>169.30695</v>
      </c>
      <c r="BB93" s="95">
        <f>IF(BA93="","",BA93*AY93)</f>
        <v>0</v>
      </c>
      <c r="BD93" s="319">
        <f>OBJ!B298</f>
        <v>9256945</v>
      </c>
      <c r="BE93" s="21" t="str">
        <f>VLOOKUP(BD93,CENY!$B$11:$G$1054,2,FALSE)</f>
        <v>Quadro You(S) 270/SiSy 10kg; EB21; pravý</v>
      </c>
      <c r="BF93" s="22">
        <f>VLOOKUP(BD93,CENY!$B$11:$G$1054,3,FALSE)</f>
        <v>20</v>
      </c>
      <c r="BG93" s="22"/>
      <c r="BH93" s="68"/>
      <c r="BI93" s="326" t="str">
        <f t="shared" si="9"/>
        <v/>
      </c>
      <c r="BJ93" s="95">
        <f>VLOOKUP(BD93,CENY!$B$11:$M$2025,12,FALSE)</f>
        <v>223.77942999999999</v>
      </c>
      <c r="BK93" s="95">
        <f t="shared" si="10"/>
        <v>0</v>
      </c>
    </row>
    <row r="94" spans="1:63" ht="14.4" customHeight="1">
      <c r="A94" s="577"/>
      <c r="AU94" s="319"/>
      <c r="AV94" s="21"/>
      <c r="AW94" s="368"/>
      <c r="AX94" s="368"/>
      <c r="AY94" s="369"/>
      <c r="AZ94" s="326" t="str">
        <f t="shared" si="8"/>
        <v/>
      </c>
      <c r="BA94" s="95"/>
      <c r="BB94" s="95" t="str">
        <f t="shared" si="7"/>
        <v/>
      </c>
      <c r="BD94" s="319">
        <f>OBJ!B299</f>
        <v>9256946</v>
      </c>
      <c r="BE94" s="21" t="str">
        <f>VLOOKUP(BD94,CENY!$B$11:$G$1054,2,FALSE)</f>
        <v>Quadro You(S) 300/SiSy 10kg; EB21; ľavý</v>
      </c>
      <c r="BF94" s="22">
        <f>VLOOKUP(BD94,CENY!$B$11:$G$1054,3,FALSE)</f>
        <v>20</v>
      </c>
      <c r="BG94" s="22"/>
      <c r="BH94" s="68"/>
      <c r="BI94" s="326" t="str">
        <f t="shared" si="9"/>
        <v/>
      </c>
      <c r="BJ94" s="95">
        <f>VLOOKUP(BD94,CENY!$B$11:$M$2025,12,FALSE)</f>
        <v>224.26065</v>
      </c>
      <c r="BK94" s="95">
        <f t="shared" si="10"/>
        <v>0</v>
      </c>
    </row>
    <row r="95" spans="1:63" ht="14.4" customHeight="1">
      <c r="A95" s="577"/>
      <c r="AU95" s="372" t="s">
        <v>595</v>
      </c>
      <c r="AV95" s="21"/>
      <c r="AW95" s="611" t="s">
        <v>596</v>
      </c>
      <c r="AX95" s="611"/>
      <c r="AY95" s="611"/>
      <c r="AZ95" s="326" t="str">
        <f t="shared" si="8"/>
        <v/>
      </c>
      <c r="BA95" s="95"/>
      <c r="BB95" s="95" t="str">
        <f t="shared" si="7"/>
        <v/>
      </c>
      <c r="BD95" s="319">
        <f>OBJ!B300</f>
        <v>9256947</v>
      </c>
      <c r="BE95" s="21" t="str">
        <f>VLOOKUP(BD95,CENY!$B$11:$G$1054,2,FALSE)</f>
        <v>Quadro You(S) 300/SiSy 10kg; EB21; pravý</v>
      </c>
      <c r="BF95" s="22">
        <f>VLOOKUP(BD95,CENY!$B$11:$G$1054,3,FALSE)</f>
        <v>20</v>
      </c>
      <c r="BG95" s="22"/>
      <c r="BH95" s="68"/>
      <c r="BI95" s="326" t="str">
        <f t="shared" si="9"/>
        <v/>
      </c>
      <c r="BJ95" s="95">
        <f>VLOOKUP(BD95,CENY!$B$11:$M$2025,12,FALSE)</f>
        <v>224.26065</v>
      </c>
      <c r="BK95" s="95">
        <f t="shared" si="10"/>
        <v>0</v>
      </c>
    </row>
    <row r="96" spans="1:63" ht="14.4" customHeight="1">
      <c r="A96" s="577"/>
      <c r="AU96" s="330">
        <f>1*(AY1)*(SUM(W20:AD20)+SUM(W22:AF22)+SUM(W28:AD28))</f>
        <v>0</v>
      </c>
      <c r="AV96" s="329" t="s">
        <v>356</v>
      </c>
      <c r="AW96" s="610">
        <f>1*(AY3)*(SUM(W20:AD20)+SUM(W22:AF22)+SUM(W28:AD28))</f>
        <v>0</v>
      </c>
      <c r="AX96" s="610"/>
      <c r="AY96" s="610"/>
      <c r="AZ96" s="326" t="str">
        <f t="shared" si="8"/>
        <v/>
      </c>
      <c r="BA96" s="95"/>
      <c r="BB96" s="95" t="str">
        <f t="shared" si="7"/>
        <v/>
      </c>
      <c r="BD96" s="319">
        <f>OBJ!B301</f>
        <v>9256950</v>
      </c>
      <c r="BE96" s="21" t="str">
        <f>VLOOKUP(BD96,CENY!$B$11:$G$1054,2,FALSE)</f>
        <v>Quadro You(S) 350/SiSy 10kg; EB21; ľavý</v>
      </c>
      <c r="BF96" s="22">
        <f>VLOOKUP(BD96,CENY!$B$11:$G$1054,3,FALSE)</f>
        <v>20</v>
      </c>
      <c r="BG96" s="22"/>
      <c r="BH96" s="68"/>
      <c r="BI96" s="326" t="str">
        <f t="shared" si="9"/>
        <v/>
      </c>
      <c r="BJ96" s="95">
        <f>VLOOKUP(BD96,CENY!$B$11:$M$2025,12,FALSE)</f>
        <v>229.11434</v>
      </c>
      <c r="BK96" s="95">
        <f t="shared" si="10"/>
        <v>0</v>
      </c>
    </row>
    <row r="97" spans="1:63" ht="14.4" customHeight="1">
      <c r="A97" s="577"/>
      <c r="AU97" s="20"/>
      <c r="AV97" s="21"/>
      <c r="AW97" s="610"/>
      <c r="AX97" s="610"/>
      <c r="AY97" s="610"/>
      <c r="AZ97" s="326" t="str">
        <f t="shared" si="8"/>
        <v/>
      </c>
      <c r="BA97" s="95"/>
      <c r="BB97" s="95" t="str">
        <f t="shared" si="7"/>
        <v/>
      </c>
      <c r="BD97" s="319">
        <f>OBJ!B302</f>
        <v>9256951</v>
      </c>
      <c r="BE97" s="21" t="str">
        <f>VLOOKUP(BD97,CENY!$B$11:$G$1054,2,FALSE)</f>
        <v>Quadro You(S) 350/SiSy 10kg; EB21; pravý</v>
      </c>
      <c r="BF97" s="22">
        <f>VLOOKUP(BD97,CENY!$B$11:$G$1054,3,FALSE)</f>
        <v>20</v>
      </c>
      <c r="BG97" s="22"/>
      <c r="BH97" s="68"/>
      <c r="BI97" s="326" t="str">
        <f t="shared" si="9"/>
        <v/>
      </c>
      <c r="BJ97" s="95">
        <f>VLOOKUP(BD97,CENY!$B$11:$M$2025,12,FALSE)</f>
        <v>229.11434</v>
      </c>
      <c r="BK97" s="95">
        <f t="shared" si="10"/>
        <v>0</v>
      </c>
    </row>
    <row r="98" spans="1:63" ht="14.4" customHeight="1">
      <c r="A98" s="577"/>
      <c r="AU98" s="331">
        <f>SUM(O85:AJ85)*AY1</f>
        <v>0</v>
      </c>
      <c r="AV98" s="21" t="s">
        <v>357</v>
      </c>
      <c r="AW98" s="610">
        <f>SUM(O85:AJ85)*AY3</f>
        <v>0</v>
      </c>
      <c r="AX98" s="610"/>
      <c r="AY98" s="610"/>
      <c r="AZ98" s="326" t="str">
        <f t="shared" si="8"/>
        <v/>
      </c>
      <c r="BA98" s="95"/>
      <c r="BB98" s="95" t="str">
        <f t="shared" si="7"/>
        <v/>
      </c>
      <c r="BD98" s="319"/>
      <c r="BE98" s="21"/>
      <c r="BF98" s="22"/>
      <c r="BG98" s="22"/>
      <c r="BH98" s="23"/>
      <c r="BI98" s="326" t="str">
        <f t="shared" si="9"/>
        <v/>
      </c>
      <c r="BJ98" s="95"/>
      <c r="BK98" s="95" t="str">
        <f t="shared" si="10"/>
        <v/>
      </c>
    </row>
    <row r="99" spans="1:63" ht="14.4" customHeight="1">
      <c r="A99" s="577"/>
      <c r="AU99" s="22">
        <f>AU96-AU98</f>
        <v>0</v>
      </c>
      <c r="AV99" s="21"/>
      <c r="AW99" s="610">
        <f>AW96-AW98</f>
        <v>0</v>
      </c>
      <c r="AX99" s="610"/>
      <c r="AY99" s="610"/>
      <c r="AZ99" s="326" t="str">
        <f t="shared" si="8"/>
        <v/>
      </c>
      <c r="BA99" s="95"/>
      <c r="BB99" s="95" t="str">
        <f t="shared" si="7"/>
        <v/>
      </c>
      <c r="BD99" s="319">
        <f>OBJ!B312</f>
        <v>9256854</v>
      </c>
      <c r="BE99" s="21" t="str">
        <f>VLOOKUP(BD99,CENY!$B$11:$G$1054,2,FALSE)</f>
        <v>Quadro You(M) 270/SiSy 20kg; EB21; ľavý</v>
      </c>
      <c r="BF99" s="22">
        <f>VLOOKUP(BD99,CENY!$B$11:$G$1054,3,FALSE)</f>
        <v>20</v>
      </c>
      <c r="BG99" s="22"/>
      <c r="BH99" s="68"/>
      <c r="BI99" s="326" t="str">
        <f t="shared" si="9"/>
        <v/>
      </c>
      <c r="BJ99" s="95">
        <f>VLOOKUP(BD99,CENY!$B$11:$M$2025,12,FALSE)</f>
        <v>223.77942999999999</v>
      </c>
      <c r="BK99" s="95">
        <f t="shared" si="10"/>
        <v>0</v>
      </c>
    </row>
    <row r="100" spans="1:63" ht="14.4" customHeight="1">
      <c r="A100" s="577"/>
      <c r="AU100" s="22">
        <f>ABS(AU99)</f>
        <v>0</v>
      </c>
      <c r="AV100" s="21"/>
      <c r="AW100" s="610">
        <f>ABS(AW99)</f>
        <v>0</v>
      </c>
      <c r="AX100" s="610"/>
      <c r="AY100" s="610"/>
      <c r="AZ100" s="326" t="str">
        <f t="shared" si="8"/>
        <v/>
      </c>
      <c r="BA100" s="95"/>
      <c r="BB100" s="95" t="str">
        <f t="shared" si="7"/>
        <v/>
      </c>
      <c r="BD100" s="319">
        <f>OBJ!B313</f>
        <v>9256855</v>
      </c>
      <c r="BE100" s="21" t="str">
        <f>VLOOKUP(BD100,CENY!$B$11:$G$1054,2,FALSE)</f>
        <v>Quadro You(M) 270/SiSy 20kg; EB21; pravý</v>
      </c>
      <c r="BF100" s="22">
        <f>VLOOKUP(BD100,CENY!$B$11:$G$1054,3,FALSE)</f>
        <v>20</v>
      </c>
      <c r="BG100" s="22"/>
      <c r="BH100" s="68"/>
      <c r="BI100" s="326" t="str">
        <f t="shared" si="9"/>
        <v/>
      </c>
      <c r="BJ100" s="95">
        <f>VLOOKUP(BD100,CENY!$B$11:$M$2025,12,FALSE)</f>
        <v>223.77942999999999</v>
      </c>
      <c r="BK100" s="95">
        <f t="shared" si="10"/>
        <v>0</v>
      </c>
    </row>
    <row r="101" spans="1:63">
      <c r="A101" s="577"/>
      <c r="AU101" s="20"/>
      <c r="AV101" s="21"/>
      <c r="AW101" s="610"/>
      <c r="AX101" s="610"/>
      <c r="AY101" s="610"/>
      <c r="AZ101" s="326" t="str">
        <f t="shared" si="8"/>
        <v/>
      </c>
      <c r="BA101" s="95"/>
      <c r="BB101" s="95" t="str">
        <f t="shared" si="7"/>
        <v/>
      </c>
      <c r="BD101" s="319">
        <f>OBJ!B314</f>
        <v>9256856</v>
      </c>
      <c r="BE101" s="21" t="str">
        <f>VLOOKUP(BD101,CENY!$B$11:$G$1054,2,FALSE)</f>
        <v>Quadro You(M) 300/SiSy 20kg; EB21; ľavý</v>
      </c>
      <c r="BF101" s="22">
        <f>VLOOKUP(BD101,CENY!$B$11:$G$1054,3,FALSE)</f>
        <v>20</v>
      </c>
      <c r="BG101" s="22"/>
      <c r="BH101" s="68"/>
      <c r="BI101" s="326" t="str">
        <f t="shared" si="9"/>
        <v/>
      </c>
      <c r="BJ101" s="95">
        <f>VLOOKUP(BD101,CENY!$B$11:$M$2025,12,FALSE)</f>
        <v>224.26065</v>
      </c>
      <c r="BK101" s="95">
        <f t="shared" si="10"/>
        <v>0</v>
      </c>
    </row>
    <row r="102" spans="1:63">
      <c r="A102" s="577"/>
      <c r="AU102" s="22">
        <f>(AU98-1)*4+SUM(O81:AJ81)</f>
        <v>-4</v>
      </c>
      <c r="AV102" s="21" t="s">
        <v>358</v>
      </c>
      <c r="AW102" s="610">
        <f>(AW98-1)*4+SUM(O82:AJ82)</f>
        <v>-4</v>
      </c>
      <c r="AX102" s="610"/>
      <c r="AY102" s="610"/>
      <c r="AZ102" s="326" t="str">
        <f t="shared" si="8"/>
        <v/>
      </c>
      <c r="BA102" s="95"/>
      <c r="BB102" s="95" t="str">
        <f t="shared" si="7"/>
        <v/>
      </c>
      <c r="BD102" s="319">
        <f>OBJ!B315</f>
        <v>9256857</v>
      </c>
      <c r="BE102" s="21" t="str">
        <f>VLOOKUP(BD102,CENY!$B$11:$G$1054,2,FALSE)</f>
        <v>Quadro You(M) 300/SiSy 20kg; EB21; pravý</v>
      </c>
      <c r="BF102" s="22">
        <f>VLOOKUP(BD102,CENY!$B$11:$G$1054,3,FALSE)</f>
        <v>20</v>
      </c>
      <c r="BG102" s="22"/>
      <c r="BH102" s="68"/>
      <c r="BI102" s="326" t="str">
        <f t="shared" si="9"/>
        <v/>
      </c>
      <c r="BJ102" s="95">
        <f>VLOOKUP(BD102,CENY!$B$11:$M$2025,12,FALSE)</f>
        <v>224.26065</v>
      </c>
      <c r="BK102" s="95">
        <f t="shared" si="10"/>
        <v>0</v>
      </c>
    </row>
    <row r="103" spans="1:63">
      <c r="A103" s="577"/>
      <c r="AU103" s="22"/>
      <c r="AV103" s="21"/>
      <c r="AW103" s="370"/>
      <c r="AX103" s="370"/>
      <c r="AY103" s="371"/>
      <c r="AZ103" s="326" t="str">
        <f t="shared" si="8"/>
        <v/>
      </c>
      <c r="BA103" s="95"/>
      <c r="BB103" s="95" t="str">
        <f t="shared" si="7"/>
        <v/>
      </c>
      <c r="BD103" s="319">
        <f>OBJ!B316</f>
        <v>9256860</v>
      </c>
      <c r="BE103" s="21" t="str">
        <f>VLOOKUP(BD103,CENY!$B$11:$G$1054,2,FALSE)</f>
        <v>Quadro You(M) 350/SiSy 25kg; EB21; ľavý</v>
      </c>
      <c r="BF103" s="22">
        <f>VLOOKUP(BD103,CENY!$B$11:$G$1054,3,FALSE)</f>
        <v>20</v>
      </c>
      <c r="BG103" s="22"/>
      <c r="BH103" s="68"/>
      <c r="BI103" s="326" t="str">
        <f t="shared" si="9"/>
        <v/>
      </c>
      <c r="BJ103" s="95">
        <f>VLOOKUP(BD103,CENY!$B$11:$M$2025,12,FALSE)</f>
        <v>229.11434</v>
      </c>
      <c r="BK103" s="95">
        <f t="shared" si="10"/>
        <v>0</v>
      </c>
    </row>
    <row r="104" spans="1:63">
      <c r="A104" s="577"/>
      <c r="AU104" s="20"/>
      <c r="AV104" s="21"/>
      <c r="AW104" s="22"/>
      <c r="AX104" s="22"/>
      <c r="AY104" s="23"/>
      <c r="AZ104" s="326" t="str">
        <f t="shared" si="8"/>
        <v/>
      </c>
      <c r="BA104" s="95"/>
      <c r="BB104" s="95" t="str">
        <f t="shared" si="7"/>
        <v/>
      </c>
      <c r="BD104" s="319">
        <f>OBJ!B317</f>
        <v>9256861</v>
      </c>
      <c r="BE104" s="21" t="str">
        <f>VLOOKUP(BD104,CENY!$B$11:$G$1054,2,FALSE)</f>
        <v>Quadro You(M) 350/SiSy 25kg; EB21; pravý</v>
      </c>
      <c r="BF104" s="22">
        <f>VLOOKUP(BD104,CENY!$B$11:$G$1054,3,FALSE)</f>
        <v>20</v>
      </c>
      <c r="BG104" s="22"/>
      <c r="BH104" s="68"/>
      <c r="BI104" s="326" t="str">
        <f t="shared" si="9"/>
        <v/>
      </c>
      <c r="BJ104" s="95">
        <f>VLOOKUP(BD104,CENY!$B$11:$M$2025,12,FALSE)</f>
        <v>229.11434</v>
      </c>
      <c r="BK104" s="95">
        <f t="shared" si="10"/>
        <v>0</v>
      </c>
    </row>
    <row r="105" spans="1:63">
      <c r="A105" s="577"/>
      <c r="AU105" s="20"/>
      <c r="AV105" s="21"/>
      <c r="AW105" s="22"/>
      <c r="AX105" s="22"/>
      <c r="AY105" s="23"/>
      <c r="AZ105" s="326" t="str">
        <f t="shared" si="8"/>
        <v/>
      </c>
      <c r="BA105" s="95"/>
      <c r="BB105" s="95" t="str">
        <f t="shared" si="7"/>
        <v/>
      </c>
      <c r="BD105" s="319">
        <f>OBJ!B318</f>
        <v>9256864</v>
      </c>
      <c r="BE105" s="21" t="str">
        <f>VLOOKUP(BD105,CENY!$B$11:$G$1054,2,FALSE)</f>
        <v>Quadro You(M) 400/SiSy 30kg; EB21; ľavý</v>
      </c>
      <c r="BF105" s="22">
        <f>VLOOKUP(BD105,CENY!$B$11:$G$1054,3,FALSE)</f>
        <v>20</v>
      </c>
      <c r="BG105" s="22"/>
      <c r="BH105" s="68"/>
      <c r="BI105" s="326" t="str">
        <f t="shared" si="9"/>
        <v/>
      </c>
      <c r="BJ105" s="95">
        <f>VLOOKUP(BD105,CENY!$B$11:$M$2025,12,FALSE)</f>
        <v>233.96566000000001</v>
      </c>
      <c r="BK105" s="95">
        <f t="shared" si="10"/>
        <v>0</v>
      </c>
    </row>
    <row r="106" spans="1:63">
      <c r="AU106" s="20"/>
      <c r="AV106" s="21"/>
      <c r="AW106" s="22"/>
      <c r="AX106" s="22"/>
      <c r="AY106" s="23"/>
      <c r="AZ106" s="326" t="str">
        <f t="shared" si="8"/>
        <v/>
      </c>
      <c r="BA106" s="95"/>
      <c r="BB106" s="95" t="str">
        <f t="shared" si="7"/>
        <v/>
      </c>
      <c r="BD106" s="319">
        <f>OBJ!B319</f>
        <v>9256865</v>
      </c>
      <c r="BE106" s="21" t="str">
        <f>VLOOKUP(BD106,CENY!$B$11:$G$1054,2,FALSE)</f>
        <v>Quadro You(M) 400/SiSy 30kg; EB21; pravý</v>
      </c>
      <c r="BF106" s="22">
        <f>VLOOKUP(BD106,CENY!$B$11:$G$1054,3,FALSE)</f>
        <v>20</v>
      </c>
      <c r="BG106" s="22"/>
      <c r="BH106" s="68"/>
      <c r="BI106" s="326" t="str">
        <f t="shared" si="9"/>
        <v/>
      </c>
      <c r="BJ106" s="95">
        <f>VLOOKUP(BD106,CENY!$B$11:$M$2025,12,FALSE)</f>
        <v>233.96566000000001</v>
      </c>
      <c r="BK106" s="95">
        <f t="shared" si="10"/>
        <v>0</v>
      </c>
    </row>
    <row r="107" spans="1:63">
      <c r="AU107" s="374">
        <f>OBJ!B367</f>
        <v>9099540</v>
      </c>
      <c r="AV107" s="375" t="str">
        <f>VLOOKUP(AU107,CENY!$B$11:$G$1054,2,FALSE)</f>
        <v>SENSYS 8657i 165st. B12,5/TH52</v>
      </c>
      <c r="AW107" s="22">
        <f>VLOOKUP(AU107,CENY!$B$11:$G$1054,3,FALSE)</f>
        <v>50</v>
      </c>
      <c r="AX107" s="22"/>
      <c r="AY107" s="23">
        <f>VLOOKUP(SUM(AY1:AY4),AY154:AZ161,2,FALSE)*(SUM(W20:AD20)+SUM(W22:AF22)+SUM(W28:AD28))*IF(SUM(AA85:AJ85)=0,1,2)</f>
        <v>0</v>
      </c>
      <c r="AZ107" s="326">
        <f t="shared" si="8"/>
        <v>0</v>
      </c>
      <c r="BA107" s="95">
        <f>VLOOKUP(AU107,CENY!$B$11:$M$2025,12,FALSE)</f>
        <v>141.95956000000001</v>
      </c>
      <c r="BB107" s="95">
        <f t="shared" ref="BB107:BB113" si="11">IF(BA107="","",BA107*AY107)</f>
        <v>0</v>
      </c>
      <c r="BD107" s="319">
        <f>OBJ!B320</f>
        <v>9256868</v>
      </c>
      <c r="BE107" s="21" t="str">
        <f>VLOOKUP(BD107,CENY!$B$11:$G$1054,2,FALSE)</f>
        <v>Quadro You(M) 450/SiSy 30kg; EB21; ľavý</v>
      </c>
      <c r="BF107" s="22">
        <f>VLOOKUP(BD107,CENY!$B$11:$G$1054,3,FALSE)</f>
        <v>20</v>
      </c>
      <c r="BG107" s="22"/>
      <c r="BH107" s="23">
        <f>AY64</f>
        <v>0</v>
      </c>
      <c r="BI107" s="326">
        <f t="shared" si="9"/>
        <v>0</v>
      </c>
      <c r="BJ107" s="95">
        <f>VLOOKUP(BD107,CENY!$B$11:$M$2025,12,FALSE)</f>
        <v>238.81201999999999</v>
      </c>
      <c r="BK107" s="95">
        <f t="shared" si="10"/>
        <v>0</v>
      </c>
    </row>
    <row r="108" spans="1:63">
      <c r="AU108" s="374">
        <f>OBJ!B368</f>
        <v>9099600</v>
      </c>
      <c r="AV108" s="375" t="str">
        <f>VLOOKUP(AU108,CENY!$B$11:$G$1054,2,FALSE)</f>
        <v>SENSYS 8657 165st. B12,5/TH52 (bez SiSy)</v>
      </c>
      <c r="AW108" s="22">
        <f>VLOOKUP(AU108,CENY!$B$11:$G$1054,3,FALSE)</f>
        <v>50</v>
      </c>
      <c r="AX108" s="22"/>
      <c r="AY108" s="68"/>
      <c r="AZ108" s="326" t="str">
        <f t="shared" si="8"/>
        <v/>
      </c>
      <c r="BA108" s="95">
        <f>VLOOKUP(AU108,CENY!$B$11:$M$2025,12,FALSE)</f>
        <v>129.61077</v>
      </c>
      <c r="BB108" s="95">
        <f t="shared" si="11"/>
        <v>0</v>
      </c>
      <c r="BD108" s="319">
        <f>OBJ!B321</f>
        <v>9256869</v>
      </c>
      <c r="BE108" s="21" t="str">
        <f>VLOOKUP(BD108,CENY!$B$11:$G$1054,2,FALSE)</f>
        <v>Quadro You(M) 450/SiSy 30kg; EB21; pravý</v>
      </c>
      <c r="BF108" s="22">
        <f>VLOOKUP(BD108,CENY!$B$11:$G$1054,3,FALSE)</f>
        <v>20</v>
      </c>
      <c r="BG108" s="22"/>
      <c r="BH108" s="23">
        <f>AY64</f>
        <v>0</v>
      </c>
      <c r="BI108" s="326">
        <f t="shared" si="9"/>
        <v>0</v>
      </c>
      <c r="BJ108" s="95">
        <f>VLOOKUP(BD108,CENY!$B$11:$M$2025,12,FALSE)</f>
        <v>238.81201999999999</v>
      </c>
      <c r="BK108" s="95">
        <f t="shared" si="10"/>
        <v>0</v>
      </c>
    </row>
    <row r="109" spans="1:63">
      <c r="AU109" s="374">
        <f>OBJ!B369</f>
        <v>9099660</v>
      </c>
      <c r="AV109" s="375" t="str">
        <f>VLOOKUP(AU109,CENY!$B$11:$G$1054,2,FALSE)</f>
        <v>SENSYS 8687 165st. B12,5/TH52 (pre P2O)</v>
      </c>
      <c r="AW109" s="22">
        <f>VLOOKUP(AU109,CENY!$B$11:$G$1054,3,FALSE)</f>
        <v>50</v>
      </c>
      <c r="AX109" s="22"/>
      <c r="AY109" s="68"/>
      <c r="AZ109" s="326" t="str">
        <f t="shared" si="8"/>
        <v/>
      </c>
      <c r="BA109" s="95">
        <f>VLOOKUP(AU109,CENY!$B$11:$M$2025,12,FALSE)</f>
        <v>134.40997999999999</v>
      </c>
      <c r="BB109" s="95">
        <f t="shared" si="11"/>
        <v>0</v>
      </c>
      <c r="BD109" s="319">
        <f>OBJ!B322</f>
        <v>9256872</v>
      </c>
      <c r="BE109" s="21" t="str">
        <f>VLOOKUP(BD109,CENY!$B$11:$G$1054,2,FALSE)</f>
        <v>Quadro You(M) 500/SiSy 30kg; EB21; ľavý</v>
      </c>
      <c r="BF109" s="22">
        <f>VLOOKUP(BD109,CENY!$B$11:$G$1054,3,FALSE)</f>
        <v>20</v>
      </c>
      <c r="BG109" s="22"/>
      <c r="BH109" s="23">
        <f>AY65</f>
        <v>0</v>
      </c>
      <c r="BI109" s="326">
        <f t="shared" si="9"/>
        <v>0</v>
      </c>
      <c r="BJ109" s="95">
        <f>VLOOKUP(BD109,CENY!$B$11:$M$2025,12,FALSE)</f>
        <v>237.18776</v>
      </c>
      <c r="BK109" s="95">
        <f t="shared" si="10"/>
        <v>0</v>
      </c>
    </row>
    <row r="110" spans="1:63">
      <c r="AU110" s="374">
        <f>OBJ!B370</f>
        <v>9071576</v>
      </c>
      <c r="AV110" s="375" t="str">
        <f>VLOOKUP(AU110,CENY!$B$11:$G$1054,2,FALSE)</f>
        <v>Podložka SENSYS k naskrut./D=1,5 mm</v>
      </c>
      <c r="AW110" s="22">
        <f>VLOOKUP(AU110,CENY!$B$11:$G$1054,3,FALSE)</f>
        <v>200</v>
      </c>
      <c r="AX110" s="22"/>
      <c r="AY110" s="23">
        <f>AY107</f>
        <v>0</v>
      </c>
      <c r="AZ110" s="326">
        <f t="shared" si="8"/>
        <v>0</v>
      </c>
      <c r="BA110" s="95">
        <f>VLOOKUP(AU110,CENY!$B$11:$M$2025,12,FALSE)</f>
        <v>8.1449099999999994</v>
      </c>
      <c r="BB110" s="95">
        <f t="shared" si="11"/>
        <v>0</v>
      </c>
      <c r="BD110" s="319">
        <f>OBJ!B323</f>
        <v>9256873</v>
      </c>
      <c r="BE110" s="21" t="str">
        <f>VLOOKUP(BD110,CENY!$B$11:$G$1054,2,FALSE)</f>
        <v>Quadro You(M) 500/SiSy 30kg; EB21; pravý</v>
      </c>
      <c r="BF110" s="22">
        <f>VLOOKUP(BD110,CENY!$B$11:$G$1054,3,FALSE)</f>
        <v>20</v>
      </c>
      <c r="BG110" s="22"/>
      <c r="BH110" s="23">
        <f>AY65</f>
        <v>0</v>
      </c>
      <c r="BI110" s="326">
        <f t="shared" si="9"/>
        <v>0</v>
      </c>
      <c r="BJ110" s="95">
        <f>VLOOKUP(BD110,CENY!$B$11:$M$2025,12,FALSE)</f>
        <v>237.18776</v>
      </c>
      <c r="BK110" s="95">
        <f t="shared" si="10"/>
        <v>0</v>
      </c>
    </row>
    <row r="111" spans="1:63">
      <c r="AU111" s="374">
        <f>OBJ!B371</f>
        <v>9071671</v>
      </c>
      <c r="AV111" s="375" t="str">
        <f>VLOOKUP(AU111,CENY!$B$11:$G$1054,2,FALSE)</f>
        <v>Podlož.SENSYS s predm.skr.D=1,5(exc.)</v>
      </c>
      <c r="AW111" s="22">
        <f>VLOOKUP(AU111,CENY!$B$11:$G$1054,3,FALSE)</f>
        <v>200</v>
      </c>
      <c r="AX111" s="22"/>
      <c r="AY111" s="68"/>
      <c r="AZ111" s="326" t="str">
        <f t="shared" si="8"/>
        <v/>
      </c>
      <c r="BA111" s="95">
        <f>VLOOKUP(AU111,CENY!$B$11:$M$2025,12,FALSE)</f>
        <v>17.145990000000001</v>
      </c>
      <c r="BB111" s="95">
        <f t="shared" si="11"/>
        <v>0</v>
      </c>
      <c r="BD111" s="319">
        <f>OBJ!B324</f>
        <v>9256876</v>
      </c>
      <c r="BE111" s="21" t="str">
        <f>VLOOKUP(BD111,CENY!$B$11:$G$1054,2,FALSE)</f>
        <v>Quadro You(M) 550/SiSy 30kg; EB21; ľavý</v>
      </c>
      <c r="BF111" s="22">
        <f>VLOOKUP(BD111,CENY!$B$11:$G$1054,3,FALSE)</f>
        <v>20</v>
      </c>
      <c r="BG111" s="22"/>
      <c r="BH111" s="23">
        <f>AY66</f>
        <v>0</v>
      </c>
      <c r="BI111" s="326">
        <f t="shared" si="9"/>
        <v>0</v>
      </c>
      <c r="BJ111" s="95">
        <f>VLOOKUP(BD111,CENY!$B$11:$M$2025,12,FALSE)</f>
        <v>241.90996999999999</v>
      </c>
      <c r="BK111" s="95">
        <f t="shared" si="10"/>
        <v>0</v>
      </c>
    </row>
    <row r="112" spans="1:63">
      <c r="AU112" s="20"/>
      <c r="AV112" s="21"/>
      <c r="AW112" s="22"/>
      <c r="AX112" s="22"/>
      <c r="AY112" s="23"/>
      <c r="AZ112" s="326" t="str">
        <f t="shared" si="8"/>
        <v/>
      </c>
      <c r="BA112" s="95"/>
      <c r="BB112" s="95" t="str">
        <f t="shared" si="11"/>
        <v/>
      </c>
      <c r="BD112" s="319">
        <f>OBJ!B325</f>
        <v>9256877</v>
      </c>
      <c r="BE112" s="21" t="str">
        <f>VLOOKUP(BD112,CENY!$B$11:$G$1054,2,FALSE)</f>
        <v>Quadro You(M) 550/SiSy 30kg; EB21; pravý</v>
      </c>
      <c r="BF112" s="22">
        <f>VLOOKUP(BD112,CENY!$B$11:$G$1054,3,FALSE)</f>
        <v>20</v>
      </c>
      <c r="BG112" s="22"/>
      <c r="BH112" s="23">
        <f>AY66</f>
        <v>0</v>
      </c>
      <c r="BI112" s="326">
        <f t="shared" si="9"/>
        <v>0</v>
      </c>
      <c r="BJ112" s="95">
        <f>VLOOKUP(BD112,CENY!$B$11:$M$2025,12,FALSE)</f>
        <v>248.51953</v>
      </c>
      <c r="BK112" s="95">
        <f t="shared" si="10"/>
        <v>0</v>
      </c>
    </row>
    <row r="113" spans="47:63">
      <c r="AU113" s="20"/>
      <c r="AV113" s="21"/>
      <c r="AW113" s="22"/>
      <c r="AX113" s="22"/>
      <c r="AY113" s="23"/>
      <c r="AZ113" s="326" t="str">
        <f t="shared" si="8"/>
        <v/>
      </c>
      <c r="BA113" s="95"/>
      <c r="BB113" s="95" t="str">
        <f t="shared" si="11"/>
        <v/>
      </c>
      <c r="BD113" s="319">
        <f>OBJ!B326</f>
        <v>9256880</v>
      </c>
      <c r="BE113" s="21" t="str">
        <f>VLOOKUP(BD113,CENY!$B$11:$G$1054,2,FALSE)</f>
        <v>Quadro You(M) 600/SiSy 25kg; EB21; ľavý</v>
      </c>
      <c r="BF113" s="22">
        <f>VLOOKUP(BD113,CENY!$B$11:$G$1054,3,FALSE)</f>
        <v>20</v>
      </c>
      <c r="BG113" s="22"/>
      <c r="BH113" s="23">
        <f>AY67</f>
        <v>0</v>
      </c>
      <c r="BI113" s="326">
        <f t="shared" si="9"/>
        <v>0</v>
      </c>
      <c r="BJ113" s="95">
        <f>VLOOKUP(BD113,CENY!$B$11:$M$2025,12,FALSE)</f>
        <v>253.36837</v>
      </c>
      <c r="BK113" s="95">
        <f t="shared" si="10"/>
        <v>0</v>
      </c>
    </row>
    <row r="114" spans="47:63">
      <c r="AU114" s="20"/>
      <c r="AV114" s="21"/>
      <c r="AW114" s="22"/>
      <c r="AX114" s="22"/>
      <c r="AY114" s="23"/>
      <c r="AZ114" s="326" t="str">
        <f t="shared" ref="AZ114:AZ141" si="12">IF(AY114="","",IF($AW$4=1,AY114,0))</f>
        <v/>
      </c>
      <c r="BA114" s="95"/>
      <c r="BB114" s="95" t="str">
        <f t="shared" ref="BB114:BB141" si="13">IF(BA114="","",BA114*AY114)</f>
        <v/>
      </c>
      <c r="BD114" s="319">
        <f>OBJ!B327</f>
        <v>9256881</v>
      </c>
      <c r="BE114" s="21" t="str">
        <f>VLOOKUP(BD114,CENY!$B$11:$G$1054,2,FALSE)</f>
        <v>Quadro You(M) 600/SiSy 25kg; EB21; pravý</v>
      </c>
      <c r="BF114" s="22">
        <f>VLOOKUP(BD114,CENY!$B$11:$G$1054,3,FALSE)</f>
        <v>20</v>
      </c>
      <c r="BG114" s="22"/>
      <c r="BH114" s="23">
        <f>AY67</f>
        <v>0</v>
      </c>
      <c r="BI114" s="326">
        <f t="shared" si="9"/>
        <v>0</v>
      </c>
      <c r="BJ114" s="95">
        <f>VLOOKUP(BD114,CENY!$B$11:$M$2025,12,FALSE)</f>
        <v>253.36837</v>
      </c>
      <c r="BK114" s="95">
        <f t="shared" si="10"/>
        <v>0</v>
      </c>
    </row>
    <row r="115" spans="47:63">
      <c r="AU115" s="20"/>
      <c r="AV115" s="21"/>
      <c r="AW115" s="22"/>
      <c r="AX115" s="22"/>
      <c r="AY115" s="23"/>
      <c r="AZ115" s="326" t="str">
        <f t="shared" si="12"/>
        <v/>
      </c>
      <c r="BA115" s="95"/>
      <c r="BB115" s="95" t="str">
        <f t="shared" si="13"/>
        <v/>
      </c>
      <c r="BD115" s="319"/>
      <c r="BE115" s="21"/>
      <c r="BF115" s="22"/>
      <c r="BG115" s="22"/>
      <c r="BH115" s="23"/>
      <c r="BI115" s="326" t="str">
        <f t="shared" si="9"/>
        <v/>
      </c>
      <c r="BJ115" s="95"/>
      <c r="BK115" s="95" t="str">
        <f t="shared" si="10"/>
        <v/>
      </c>
    </row>
    <row r="116" spans="47:63">
      <c r="AU116" s="20"/>
      <c r="AV116" s="21"/>
      <c r="AW116" s="22"/>
      <c r="AX116" s="22"/>
      <c r="AY116" s="23"/>
      <c r="AZ116" s="326" t="str">
        <f t="shared" si="12"/>
        <v/>
      </c>
      <c r="BA116" s="95"/>
      <c r="BB116" s="95" t="str">
        <f t="shared" si="13"/>
        <v/>
      </c>
      <c r="BD116" s="319">
        <f>OBJ!B329</f>
        <v>9257894</v>
      </c>
      <c r="BE116" s="21" t="str">
        <f>VLOOKUP(BD116,CENY!$B$11:$G$1054,2,FALSE)</f>
        <v>Quadro You - Push to open Silent; &lt;10kg</v>
      </c>
      <c r="BF116" s="22">
        <f>VLOOKUP(BD116,CENY!$B$11:$G$1054,3,FALSE)</f>
        <v>1</v>
      </c>
      <c r="BG116" s="22"/>
      <c r="BH116" s="68"/>
      <c r="BI116" s="326" t="str">
        <f t="shared" si="9"/>
        <v/>
      </c>
      <c r="BJ116" s="95">
        <f>VLOOKUP(BD116,CENY!$B$11:$M$2025,12,FALSE)</f>
        <v>480.50922000000003</v>
      </c>
      <c r="BK116" s="95">
        <f t="shared" si="10"/>
        <v>0</v>
      </c>
    </row>
    <row r="117" spans="47:63">
      <c r="AU117" s="20"/>
      <c r="AV117" s="21"/>
      <c r="AW117" s="22"/>
      <c r="AX117" s="22"/>
      <c r="AY117" s="23"/>
      <c r="AZ117" s="326" t="str">
        <f t="shared" si="12"/>
        <v/>
      </c>
      <c r="BA117" s="95"/>
      <c r="BB117" s="95" t="str">
        <f t="shared" si="13"/>
        <v/>
      </c>
      <c r="BD117" s="319">
        <f>OBJ!B330</f>
        <v>9257895</v>
      </c>
      <c r="BE117" s="21" t="str">
        <f>VLOOKUP(BD117,CENY!$B$11:$G$1054,2,FALSE)</f>
        <v>Quadro You - Push to open Silent; 8-20kg</v>
      </c>
      <c r="BF117" s="22">
        <f>VLOOKUP(BD117,CENY!$B$11:$G$1054,3,FALSE)</f>
        <v>1</v>
      </c>
      <c r="BG117" s="22"/>
      <c r="BH117" s="68"/>
      <c r="BI117" s="326" t="str">
        <f t="shared" si="9"/>
        <v/>
      </c>
      <c r="BJ117" s="95">
        <f>VLOOKUP(BD117,CENY!$B$11:$M$2025,12,FALSE)</f>
        <v>480.50922000000003</v>
      </c>
      <c r="BK117" s="95">
        <f t="shared" si="10"/>
        <v>0</v>
      </c>
    </row>
    <row r="118" spans="47:63">
      <c r="AU118" s="20"/>
      <c r="AV118" s="21"/>
      <c r="AW118" s="22"/>
      <c r="AX118" s="22"/>
      <c r="AY118" s="23"/>
      <c r="AZ118" s="326" t="str">
        <f t="shared" si="12"/>
        <v/>
      </c>
      <c r="BA118" s="95"/>
      <c r="BB118" s="95" t="str">
        <f t="shared" si="13"/>
        <v/>
      </c>
      <c r="BD118" s="319">
        <f>OBJ!B331</f>
        <v>9257896</v>
      </c>
      <c r="BE118" s="21" t="str">
        <f>VLOOKUP(BD118,CENY!$B$11:$G$1054,2,FALSE)</f>
        <v>Quadro You - Push to open Silent; 10-30kg</v>
      </c>
      <c r="BF118" s="22">
        <f>VLOOKUP(BD118,CENY!$B$11:$G$1054,3,FALSE)</f>
        <v>1</v>
      </c>
      <c r="BG118" s="22"/>
      <c r="BH118" s="68"/>
      <c r="BI118" s="326" t="str">
        <f t="shared" si="9"/>
        <v/>
      </c>
      <c r="BJ118" s="95">
        <f>VLOOKUP(BD118,CENY!$B$11:$M$2025,12,FALSE)</f>
        <v>480.50922000000003</v>
      </c>
      <c r="BK118" s="95">
        <f t="shared" si="10"/>
        <v>0</v>
      </c>
    </row>
    <row r="119" spans="47:63">
      <c r="AU119" s="20"/>
      <c r="AV119" s="21"/>
      <c r="AW119" s="22"/>
      <c r="AX119" s="22"/>
      <c r="AY119" s="23"/>
      <c r="AZ119" s="326" t="str">
        <f t="shared" si="12"/>
        <v/>
      </c>
      <c r="BA119" s="95"/>
      <c r="BB119" s="95" t="str">
        <f t="shared" si="13"/>
        <v/>
      </c>
      <c r="BD119" s="319"/>
      <c r="BE119" s="21"/>
      <c r="BF119" s="22"/>
      <c r="BG119" s="22"/>
      <c r="BH119" s="23"/>
      <c r="BI119" s="326" t="str">
        <f t="shared" si="9"/>
        <v/>
      </c>
      <c r="BJ119" s="95"/>
      <c r="BK119" s="95" t="str">
        <f t="shared" si="10"/>
        <v/>
      </c>
    </row>
    <row r="120" spans="47:63">
      <c r="AU120" s="20"/>
      <c r="AV120" s="21"/>
      <c r="AW120" s="22"/>
      <c r="AX120" s="22"/>
      <c r="AY120" s="23"/>
      <c r="AZ120" s="326" t="str">
        <f t="shared" si="12"/>
        <v/>
      </c>
      <c r="BA120" s="95"/>
      <c r="BB120" s="95" t="str">
        <f t="shared" si="13"/>
        <v/>
      </c>
      <c r="BD120" s="319">
        <f>OBJ!B341</f>
        <v>9256899</v>
      </c>
      <c r="BE120" s="21" t="str">
        <f>VLOOKUP(BD120,CENY!$B$11:$G$1054,2,FALSE)</f>
        <v>Quadro You(M) 270/P2O 20kg; EB21; ľavý</v>
      </c>
      <c r="BF120" s="22">
        <f>VLOOKUP(BD120,CENY!$B$11:$G$1054,3,FALSE)</f>
        <v>20</v>
      </c>
      <c r="BG120" s="22"/>
      <c r="BH120" s="68"/>
      <c r="BI120" s="326" t="str">
        <f t="shared" si="9"/>
        <v/>
      </c>
      <c r="BJ120" s="95">
        <f>VLOOKUP(BD120,CENY!$B$11:$M$2025,12,FALSE)</f>
        <v>252.8922</v>
      </c>
      <c r="BK120" s="95">
        <f t="shared" si="10"/>
        <v>0</v>
      </c>
    </row>
    <row r="121" spans="47:63">
      <c r="AU121" s="20"/>
      <c r="AV121" s="21"/>
      <c r="AW121" s="22"/>
      <c r="AX121" s="22"/>
      <c r="AY121" s="23"/>
      <c r="AZ121" s="326" t="str">
        <f t="shared" si="12"/>
        <v/>
      </c>
      <c r="BA121" s="95"/>
      <c r="BB121" s="95" t="str">
        <f t="shared" si="13"/>
        <v/>
      </c>
      <c r="BD121" s="319">
        <f>OBJ!B342</f>
        <v>9256900</v>
      </c>
      <c r="BE121" s="21" t="str">
        <f>VLOOKUP(BD121,CENY!$B$11:$G$1054,2,FALSE)</f>
        <v>Quadro You(M) 270/P2O 20kg; EB21; pravý</v>
      </c>
      <c r="BF121" s="22">
        <f>VLOOKUP(BD121,CENY!$B$11:$G$1054,3,FALSE)</f>
        <v>20</v>
      </c>
      <c r="BG121" s="22"/>
      <c r="BH121" s="68"/>
      <c r="BI121" s="326" t="str">
        <f t="shared" si="9"/>
        <v/>
      </c>
      <c r="BJ121" s="95">
        <f>VLOOKUP(BD121,CENY!$B$11:$M$2025,12,FALSE)</f>
        <v>252.8922</v>
      </c>
      <c r="BK121" s="95">
        <f t="shared" si="10"/>
        <v>0</v>
      </c>
    </row>
    <row r="122" spans="47:63">
      <c r="AU122" s="20"/>
      <c r="AV122" s="21"/>
      <c r="AW122" s="22"/>
      <c r="AX122" s="22"/>
      <c r="AY122" s="23"/>
      <c r="AZ122" s="326" t="str">
        <f t="shared" si="12"/>
        <v/>
      </c>
      <c r="BA122" s="95"/>
      <c r="BB122" s="95" t="str">
        <f t="shared" si="13"/>
        <v/>
      </c>
      <c r="BD122" s="319">
        <f>OBJ!B343</f>
        <v>9256901</v>
      </c>
      <c r="BE122" s="21" t="str">
        <f>VLOOKUP(BD122,CENY!$B$11:$G$1054,2,FALSE)</f>
        <v>Quadro You(M) 300/P2O 20kg; EB21; ľavý</v>
      </c>
      <c r="BF122" s="22">
        <f>VLOOKUP(BD122,CENY!$B$11:$G$1054,3,FALSE)</f>
        <v>20</v>
      </c>
      <c r="BG122" s="22"/>
      <c r="BH122" s="68"/>
      <c r="BI122" s="326" t="str">
        <f t="shared" si="9"/>
        <v/>
      </c>
      <c r="BJ122" s="95">
        <f>VLOOKUP(BD122,CENY!$B$11:$M$2025,12,FALSE)</f>
        <v>253.36837</v>
      </c>
      <c r="BK122" s="95">
        <f t="shared" si="10"/>
        <v>0</v>
      </c>
    </row>
    <row r="123" spans="47:63">
      <c r="AU123" s="20"/>
      <c r="AV123" s="21"/>
      <c r="AW123" s="22"/>
      <c r="AX123" s="22"/>
      <c r="AY123" s="23"/>
      <c r="AZ123" s="326" t="str">
        <f t="shared" si="12"/>
        <v/>
      </c>
      <c r="BA123" s="95"/>
      <c r="BB123" s="95" t="str">
        <f t="shared" si="13"/>
        <v/>
      </c>
      <c r="BD123" s="319">
        <f>OBJ!B344</f>
        <v>9256902</v>
      </c>
      <c r="BE123" s="21" t="str">
        <f>VLOOKUP(BD123,CENY!$B$11:$G$1054,2,FALSE)</f>
        <v>Quadro You(M) 300/P2O 20kg; EB21; pravý</v>
      </c>
      <c r="BF123" s="22">
        <f>VLOOKUP(BD123,CENY!$B$11:$G$1054,3,FALSE)</f>
        <v>20</v>
      </c>
      <c r="BG123" s="22"/>
      <c r="BH123" s="68"/>
      <c r="BI123" s="326" t="str">
        <f t="shared" si="9"/>
        <v/>
      </c>
      <c r="BJ123" s="95">
        <f>VLOOKUP(BD123,CENY!$B$11:$M$2025,12,FALSE)</f>
        <v>253.36837</v>
      </c>
      <c r="BK123" s="95">
        <f t="shared" si="10"/>
        <v>0</v>
      </c>
    </row>
    <row r="124" spans="47:63">
      <c r="AU124" s="20"/>
      <c r="AV124" s="21"/>
      <c r="AW124" s="22"/>
      <c r="AX124" s="22"/>
      <c r="AY124" s="23"/>
      <c r="AZ124" s="326" t="str">
        <f t="shared" si="12"/>
        <v/>
      </c>
      <c r="BA124" s="95"/>
      <c r="BB124" s="95" t="str">
        <f t="shared" si="13"/>
        <v/>
      </c>
      <c r="BD124" s="319">
        <f>OBJ!B345</f>
        <v>9256905</v>
      </c>
      <c r="BE124" s="21" t="str">
        <f>VLOOKUP(BD124,CENY!$B$11:$G$1054,2,FALSE)</f>
        <v>Quadro You(M) 350/P2O 25kg; EB21; ľavý</v>
      </c>
      <c r="BF124" s="22">
        <f>VLOOKUP(BD124,CENY!$B$11:$G$1054,3,FALSE)</f>
        <v>20</v>
      </c>
      <c r="BG124" s="22"/>
      <c r="BH124" s="68"/>
      <c r="BI124" s="326" t="str">
        <f t="shared" si="9"/>
        <v/>
      </c>
      <c r="BJ124" s="95">
        <f>VLOOKUP(BD124,CENY!$B$11:$M$2025,12,FALSE)</f>
        <v>258.22465999999997</v>
      </c>
      <c r="BK124" s="95">
        <f t="shared" si="10"/>
        <v>0</v>
      </c>
    </row>
    <row r="125" spans="47:63">
      <c r="AU125" s="20"/>
      <c r="AV125" s="21"/>
      <c r="AW125" s="22"/>
      <c r="AX125" s="22"/>
      <c r="AY125" s="23"/>
      <c r="AZ125" s="326" t="str">
        <f t="shared" si="12"/>
        <v/>
      </c>
      <c r="BA125" s="95"/>
      <c r="BB125" s="95" t="str">
        <f t="shared" si="13"/>
        <v/>
      </c>
      <c r="BD125" s="319">
        <f>OBJ!B346</f>
        <v>9256906</v>
      </c>
      <c r="BE125" s="21" t="str">
        <f>VLOOKUP(BD125,CENY!$B$11:$G$1054,2,FALSE)</f>
        <v>Quadro You(M) 350/P2O 25kg; EB21; pravý</v>
      </c>
      <c r="BF125" s="22">
        <f>VLOOKUP(BD125,CENY!$B$11:$G$1054,3,FALSE)</f>
        <v>20</v>
      </c>
      <c r="BG125" s="22"/>
      <c r="BH125" s="68"/>
      <c r="BI125" s="326" t="str">
        <f t="shared" si="9"/>
        <v/>
      </c>
      <c r="BJ125" s="95">
        <f>VLOOKUP(BD125,CENY!$B$11:$M$2025,12,FALSE)</f>
        <v>258.22465999999997</v>
      </c>
      <c r="BK125" s="95">
        <f t="shared" si="10"/>
        <v>0</v>
      </c>
    </row>
    <row r="126" spans="47:63">
      <c r="AU126" s="20"/>
      <c r="AV126" s="21"/>
      <c r="AW126" s="22"/>
      <c r="AX126" s="22"/>
      <c r="AY126" s="23"/>
      <c r="AZ126" s="326" t="str">
        <f t="shared" si="12"/>
        <v/>
      </c>
      <c r="BA126" s="95"/>
      <c r="BB126" s="95" t="str">
        <f t="shared" si="13"/>
        <v/>
      </c>
      <c r="BD126" s="319">
        <f>OBJ!B347</f>
        <v>9256909</v>
      </c>
      <c r="BE126" s="21" t="str">
        <f>VLOOKUP(BD126,CENY!$B$11:$G$1054,2,FALSE)</f>
        <v>Quadro You(M) 400/P2O 30kg; EB21; ľavý</v>
      </c>
      <c r="BF126" s="22">
        <f>VLOOKUP(BD126,CENY!$B$11:$G$1054,3,FALSE)</f>
        <v>20</v>
      </c>
      <c r="BG126" s="22"/>
      <c r="BH126" s="68"/>
      <c r="BI126" s="326" t="str">
        <f t="shared" si="9"/>
        <v/>
      </c>
      <c r="BJ126" s="95">
        <f>VLOOKUP(BD126,CENY!$B$11:$M$2025,12,FALSE)</f>
        <v>263.07337999999999</v>
      </c>
      <c r="BK126" s="95">
        <f t="shared" si="10"/>
        <v>0</v>
      </c>
    </row>
    <row r="127" spans="47:63">
      <c r="AU127" s="20"/>
      <c r="AV127" s="21"/>
      <c r="AW127" s="22"/>
      <c r="AX127" s="22"/>
      <c r="AY127" s="23"/>
      <c r="AZ127" s="326" t="str">
        <f t="shared" si="12"/>
        <v/>
      </c>
      <c r="BA127" s="95"/>
      <c r="BB127" s="95" t="str">
        <f t="shared" si="13"/>
        <v/>
      </c>
      <c r="BD127" s="319">
        <f>OBJ!B348</f>
        <v>9256910</v>
      </c>
      <c r="BE127" s="21" t="str">
        <f>VLOOKUP(BD127,CENY!$B$11:$G$1054,2,FALSE)</f>
        <v>Quadro You(M) 400/P2O 30kg; EB21; pravý</v>
      </c>
      <c r="BF127" s="22">
        <f>VLOOKUP(BD127,CENY!$B$11:$G$1054,3,FALSE)</f>
        <v>20</v>
      </c>
      <c r="BG127" s="22"/>
      <c r="BH127" s="68"/>
      <c r="BI127" s="326" t="str">
        <f t="shared" si="9"/>
        <v/>
      </c>
      <c r="BJ127" s="95">
        <f>VLOOKUP(BD127,CENY!$B$11:$M$2025,12,FALSE)</f>
        <v>263.07337999999999</v>
      </c>
      <c r="BK127" s="95">
        <f t="shared" si="10"/>
        <v>0</v>
      </c>
    </row>
    <row r="128" spans="47:63">
      <c r="AU128" s="20"/>
      <c r="AV128" s="21"/>
      <c r="AW128" s="22"/>
      <c r="AX128" s="22"/>
      <c r="AY128" s="23"/>
      <c r="AZ128" s="326" t="str">
        <f t="shared" si="12"/>
        <v/>
      </c>
      <c r="BA128" s="95"/>
      <c r="BB128" s="95" t="str">
        <f t="shared" si="13"/>
        <v/>
      </c>
      <c r="BD128" s="319">
        <f>OBJ!B349</f>
        <v>9256913</v>
      </c>
      <c r="BE128" s="21" t="str">
        <f>VLOOKUP(BD128,CENY!$B$11:$G$1054,2,FALSE)</f>
        <v>Quadro You(M) 450/P2O 30kg; EB21; ľavý</v>
      </c>
      <c r="BF128" s="22">
        <f>VLOOKUP(BD128,CENY!$B$11:$G$1054,3,FALSE)</f>
        <v>20</v>
      </c>
      <c r="BG128" s="22"/>
      <c r="BH128" s="68"/>
      <c r="BI128" s="326" t="str">
        <f t="shared" si="9"/>
        <v/>
      </c>
      <c r="BJ128" s="95">
        <f>VLOOKUP(BD128,CENY!$B$11:$M$2025,12,FALSE)</f>
        <v>267.92221999999998</v>
      </c>
      <c r="BK128" s="95">
        <f t="shared" si="10"/>
        <v>0</v>
      </c>
    </row>
    <row r="129" spans="47:63">
      <c r="AU129" s="20"/>
      <c r="AV129" s="21"/>
      <c r="AW129" s="22"/>
      <c r="AX129" s="22"/>
      <c r="AY129" s="23"/>
      <c r="AZ129" s="326" t="str">
        <f t="shared" si="12"/>
        <v/>
      </c>
      <c r="BA129" s="95"/>
      <c r="BB129" s="95" t="str">
        <f t="shared" si="13"/>
        <v/>
      </c>
      <c r="BD129" s="319">
        <f>OBJ!B350</f>
        <v>9256914</v>
      </c>
      <c r="BE129" s="21" t="str">
        <f>VLOOKUP(BD129,CENY!$B$11:$G$1054,2,FALSE)</f>
        <v>Quadro You(M) 450/P2O 30kg; EB21; pravý</v>
      </c>
      <c r="BF129" s="22">
        <f>VLOOKUP(BD129,CENY!$B$11:$G$1054,3,FALSE)</f>
        <v>20</v>
      </c>
      <c r="BG129" s="22"/>
      <c r="BH129" s="68"/>
      <c r="BI129" s="326" t="str">
        <f t="shared" si="9"/>
        <v/>
      </c>
      <c r="BJ129" s="95">
        <f>VLOOKUP(BD129,CENY!$B$11:$M$2025,12,FALSE)</f>
        <v>267.92221999999998</v>
      </c>
      <c r="BK129" s="95">
        <f t="shared" si="10"/>
        <v>0</v>
      </c>
    </row>
    <row r="130" spans="47:63">
      <c r="AU130" s="20"/>
      <c r="AV130" s="21"/>
      <c r="AW130" s="22"/>
      <c r="AX130" s="22"/>
      <c r="AY130" s="23"/>
      <c r="AZ130" s="326" t="str">
        <f t="shared" si="12"/>
        <v/>
      </c>
      <c r="BA130" s="95"/>
      <c r="BB130" s="95" t="str">
        <f t="shared" si="13"/>
        <v/>
      </c>
      <c r="BD130" s="319">
        <f>OBJ!B351</f>
        <v>9256917</v>
      </c>
      <c r="BE130" s="21" t="str">
        <f>VLOOKUP(BD130,CENY!$B$11:$G$1054,2,FALSE)</f>
        <v>Quadro You(M) 500/P2O 30kg; EB21; ľavý</v>
      </c>
      <c r="BF130" s="22">
        <f>VLOOKUP(BD130,CENY!$B$11:$G$1054,3,FALSE)</f>
        <v>20</v>
      </c>
      <c r="BG130" s="22"/>
      <c r="BH130" s="68"/>
      <c r="BI130" s="326" t="str">
        <f t="shared" si="9"/>
        <v/>
      </c>
      <c r="BJ130" s="95">
        <f>VLOOKUP(BD130,CENY!$B$11:$M$2025,12,FALSE)</f>
        <v>265.52375999999998</v>
      </c>
      <c r="BK130" s="95">
        <f t="shared" si="10"/>
        <v>0</v>
      </c>
    </row>
    <row r="131" spans="47:63">
      <c r="AU131" s="20"/>
      <c r="AV131" s="21"/>
      <c r="AW131" s="22"/>
      <c r="AX131" s="22"/>
      <c r="AY131" s="23"/>
      <c r="AZ131" s="326" t="str">
        <f t="shared" si="12"/>
        <v/>
      </c>
      <c r="BA131" s="95"/>
      <c r="BB131" s="95" t="str">
        <f t="shared" si="13"/>
        <v/>
      </c>
      <c r="BD131" s="319">
        <f>OBJ!B352</f>
        <v>9256918</v>
      </c>
      <c r="BE131" s="21" t="str">
        <f>VLOOKUP(BD131,CENY!$B$11:$G$1054,2,FALSE)</f>
        <v>Quadro You(M) 500/P2O 30kg; EB21; pravý</v>
      </c>
      <c r="BF131" s="22">
        <f>VLOOKUP(BD131,CENY!$B$11:$G$1054,3,FALSE)</f>
        <v>20</v>
      </c>
      <c r="BG131" s="22"/>
      <c r="BH131" s="68"/>
      <c r="BI131" s="326" t="str">
        <f t="shared" si="9"/>
        <v/>
      </c>
      <c r="BJ131" s="95">
        <f>VLOOKUP(BD131,CENY!$B$11:$M$2025,12,FALSE)</f>
        <v>265.52375999999998</v>
      </c>
      <c r="BK131" s="95">
        <f t="shared" si="10"/>
        <v>0</v>
      </c>
    </row>
    <row r="132" spans="47:63">
      <c r="AU132" s="20"/>
      <c r="AV132" s="21"/>
      <c r="AW132" s="22"/>
      <c r="AX132" s="22"/>
      <c r="AY132" s="23"/>
      <c r="AZ132" s="326" t="str">
        <f t="shared" si="12"/>
        <v/>
      </c>
      <c r="BA132" s="95"/>
      <c r="BB132" s="95" t="str">
        <f t="shared" si="13"/>
        <v/>
      </c>
      <c r="BD132" s="319">
        <f>OBJ!B353</f>
        <v>9256921</v>
      </c>
      <c r="BE132" s="21" t="str">
        <f>VLOOKUP(BD132,CENY!$B$11:$G$1054,2,FALSE)</f>
        <v>Quadro You(M) 550/P2O 30kg; EB21; ľavý</v>
      </c>
      <c r="BF132" s="22">
        <f>VLOOKUP(BD132,CENY!$B$11:$G$1054,3,FALSE)</f>
        <v>20</v>
      </c>
      <c r="BG132" s="22"/>
      <c r="BH132" s="68"/>
      <c r="BI132" s="326" t="str">
        <f t="shared" si="9"/>
        <v/>
      </c>
      <c r="BJ132" s="95">
        <f>VLOOKUP(BD132,CENY!$B$11:$M$2025,12,FALSE)</f>
        <v>270.22431</v>
      </c>
      <c r="BK132" s="95">
        <f t="shared" si="10"/>
        <v>0</v>
      </c>
    </row>
    <row r="133" spans="47:63">
      <c r="AU133" s="20"/>
      <c r="AV133" s="21"/>
      <c r="AW133" s="22"/>
      <c r="AX133" s="22"/>
      <c r="AY133" s="23"/>
      <c r="AZ133" s="326" t="str">
        <f t="shared" si="12"/>
        <v/>
      </c>
      <c r="BA133" s="95"/>
      <c r="BB133" s="95" t="str">
        <f t="shared" si="13"/>
        <v/>
      </c>
      <c r="BD133" s="319">
        <f>OBJ!B354</f>
        <v>9256922</v>
      </c>
      <c r="BE133" s="21" t="str">
        <f>VLOOKUP(BD133,CENY!$B$11:$G$1054,2,FALSE)</f>
        <v>Quadro You(M) 550/P2O 30kg; EB21; pravý</v>
      </c>
      <c r="BF133" s="22">
        <f>VLOOKUP(BD133,CENY!$B$11:$G$1054,3,FALSE)</f>
        <v>20</v>
      </c>
      <c r="BG133" s="22"/>
      <c r="BH133" s="68"/>
      <c r="BI133" s="326" t="str">
        <f t="shared" si="9"/>
        <v/>
      </c>
      <c r="BJ133" s="95">
        <f>VLOOKUP(BD133,CENY!$B$11:$M$2025,12,FALSE)</f>
        <v>277.60748999999998</v>
      </c>
      <c r="BK133" s="95">
        <f t="shared" si="10"/>
        <v>0</v>
      </c>
    </row>
    <row r="134" spans="47:63">
      <c r="AU134" s="20"/>
      <c r="AV134" s="21"/>
      <c r="AW134" s="22"/>
      <c r="AX134" s="22"/>
      <c r="AY134" s="23"/>
      <c r="AZ134" s="326" t="str">
        <f t="shared" si="12"/>
        <v/>
      </c>
      <c r="BA134" s="95"/>
      <c r="BB134" s="95" t="str">
        <f t="shared" si="13"/>
        <v/>
      </c>
      <c r="BD134" s="319">
        <f>OBJ!B355</f>
        <v>9256925</v>
      </c>
      <c r="BE134" s="21" t="str">
        <f>VLOOKUP(BD134,CENY!$B$11:$G$1054,2,FALSE)</f>
        <v>Quadro You(M) 600/P2O 25kg; EB21; ľavý</v>
      </c>
      <c r="BF134" s="22">
        <f>VLOOKUP(BD134,CENY!$B$11:$G$1054,3,FALSE)</f>
        <v>20</v>
      </c>
      <c r="BG134" s="22"/>
      <c r="BH134" s="68"/>
      <c r="BI134" s="326" t="str">
        <f t="shared" si="9"/>
        <v/>
      </c>
      <c r="BJ134" s="95">
        <f>VLOOKUP(BD134,CENY!$B$11:$M$2025,12,FALSE)</f>
        <v>282.45375999999999</v>
      </c>
      <c r="BK134" s="95">
        <f t="shared" si="10"/>
        <v>0</v>
      </c>
    </row>
    <row r="135" spans="47:63">
      <c r="AU135" s="20"/>
      <c r="AV135" s="21"/>
      <c r="AW135" s="22"/>
      <c r="AX135" s="22"/>
      <c r="AY135" s="23"/>
      <c r="AZ135" s="326" t="str">
        <f t="shared" si="12"/>
        <v/>
      </c>
      <c r="BA135" s="95"/>
      <c r="BB135" s="95" t="str">
        <f t="shared" si="13"/>
        <v/>
      </c>
      <c r="BD135" s="319">
        <f>OBJ!B356</f>
        <v>9256926</v>
      </c>
      <c r="BE135" s="21" t="str">
        <f>VLOOKUP(BD135,CENY!$B$11:$G$1054,2,FALSE)</f>
        <v>Quadro You(M) 600/P2O 25kg; EB21; pravý</v>
      </c>
      <c r="BF135" s="22">
        <f>VLOOKUP(BD135,CENY!$B$11:$G$1054,3,FALSE)</f>
        <v>20</v>
      </c>
      <c r="BG135" s="22"/>
      <c r="BH135" s="68"/>
      <c r="BI135" s="326" t="str">
        <f t="shared" si="9"/>
        <v/>
      </c>
      <c r="BJ135" s="95">
        <f>VLOOKUP(BD135,CENY!$B$11:$M$2025,12,FALSE)</f>
        <v>282.45375999999999</v>
      </c>
      <c r="BK135" s="95">
        <f t="shared" si="10"/>
        <v>0</v>
      </c>
    </row>
    <row r="136" spans="47:63">
      <c r="AU136" s="20"/>
      <c r="AV136" s="21"/>
      <c r="AW136" s="22"/>
      <c r="AX136" s="22"/>
      <c r="AY136" s="23"/>
      <c r="AZ136" s="326" t="str">
        <f t="shared" si="12"/>
        <v/>
      </c>
      <c r="BA136" s="95"/>
      <c r="BB136" s="95" t="str">
        <f t="shared" si="13"/>
        <v/>
      </c>
      <c r="BD136" s="319"/>
      <c r="BE136" s="21"/>
      <c r="BF136" s="22"/>
      <c r="BG136" s="22"/>
      <c r="BH136" s="23"/>
      <c r="BI136" s="326" t="str">
        <f t="shared" si="9"/>
        <v/>
      </c>
      <c r="BJ136" s="95"/>
      <c r="BK136" s="95" t="str">
        <f t="shared" si="10"/>
        <v/>
      </c>
    </row>
    <row r="137" spans="47:63">
      <c r="AU137" s="20"/>
      <c r="AV137" s="21"/>
      <c r="AW137" s="22"/>
      <c r="AX137" s="22"/>
      <c r="AY137" s="23"/>
      <c r="AZ137" s="326" t="str">
        <f t="shared" si="12"/>
        <v/>
      </c>
      <c r="BA137" s="95"/>
      <c r="BB137" s="95" t="str">
        <f t="shared" si="13"/>
        <v/>
      </c>
      <c r="BD137" s="319">
        <f>OBJ!B358</f>
        <v>9219966</v>
      </c>
      <c r="BE137" s="21" t="str">
        <f>VLOOKUP(BD137,CENY!$B$11:$G$1054,2,FALSE)</f>
        <v>Push to open Synchro / adaptér typ A</v>
      </c>
      <c r="BF137" s="22">
        <f>VLOOKUP(BD137,CENY!$B$11:$G$1054,3,FALSE)</f>
        <v>200</v>
      </c>
      <c r="BG137" s="22"/>
      <c r="BH137" s="68"/>
      <c r="BI137" s="326" t="str">
        <f t="shared" si="9"/>
        <v/>
      </c>
      <c r="BJ137" s="95">
        <f>VLOOKUP(BD137,CENY!$B$11:$M$2025,12,FALSE)</f>
        <v>16.488900000000001</v>
      </c>
      <c r="BK137" s="95">
        <f t="shared" si="10"/>
        <v>0</v>
      </c>
    </row>
    <row r="138" spans="47:63">
      <c r="AU138" s="20"/>
      <c r="AV138" s="21"/>
      <c r="AW138" s="22"/>
      <c r="AX138" s="22"/>
      <c r="AY138" s="23"/>
      <c r="AZ138" s="326" t="str">
        <f t="shared" si="12"/>
        <v/>
      </c>
      <c r="BA138" s="95"/>
      <c r="BB138" s="95" t="str">
        <f t="shared" si="13"/>
        <v/>
      </c>
      <c r="BD138" s="319"/>
      <c r="BE138" s="21"/>
      <c r="BF138" s="22"/>
      <c r="BG138" s="22"/>
      <c r="BH138" s="23"/>
      <c r="BI138" s="326" t="str">
        <f t="shared" si="9"/>
        <v/>
      </c>
      <c r="BJ138" s="95"/>
      <c r="BK138" s="95" t="str">
        <f t="shared" si="10"/>
        <v/>
      </c>
    </row>
    <row r="139" spans="47:63">
      <c r="AU139" s="20"/>
      <c r="AV139" s="21"/>
      <c r="AW139" s="22"/>
      <c r="AX139" s="22"/>
      <c r="AY139" s="23"/>
      <c r="AZ139" s="326" t="str">
        <f t="shared" si="12"/>
        <v/>
      </c>
      <c r="BA139" s="95"/>
      <c r="BB139" s="95" t="str">
        <f t="shared" si="13"/>
        <v/>
      </c>
      <c r="BD139" s="319">
        <f>OBJ!B214</f>
        <v>0</v>
      </c>
      <c r="BE139" s="21" t="e">
        <f>VLOOKUP(BD139,CENY!$B$11:$G$1054,2,FALSE)</f>
        <v>#N/A</v>
      </c>
      <c r="BF139" s="22" t="e">
        <f>VLOOKUP(BD139,CENY!$B$11:$G$1054,3,FALSE)</f>
        <v>#N/A</v>
      </c>
      <c r="BG139" s="22"/>
      <c r="BH139" s="23">
        <f>AY87</f>
        <v>0</v>
      </c>
      <c r="BI139" s="326">
        <f t="shared" si="9"/>
        <v>0</v>
      </c>
      <c r="BJ139" s="324" t="str">
        <f>IF(BD139=0,"",VLOOKUP(BD139,CENY!$B$11:$M$2025,12,FALSE))</f>
        <v/>
      </c>
      <c r="BK139" s="95" t="str">
        <f t="shared" si="10"/>
        <v/>
      </c>
    </row>
    <row r="140" spans="47:63">
      <c r="AU140" s="20"/>
      <c r="AV140" s="21"/>
      <c r="AW140" s="22"/>
      <c r="AX140" s="22"/>
      <c r="AY140" s="23"/>
      <c r="AZ140" s="326" t="str">
        <f t="shared" si="12"/>
        <v/>
      </c>
      <c r="BA140" s="95"/>
      <c r="BB140" s="95" t="str">
        <f t="shared" si="13"/>
        <v/>
      </c>
      <c r="BD140" s="319"/>
      <c r="BE140" s="21"/>
      <c r="BF140" s="22"/>
      <c r="BG140" s="22"/>
      <c r="BH140" s="23"/>
      <c r="BI140" s="326" t="str">
        <f t="shared" si="9"/>
        <v/>
      </c>
      <c r="BJ140" s="95"/>
      <c r="BK140" s="95" t="str">
        <f t="shared" si="10"/>
        <v/>
      </c>
    </row>
    <row r="141" spans="47:63">
      <c r="AU141" s="20"/>
      <c r="AV141" s="21"/>
      <c r="AW141" s="22"/>
      <c r="AX141" s="22"/>
      <c r="AY141" s="23"/>
      <c r="AZ141" s="326" t="str">
        <f t="shared" si="12"/>
        <v/>
      </c>
      <c r="BA141" s="95"/>
      <c r="BB141" s="95" t="str">
        <f t="shared" si="13"/>
        <v/>
      </c>
      <c r="BD141" s="319"/>
      <c r="BE141" s="21"/>
      <c r="BF141" s="22"/>
      <c r="BG141" s="22"/>
      <c r="BH141" s="23"/>
      <c r="BI141" s="326" t="str">
        <f t="shared" si="9"/>
        <v/>
      </c>
      <c r="BJ141" s="95"/>
      <c r="BK141" s="95" t="str">
        <f t="shared" si="10"/>
        <v/>
      </c>
    </row>
    <row r="142" spans="47:63">
      <c r="AU142" s="319">
        <f>OBJ!B361</f>
        <v>45167</v>
      </c>
      <c r="AV142" s="21" t="str">
        <f>VLOOKUP(AU142,CENY!$B$11:$G$1054,2,FALSE)</f>
        <v>Skrutka s polgul.hlavou 3,5x12mm</v>
      </c>
      <c r="AW142" s="22">
        <f>VLOOKUP(AU142,CENY!$B$11:$G$1054,3,FALSE)</f>
        <v>200</v>
      </c>
      <c r="AX142" s="22"/>
      <c r="AY142" s="23">
        <f>SUMPRODUCT(AX9:AX19,AY9:AY19)</f>
        <v>0</v>
      </c>
      <c r="AZ142" s="326">
        <f t="shared" si="8"/>
        <v>0</v>
      </c>
      <c r="BA142" s="95">
        <f>VLOOKUP(AU142,CENY!$B$11:$M$2025,12,FALSE)</f>
        <v>0.84719999999999995</v>
      </c>
      <c r="BB142" s="95">
        <f>IF(BA142="","",BA142*AY142)</f>
        <v>0</v>
      </c>
      <c r="BC142" s="373" t="s">
        <v>396</v>
      </c>
      <c r="BD142" s="319">
        <f>OBJ!B194</f>
        <v>9257269</v>
      </c>
      <c r="BE142" s="21" t="str">
        <f>VLOOKUP(BD142,CENY!$B$11:$G$1054,2,FALSE)</f>
        <v>AvanY-čelo vnút.zásuvky /v101/d2000/strieb.</v>
      </c>
      <c r="BF142" s="22">
        <f>VLOOKUP(BD142,CENY!$B$11:$G$1054,3,FALSE)</f>
        <v>1</v>
      </c>
      <c r="BG142" s="22"/>
      <c r="BH142" s="23">
        <f>AY90</f>
        <v>0</v>
      </c>
      <c r="BI142" s="326">
        <f t="shared" si="9"/>
        <v>0</v>
      </c>
      <c r="BJ142" s="95">
        <f>VLOOKUP(BD142,CENY!$B$11:$M$2025,12,FALSE)</f>
        <v>1483.13021</v>
      </c>
      <c r="BK142" s="95">
        <f t="shared" si="10"/>
        <v>0</v>
      </c>
    </row>
    <row r="143" spans="47:63">
      <c r="AU143" s="319">
        <f>OBJ!B362</f>
        <v>45168</v>
      </c>
      <c r="AV143" s="21" t="str">
        <f>VLOOKUP(AU143,CENY!$B$11:$G$1054,2,FALSE)</f>
        <v>Skrutka s polgul.hlavou 3,5x20mm</v>
      </c>
      <c r="AW143" s="22">
        <f>VLOOKUP(AU143,CENY!$B$11:$G$1054,3,FALSE)</f>
        <v>200</v>
      </c>
      <c r="AX143" s="22"/>
      <c r="AY143" s="360">
        <v>0</v>
      </c>
      <c r="AZ143" s="326">
        <f t="shared" ref="AZ143:AZ146" si="14">IF(AY143="","",IF($AW$4=1,AY143,0))</f>
        <v>0</v>
      </c>
      <c r="BA143" s="95">
        <f>VLOOKUP(AU143,CENY!$B$11:$M$2025,12,FALSE)</f>
        <v>1.2154199999999999</v>
      </c>
      <c r="BB143" s="95">
        <f>IF(BA143="","",BA143*AY143)</f>
        <v>0</v>
      </c>
      <c r="BC143" s="373" t="s">
        <v>397</v>
      </c>
      <c r="BD143" s="319">
        <f>OBJ!B196</f>
        <v>9257271</v>
      </c>
      <c r="BE143" s="21" t="str">
        <f>VLOOKUP(BD143,CENY!$B$11:$G$1054,2,FALSE)</f>
        <v>AvanY-čelo vnút.zásuvky /v187/d2000/strieb.</v>
      </c>
      <c r="BF143" s="22">
        <f>VLOOKUP(BD143,CENY!$B$11:$G$1054,3,FALSE)</f>
        <v>1</v>
      </c>
      <c r="BG143" s="22"/>
      <c r="BH143" s="23">
        <f>AY92</f>
        <v>0</v>
      </c>
      <c r="BI143" s="326">
        <f t="shared" si="9"/>
        <v>0</v>
      </c>
      <c r="BJ143" s="95">
        <f>VLOOKUP(BD143,CENY!$B$11:$M$2025,12,FALSE)</f>
        <v>2217.7650899999999</v>
      </c>
      <c r="BK143" s="95">
        <f t="shared" si="10"/>
        <v>0</v>
      </c>
    </row>
    <row r="144" spans="47:63">
      <c r="AU144" s="319">
        <f>OBJ!B363</f>
        <v>9278224</v>
      </c>
      <c r="AV144" s="21" t="str">
        <f>VLOOKUP(AU144,CENY!$B$11:$G$1054,2,FALSE)</f>
        <v>Skrutka s polgul.hlavou 3,5x30mm</v>
      </c>
      <c r="AW144" s="22">
        <f>VLOOKUP(AU144,CENY!$B$11:$G$1054,3,FALSE)</f>
        <v>200</v>
      </c>
      <c r="AX144" s="22"/>
      <c r="AY144" s="360">
        <v>0</v>
      </c>
      <c r="AZ144" s="326">
        <f t="shared" si="14"/>
        <v>0</v>
      </c>
      <c r="BA144" s="95">
        <f>VLOOKUP(AU144,CENY!$B$11:$M$2025,12,FALSE)</f>
        <v>0.89337999999999995</v>
      </c>
      <c r="BB144" s="95">
        <f>IF(BA144="","",BA144*AY144)</f>
        <v>0</v>
      </c>
      <c r="BC144" s="373" t="s">
        <v>398</v>
      </c>
      <c r="BD144" s="319"/>
      <c r="BE144" s="21"/>
      <c r="BF144" s="22"/>
      <c r="BG144" s="22"/>
      <c r="BH144" s="23"/>
      <c r="BI144" s="326" t="str">
        <f>IF(BH144="","",IF($AW$4=0,BH144,0))</f>
        <v/>
      </c>
      <c r="BJ144" s="95"/>
      <c r="BK144" s="95" t="str">
        <f t="shared" si="10"/>
        <v/>
      </c>
    </row>
    <row r="145" spans="47:63">
      <c r="AU145" s="319">
        <f>OBJ!B364</f>
        <v>9279197</v>
      </c>
      <c r="AV145" s="21" t="str">
        <f>VLOOKUP(AU145,CENY!$B$11:$G$1054,2,FALSE)</f>
        <v>Skrutka s polgul.hlavou M3,5x12mm</v>
      </c>
      <c r="AW145" s="22">
        <f>VLOOKUP(AU145,CENY!$B$11:$G$1054,3,FALSE)</f>
        <v>1000</v>
      </c>
      <c r="AX145" s="22"/>
      <c r="AY145" s="68">
        <v>0</v>
      </c>
      <c r="AZ145" s="326">
        <f t="shared" si="14"/>
        <v>0</v>
      </c>
      <c r="BA145" s="95">
        <f>VLOOKUP(AU145,CENY!$B$11:$M$2025,12,FALSE)</f>
        <v>0</v>
      </c>
      <c r="BB145" s="95">
        <f>IF(BA145="","",BA145*AY145)</f>
        <v>0</v>
      </c>
      <c r="BC145" s="373" t="s">
        <v>399</v>
      </c>
      <c r="BD145" s="319">
        <f>OBJ!B203</f>
        <v>9257641</v>
      </c>
      <c r="BE145" s="21" t="str">
        <f>VLOOKUP(BD145,CENY!$B$11:$G$1054,2,FALSE)</f>
        <v>AvanY-stabilizátor čela vnút.zásuvky</v>
      </c>
      <c r="BF145" s="22">
        <f>VLOOKUP(BD145,CENY!$B$11:$G$1054,3,FALSE)</f>
        <v>100</v>
      </c>
      <c r="BG145" s="22"/>
      <c r="BH145" s="23">
        <f>AY91+AY93</f>
        <v>0</v>
      </c>
      <c r="BI145" s="326">
        <f>IF(BH145="","",IF($AW$4=0,BH145,0))</f>
        <v>0</v>
      </c>
      <c r="BJ145" s="95">
        <f>VLOOKUP(BD145,CENY!$B$11:$M$2025,12,FALSE)</f>
        <v>10.840870000000001</v>
      </c>
      <c r="BK145" s="95">
        <f t="shared" si="10"/>
        <v>0</v>
      </c>
    </row>
    <row r="146" spans="47:63">
      <c r="AU146" s="319">
        <f>OBJ!B365</f>
        <v>9137114</v>
      </c>
      <c r="AV146" s="21" t="str">
        <f>VLOOKUP(AU146,CENY!$B$11:$G$1054,2,FALSE)</f>
        <v>EURO-skrutka  6,0x14mm / niklovaná</v>
      </c>
      <c r="AW146" s="22">
        <f>VLOOKUP(AU146,CENY!$B$11:$G$1054,3,FALSE)</f>
        <v>200</v>
      </c>
      <c r="AX146" s="22"/>
      <c r="AY146" s="23">
        <f>SUMPRODUCT(AX31:AX80,AY31:AY80)</f>
        <v>0</v>
      </c>
      <c r="AZ146" s="326">
        <f t="shared" si="14"/>
        <v>0</v>
      </c>
      <c r="BA146" s="95">
        <f>VLOOKUP(AU146,CENY!$B$11:$M$2025,12,FALSE)</f>
        <v>1.8839300000000001</v>
      </c>
      <c r="BB146" s="95">
        <f>IF(BA146="","",BA146*AY146)</f>
        <v>0</v>
      </c>
      <c r="BC146" s="373" t="s">
        <v>400</v>
      </c>
      <c r="BD146" s="319">
        <f>OBJ!B204</f>
        <v>9257629</v>
      </c>
      <c r="BE146" s="21" t="str">
        <f>VLOOKUP(BD146,CENY!$B$11:$G$1054,2,FALSE)</f>
        <v>AvanY-krytka čela vnút.zás./v101/strieb.</v>
      </c>
      <c r="BF146" s="22">
        <f>VLOOKUP(BD146,CENY!$B$11:$G$1054,3,FALSE)</f>
        <v>200</v>
      </c>
      <c r="BG146" s="22"/>
      <c r="BH146" s="23">
        <f>2*AY91</f>
        <v>0</v>
      </c>
      <c r="BI146" s="326">
        <f>IF(BH146="","",IF($AW$4=0,BH146,0))</f>
        <v>0</v>
      </c>
      <c r="BJ146" s="95">
        <f>VLOOKUP(BD146,CENY!$B$11:$M$2025,12,FALSE)</f>
        <v>4.4243899999999998</v>
      </c>
      <c r="BK146" s="95">
        <f t="shared" si="10"/>
        <v>0</v>
      </c>
    </row>
    <row r="147" spans="47:63">
      <c r="AU147" s="20"/>
      <c r="AV147" s="21"/>
      <c r="AW147" s="22"/>
      <c r="AX147" s="22"/>
      <c r="AY147" s="23"/>
      <c r="AZ147" s="326"/>
      <c r="BA147" s="95"/>
      <c r="BB147" s="95"/>
      <c r="BD147" s="319">
        <f>OBJ!B206</f>
        <v>9257631</v>
      </c>
      <c r="BE147" s="21" t="str">
        <f>VLOOKUP(BD147,CENY!$B$11:$G$1054,2,FALSE)</f>
        <v>AvanY-krytka čela vnút.zás./v187/strieb.</v>
      </c>
      <c r="BF147" s="22">
        <f>VLOOKUP(BD147,CENY!$B$11:$G$1054,3,FALSE)</f>
        <v>200</v>
      </c>
      <c r="BG147" s="22"/>
      <c r="BH147" s="23">
        <f>2*AY93</f>
        <v>0</v>
      </c>
      <c r="BI147" s="326">
        <f>IF(BH147="","",IF($AW$4=0,BH147,0))</f>
        <v>0</v>
      </c>
      <c r="BJ147" s="95">
        <f>VLOOKUP(BD147,CENY!$B$11:$M$2025,12,FALSE)</f>
        <v>7.9287099999999997</v>
      </c>
      <c r="BK147" s="95">
        <f t="shared" si="10"/>
        <v>0</v>
      </c>
    </row>
    <row r="148" spans="47:63">
      <c r="AU148" s="20"/>
      <c r="AV148" s="21"/>
      <c r="AW148" s="22"/>
      <c r="AX148" s="22"/>
      <c r="AY148" s="23"/>
      <c r="AZ148" s="326"/>
      <c r="BA148" s="95"/>
      <c r="BB148" s="95"/>
      <c r="BD148" s="319"/>
      <c r="BE148" s="21"/>
      <c r="BF148" s="22"/>
      <c r="BG148" s="22"/>
      <c r="BH148" s="23"/>
      <c r="BI148" s="326" t="str">
        <f t="shared" si="9"/>
        <v/>
      </c>
      <c r="BJ148" s="95"/>
      <c r="BK148" s="95" t="str">
        <f t="shared" si="10"/>
        <v/>
      </c>
    </row>
    <row r="149" spans="47:63">
      <c r="AU149" s="20"/>
      <c r="AV149" s="21"/>
      <c r="AW149" s="22"/>
      <c r="AX149" s="22"/>
      <c r="AY149" s="23"/>
      <c r="AZ149" s="326"/>
      <c r="BA149" s="95"/>
      <c r="BB149" s="95"/>
      <c r="BD149" s="319">
        <f>OBJ!B361</f>
        <v>45167</v>
      </c>
      <c r="BE149" s="21" t="str">
        <f>VLOOKUP(BD149,CENY!$B$11:$G$1054,2,FALSE)</f>
        <v>Skrutka s polgul.hlavou 3,5x12mm</v>
      </c>
      <c r="BF149" s="22">
        <f>VLOOKUP(BD149,CENY!$B$11:$G$1054,3,FALSE)</f>
        <v>200</v>
      </c>
      <c r="BG149" s="22"/>
      <c r="BH149" s="23">
        <f>AY142+BH39*2+BH145</f>
        <v>0</v>
      </c>
      <c r="BI149" s="326">
        <f>IF(BH149="","",IF($AW$4=0,BH149,0))</f>
        <v>0</v>
      </c>
      <c r="BJ149" s="95">
        <f>VLOOKUP(BD149,CENY!$B$11:$M$2025,12,FALSE)</f>
        <v>0.84719999999999995</v>
      </c>
      <c r="BK149" s="95">
        <f t="shared" si="10"/>
        <v>0</v>
      </c>
    </row>
    <row r="150" spans="47:63">
      <c r="AU150" s="20"/>
      <c r="AV150" s="21"/>
      <c r="AW150" s="22"/>
      <c r="AX150" s="22"/>
      <c r="AY150" s="23"/>
      <c r="AZ150" s="326" t="str">
        <f>IF(AY150="","",IF($AW$4=1,AY150,0))</f>
        <v/>
      </c>
      <c r="BA150" s="95"/>
      <c r="BB150" s="95" t="str">
        <f>IF(BA150="","",BA150*AY150)</f>
        <v/>
      </c>
      <c r="BD150" s="319">
        <f>OBJ!B362</f>
        <v>45168</v>
      </c>
      <c r="BE150" s="21" t="str">
        <f>VLOOKUP(BD150,CENY!$B$11:$G$1054,2,FALSE)</f>
        <v>Skrutka s polgul.hlavou 3,5x20mm</v>
      </c>
      <c r="BF150" s="22">
        <f>VLOOKUP(BD150,CENY!$B$11:$G$1054,3,FALSE)</f>
        <v>200</v>
      </c>
      <c r="BG150" s="22"/>
      <c r="BH150" s="360">
        <f>IF(FORM!$AM$8=FORM!$AU$10,BH35*2+BH36*4,0)</f>
        <v>0</v>
      </c>
      <c r="BI150" s="326">
        <f>IF(BH150="","",IF($AW$4=0,BH150,0))</f>
        <v>0</v>
      </c>
      <c r="BJ150" s="95">
        <f>VLOOKUP(BD150,CENY!$B$11:$M$2025,12,FALSE)</f>
        <v>1.2154199999999999</v>
      </c>
      <c r="BK150" s="95">
        <f t="shared" si="10"/>
        <v>0</v>
      </c>
    </row>
    <row r="151" spans="47:63">
      <c r="BD151" s="319">
        <f>OBJ!B363</f>
        <v>9278224</v>
      </c>
      <c r="BE151" s="21" t="str">
        <f>VLOOKUP(BD151,CENY!$B$11:$G$1054,2,FALSE)</f>
        <v>Skrutka s polgul.hlavou 3,5x30mm</v>
      </c>
      <c r="BF151" s="22">
        <f>VLOOKUP(BD151,CENY!$B$11:$G$1054,3,FALSE)</f>
        <v>200</v>
      </c>
      <c r="BG151" s="22"/>
      <c r="BH151" s="360">
        <f>SUM(BH5:BH22)+2*SUM(BH24:BH33)</f>
        <v>0</v>
      </c>
      <c r="BI151" s="326">
        <f>IF(BH151="","",IF($AW$4=0,BH151,0))</f>
        <v>0</v>
      </c>
      <c r="BJ151" s="95">
        <f>VLOOKUP(BD151,CENY!$B$11:$M$2025,12,FALSE)</f>
        <v>0.89337999999999995</v>
      </c>
      <c r="BK151" s="95">
        <f t="shared" si="10"/>
        <v>0</v>
      </c>
    </row>
    <row r="152" spans="47:63">
      <c r="BD152" s="319">
        <f>OBJ!B364</f>
        <v>9279197</v>
      </c>
      <c r="BE152" s="21" t="str">
        <f>VLOOKUP(BD152,CENY!$B$11:$G$1054,2,FALSE)</f>
        <v>Skrutka s polgul.hlavou M3,5x12mm</v>
      </c>
      <c r="BF152" s="22">
        <f>VLOOKUP(BD152,CENY!$B$11:$G$1054,3,FALSE)</f>
        <v>1000</v>
      </c>
      <c r="BG152" s="22"/>
      <c r="BH152" s="68">
        <f>2*BH37+4*BH38</f>
        <v>0</v>
      </c>
      <c r="BI152" s="326">
        <f>IF(BH152="","",IF($AW$4=0,BH152,0))</f>
        <v>0</v>
      </c>
      <c r="BJ152" s="95">
        <f>VLOOKUP(BD152,CENY!$B$11:$M$2025,12,FALSE)</f>
        <v>0</v>
      </c>
      <c r="BK152" s="95">
        <f t="shared" si="10"/>
        <v>0</v>
      </c>
    </row>
    <row r="153" spans="47:63">
      <c r="AW153" s="376"/>
      <c r="AX153" s="377"/>
      <c r="AY153" s="379" t="s">
        <v>261</v>
      </c>
      <c r="AZ153" s="380" t="s">
        <v>262</v>
      </c>
      <c r="BA153" s="377"/>
      <c r="BB153" s="378"/>
      <c r="BD153" s="319">
        <f>OBJ!B365</f>
        <v>9137114</v>
      </c>
      <c r="BE153" s="21" t="str">
        <f>VLOOKUP(BD153,CENY!$B$11:$G$1054,2,FALSE)</f>
        <v>EURO-skrutka  6,0x14mm / niklovaná</v>
      </c>
      <c r="BF153" s="22">
        <f>VLOOKUP(BD153,CENY!$B$11:$G$1054,3,FALSE)</f>
        <v>200</v>
      </c>
      <c r="BG153" s="22"/>
      <c r="BH153" s="23">
        <f>AY146</f>
        <v>0</v>
      </c>
      <c r="BI153" s="326">
        <f>IF(BH153="","",IF($AW$4=0,BH153,0))</f>
        <v>0</v>
      </c>
      <c r="BJ153" s="95">
        <f>VLOOKUP(BD153,CENY!$B$11:$M$2025,12,FALSE)</f>
        <v>1.8839300000000001</v>
      </c>
      <c r="BK153" s="95">
        <f t="shared" si="10"/>
        <v>0</v>
      </c>
    </row>
    <row r="154" spans="47:63">
      <c r="AW154" s="376">
        <v>350</v>
      </c>
      <c r="AX154" s="377"/>
      <c r="AY154" s="378">
        <v>1</v>
      </c>
      <c r="AZ154" s="378">
        <v>2</v>
      </c>
      <c r="BA154" s="377"/>
      <c r="BB154" s="378"/>
      <c r="BD154" s="319"/>
      <c r="BE154" s="21"/>
      <c r="BF154" s="22"/>
      <c r="BG154" s="22"/>
      <c r="BH154" s="23"/>
      <c r="BI154" s="326"/>
      <c r="BJ154" s="95"/>
      <c r="BK154" s="95"/>
    </row>
    <row r="155" spans="47:63">
      <c r="AW155" s="376">
        <v>700</v>
      </c>
      <c r="AX155" s="377"/>
      <c r="AY155" s="378">
        <v>2</v>
      </c>
      <c r="AZ155" s="378">
        <v>2</v>
      </c>
      <c r="BA155" s="377"/>
      <c r="BB155" s="378"/>
      <c r="BD155" s="374">
        <f>OBJ!B367</f>
        <v>9099540</v>
      </c>
      <c r="BE155" s="375" t="str">
        <f>VLOOKUP(BD155,CENY!$B$11:$G$1054,2,FALSE)</f>
        <v>SENSYS 8657i 165st. B12,5/TH52</v>
      </c>
      <c r="BF155" s="22">
        <f>VLOOKUP(BD155,CENY!$B$11:$G$1054,3,FALSE)</f>
        <v>50</v>
      </c>
      <c r="BG155" s="22"/>
      <c r="BH155" s="23">
        <f>AY107</f>
        <v>0</v>
      </c>
      <c r="BI155" s="326">
        <f t="shared" ref="BI155:BI159" si="15">IF(BH155="","",IF($AW$4=0,BH155,0))</f>
        <v>0</v>
      </c>
      <c r="BJ155" s="95">
        <f>VLOOKUP(BD155,CENY!$B$11:$M$2025,12,FALSE)</f>
        <v>141.95956000000001</v>
      </c>
      <c r="BK155" s="95">
        <f t="shared" ref="BK155:BK159" si="16">IF(BJ155="","",BJ155*BH155)</f>
        <v>0</v>
      </c>
    </row>
    <row r="156" spans="47:63">
      <c r="AW156" s="376">
        <v>1050</v>
      </c>
      <c r="AX156" s="377"/>
      <c r="AY156" s="378">
        <v>3</v>
      </c>
      <c r="AZ156" s="378">
        <v>3</v>
      </c>
      <c r="BA156" s="377"/>
      <c r="BB156" s="378"/>
      <c r="BD156" s="374">
        <f>OBJ!B368</f>
        <v>9099600</v>
      </c>
      <c r="BE156" s="375" t="str">
        <f>VLOOKUP(BD156,CENY!$B$11:$G$1054,2,FALSE)</f>
        <v>SENSYS 8657 165st. B12,5/TH52 (bez SiSy)</v>
      </c>
      <c r="BF156" s="22">
        <f>VLOOKUP(BD156,CENY!$B$11:$G$1054,3,FALSE)</f>
        <v>50</v>
      </c>
      <c r="BG156" s="22"/>
      <c r="BH156" s="68"/>
      <c r="BI156" s="326" t="str">
        <f t="shared" si="15"/>
        <v/>
      </c>
      <c r="BJ156" s="95">
        <f>VLOOKUP(BD156,CENY!$B$11:$M$2025,12,FALSE)</f>
        <v>129.61077</v>
      </c>
      <c r="BK156" s="95">
        <f t="shared" si="16"/>
        <v>0</v>
      </c>
    </row>
    <row r="157" spans="47:63">
      <c r="AW157" s="376">
        <v>1400</v>
      </c>
      <c r="AX157" s="377"/>
      <c r="AY157" s="378">
        <v>4</v>
      </c>
      <c r="AZ157" s="378">
        <v>3</v>
      </c>
      <c r="BA157" s="377"/>
      <c r="BB157" s="378"/>
      <c r="BD157" s="374">
        <f>OBJ!B369</f>
        <v>9099660</v>
      </c>
      <c r="BE157" s="375" t="str">
        <f>VLOOKUP(BD157,CENY!$B$11:$G$1054,2,FALSE)</f>
        <v>SENSYS 8687 165st. B12,5/TH52 (pre P2O)</v>
      </c>
      <c r="BF157" s="22">
        <f>VLOOKUP(BD157,CENY!$B$11:$G$1054,3,FALSE)</f>
        <v>50</v>
      </c>
      <c r="BG157" s="22"/>
      <c r="BH157" s="68"/>
      <c r="BI157" s="326" t="str">
        <f t="shared" si="15"/>
        <v/>
      </c>
      <c r="BJ157" s="95">
        <f>VLOOKUP(BD157,CENY!$B$11:$M$2025,12,FALSE)</f>
        <v>134.40997999999999</v>
      </c>
      <c r="BK157" s="95">
        <f t="shared" si="16"/>
        <v>0</v>
      </c>
    </row>
    <row r="158" spans="47:63">
      <c r="AW158" s="376">
        <v>1750</v>
      </c>
      <c r="AX158" s="377"/>
      <c r="AY158" s="378">
        <v>5</v>
      </c>
      <c r="AZ158" s="378">
        <v>4</v>
      </c>
      <c r="BA158" s="377"/>
      <c r="BB158" s="378"/>
      <c r="BD158" s="374">
        <f>OBJ!B370</f>
        <v>9071576</v>
      </c>
      <c r="BE158" s="375" t="str">
        <f>VLOOKUP(BD158,CENY!$B$11:$G$1054,2,FALSE)</f>
        <v>Podložka SENSYS k naskrut./D=1,5 mm</v>
      </c>
      <c r="BF158" s="22">
        <f>VLOOKUP(BD158,CENY!$B$11:$G$1054,3,FALSE)</f>
        <v>200</v>
      </c>
      <c r="BG158" s="22"/>
      <c r="BH158" s="23">
        <f>AY110</f>
        <v>0</v>
      </c>
      <c r="BI158" s="326">
        <f t="shared" si="15"/>
        <v>0</v>
      </c>
      <c r="BJ158" s="95">
        <f>VLOOKUP(BD158,CENY!$B$11:$M$2025,12,FALSE)</f>
        <v>8.1449099999999994</v>
      </c>
      <c r="BK158" s="95">
        <f t="shared" si="16"/>
        <v>0</v>
      </c>
    </row>
    <row r="159" spans="47:63">
      <c r="AW159" s="376">
        <v>2100</v>
      </c>
      <c r="AX159" s="377"/>
      <c r="AY159" s="378">
        <v>6</v>
      </c>
      <c r="AZ159" s="378">
        <v>4</v>
      </c>
      <c r="BA159" s="377"/>
      <c r="BB159" s="378"/>
      <c r="BD159" s="374">
        <f>OBJ!B371</f>
        <v>9071671</v>
      </c>
      <c r="BE159" s="375" t="str">
        <f>VLOOKUP(BD159,CENY!$B$11:$G$1054,2,FALSE)</f>
        <v>Podlož.SENSYS s predm.skr.D=1,5(exc.)</v>
      </c>
      <c r="BF159" s="22">
        <f>VLOOKUP(BD159,CENY!$B$11:$G$1054,3,FALSE)</f>
        <v>200</v>
      </c>
      <c r="BG159" s="22"/>
      <c r="BH159" s="68"/>
      <c r="BI159" s="326" t="str">
        <f t="shared" si="15"/>
        <v/>
      </c>
      <c r="BJ159" s="95">
        <f>VLOOKUP(BD159,CENY!$B$11:$M$2025,12,FALSE)</f>
        <v>17.145990000000001</v>
      </c>
      <c r="BK159" s="95">
        <f t="shared" si="16"/>
        <v>0</v>
      </c>
    </row>
    <row r="160" spans="47:63">
      <c r="AW160" s="376">
        <v>2450</v>
      </c>
      <c r="AX160" s="377"/>
      <c r="AY160" s="378">
        <v>7</v>
      </c>
      <c r="AZ160" s="378">
        <v>5</v>
      </c>
      <c r="BA160" s="377"/>
      <c r="BB160" s="378"/>
    </row>
    <row r="161" spans="49:54">
      <c r="AW161" s="376">
        <v>2800</v>
      </c>
      <c r="AX161" s="377"/>
      <c r="AY161" s="378">
        <v>8</v>
      </c>
      <c r="AZ161" s="378">
        <v>5</v>
      </c>
      <c r="BA161" s="377"/>
      <c r="BB161" s="378"/>
    </row>
  </sheetData>
  <sheetProtection algorithmName="SHA-512" hashValue="OvRhC48skNmpKCodqdi1Zu8WdnQfHB38+DZbiVRE6CEbjyqViKRGxiAXUJh+bH9O/ACvSBj0vupGlh5j7lKKbQ==" saltValue="cugHkA0TJILZsRAV5Htzyg==" spinCount="100000" sheet="1" objects="1" scenarios="1"/>
  <mergeCells count="189">
    <mergeCell ref="AW99:AY99"/>
    <mergeCell ref="AW100:AY100"/>
    <mergeCell ref="AW101:AY101"/>
    <mergeCell ref="AW102:AY102"/>
    <mergeCell ref="AG86:AH86"/>
    <mergeCell ref="AI86:AJ86"/>
    <mergeCell ref="AW95:AY95"/>
    <mergeCell ref="AW96:AY96"/>
    <mergeCell ref="AW97:AY97"/>
    <mergeCell ref="AW98:AY98"/>
    <mergeCell ref="O86:P86"/>
    <mergeCell ref="Q86:R86"/>
    <mergeCell ref="S86:T86"/>
    <mergeCell ref="U86:V86"/>
    <mergeCell ref="W86:X86"/>
    <mergeCell ref="Y86:Z86"/>
    <mergeCell ref="AA86:AB86"/>
    <mergeCell ref="AC86:AD86"/>
    <mergeCell ref="AE86:AF86"/>
    <mergeCell ref="AA84:AB84"/>
    <mergeCell ref="AC84:AD84"/>
    <mergeCell ref="AE84:AF84"/>
    <mergeCell ref="AG84:AH84"/>
    <mergeCell ref="AI84:AJ84"/>
    <mergeCell ref="M85:N85"/>
    <mergeCell ref="O85:P85"/>
    <mergeCell ref="Q85:R85"/>
    <mergeCell ref="S85:T85"/>
    <mergeCell ref="U85:V85"/>
    <mergeCell ref="O84:P84"/>
    <mergeCell ref="Q84:R84"/>
    <mergeCell ref="S84:T84"/>
    <mergeCell ref="U84:V84"/>
    <mergeCell ref="W84:X84"/>
    <mergeCell ref="Y84:Z84"/>
    <mergeCell ref="AI85:AJ85"/>
    <mergeCell ref="W85:X85"/>
    <mergeCell ref="Y85:Z85"/>
    <mergeCell ref="AA85:AB85"/>
    <mergeCell ref="AC85:AD85"/>
    <mergeCell ref="AE85:AF85"/>
    <mergeCell ref="AG85:AH85"/>
    <mergeCell ref="AC82:AD82"/>
    <mergeCell ref="AE82:AF82"/>
    <mergeCell ref="AG82:AH82"/>
    <mergeCell ref="AI82:AJ82"/>
    <mergeCell ref="AK82:AL82"/>
    <mergeCell ref="O83:AJ83"/>
    <mergeCell ref="AE81:AF81"/>
    <mergeCell ref="AG81:AH81"/>
    <mergeCell ref="AI81:AJ81"/>
    <mergeCell ref="O82:P82"/>
    <mergeCell ref="Q82:R82"/>
    <mergeCell ref="S82:T82"/>
    <mergeCell ref="U82:V82"/>
    <mergeCell ref="W82:X82"/>
    <mergeCell ref="Y82:Z82"/>
    <mergeCell ref="AA82:AB82"/>
    <mergeCell ref="AC80:AD80"/>
    <mergeCell ref="AG80:AH80"/>
    <mergeCell ref="AI80:AJ80"/>
    <mergeCell ref="O81:P81"/>
    <mergeCell ref="Q81:R81"/>
    <mergeCell ref="S81:T81"/>
    <mergeCell ref="U81:V81"/>
    <mergeCell ref="W81:X81"/>
    <mergeCell ref="Y81:Z81"/>
    <mergeCell ref="AA81:AB81"/>
    <mergeCell ref="AC81:AD81"/>
    <mergeCell ref="AI67:AM67"/>
    <mergeCell ref="AO67:AR67"/>
    <mergeCell ref="O79:P79"/>
    <mergeCell ref="Q79:R79"/>
    <mergeCell ref="S79:T79"/>
    <mergeCell ref="U79:V79"/>
    <mergeCell ref="W79:X79"/>
    <mergeCell ref="Y79:Z79"/>
    <mergeCell ref="AA79:AB79"/>
    <mergeCell ref="AC79:AD79"/>
    <mergeCell ref="AG79:AH79"/>
    <mergeCell ref="AI79:AJ79"/>
    <mergeCell ref="A66:A105"/>
    <mergeCell ref="B67:E67"/>
    <mergeCell ref="G67:K67"/>
    <mergeCell ref="O67:S67"/>
    <mergeCell ref="U67:Y67"/>
    <mergeCell ref="AA67:AE67"/>
    <mergeCell ref="AE79:AF79"/>
    <mergeCell ref="AE80:AF80"/>
    <mergeCell ref="B28:G28"/>
    <mergeCell ref="H28:L28"/>
    <mergeCell ref="M28:N28"/>
    <mergeCell ref="O28:P28"/>
    <mergeCell ref="Q28:R28"/>
    <mergeCell ref="S28:T28"/>
    <mergeCell ref="U28:V28"/>
    <mergeCell ref="W28:X28"/>
    <mergeCell ref="Y28:Z28"/>
    <mergeCell ref="O80:P80"/>
    <mergeCell ref="Q80:R80"/>
    <mergeCell ref="S80:T80"/>
    <mergeCell ref="U80:V80"/>
    <mergeCell ref="W80:X80"/>
    <mergeCell ref="Y80:Z80"/>
    <mergeCell ref="AA80:AB80"/>
    <mergeCell ref="B27:G27"/>
    <mergeCell ref="H27:L27"/>
    <mergeCell ref="M27:N27"/>
    <mergeCell ref="O27:P27"/>
    <mergeCell ref="Q27:R27"/>
    <mergeCell ref="S27:T27"/>
    <mergeCell ref="AA22:AB22"/>
    <mergeCell ref="AC22:AD22"/>
    <mergeCell ref="AA28:AB28"/>
    <mergeCell ref="AC28:AD28"/>
    <mergeCell ref="AE22:AF22"/>
    <mergeCell ref="AQ24:AR24"/>
    <mergeCell ref="O26:P26"/>
    <mergeCell ref="Q26:R26"/>
    <mergeCell ref="S26:T26"/>
    <mergeCell ref="U26:V26"/>
    <mergeCell ref="W26:X26"/>
    <mergeCell ref="Y26:Z26"/>
    <mergeCell ref="B22:G22"/>
    <mergeCell ref="H22:L22"/>
    <mergeCell ref="M22:N22"/>
    <mergeCell ref="O22:P22"/>
    <mergeCell ref="Q22:R22"/>
    <mergeCell ref="S22:T22"/>
    <mergeCell ref="U22:V22"/>
    <mergeCell ref="W22:X22"/>
    <mergeCell ref="Y22:Z22"/>
    <mergeCell ref="AA26:AB26"/>
    <mergeCell ref="AC26:AD26"/>
    <mergeCell ref="U20:V20"/>
    <mergeCell ref="W20:X20"/>
    <mergeCell ref="Y20:Z20"/>
    <mergeCell ref="AA20:AB20"/>
    <mergeCell ref="AC20:AD20"/>
    <mergeCell ref="AE20:AF20"/>
    <mergeCell ref="B20:G20"/>
    <mergeCell ref="H20:L20"/>
    <mergeCell ref="M20:N20"/>
    <mergeCell ref="O20:P20"/>
    <mergeCell ref="Q20:R20"/>
    <mergeCell ref="S20:T20"/>
    <mergeCell ref="AQ18:AR18"/>
    <mergeCell ref="B19:G19"/>
    <mergeCell ref="H19:L19"/>
    <mergeCell ref="M19:N19"/>
    <mergeCell ref="O19:P19"/>
    <mergeCell ref="Q19:R19"/>
    <mergeCell ref="S19:T19"/>
    <mergeCell ref="O17:AF17"/>
    <mergeCell ref="O18:P18"/>
    <mergeCell ref="Q18:R18"/>
    <mergeCell ref="S18:T18"/>
    <mergeCell ref="U18:V18"/>
    <mergeCell ref="W18:X18"/>
    <mergeCell ref="Y18:Z18"/>
    <mergeCell ref="AA18:AB18"/>
    <mergeCell ref="AC18:AD18"/>
    <mergeCell ref="AE18:AF18"/>
    <mergeCell ref="B12:E12"/>
    <mergeCell ref="F12:I12"/>
    <mergeCell ref="J12:K12"/>
    <mergeCell ref="B13:E13"/>
    <mergeCell ref="F13:I13"/>
    <mergeCell ref="J13:K13"/>
    <mergeCell ref="B9:E9"/>
    <mergeCell ref="F9:K9"/>
    <mergeCell ref="AK9:AP10"/>
    <mergeCell ref="B10:E10"/>
    <mergeCell ref="F10:K10"/>
    <mergeCell ref="B11:E11"/>
    <mergeCell ref="F11:K11"/>
    <mergeCell ref="AO2:AR2"/>
    <mergeCell ref="B6:E6"/>
    <mergeCell ref="F6:K6"/>
    <mergeCell ref="B7:E7"/>
    <mergeCell ref="F7:K7"/>
    <mergeCell ref="B8:E8"/>
    <mergeCell ref="F8:K8"/>
    <mergeCell ref="B2:E2"/>
    <mergeCell ref="G2:K2"/>
    <mergeCell ref="O2:S2"/>
    <mergeCell ref="U2:Y2"/>
    <mergeCell ref="AA2:AE2"/>
    <mergeCell ref="AI2:AM2"/>
  </mergeCells>
  <conditionalFormatting sqref="AZ94:AZ104 AZ147:AZ150 BI5:BI21 AZ20:AZ84 AZ86:AZ89 BI39:BI141 BH25:BI34 BH40:BH98 AY5:AZ19 AY20:AY48 BH13:BH24 BH142:BI144">
    <cfRule type="cellIs" dxfId="178" priority="66" stopIfTrue="1" operator="equal">
      <formula>0</formula>
    </cfRule>
  </conditionalFormatting>
  <conditionalFormatting sqref="AY59 AY72 AY49 AY55">
    <cfRule type="cellIs" dxfId="177" priority="64" stopIfTrue="1" operator="equal">
      <formula>0</formula>
    </cfRule>
  </conditionalFormatting>
  <conditionalFormatting sqref="O17:AF17 W20:AD20 W22:AF22 W28:AD28">
    <cfRule type="expression" dxfId="176" priority="65" stopIfTrue="1">
      <formula>$AW$4=0</formula>
    </cfRule>
  </conditionalFormatting>
  <conditionalFormatting sqref="AY83 AY86 AY88:AY89">
    <cfRule type="cellIs" dxfId="175" priority="63" stopIfTrue="1" operator="equal">
      <formula>0</formula>
    </cfRule>
  </conditionalFormatting>
  <conditionalFormatting sqref="AY103:AY106">
    <cfRule type="cellIs" dxfId="174" priority="62" stopIfTrue="1" operator="equal">
      <formula>0</formula>
    </cfRule>
  </conditionalFormatting>
  <conditionalFormatting sqref="BH39">
    <cfRule type="cellIs" dxfId="173" priority="61" stopIfTrue="1" operator="equal">
      <formula>0</formula>
    </cfRule>
  </conditionalFormatting>
  <conditionalFormatting sqref="AY64:AY68">
    <cfRule type="cellIs" dxfId="172" priority="60" stopIfTrue="1" operator="equal">
      <formula>0</formula>
    </cfRule>
  </conditionalFormatting>
  <conditionalFormatting sqref="AY147:AY150 AY113:AY141">
    <cfRule type="cellIs" dxfId="171" priority="54" stopIfTrue="1" operator="equal">
      <formula>0</formula>
    </cfRule>
  </conditionalFormatting>
  <conditionalFormatting sqref="AY81">
    <cfRule type="cellIs" dxfId="170" priority="59" stopIfTrue="1" operator="equal">
      <formula>0</formula>
    </cfRule>
  </conditionalFormatting>
  <conditionalFormatting sqref="AY84">
    <cfRule type="cellIs" dxfId="169" priority="58" stopIfTrue="1" operator="equal">
      <formula>0</formula>
    </cfRule>
  </conditionalFormatting>
  <conditionalFormatting sqref="AY94">
    <cfRule type="cellIs" dxfId="168" priority="57" stopIfTrue="1" operator="equal">
      <formula>0</formula>
    </cfRule>
  </conditionalFormatting>
  <conditionalFormatting sqref="BH115 BH119">
    <cfRule type="cellIs" dxfId="167" priority="56" stopIfTrue="1" operator="equal">
      <formula>0</formula>
    </cfRule>
  </conditionalFormatting>
  <conditionalFormatting sqref="BH136 BH140:BH141 BH148 BH154 BH138">
    <cfRule type="cellIs" dxfId="166" priority="55" stopIfTrue="1" operator="equal">
      <formula>0</formula>
    </cfRule>
  </conditionalFormatting>
  <conditionalFormatting sqref="BH105:BH114">
    <cfRule type="cellIs" dxfId="165" priority="53" stopIfTrue="1" operator="equal">
      <formula>0</formula>
    </cfRule>
  </conditionalFormatting>
  <conditionalFormatting sqref="BH139">
    <cfRule type="cellIs" dxfId="164" priority="51" stopIfTrue="1" operator="equal">
      <formula>0</formula>
    </cfRule>
  </conditionalFormatting>
  <conditionalFormatting sqref="AY87">
    <cfRule type="cellIs" dxfId="163" priority="52" stopIfTrue="1" operator="equal">
      <formula>0</formula>
    </cfRule>
  </conditionalFormatting>
  <conditionalFormatting sqref="F13:K13">
    <cfRule type="expression" dxfId="162" priority="50" stopIfTrue="1">
      <formula>$AW$4=1</formula>
    </cfRule>
  </conditionalFormatting>
  <conditionalFormatting sqref="BI148 BI154">
    <cfRule type="cellIs" dxfId="161" priority="49" stopIfTrue="1" operator="equal">
      <formula>0</formula>
    </cfRule>
  </conditionalFormatting>
  <conditionalFormatting sqref="AZ90:AZ91">
    <cfRule type="cellIs" dxfId="160" priority="48" stopIfTrue="1" operator="equal">
      <formula>0</formula>
    </cfRule>
  </conditionalFormatting>
  <conditionalFormatting sqref="AY90:AY91">
    <cfRule type="cellIs" dxfId="159" priority="47" stopIfTrue="1" operator="equal">
      <formula>0</formula>
    </cfRule>
  </conditionalFormatting>
  <conditionalFormatting sqref="BH145:BH146">
    <cfRule type="cellIs" dxfId="158" priority="46" stopIfTrue="1" operator="equal">
      <formula>0</formula>
    </cfRule>
  </conditionalFormatting>
  <conditionalFormatting sqref="BI145:BI146">
    <cfRule type="cellIs" dxfId="157" priority="45" stopIfTrue="1" operator="equal">
      <formula>0</formula>
    </cfRule>
  </conditionalFormatting>
  <conditionalFormatting sqref="AR88">
    <cfRule type="expression" dxfId="156" priority="44" stopIfTrue="1">
      <formula>$AU$96=AU98</formula>
    </cfRule>
  </conditionalFormatting>
  <conditionalFormatting sqref="AZ142:AZ146">
    <cfRule type="cellIs" dxfId="155" priority="43" stopIfTrue="1" operator="equal">
      <formula>0</formula>
    </cfRule>
  </conditionalFormatting>
  <conditionalFormatting sqref="AY142:AY146">
    <cfRule type="cellIs" dxfId="154" priority="42" stopIfTrue="1" operator="equal">
      <formula>0</formula>
    </cfRule>
  </conditionalFormatting>
  <conditionalFormatting sqref="BH149 BH152:BH153">
    <cfRule type="cellIs" dxfId="153" priority="41" stopIfTrue="1" operator="equal">
      <formula>0</formula>
    </cfRule>
  </conditionalFormatting>
  <conditionalFormatting sqref="BI149:BI153">
    <cfRule type="cellIs" dxfId="152" priority="40" stopIfTrue="1" operator="equal">
      <formula>0</formula>
    </cfRule>
  </conditionalFormatting>
  <conditionalFormatting sqref="BH150:BH151">
    <cfRule type="cellIs" dxfId="151" priority="39" stopIfTrue="1" operator="equal">
      <formula>0</formula>
    </cfRule>
  </conditionalFormatting>
  <conditionalFormatting sqref="AY50:AY54">
    <cfRule type="cellIs" dxfId="150" priority="38" stopIfTrue="1" operator="equal">
      <formula>0</formula>
    </cfRule>
  </conditionalFormatting>
  <conditionalFormatting sqref="AY56:AY58">
    <cfRule type="cellIs" dxfId="149" priority="37" stopIfTrue="1" operator="equal">
      <formula>0</formula>
    </cfRule>
  </conditionalFormatting>
  <conditionalFormatting sqref="AY60:AY62">
    <cfRule type="cellIs" dxfId="148" priority="36" stopIfTrue="1" operator="equal">
      <formula>0</formula>
    </cfRule>
  </conditionalFormatting>
  <conditionalFormatting sqref="AY69:AY71">
    <cfRule type="cellIs" dxfId="147" priority="35" stopIfTrue="1" operator="equal">
      <formula>0</formula>
    </cfRule>
  </conditionalFormatting>
  <conditionalFormatting sqref="AY73:AY74">
    <cfRule type="cellIs" dxfId="146" priority="34" stopIfTrue="1" operator="equal">
      <formula>0</formula>
    </cfRule>
  </conditionalFormatting>
  <conditionalFormatting sqref="AY75">
    <cfRule type="cellIs" dxfId="145" priority="33" stopIfTrue="1" operator="equal">
      <formula>0</formula>
    </cfRule>
  </conditionalFormatting>
  <conditionalFormatting sqref="AY76:AY80">
    <cfRule type="cellIs" dxfId="144" priority="32" stopIfTrue="1" operator="equal">
      <formula>0</formula>
    </cfRule>
  </conditionalFormatting>
  <conditionalFormatting sqref="AY82">
    <cfRule type="cellIs" dxfId="143" priority="31" stopIfTrue="1" operator="equal">
      <formula>0</formula>
    </cfRule>
  </conditionalFormatting>
  <conditionalFormatting sqref="BH5:BH10">
    <cfRule type="cellIs" dxfId="142" priority="30" stopIfTrue="1" operator="equal">
      <formula>0</formula>
    </cfRule>
  </conditionalFormatting>
  <conditionalFormatting sqref="BH99:BH106">
    <cfRule type="cellIs" dxfId="141" priority="29" stopIfTrue="1" operator="equal">
      <formula>0</formula>
    </cfRule>
  </conditionalFormatting>
  <conditionalFormatting sqref="BH116:BH118">
    <cfRule type="cellIs" dxfId="140" priority="28" stopIfTrue="1" operator="equal">
      <formula>0</formula>
    </cfRule>
  </conditionalFormatting>
  <conditionalFormatting sqref="BH120:BH135">
    <cfRule type="cellIs" dxfId="139" priority="27" stopIfTrue="1" operator="equal">
      <formula>0</formula>
    </cfRule>
  </conditionalFormatting>
  <conditionalFormatting sqref="BH137">
    <cfRule type="cellIs" dxfId="138" priority="26" stopIfTrue="1" operator="equal">
      <formula>0</formula>
    </cfRule>
  </conditionalFormatting>
  <conditionalFormatting sqref="AZ85">
    <cfRule type="cellIs" dxfId="137" priority="25" stopIfTrue="1" operator="equal">
      <formula>0</formula>
    </cfRule>
  </conditionalFormatting>
  <conditionalFormatting sqref="AY85">
    <cfRule type="cellIs" dxfId="136" priority="24" stopIfTrue="1" operator="equal">
      <formula>0</formula>
    </cfRule>
  </conditionalFormatting>
  <conditionalFormatting sqref="BH37:BI38">
    <cfRule type="cellIs" dxfId="135" priority="23" stopIfTrue="1" operator="equal">
      <formula>0</formula>
    </cfRule>
  </conditionalFormatting>
  <conditionalFormatting sqref="BH35:BI36">
    <cfRule type="cellIs" dxfId="134" priority="22" stopIfTrue="1" operator="equal">
      <formula>0</formula>
    </cfRule>
  </conditionalFormatting>
  <conditionalFormatting sqref="AY63">
    <cfRule type="cellIs" dxfId="133" priority="21" stopIfTrue="1" operator="equal">
      <formula>0</formula>
    </cfRule>
  </conditionalFormatting>
  <conditionalFormatting sqref="BH11:BH12">
    <cfRule type="cellIs" dxfId="132" priority="20" stopIfTrue="1" operator="equal">
      <formula>0</formula>
    </cfRule>
  </conditionalFormatting>
  <conditionalFormatting sqref="AZ92:AZ93">
    <cfRule type="cellIs" dxfId="131" priority="19" stopIfTrue="1" operator="equal">
      <formula>0</formula>
    </cfRule>
  </conditionalFormatting>
  <conditionalFormatting sqref="AY92:AY93">
    <cfRule type="cellIs" dxfId="130" priority="18" stopIfTrue="1" operator="equal">
      <formula>0</formula>
    </cfRule>
  </conditionalFormatting>
  <conditionalFormatting sqref="BI22:BI24">
    <cfRule type="cellIs" dxfId="129" priority="17" stopIfTrue="1" operator="equal">
      <formula>0</formula>
    </cfRule>
  </conditionalFormatting>
  <conditionalFormatting sqref="BH147">
    <cfRule type="cellIs" dxfId="128" priority="16" stopIfTrue="1" operator="equal">
      <formula>0</formula>
    </cfRule>
  </conditionalFormatting>
  <conditionalFormatting sqref="BI147">
    <cfRule type="cellIs" dxfId="127" priority="15" stopIfTrue="1" operator="equal">
      <formula>0</formula>
    </cfRule>
  </conditionalFormatting>
  <conditionalFormatting sqref="AY113:AY114">
    <cfRule type="cellIs" dxfId="126" priority="13" stopIfTrue="1" operator="equal">
      <formula>0</formula>
    </cfRule>
  </conditionalFormatting>
  <conditionalFormatting sqref="AY107 AY110 AY112">
    <cfRule type="cellIs" dxfId="125" priority="12" stopIfTrue="1" operator="equal">
      <formula>0</formula>
    </cfRule>
  </conditionalFormatting>
  <conditionalFormatting sqref="BI155:BI159">
    <cfRule type="cellIs" dxfId="124" priority="11" stopIfTrue="1" operator="equal">
      <formula>0</formula>
    </cfRule>
  </conditionalFormatting>
  <conditionalFormatting sqref="BH155">
    <cfRule type="cellIs" dxfId="123" priority="10" stopIfTrue="1" operator="equal">
      <formula>0</formula>
    </cfRule>
  </conditionalFormatting>
  <conditionalFormatting sqref="AY108:AY109">
    <cfRule type="cellIs" dxfId="122" priority="9" stopIfTrue="1" operator="equal">
      <formula>0</formula>
    </cfRule>
  </conditionalFormatting>
  <conditionalFormatting sqref="AY111">
    <cfRule type="cellIs" dxfId="121" priority="8" stopIfTrue="1" operator="equal">
      <formula>0</formula>
    </cfRule>
  </conditionalFormatting>
  <conditionalFormatting sqref="AZ114:AZ141">
    <cfRule type="cellIs" dxfId="120" priority="3" stopIfTrue="1" operator="equal">
      <formula>0</formula>
    </cfRule>
  </conditionalFormatting>
  <conditionalFormatting sqref="BH156:BH157">
    <cfRule type="cellIs" dxfId="119" priority="6" stopIfTrue="1" operator="equal">
      <formula>0</formula>
    </cfRule>
  </conditionalFormatting>
  <conditionalFormatting sqref="BH159">
    <cfRule type="cellIs" dxfId="118" priority="5" stopIfTrue="1" operator="equal">
      <formula>0</formula>
    </cfRule>
  </conditionalFormatting>
  <conditionalFormatting sqref="BH158">
    <cfRule type="cellIs" dxfId="117" priority="4" stopIfTrue="1" operator="equal">
      <formula>0</formula>
    </cfRule>
  </conditionalFormatting>
  <conditionalFormatting sqref="AZ114:AZ141">
    <cfRule type="cellIs" dxfId="116" priority="2" stopIfTrue="1" operator="equal">
      <formula>0</formula>
    </cfRule>
  </conditionalFormatting>
  <conditionalFormatting sqref="AZ105:AZ113">
    <cfRule type="cellIs" dxfId="115" priority="1" stopIfTrue="1" operator="equal">
      <formula>0</formula>
    </cfRule>
  </conditionalFormatting>
  <hyperlinks>
    <hyperlink ref="M4" location="MENU!A1" display="MENU!A1" xr:uid="{00000000-0004-0000-1600-000000000000}"/>
    <hyperlink ref="M10" location="OBJ!A1" display="OBJ!A1" xr:uid="{00000000-0004-0000-1600-000001000000}"/>
    <hyperlink ref="M9" location="suhrn!A1" display="suhrn!A1" xr:uid="{00000000-0004-0000-1600-000002000000}"/>
    <hyperlink ref="O2:S2" location="MENU!A5" display="MENU!A5" xr:uid="{00000000-0004-0000-1600-000003000000}"/>
    <hyperlink ref="M69" location="MENU!A1" display="MENU!A1" xr:uid="{00000000-0004-0000-1600-000004000000}"/>
    <hyperlink ref="B67:E67" location="'potr-o101+187'!A1" display="'potr-o101+187'!A1" xr:uid="{00000000-0004-0000-1600-000005000000}"/>
    <hyperlink ref="AK9:AO10" location="'IT70(vn100)'!A66" display="'IT70(vn100)'!A66" xr:uid="{00000000-0004-0000-1600-000006000000}"/>
    <hyperlink ref="AK9:AP10" location="'potr-o101+187'!A66" display="'potr-o101+187'!A66" xr:uid="{00000000-0004-0000-1600-000007000000}"/>
  </hyperlinks>
  <printOptions horizontalCentered="1"/>
  <pageMargins left="0.19685039370078741" right="0.19685039370078741" top="0.19685039370078741" bottom="0.19685039370078741" header="0.31496062992125984" footer="0.31496062992125984"/>
  <pageSetup paperSize="9" orientation="landscape" r:id="rId1"/>
  <headerFooter>
    <oddHeader>&amp;R&amp;"Aptos"&amp;10&amp;K000000 Restricted&amp;1#_x000D_</oddHeader>
  </headerFooter>
  <ignoredErrors>
    <ignoredError sqref="BB107 BB110 AY110" evalError="1"/>
    <ignoredError sqref="AY142" formulaRange="1"/>
  </ignoredErrors>
  <drawing r:id="rId2"/>
  <legacyDrawing r:id="rId3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List62">
    <tabColor theme="1"/>
  </sheetPr>
  <dimension ref="A1:BK161"/>
  <sheetViews>
    <sheetView showGridLines="0" showRowColHeaders="0" zoomScale="95" zoomScaleNormal="95" workbookViewId="0"/>
  </sheetViews>
  <sheetFormatPr defaultColWidth="9" defaultRowHeight="13.8"/>
  <cols>
    <col min="1" max="1" width="3.59765625" style="86" customWidth="1"/>
    <col min="2" max="4" width="3.09765625" style="86" customWidth="1"/>
    <col min="5" max="5" width="7.59765625" style="86" customWidth="1"/>
    <col min="6" max="44" width="3.09765625" style="86" customWidth="1"/>
    <col min="45" max="45" width="3.59765625" style="86" customWidth="1"/>
    <col min="46" max="46" width="9" style="86" customWidth="1"/>
    <col min="47" max="47" width="9" style="86" hidden="1" customWidth="1"/>
    <col min="48" max="48" width="51.3984375" style="86" hidden="1" customWidth="1"/>
    <col min="49" max="49" width="4.3984375" style="86" hidden="1" customWidth="1"/>
    <col min="50" max="50" width="2" style="86" hidden="1" customWidth="1"/>
    <col min="51" max="52" width="4.59765625" style="86" hidden="1" customWidth="1"/>
    <col min="53" max="53" width="9" style="86" hidden="1" customWidth="1"/>
    <col min="54" max="54" width="9.09765625" style="86" hidden="1" customWidth="1"/>
    <col min="55" max="55" width="2.59765625" style="86" hidden="1" customWidth="1"/>
    <col min="56" max="56" width="9" style="86" hidden="1" customWidth="1"/>
    <col min="57" max="57" width="49.8984375" style="86" hidden="1" customWidth="1"/>
    <col min="58" max="58" width="4.3984375" style="86" hidden="1" customWidth="1"/>
    <col min="59" max="59" width="2" style="86" hidden="1" customWidth="1"/>
    <col min="60" max="61" width="4.59765625" style="86" hidden="1" customWidth="1"/>
    <col min="62" max="63" width="9" style="86" hidden="1" customWidth="1"/>
    <col min="64" max="75" width="9" style="86" customWidth="1"/>
    <col min="76" max="16384" width="9" style="86"/>
  </cols>
  <sheetData>
    <row r="1" spans="1:63" ht="12.9" customHeight="1" thickBot="1">
      <c r="AU1" s="140"/>
      <c r="AV1" s="279"/>
      <c r="AW1" s="279"/>
      <c r="AX1" s="140"/>
      <c r="AY1" s="212">
        <f>AQ18</f>
        <v>1</v>
      </c>
      <c r="AZ1" s="367" t="s">
        <v>593</v>
      </c>
      <c r="BA1" s="367"/>
      <c r="BB1" s="140"/>
      <c r="BC1" s="140"/>
      <c r="BD1" s="140"/>
      <c r="BE1" s="140"/>
      <c r="BF1" s="140"/>
      <c r="BG1" s="140"/>
      <c r="BH1" s="140"/>
      <c r="BI1" s="140"/>
      <c r="BJ1" s="140"/>
      <c r="BK1" s="140"/>
    </row>
    <row r="2" spans="1:63" ht="23.1" customHeight="1" thickBot="1">
      <c r="B2" s="475" t="str">
        <f>verze!E13</f>
        <v>&lt;&lt;  zpět</v>
      </c>
      <c r="C2" s="476"/>
      <c r="D2" s="476"/>
      <c r="E2" s="477"/>
      <c r="G2" s="513" t="str">
        <f>verze!E6</f>
        <v xml:space="preserve"> Úvod</v>
      </c>
      <c r="H2" s="514"/>
      <c r="I2" s="514"/>
      <c r="J2" s="514"/>
      <c r="K2" s="515"/>
      <c r="O2" s="500" t="str">
        <f>verze!E7</f>
        <v xml:space="preserve"> Výběr zásuvek</v>
      </c>
      <c r="P2" s="501"/>
      <c r="Q2" s="501"/>
      <c r="R2" s="501"/>
      <c r="S2" s="502"/>
      <c r="U2" s="513" t="str">
        <f>verze!E8</f>
        <v xml:space="preserve"> </v>
      </c>
      <c r="V2" s="514"/>
      <c r="W2" s="514"/>
      <c r="X2" s="514"/>
      <c r="Y2" s="515"/>
      <c r="AA2" s="513" t="str">
        <f>verze!E9</f>
        <v xml:space="preserve"> </v>
      </c>
      <c r="AB2" s="514"/>
      <c r="AC2" s="514"/>
      <c r="AD2" s="514"/>
      <c r="AE2" s="515"/>
      <c r="AI2" s="513" t="str">
        <f>verze!E10</f>
        <v xml:space="preserve"> Objednávka</v>
      </c>
      <c r="AJ2" s="514"/>
      <c r="AK2" s="514"/>
      <c r="AL2" s="514"/>
      <c r="AM2" s="515"/>
      <c r="AO2" s="475" t="str">
        <f>verze!E14</f>
        <v>vpřed  &gt;&gt;</v>
      </c>
      <c r="AP2" s="476"/>
      <c r="AQ2" s="476"/>
      <c r="AR2" s="477"/>
      <c r="AV2" s="143"/>
      <c r="AW2" s="143"/>
      <c r="AY2" s="212">
        <f>AQ21</f>
        <v>0</v>
      </c>
      <c r="AZ2" s="367" t="s">
        <v>591</v>
      </c>
      <c r="BA2" s="367"/>
    </row>
    <row r="3" spans="1:63" ht="12.9" customHeight="1">
      <c r="AV3" s="143"/>
      <c r="AW3" s="143"/>
      <c r="AY3" s="212">
        <f>AQ24</f>
        <v>2</v>
      </c>
      <c r="AZ3" s="367" t="s">
        <v>594</v>
      </c>
      <c r="BA3" s="367"/>
    </row>
    <row r="4" spans="1:63" ht="23.1" customHeight="1">
      <c r="A4" s="89"/>
      <c r="B4" s="93" t="str">
        <f>verze!E206&amp;" AVANTECH YOU  101 / 187 Inlay"</f>
        <v>Zásuvka AVANTECH YOU  101 / 187 Inlay</v>
      </c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U4" s="94" t="s">
        <v>33</v>
      </c>
      <c r="AW4" s="285">
        <f>IF(FORM!AU13=FORM!U18,1,0)</f>
        <v>1</v>
      </c>
      <c r="AY4" s="212">
        <f>AQ27</f>
        <v>0</v>
      </c>
      <c r="AZ4" s="367" t="s">
        <v>592</v>
      </c>
      <c r="BA4" s="367"/>
      <c r="BB4" s="322">
        <f>SUM(BB5:BB1007)</f>
        <v>0</v>
      </c>
      <c r="BD4" s="94" t="s">
        <v>34</v>
      </c>
      <c r="BK4" s="322">
        <f>SUM(BK5:BK1009)</f>
        <v>0</v>
      </c>
    </row>
    <row r="5" spans="1:63" ht="14.4" customHeight="1">
      <c r="AU5" s="319">
        <f>OBJ!B39</f>
        <v>9353335</v>
      </c>
      <c r="AV5" s="21" t="str">
        <f>VLOOKUP(AU5,CENY!$B$11:$G$1054,2,FALSE)</f>
        <v>AvanY-sólo oceľ.boky-NW 101/400mm/strieb.</v>
      </c>
      <c r="AW5" s="22">
        <f>VLOOKUP(AU5,CENY!$B$11:$G$1054,3,FALSE)</f>
        <v>1</v>
      </c>
      <c r="AX5" s="362">
        <v>4</v>
      </c>
      <c r="AY5" s="68"/>
      <c r="AZ5" s="326" t="str">
        <f>IF(AY5="","",IF($AW$4=1,AY5,0))</f>
        <v/>
      </c>
      <c r="BA5" s="95">
        <f>VLOOKUP(AU5,CENY!$B$11:$M$2025,12,FALSE)</f>
        <v>545.66444999999999</v>
      </c>
      <c r="BB5" s="95">
        <f t="shared" ref="BB5:BB74" si="0">IF(BA5="","",BA5*AY5)</f>
        <v>0</v>
      </c>
      <c r="BD5" s="319">
        <f>OBJ!B50</f>
        <v>9255008</v>
      </c>
      <c r="BE5" s="21" t="str">
        <f>VLOOKUP(BD5,CENY!$B$11:$G$1054,2,FALSE)</f>
        <v>AvanY-bok ľavý /v101/h270/ strieborná</v>
      </c>
      <c r="BF5" s="22">
        <f>VLOOKUP(BD5,CENY!$B$11:$G$1054,3,FALSE)</f>
        <v>20</v>
      </c>
      <c r="BG5" s="22"/>
      <c r="BH5" s="68"/>
      <c r="BI5" s="326" t="str">
        <f>IF(BH5="","",IF($AW$4=0,BH5,0))</f>
        <v/>
      </c>
      <c r="BJ5" s="95">
        <f>VLOOKUP(BD5,CENY!$B$11:$M$2025,12,FALSE)</f>
        <v>208.07782</v>
      </c>
      <c r="BK5" s="95">
        <f>IF(BJ5="","",BJ5*BH5)</f>
        <v>0</v>
      </c>
    </row>
    <row r="6" spans="1:63" ht="14.4" customHeight="1">
      <c r="B6" s="549" t="str">
        <f>" "&amp;verze!E90</f>
        <v xml:space="preserve"> bočnice:</v>
      </c>
      <c r="C6" s="549"/>
      <c r="D6" s="549"/>
      <c r="E6" s="549"/>
      <c r="F6" s="564" t="s">
        <v>598</v>
      </c>
      <c r="G6" s="564"/>
      <c r="H6" s="564"/>
      <c r="I6" s="564"/>
      <c r="J6" s="564"/>
      <c r="K6" s="564"/>
      <c r="AU6" s="319">
        <f>OBJ!B40</f>
        <v>9353336</v>
      </c>
      <c r="AV6" s="21" t="str">
        <f>VLOOKUP(AU6,CENY!$B$11:$G$1054,2,FALSE)</f>
        <v>AvanY-sólo oceľ.boky-NW 101/450mm/strieb.</v>
      </c>
      <c r="AW6" s="22">
        <f>VLOOKUP(AU6,CENY!$B$11:$G$1054,3,FALSE)</f>
        <v>1</v>
      </c>
      <c r="AX6" s="362">
        <v>4</v>
      </c>
      <c r="AY6" s="68"/>
      <c r="AZ6" s="326" t="str">
        <f t="shared" ref="AZ6:AZ75" si="1">IF(AY6="","",IF($AW$4=1,AY6,0))</f>
        <v/>
      </c>
      <c r="BA6" s="95">
        <f>VLOOKUP(AU6,CENY!$B$11:$M$2025,12,FALSE)</f>
        <v>550.21777999999995</v>
      </c>
      <c r="BB6" s="95">
        <f t="shared" si="0"/>
        <v>0</v>
      </c>
      <c r="BD6" s="319">
        <f>OBJ!B51</f>
        <v>9255009</v>
      </c>
      <c r="BE6" s="21" t="str">
        <f>VLOOKUP(BD6,CENY!$B$11:$G$1054,2,FALSE)</f>
        <v>AvanY-bok pravý /v101/h270/ strieborná</v>
      </c>
      <c r="BF6" s="22">
        <f>VLOOKUP(BD6,CENY!$B$11:$G$1054,3,FALSE)</f>
        <v>20</v>
      </c>
      <c r="BG6" s="22"/>
      <c r="BH6" s="68"/>
      <c r="BI6" s="326" t="str">
        <f t="shared" ref="BI6:BI83" si="2">IF(BH6="","",IF($AW$4=0,BH6,0))</f>
        <v/>
      </c>
      <c r="BJ6" s="95">
        <f>VLOOKUP(BD6,CENY!$B$11:$M$2025,12,FALSE)</f>
        <v>208.07782</v>
      </c>
      <c r="BK6" s="95">
        <f t="shared" ref="BK6:BK83" si="3">IF(BJ6="","",BJ6*BH6)</f>
        <v>0</v>
      </c>
    </row>
    <row r="7" spans="1:63" ht="14.4" customHeight="1">
      <c r="B7" s="549" t="str">
        <f>" "&amp;verze!E56</f>
        <v xml:space="preserve"> barva:</v>
      </c>
      <c r="C7" s="549"/>
      <c r="D7" s="549"/>
      <c r="E7" s="549"/>
      <c r="F7" s="564" t="str">
        <f>" "&amp;FORM!U8</f>
        <v xml:space="preserve"> stříbrná</v>
      </c>
      <c r="G7" s="564"/>
      <c r="H7" s="564"/>
      <c r="I7" s="564"/>
      <c r="J7" s="564"/>
      <c r="K7" s="564"/>
      <c r="AU7" s="319">
        <f>OBJ!B41</f>
        <v>9353337</v>
      </c>
      <c r="AV7" s="21" t="str">
        <f>VLOOKUP(AU7,CENY!$B$11:$G$1054,2,FALSE)</f>
        <v>AvanY-sólo oceľ.boky-NW 101/500mm/strieb.</v>
      </c>
      <c r="AW7" s="22">
        <f>VLOOKUP(AU7,CENY!$B$11:$G$1054,3,FALSE)</f>
        <v>1</v>
      </c>
      <c r="AX7" s="362">
        <v>6</v>
      </c>
      <c r="AY7" s="68"/>
      <c r="AZ7" s="326" t="str">
        <f t="shared" si="1"/>
        <v/>
      </c>
      <c r="BA7" s="95">
        <f>VLOOKUP(AU7,CENY!$B$11:$M$2025,12,FALSE)</f>
        <v>557.82863999999995</v>
      </c>
      <c r="BB7" s="95">
        <f t="shared" si="0"/>
        <v>0</v>
      </c>
      <c r="BD7" s="319">
        <f>OBJ!B52</f>
        <v>9255010</v>
      </c>
      <c r="BE7" s="21" t="str">
        <f>VLOOKUP(BD7,CENY!$B$11:$G$1054,2,FALSE)</f>
        <v>AvanY-bok ľavý /v101/h300/ strieborná</v>
      </c>
      <c r="BF7" s="22">
        <f>VLOOKUP(BD7,CENY!$B$11:$G$1054,3,FALSE)</f>
        <v>20</v>
      </c>
      <c r="BG7" s="22"/>
      <c r="BH7" s="68"/>
      <c r="BI7" s="326" t="str">
        <f t="shared" si="2"/>
        <v/>
      </c>
      <c r="BJ7" s="95">
        <f>VLOOKUP(BD7,CENY!$B$11:$M$2025,12,FALSE)</f>
        <v>210.40101000000001</v>
      </c>
      <c r="BK7" s="95">
        <f t="shared" si="3"/>
        <v>0</v>
      </c>
    </row>
    <row r="8" spans="1:63" ht="14.4" customHeight="1" thickBot="1">
      <c r="B8" s="549" t="str">
        <f>" "&amp;verze!E70</f>
        <v xml:space="preserve"> dekorativní profil:</v>
      </c>
      <c r="C8" s="549"/>
      <c r="D8" s="549"/>
      <c r="E8" s="549"/>
      <c r="F8" s="564" t="str">
        <f>" "&amp;FORM!AM18</f>
        <v xml:space="preserve"> v barvě bočnice</v>
      </c>
      <c r="G8" s="564"/>
      <c r="H8" s="564"/>
      <c r="I8" s="564"/>
      <c r="J8" s="564"/>
      <c r="K8" s="564"/>
      <c r="AU8" s="319">
        <f>OBJ!B42</f>
        <v>9353338</v>
      </c>
      <c r="AV8" s="21" t="str">
        <f>VLOOKUP(AU8,CENY!$B$11:$G$1054,2,FALSE)</f>
        <v>AvanY-sólo oceľ.boky-NW 101/550mm/strieb.</v>
      </c>
      <c r="AW8" s="22">
        <f>VLOOKUP(AU8,CENY!$B$11:$G$1054,3,FALSE)</f>
        <v>1</v>
      </c>
      <c r="AX8" s="362">
        <v>6</v>
      </c>
      <c r="AY8" s="68"/>
      <c r="AZ8" s="326" t="str">
        <f t="shared" si="1"/>
        <v/>
      </c>
      <c r="BA8" s="95">
        <f>VLOOKUP(AU8,CENY!$B$11:$M$2025,12,FALSE)</f>
        <v>565.42625999999996</v>
      </c>
      <c r="BB8" s="95">
        <f t="shared" si="0"/>
        <v>0</v>
      </c>
      <c r="BD8" s="319">
        <f>OBJ!B53</f>
        <v>9255011</v>
      </c>
      <c r="BE8" s="21" t="str">
        <f>VLOOKUP(BD8,CENY!$B$11:$G$1054,2,FALSE)</f>
        <v>AvanY-bok pravý /v101/h300/ strieborná</v>
      </c>
      <c r="BF8" s="22">
        <f>VLOOKUP(BD8,CENY!$B$11:$G$1054,3,FALSE)</f>
        <v>20</v>
      </c>
      <c r="BG8" s="22"/>
      <c r="BH8" s="68"/>
      <c r="BI8" s="326" t="str">
        <f t="shared" si="2"/>
        <v/>
      </c>
      <c r="BJ8" s="95">
        <f>VLOOKUP(BD8,CENY!$B$11:$M$2025,12,FALSE)</f>
        <v>210.40101000000001</v>
      </c>
      <c r="BK8" s="95">
        <f t="shared" si="3"/>
        <v>0</v>
      </c>
    </row>
    <row r="9" spans="1:63" ht="14.4" customHeight="1" thickTop="1">
      <c r="B9" s="550"/>
      <c r="C9" s="558"/>
      <c r="D9" s="558"/>
      <c r="E9" s="559"/>
      <c r="F9" s="560"/>
      <c r="G9" s="561"/>
      <c r="H9" s="561"/>
      <c r="I9" s="561"/>
      <c r="J9" s="561"/>
      <c r="K9" s="562"/>
      <c r="AK9" s="585" t="str">
        <f>verze!E160</f>
        <v>Je nutné natypovat šířky čel ?</v>
      </c>
      <c r="AL9" s="586"/>
      <c r="AM9" s="586"/>
      <c r="AN9" s="586"/>
      <c r="AO9" s="586"/>
      <c r="AP9" s="587"/>
      <c r="AU9" s="319">
        <f>OBJ!B43</f>
        <v>9353339</v>
      </c>
      <c r="AV9" s="21" t="str">
        <f>VLOOKUP(AU9,CENY!$B$11:$G$1054,2,FALSE)</f>
        <v>AvanY-sólo oceľ.boky-NW 101/600mm/strieb.</v>
      </c>
      <c r="AW9" s="22">
        <f>VLOOKUP(AU9,CENY!$B$11:$G$1054,3,FALSE)</f>
        <v>1</v>
      </c>
      <c r="AX9" s="362">
        <v>6</v>
      </c>
      <c r="AY9" s="23">
        <f>SUM(AY1:AY2)*(W20+W22+W28)</f>
        <v>0</v>
      </c>
      <c r="AZ9" s="326">
        <f t="shared" si="1"/>
        <v>0</v>
      </c>
      <c r="BA9" s="95">
        <f>VLOOKUP(AU9,CENY!$B$11:$M$2025,12,FALSE)</f>
        <v>557.79244000000006</v>
      </c>
      <c r="BB9" s="95">
        <f t="shared" si="0"/>
        <v>0</v>
      </c>
      <c r="BD9" s="319">
        <f>OBJ!B54</f>
        <v>9255012</v>
      </c>
      <c r="BE9" s="21" t="str">
        <f>VLOOKUP(BD9,CENY!$B$11:$G$1054,2,FALSE)</f>
        <v>AvanY-bok ľavý /v101/h350/ strieborná</v>
      </c>
      <c r="BF9" s="22">
        <f>VLOOKUP(BD9,CENY!$B$11:$G$1054,3,FALSE)</f>
        <v>20</v>
      </c>
      <c r="BG9" s="22"/>
      <c r="BH9" s="68"/>
      <c r="BI9" s="326" t="str">
        <f t="shared" si="2"/>
        <v/>
      </c>
      <c r="BJ9" s="95">
        <f>VLOOKUP(BD9,CENY!$B$11:$M$2025,12,FALSE)</f>
        <v>214.27737999999999</v>
      </c>
      <c r="BK9" s="95">
        <f t="shared" si="3"/>
        <v>0</v>
      </c>
    </row>
    <row r="10" spans="1:63" ht="14.4" customHeight="1">
      <c r="B10" s="549" t="str">
        <f>" "&amp;verze!E57</f>
        <v xml:space="preserve"> čelní kování:</v>
      </c>
      <c r="C10" s="549"/>
      <c r="D10" s="549"/>
      <c r="E10" s="549"/>
      <c r="F10" s="563" t="str">
        <f>" "&amp;FORM!AM8</f>
        <v xml:space="preserve"> na vruty</v>
      </c>
      <c r="G10" s="563"/>
      <c r="H10" s="563"/>
      <c r="I10" s="563"/>
      <c r="J10" s="563"/>
      <c r="K10" s="563"/>
      <c r="AK10" s="588"/>
      <c r="AL10" s="589"/>
      <c r="AM10" s="589"/>
      <c r="AN10" s="589"/>
      <c r="AO10" s="589"/>
      <c r="AP10" s="590"/>
      <c r="AU10" s="319">
        <f>OBJ!B44</f>
        <v>9353340</v>
      </c>
      <c r="AV10" s="21" t="str">
        <f>VLOOKUP(AU10,CENY!$B$11:$G$1054,2,FALSE)</f>
        <v>AvanY-sólo oceľ.boky-NW 101/650mm/strieb.</v>
      </c>
      <c r="AW10" s="22">
        <f>VLOOKUP(AU10,CENY!$B$11:$G$1054,3,FALSE)</f>
        <v>1</v>
      </c>
      <c r="AX10" s="362">
        <v>8</v>
      </c>
      <c r="AY10" s="23">
        <f>SUM(AY1:AY2)*(Y20+Y22+Y28)</f>
        <v>0</v>
      </c>
      <c r="AZ10" s="326">
        <f t="shared" si="1"/>
        <v>0</v>
      </c>
      <c r="BA10" s="95">
        <f>VLOOKUP(AU10,CENY!$B$11:$M$2025,12,FALSE)</f>
        <v>565.19020999999998</v>
      </c>
      <c r="BB10" s="95">
        <f t="shared" si="0"/>
        <v>0</v>
      </c>
      <c r="BD10" s="319">
        <f>OBJ!B55</f>
        <v>9255013</v>
      </c>
      <c r="BE10" s="21" t="str">
        <f>VLOOKUP(BD10,CENY!$B$11:$G$1054,2,FALSE)</f>
        <v>AvanY-bok pravý /v101/h350/ strieborná</v>
      </c>
      <c r="BF10" s="22">
        <f>VLOOKUP(BD10,CENY!$B$11:$G$1054,3,FALSE)</f>
        <v>20</v>
      </c>
      <c r="BG10" s="22"/>
      <c r="BH10" s="68"/>
      <c r="BI10" s="326" t="str">
        <f t="shared" si="2"/>
        <v/>
      </c>
      <c r="BJ10" s="95">
        <f>VLOOKUP(BD10,CENY!$B$11:$M$2025,12,FALSE)</f>
        <v>214.27737999999999</v>
      </c>
      <c r="BK10" s="95">
        <f t="shared" si="3"/>
        <v>0</v>
      </c>
    </row>
    <row r="11" spans="1:63" ht="14.4" customHeight="1">
      <c r="B11" s="549" t="str">
        <f>" "&amp;verze!E76</f>
        <v xml:space="preserve"> krytka:</v>
      </c>
      <c r="C11" s="549"/>
      <c r="D11" s="549"/>
      <c r="E11" s="549"/>
      <c r="F11" s="563" t="str">
        <f>" "&amp;FORM!AM21</f>
        <v xml:space="preserve"> žádná</v>
      </c>
      <c r="G11" s="563"/>
      <c r="H11" s="563"/>
      <c r="I11" s="563"/>
      <c r="J11" s="563"/>
      <c r="K11" s="563"/>
      <c r="AU11" s="319">
        <f>OBJ!B45</f>
        <v>9353341</v>
      </c>
      <c r="AV11" s="21" t="str">
        <f>VLOOKUP(AU11,CENY!$B$11:$G$1054,2,FALSE)</f>
        <v>AvanY-sólo oceľ.boky-NW 101/270mm/biela</v>
      </c>
      <c r="AW11" s="22">
        <f>VLOOKUP(AU11,CENY!$B$11:$G$1054,3,FALSE)</f>
        <v>1</v>
      </c>
      <c r="AX11" s="362">
        <v>8</v>
      </c>
      <c r="AY11" s="23">
        <f>SUM(AY1:AY2)*(AA20+AA22+AA28)</f>
        <v>0</v>
      </c>
      <c r="AZ11" s="326">
        <f t="shared" si="1"/>
        <v>0</v>
      </c>
      <c r="BA11" s="95">
        <f>VLOOKUP(AU11,CENY!$B$11:$M$2025,12,FALSE)</f>
        <v>588.23680999999999</v>
      </c>
      <c r="BB11" s="95">
        <f t="shared" si="0"/>
        <v>0</v>
      </c>
      <c r="BD11" s="319">
        <f>OBJ!B56</f>
        <v>9255014</v>
      </c>
      <c r="BE11" s="21" t="str">
        <f>VLOOKUP(BD11,CENY!$B$11:$G$1054,2,FALSE)</f>
        <v>AvanY-bok ľavý /v101/h400/ strieborná</v>
      </c>
      <c r="BF11" s="22">
        <f>VLOOKUP(BD11,CENY!$B$11:$G$1054,3,FALSE)</f>
        <v>20</v>
      </c>
      <c r="BG11" s="22"/>
      <c r="BH11" s="68"/>
      <c r="BI11" s="326" t="str">
        <f t="shared" si="2"/>
        <v/>
      </c>
      <c r="BJ11" s="95">
        <f>VLOOKUP(BD11,CENY!$B$11:$M$2025,12,FALSE)</f>
        <v>218.14608000000001</v>
      </c>
      <c r="BK11" s="95">
        <f t="shared" si="3"/>
        <v>0</v>
      </c>
    </row>
    <row r="12" spans="1:63" ht="14.4" customHeight="1" thickBot="1">
      <c r="B12" s="549"/>
      <c r="C12" s="549"/>
      <c r="D12" s="549"/>
      <c r="E12" s="550"/>
      <c r="F12" s="551"/>
      <c r="G12" s="552"/>
      <c r="H12" s="552"/>
      <c r="I12" s="552"/>
      <c r="J12" s="553"/>
      <c r="K12" s="554"/>
      <c r="AU12" s="319">
        <f>OBJ!B46</f>
        <v>9353342</v>
      </c>
      <c r="AV12" s="21" t="str">
        <f>VLOOKUP(AU12,CENY!$B$11:$G$1054,2,FALSE)</f>
        <v>AvanY-sólo oceľ.boky-NW 101/300mm/biela</v>
      </c>
      <c r="AW12" s="22">
        <f>VLOOKUP(AU12,CENY!$B$11:$G$1054,3,FALSE)</f>
        <v>1</v>
      </c>
      <c r="AX12" s="362">
        <v>8</v>
      </c>
      <c r="AY12" s="23">
        <f>SUM(AY1:AY2)*(AC20+AC22+AC28)</f>
        <v>0</v>
      </c>
      <c r="AZ12" s="326">
        <f t="shared" si="1"/>
        <v>0</v>
      </c>
      <c r="BA12" s="95">
        <f>VLOOKUP(AU12,CENY!$B$11:$M$2025,12,FALSE)</f>
        <v>600.62784999999997</v>
      </c>
      <c r="BB12" s="95">
        <f t="shared" si="0"/>
        <v>0</v>
      </c>
      <c r="BD12" s="319">
        <f>OBJ!B57</f>
        <v>9255015</v>
      </c>
      <c r="BE12" s="21" t="str">
        <f>VLOOKUP(BD12,CENY!$B$11:$G$1054,2,FALSE)</f>
        <v>AvanY-bok pravý /v101/h400/ strieborná</v>
      </c>
      <c r="BF12" s="22">
        <f>VLOOKUP(BD12,CENY!$B$11:$G$1054,3,FALSE)</f>
        <v>20</v>
      </c>
      <c r="BG12" s="22"/>
      <c r="BH12" s="68"/>
      <c r="BI12" s="326" t="str">
        <f t="shared" si="2"/>
        <v/>
      </c>
      <c r="BJ12" s="95">
        <f>VLOOKUP(BD12,CENY!$B$11:$M$2025,12,FALSE)</f>
        <v>218.14608000000001</v>
      </c>
      <c r="BK12" s="95">
        <f t="shared" si="3"/>
        <v>0</v>
      </c>
    </row>
    <row r="13" spans="1:63" ht="14.4" customHeight="1">
      <c r="B13" s="549" t="str">
        <f>" "&amp;verze!E92</f>
        <v xml:space="preserve"> cena kování:</v>
      </c>
      <c r="C13" s="549"/>
      <c r="D13" s="549"/>
      <c r="E13" s="550"/>
      <c r="F13" s="555">
        <f>IF(AW4=1,BB4,BK4)</f>
        <v>0</v>
      </c>
      <c r="G13" s="555"/>
      <c r="H13" s="555"/>
      <c r="I13" s="555"/>
      <c r="J13" s="556" t="str">
        <f>IF(verze!E1="CZK","CZK","EUR")</f>
        <v>CZK</v>
      </c>
      <c r="K13" s="557"/>
      <c r="AU13" s="319">
        <f>OBJ!B47</f>
        <v>9353343</v>
      </c>
      <c r="AV13" s="21" t="str">
        <f>VLOOKUP(AU13,CENY!$B$11:$G$1054,2,FALSE)</f>
        <v>AvanY-sólo oceľ.boky-NW 101/350mm/biela</v>
      </c>
      <c r="AW13" s="22">
        <f>VLOOKUP(AU13,CENY!$B$11:$G$1054,3,FALSE)</f>
        <v>1</v>
      </c>
      <c r="AX13" s="362">
        <v>10</v>
      </c>
      <c r="AY13" s="23">
        <f>SUM(AY1:AY2)*(AE22)</f>
        <v>0</v>
      </c>
      <c r="AZ13" s="326">
        <f t="shared" si="1"/>
        <v>0</v>
      </c>
      <c r="BA13" s="95">
        <f>VLOOKUP(AU13,CENY!$B$11:$M$2025,12,FALSE)</f>
        <v>618.65596000000005</v>
      </c>
      <c r="BB13" s="95">
        <f t="shared" si="0"/>
        <v>0</v>
      </c>
      <c r="BD13" s="319">
        <f>OBJ!B58</f>
        <v>9255016</v>
      </c>
      <c r="BE13" s="21" t="str">
        <f>VLOOKUP(BD13,CENY!$B$11:$G$1054,2,FALSE)</f>
        <v>AvanY-bok ľavý /v101/h450/ strieborná</v>
      </c>
      <c r="BF13" s="22">
        <f>VLOOKUP(BD13,CENY!$B$11:$G$1054,3,FALSE)</f>
        <v>20</v>
      </c>
      <c r="BG13" s="22"/>
      <c r="BH13" s="23">
        <f>AY9</f>
        <v>0</v>
      </c>
      <c r="BI13" s="326">
        <f t="shared" si="2"/>
        <v>0</v>
      </c>
      <c r="BJ13" s="95">
        <f>VLOOKUP(BD13,CENY!$B$11:$M$2025,12,FALSE)</f>
        <v>222.02244999999999</v>
      </c>
      <c r="BK13" s="95">
        <f t="shared" si="3"/>
        <v>0</v>
      </c>
    </row>
    <row r="14" spans="1:63" ht="14.4" customHeight="1">
      <c r="AU14" s="319"/>
      <c r="AV14" s="21"/>
      <c r="AW14" s="22"/>
      <c r="AX14" s="362"/>
      <c r="AY14" s="23"/>
      <c r="AZ14" s="326"/>
      <c r="BA14" s="95"/>
      <c r="BB14" s="95"/>
      <c r="BD14" s="319">
        <f>OBJ!B59</f>
        <v>9255017</v>
      </c>
      <c r="BE14" s="21" t="str">
        <f>VLOOKUP(BD14,CENY!$B$11:$G$1054,2,FALSE)</f>
        <v>AvanY-bok pravý /v101/h450/ strieborná</v>
      </c>
      <c r="BF14" s="22">
        <f>VLOOKUP(BD14,CENY!$B$11:$G$1054,3,FALSE)</f>
        <v>20</v>
      </c>
      <c r="BG14" s="22"/>
      <c r="BH14" s="23">
        <f>AY9</f>
        <v>0</v>
      </c>
      <c r="BI14" s="326">
        <f t="shared" si="2"/>
        <v>0</v>
      </c>
      <c r="BJ14" s="95">
        <f>VLOOKUP(BD14,CENY!$B$11:$M$2025,12,FALSE)</f>
        <v>222.02244999999999</v>
      </c>
      <c r="BK14" s="95">
        <f t="shared" si="3"/>
        <v>0</v>
      </c>
    </row>
    <row r="15" spans="1:63" ht="14.4" customHeight="1">
      <c r="AU15" s="319">
        <f>OBJ!B170</f>
        <v>9353285</v>
      </c>
      <c r="AV15" s="21" t="str">
        <f>VLOOKUP(AU15,CENY!$B$11:$G$1054,2,FALSE)</f>
        <v>AvanY-sólo boky Inlay-NW 187/450mm/strieb.</v>
      </c>
      <c r="AW15" s="22">
        <f>VLOOKUP(AU15,CENY!$B$11:$G$1054,3,FALSE)</f>
        <v>1</v>
      </c>
      <c r="AX15" s="362">
        <v>6</v>
      </c>
      <c r="AY15" s="23">
        <f>SUM(AY3:AY4)*(W20+W22+W28)</f>
        <v>0</v>
      </c>
      <c r="AZ15" s="326">
        <f t="shared" ref="AZ15:AZ19" si="4">IF(AY15="","",IF($AW$4=1,AY15,0))</f>
        <v>0</v>
      </c>
      <c r="BA15" s="95">
        <f>VLOOKUP(AU15,CENY!$B$11:$M$2025,12,FALSE)</f>
        <v>841.09733000000006</v>
      </c>
      <c r="BB15" s="95">
        <f t="shared" ref="BB15:BB19" si="5">IF(BA15="","",BA15*AY15)</f>
        <v>0</v>
      </c>
      <c r="BD15" s="319">
        <f>OBJ!B60</f>
        <v>9255018</v>
      </c>
      <c r="BE15" s="21" t="str">
        <f>VLOOKUP(BD15,CENY!$B$11:$G$1054,2,FALSE)</f>
        <v>AvanY-bok ľavý /v101/h500/ strieborná</v>
      </c>
      <c r="BF15" s="22">
        <f>VLOOKUP(BD15,CENY!$B$11:$G$1054,3,FALSE)</f>
        <v>20</v>
      </c>
      <c r="BG15" s="22"/>
      <c r="BH15" s="23">
        <f>AY10</f>
        <v>0</v>
      </c>
      <c r="BI15" s="326">
        <f t="shared" si="2"/>
        <v>0</v>
      </c>
      <c r="BJ15" s="95">
        <f>VLOOKUP(BD15,CENY!$B$11:$M$2025,12,FALSE)</f>
        <v>219.88341</v>
      </c>
      <c r="BK15" s="95">
        <f t="shared" si="3"/>
        <v>0</v>
      </c>
    </row>
    <row r="16" spans="1:63" ht="14.4" customHeight="1">
      <c r="AB16" s="341"/>
      <c r="AU16" s="319">
        <f>OBJ!B171</f>
        <v>9353286</v>
      </c>
      <c r="AV16" s="21" t="str">
        <f>VLOOKUP(AU16,CENY!$B$11:$G$1054,2,FALSE)</f>
        <v>AvanY-sólo boky Inlay-NW 187/500mm/strieb.</v>
      </c>
      <c r="AW16" s="22">
        <f>VLOOKUP(AU16,CENY!$B$11:$G$1054,3,FALSE)</f>
        <v>1</v>
      </c>
      <c r="AX16" s="362">
        <v>8</v>
      </c>
      <c r="AY16" s="23">
        <f>SUM(AY3:AY4)*(Y20+Y22+Y28)</f>
        <v>0</v>
      </c>
      <c r="AZ16" s="326">
        <f t="shared" si="4"/>
        <v>0</v>
      </c>
      <c r="BA16" s="95">
        <f>VLOOKUP(AU16,CENY!$B$11:$M$2025,12,FALSE)</f>
        <v>852.72563000000002</v>
      </c>
      <c r="BB16" s="95">
        <f t="shared" si="5"/>
        <v>0</v>
      </c>
      <c r="BD16" s="319">
        <f>OBJ!B61</f>
        <v>9255019</v>
      </c>
      <c r="BE16" s="21" t="str">
        <f>VLOOKUP(BD16,CENY!$B$11:$G$1054,2,FALSE)</f>
        <v>AvanY-bok pravý /v101/h500/ strieborná</v>
      </c>
      <c r="BF16" s="22">
        <f>VLOOKUP(BD16,CENY!$B$11:$G$1054,3,FALSE)</f>
        <v>20</v>
      </c>
      <c r="BG16" s="22"/>
      <c r="BH16" s="23">
        <f>AY10</f>
        <v>0</v>
      </c>
      <c r="BI16" s="326">
        <f t="shared" si="2"/>
        <v>0</v>
      </c>
      <c r="BJ16" s="95">
        <f>VLOOKUP(BD16,CENY!$B$11:$M$2025,12,FALSE)</f>
        <v>219.88341</v>
      </c>
      <c r="BK16" s="95">
        <f t="shared" si="3"/>
        <v>0</v>
      </c>
    </row>
    <row r="17" spans="2:63" ht="14.4" customHeight="1" thickBot="1">
      <c r="B17" s="1" t="s">
        <v>284</v>
      </c>
      <c r="O17" s="547" t="str">
        <f>FORM!U18</f>
        <v>flexibilní sety</v>
      </c>
      <c r="P17" s="548"/>
      <c r="Q17" s="548"/>
      <c r="R17" s="548"/>
      <c r="S17" s="548"/>
      <c r="T17" s="548"/>
      <c r="U17" s="548"/>
      <c r="V17" s="548"/>
      <c r="W17" s="548"/>
      <c r="X17" s="548"/>
      <c r="Y17" s="548"/>
      <c r="Z17" s="548"/>
      <c r="AA17" s="548"/>
      <c r="AB17" s="548"/>
      <c r="AC17" s="548"/>
      <c r="AD17" s="548"/>
      <c r="AE17" s="548"/>
      <c r="AF17" s="548"/>
      <c r="AU17" s="319">
        <f>OBJ!B172</f>
        <v>9353287</v>
      </c>
      <c r="AV17" s="21" t="str">
        <f>VLOOKUP(AU17,CENY!$B$11:$G$1054,2,FALSE)</f>
        <v>AvanY-sólo boky Inlay-NW 187/550mm/strieb.</v>
      </c>
      <c r="AW17" s="22">
        <f>VLOOKUP(AU17,CENY!$B$11:$G$1054,3,FALSE)</f>
        <v>1</v>
      </c>
      <c r="AX17" s="362">
        <v>8</v>
      </c>
      <c r="AY17" s="23">
        <f>SUM(AY3:AY4)*(AA20+AA22+AA28)</f>
        <v>0</v>
      </c>
      <c r="AZ17" s="326">
        <f t="shared" si="4"/>
        <v>0</v>
      </c>
      <c r="BA17" s="95">
        <f>VLOOKUP(AU17,CENY!$B$11:$M$2025,12,FALSE)</f>
        <v>887.97243000000003</v>
      </c>
      <c r="BB17" s="95">
        <f t="shared" si="5"/>
        <v>0</v>
      </c>
      <c r="BD17" s="319">
        <f>OBJ!B62</f>
        <v>9255020</v>
      </c>
      <c r="BE17" s="21" t="str">
        <f>VLOOKUP(BD17,CENY!$B$11:$G$1054,2,FALSE)</f>
        <v>AvanY-bok ľavý /v101/h550/ strieborná</v>
      </c>
      <c r="BF17" s="22">
        <f>VLOOKUP(BD17,CENY!$B$11:$G$1054,3,FALSE)</f>
        <v>20</v>
      </c>
      <c r="BG17" s="22"/>
      <c r="BH17" s="23">
        <f>AY11</f>
        <v>0</v>
      </c>
      <c r="BI17" s="326">
        <f t="shared" si="2"/>
        <v>0</v>
      </c>
      <c r="BJ17" s="95">
        <f>VLOOKUP(BD17,CENY!$B$11:$M$2025,12,FALSE)</f>
        <v>229.76492999999999</v>
      </c>
      <c r="BK17" s="95">
        <f t="shared" si="3"/>
        <v>0</v>
      </c>
    </row>
    <row r="18" spans="2:63" ht="14.4" customHeight="1" thickBot="1">
      <c r="B18" s="96"/>
      <c r="C18" s="96"/>
      <c r="D18" s="96"/>
      <c r="E18" s="96"/>
      <c r="F18" s="96"/>
      <c r="G18" s="96"/>
      <c r="H18" s="72"/>
      <c r="I18" s="72"/>
      <c r="J18" s="72"/>
      <c r="K18" s="72"/>
      <c r="L18" s="72"/>
      <c r="M18" s="72"/>
      <c r="N18" s="72" t="str">
        <f>verze!$E$20&amp;" "</f>
        <v xml:space="preserve">Jmenovitá délka: </v>
      </c>
      <c r="O18" s="535">
        <v>270</v>
      </c>
      <c r="P18" s="536"/>
      <c r="Q18" s="535">
        <v>300</v>
      </c>
      <c r="R18" s="536"/>
      <c r="S18" s="535">
        <v>350</v>
      </c>
      <c r="T18" s="536"/>
      <c r="U18" s="535">
        <v>400</v>
      </c>
      <c r="V18" s="536"/>
      <c r="W18" s="535">
        <v>450</v>
      </c>
      <c r="X18" s="536"/>
      <c r="Y18" s="537">
        <v>500</v>
      </c>
      <c r="Z18" s="538"/>
      <c r="AA18" s="535">
        <v>550</v>
      </c>
      <c r="AB18" s="536"/>
      <c r="AC18" s="535">
        <v>600</v>
      </c>
      <c r="AD18" s="536"/>
      <c r="AE18" s="535">
        <v>650</v>
      </c>
      <c r="AF18" s="536"/>
      <c r="AP18" s="233" t="s">
        <v>258</v>
      </c>
      <c r="AQ18" s="614">
        <v>1</v>
      </c>
      <c r="AR18" s="615"/>
      <c r="AU18" s="319">
        <f>OBJ!B173</f>
        <v>9353288</v>
      </c>
      <c r="AV18" s="21" t="str">
        <f>VLOOKUP(AU18,CENY!$B$11:$G$1054,2,FALSE)</f>
        <v>AvanY-sólo boky Inlay-NW 187/600mm/strieb.</v>
      </c>
      <c r="AW18" s="22">
        <f>VLOOKUP(AU18,CENY!$B$11:$G$1054,3,FALSE)</f>
        <v>1</v>
      </c>
      <c r="AX18" s="362">
        <v>8</v>
      </c>
      <c r="AY18" s="23">
        <f>SUM(AY3:AY4)*(AC20+AC22+AC28)</f>
        <v>0</v>
      </c>
      <c r="AZ18" s="326">
        <f t="shared" si="4"/>
        <v>0</v>
      </c>
      <c r="BA18" s="95">
        <f>VLOOKUP(AU18,CENY!$B$11:$M$2025,12,FALSE)</f>
        <v>905.98955999999998</v>
      </c>
      <c r="BB18" s="95">
        <f t="shared" si="5"/>
        <v>0</v>
      </c>
      <c r="BD18" s="319">
        <f>OBJ!B63</f>
        <v>9255021</v>
      </c>
      <c r="BE18" s="21" t="str">
        <f>VLOOKUP(BD18,CENY!$B$11:$G$1054,2,FALSE)</f>
        <v>AvanY-bok pravý /v101/h550/ strieborná</v>
      </c>
      <c r="BF18" s="22">
        <f>VLOOKUP(BD18,CENY!$B$11:$G$1054,3,FALSE)</f>
        <v>20</v>
      </c>
      <c r="BG18" s="22"/>
      <c r="BH18" s="23">
        <f>AY11</f>
        <v>0</v>
      </c>
      <c r="BI18" s="326">
        <f t="shared" si="2"/>
        <v>0</v>
      </c>
      <c r="BJ18" s="95">
        <f>VLOOKUP(BD18,CENY!$B$11:$M$2025,12,FALSE)</f>
        <v>229.76492999999999</v>
      </c>
      <c r="BK18" s="95">
        <f t="shared" si="3"/>
        <v>0</v>
      </c>
    </row>
    <row r="19" spans="2:63" ht="14.4" customHeight="1" thickBot="1">
      <c r="B19" s="530" t="s">
        <v>289</v>
      </c>
      <c r="C19" s="530"/>
      <c r="D19" s="530"/>
      <c r="E19" s="530"/>
      <c r="F19" s="530"/>
      <c r="G19" s="530"/>
      <c r="H19" s="531" t="str">
        <f>verze!E18</f>
        <v>plnovýsuv</v>
      </c>
      <c r="I19" s="531"/>
      <c r="J19" s="531"/>
      <c r="K19" s="531"/>
      <c r="L19" s="531"/>
      <c r="M19" s="532" t="s">
        <v>286</v>
      </c>
      <c r="N19" s="533"/>
      <c r="O19" s="569"/>
      <c r="P19" s="612"/>
      <c r="Q19" s="613"/>
      <c r="R19" s="612"/>
      <c r="S19" s="613"/>
      <c r="T19" s="570"/>
      <c r="U19" s="283"/>
      <c r="V19" s="284"/>
      <c r="W19" s="283"/>
      <c r="X19" s="284"/>
      <c r="Y19" s="283"/>
      <c r="Z19" s="284"/>
      <c r="AA19" s="283"/>
      <c r="AB19" s="284"/>
      <c r="AC19" s="283"/>
      <c r="AD19" s="284"/>
      <c r="AE19" s="280"/>
      <c r="AF19" s="281"/>
      <c r="AU19" s="319">
        <f>OBJ!B174</f>
        <v>9353289</v>
      </c>
      <c r="AV19" s="21" t="str">
        <f>VLOOKUP(AU19,CENY!$B$11:$G$1054,2,FALSE)</f>
        <v>AvanY-sólo boky Inlay-NW 187/650mm/strieb.</v>
      </c>
      <c r="AW19" s="22">
        <f>VLOOKUP(AU19,CENY!$B$11:$G$1054,3,FALSE)</f>
        <v>1</v>
      </c>
      <c r="AX19" s="362">
        <v>10</v>
      </c>
      <c r="AY19" s="23">
        <f>SUM(AY3:AY4)*(AE22)</f>
        <v>0</v>
      </c>
      <c r="AZ19" s="326">
        <f t="shared" si="4"/>
        <v>0</v>
      </c>
      <c r="BA19" s="95">
        <f>VLOOKUP(AU19,CENY!$B$11:$M$2025,12,FALSE)</f>
        <v>930.49195999999995</v>
      </c>
      <c r="BB19" s="95">
        <f t="shared" si="5"/>
        <v>0</v>
      </c>
      <c r="BD19" s="319">
        <f>OBJ!B64</f>
        <v>9255022</v>
      </c>
      <c r="BE19" s="21" t="str">
        <f>VLOOKUP(BD19,CENY!$B$11:$G$1054,2,FALSE)</f>
        <v>AvanY-bok ľavý /v101/h600/ strieborná</v>
      </c>
      <c r="BF19" s="22">
        <f>VLOOKUP(BD19,CENY!$B$11:$G$1054,3,FALSE)</f>
        <v>20</v>
      </c>
      <c r="BG19" s="22"/>
      <c r="BH19" s="23">
        <f>AY12</f>
        <v>0</v>
      </c>
      <c r="BI19" s="326">
        <f t="shared" si="2"/>
        <v>0</v>
      </c>
      <c r="BJ19" s="95">
        <f>VLOOKUP(BD19,CENY!$B$11:$M$2025,12,FALSE)</f>
        <v>235.60476</v>
      </c>
      <c r="BK19" s="95">
        <f t="shared" si="3"/>
        <v>0</v>
      </c>
    </row>
    <row r="20" spans="2:63" ht="14.4" customHeight="1" thickBot="1">
      <c r="B20" s="521" t="s">
        <v>290</v>
      </c>
      <c r="C20" s="521"/>
      <c r="D20" s="521"/>
      <c r="E20" s="521"/>
      <c r="F20" s="521"/>
      <c r="G20" s="521"/>
      <c r="H20" s="522" t="str">
        <f>verze!E18</f>
        <v>plnovýsuv</v>
      </c>
      <c r="I20" s="522"/>
      <c r="J20" s="522"/>
      <c r="K20" s="522"/>
      <c r="L20" s="522"/>
      <c r="M20" s="523" t="s">
        <v>287</v>
      </c>
      <c r="N20" s="546"/>
      <c r="O20" s="518"/>
      <c r="P20" s="519"/>
      <c r="Q20" s="518"/>
      <c r="R20" s="519"/>
      <c r="S20" s="518"/>
      <c r="T20" s="519"/>
      <c r="U20" s="518"/>
      <c r="V20" s="519"/>
      <c r="W20" s="516"/>
      <c r="X20" s="517"/>
      <c r="Y20" s="516"/>
      <c r="Z20" s="517"/>
      <c r="AA20" s="516"/>
      <c r="AB20" s="517"/>
      <c r="AC20" s="565"/>
      <c r="AD20" s="566"/>
      <c r="AE20" s="518"/>
      <c r="AF20" s="519"/>
      <c r="AU20" s="319"/>
      <c r="AV20" s="21"/>
      <c r="AW20" s="22"/>
      <c r="AX20" s="22"/>
      <c r="AY20" s="23"/>
      <c r="AZ20" s="326" t="str">
        <f t="shared" si="1"/>
        <v/>
      </c>
      <c r="BA20" s="95"/>
      <c r="BB20" s="95" t="str">
        <f t="shared" si="0"/>
        <v/>
      </c>
      <c r="BD20" s="319">
        <f>OBJ!B65</f>
        <v>9255023</v>
      </c>
      <c r="BE20" s="21" t="str">
        <f>VLOOKUP(BD20,CENY!$B$11:$G$1054,2,FALSE)</f>
        <v>AvanY-bok pravý /v101/h600/ strieborná</v>
      </c>
      <c r="BF20" s="22">
        <f>VLOOKUP(BD20,CENY!$B$11:$G$1054,3,FALSE)</f>
        <v>20</v>
      </c>
      <c r="BG20" s="22"/>
      <c r="BH20" s="23">
        <f>AY12</f>
        <v>0</v>
      </c>
      <c r="BI20" s="326">
        <f t="shared" si="2"/>
        <v>0</v>
      </c>
      <c r="BJ20" s="95">
        <f>VLOOKUP(BD20,CENY!$B$11:$M$2025,12,FALSE)</f>
        <v>235.60476</v>
      </c>
      <c r="BK20" s="95">
        <f t="shared" si="3"/>
        <v>0</v>
      </c>
    </row>
    <row r="21" spans="2:63" ht="14.4" customHeight="1" thickBot="1">
      <c r="O21" s="283"/>
      <c r="P21" s="284"/>
      <c r="Q21" s="283"/>
      <c r="R21" s="284"/>
      <c r="S21" s="283"/>
      <c r="T21" s="284"/>
      <c r="U21" s="283"/>
      <c r="V21" s="284"/>
      <c r="W21" s="283"/>
      <c r="X21" s="284"/>
      <c r="Y21" s="283"/>
      <c r="Z21" s="284"/>
      <c r="AA21" s="283"/>
      <c r="AB21" s="284"/>
      <c r="AC21" s="283"/>
      <c r="AD21" s="284"/>
      <c r="AE21" s="283"/>
      <c r="AF21" s="284"/>
      <c r="AU21" s="319">
        <f>OBJ!B71</f>
        <v>9347502</v>
      </c>
      <c r="AV21" s="21" t="str">
        <f>VLOOKUP(AU21,CENY!$B$11:$G$1054,2,FALSE)</f>
        <v>AvanY-design ALprofil Hybrid na bok 270/ strieb.</v>
      </c>
      <c r="AW21" s="22">
        <f>VLOOKUP(AU21,CENY!$B$11:$G$1054,3,FALSE)</f>
        <v>200</v>
      </c>
      <c r="AX21" s="22"/>
      <c r="AY21" s="68"/>
      <c r="AZ21" s="326" t="str">
        <f t="shared" si="1"/>
        <v/>
      </c>
      <c r="BA21" s="95">
        <f>VLOOKUP(AU21,CENY!$B$11:$M$2025,12,FALSE)</f>
        <v>19.78839</v>
      </c>
      <c r="BB21" s="95">
        <f t="shared" si="0"/>
        <v>0</v>
      </c>
      <c r="BD21" s="319">
        <f>OBJ!B66</f>
        <v>9255024</v>
      </c>
      <c r="BE21" s="21" t="str">
        <f>VLOOKUP(BD21,CENY!$B$11:$G$1054,2,FALSE)</f>
        <v>AvanY-bok ľavý /v101/h650/ strieborná</v>
      </c>
      <c r="BF21" s="22">
        <f>VLOOKUP(BD21,CENY!$B$11:$G$1054,3,FALSE)</f>
        <v>20</v>
      </c>
      <c r="BG21" s="22"/>
      <c r="BH21" s="23">
        <f>AY13</f>
        <v>0</v>
      </c>
      <c r="BI21" s="326">
        <f t="shared" si="2"/>
        <v>0</v>
      </c>
      <c r="BJ21" s="95">
        <f>VLOOKUP(BD21,CENY!$B$11:$M$2025,12,FALSE)</f>
        <v>243.54496</v>
      </c>
      <c r="BK21" s="95">
        <f t="shared" si="3"/>
        <v>0</v>
      </c>
    </row>
    <row r="22" spans="2:63" ht="14.4" customHeight="1" thickBot="1">
      <c r="B22" s="544" t="s">
        <v>291</v>
      </c>
      <c r="C22" s="544"/>
      <c r="D22" s="544"/>
      <c r="E22" s="544"/>
      <c r="F22" s="544"/>
      <c r="G22" s="544"/>
      <c r="H22" s="545" t="str">
        <f>verze!E18</f>
        <v>plnovýsuv</v>
      </c>
      <c r="I22" s="545"/>
      <c r="J22" s="545"/>
      <c r="K22" s="545"/>
      <c r="L22" s="545"/>
      <c r="M22" s="523" t="s">
        <v>288</v>
      </c>
      <c r="N22" s="524"/>
      <c r="O22" s="518"/>
      <c r="P22" s="519"/>
      <c r="Q22" s="518"/>
      <c r="R22" s="519"/>
      <c r="S22" s="518"/>
      <c r="T22" s="519"/>
      <c r="U22" s="518"/>
      <c r="V22" s="519"/>
      <c r="W22" s="516"/>
      <c r="X22" s="517"/>
      <c r="Y22" s="516"/>
      <c r="Z22" s="517"/>
      <c r="AA22" s="516"/>
      <c r="AB22" s="517"/>
      <c r="AC22" s="516"/>
      <c r="AD22" s="517"/>
      <c r="AE22" s="565"/>
      <c r="AF22" s="566"/>
      <c r="AU22" s="319">
        <f>OBJ!B72</f>
        <v>9347503</v>
      </c>
      <c r="AV22" s="21" t="str">
        <f>VLOOKUP(AU22,CENY!$B$11:$G$1054,2,FALSE)</f>
        <v>AvanY-design ALprofil Hybrid na bok 300/ strieb.</v>
      </c>
      <c r="AW22" s="22">
        <f>VLOOKUP(AU22,CENY!$B$11:$G$1054,3,FALSE)</f>
        <v>200</v>
      </c>
      <c r="AX22" s="22"/>
      <c r="AY22" s="68"/>
      <c r="AZ22" s="326" t="str">
        <f t="shared" si="1"/>
        <v/>
      </c>
      <c r="BA22" s="95">
        <f>VLOOKUP(AU22,CENY!$B$11:$M$2025,12,FALSE)</f>
        <v>20.006769999999999</v>
      </c>
      <c r="BB22" s="95">
        <f t="shared" si="0"/>
        <v>0</v>
      </c>
      <c r="BD22" s="319">
        <f>OBJ!B67</f>
        <v>9255025</v>
      </c>
      <c r="BE22" s="21" t="str">
        <f>VLOOKUP(BD22,CENY!$B$11:$G$1054,2,FALSE)</f>
        <v>AvanY-bok pravý /v101/h650/ strieborná</v>
      </c>
      <c r="BF22" s="22">
        <f>VLOOKUP(BD22,CENY!$B$11:$G$1054,3,FALSE)</f>
        <v>20</v>
      </c>
      <c r="BG22" s="22"/>
      <c r="BH22" s="23">
        <f>AY13</f>
        <v>0</v>
      </c>
      <c r="BI22" s="326">
        <f t="shared" si="2"/>
        <v>0</v>
      </c>
      <c r="BJ22" s="95">
        <f>VLOOKUP(BD22,CENY!$B$11:$M$2025,12,FALSE)</f>
        <v>243.54496</v>
      </c>
      <c r="BK22" s="95">
        <f t="shared" si="3"/>
        <v>0</v>
      </c>
    </row>
    <row r="23" spans="2:63" ht="14.4" customHeight="1" thickBot="1">
      <c r="O23" s="4"/>
      <c r="P23" s="4"/>
      <c r="AU23" s="319">
        <f>OBJ!B73</f>
        <v>9347504</v>
      </c>
      <c r="AV23" s="21" t="str">
        <f>VLOOKUP(AU23,CENY!$B$11:$G$1054,2,FALSE)</f>
        <v>AvanY-design ALprofil Hybrid na bok 350/ strieb.</v>
      </c>
      <c r="AW23" s="22">
        <f>VLOOKUP(AU23,CENY!$B$11:$G$1054,3,FALSE)</f>
        <v>200</v>
      </c>
      <c r="AX23" s="22"/>
      <c r="AY23" s="68"/>
      <c r="AZ23" s="326" t="str">
        <f t="shared" si="1"/>
        <v/>
      </c>
      <c r="BA23" s="95">
        <f>VLOOKUP(AU23,CENY!$B$11:$M$2025,12,FALSE)</f>
        <v>20.37642</v>
      </c>
      <c r="BB23" s="95">
        <f t="shared" si="0"/>
        <v>0</v>
      </c>
      <c r="BD23" s="319"/>
      <c r="BE23" s="21"/>
      <c r="BF23" s="22"/>
      <c r="BG23" s="22"/>
      <c r="BH23" s="23"/>
      <c r="BI23" s="326" t="str">
        <f t="shared" si="2"/>
        <v/>
      </c>
      <c r="BJ23" s="95"/>
      <c r="BK23" s="95"/>
    </row>
    <row r="24" spans="2:63" ht="14.4" customHeight="1" thickBot="1">
      <c r="AP24" s="233" t="s">
        <v>258</v>
      </c>
      <c r="AQ24" s="614">
        <v>2</v>
      </c>
      <c r="AR24" s="615"/>
      <c r="AU24" s="319">
        <f>OBJ!B74</f>
        <v>9347505</v>
      </c>
      <c r="AV24" s="21" t="str">
        <f>VLOOKUP(AU24,CENY!$B$11:$G$1054,2,FALSE)</f>
        <v>AvanY-design ALprofil Hybrid na bok 400/ strieb.</v>
      </c>
      <c r="AW24" s="22">
        <f>VLOOKUP(AU24,CENY!$B$11:$G$1054,3,FALSE)</f>
        <v>200</v>
      </c>
      <c r="AX24" s="22"/>
      <c r="AY24" s="68"/>
      <c r="AZ24" s="326" t="str">
        <f t="shared" si="1"/>
        <v/>
      </c>
      <c r="BA24" s="95">
        <f>VLOOKUP(AU24,CENY!$B$11:$M$2025,12,FALSE)</f>
        <v>20.742249999999999</v>
      </c>
      <c r="BB24" s="95">
        <f t="shared" si="0"/>
        <v>0</v>
      </c>
      <c r="BD24" s="319">
        <f>OBJ!B180</f>
        <v>9257135</v>
      </c>
      <c r="BE24" s="21" t="str">
        <f>VLOOKUP(BD24,CENY!$B$11:$G$1054,2,FALSE)</f>
        <v>AvanY-bok Inlay ľavý /v187/h450/ strieb.</v>
      </c>
      <c r="BF24" s="22">
        <f>VLOOKUP(BD24,CENY!$B$11:$G$1054,3,FALSE)</f>
        <v>10</v>
      </c>
      <c r="BG24" s="22"/>
      <c r="BH24" s="23">
        <f>AY15</f>
        <v>0</v>
      </c>
      <c r="BI24" s="326">
        <f t="shared" si="2"/>
        <v>0</v>
      </c>
      <c r="BJ24" s="95">
        <f>VLOOKUP(BD24,CENY!$B$11:$M$2025,12,FALSE)</f>
        <v>393.85784000000001</v>
      </c>
      <c r="BK24" s="95">
        <f t="shared" ref="BK24:BK33" si="6">IF(BJ24="","",BJ24*BH24)</f>
        <v>0</v>
      </c>
    </row>
    <row r="25" spans="2:63" ht="14.4" customHeight="1" thickBot="1">
      <c r="B25" s="2" t="s">
        <v>285</v>
      </c>
      <c r="AU25" s="319">
        <f>OBJ!B75</f>
        <v>9347506</v>
      </c>
      <c r="AV25" s="21" t="str">
        <f>VLOOKUP(AU25,CENY!$B$11:$G$1054,2,FALSE)</f>
        <v>AvanY-design ALprofil Hybrid na bok 450/ strieb.</v>
      </c>
      <c r="AW25" s="22">
        <f>VLOOKUP(AU25,CENY!$B$11:$G$1054,3,FALSE)</f>
        <v>200</v>
      </c>
      <c r="AX25" s="22"/>
      <c r="AY25" s="23">
        <f>IF(FORM!AM18=FORM!AU16,0,2*SUM(AY1:AY2)*(W20+W22+W28))</f>
        <v>0</v>
      </c>
      <c r="AZ25" s="326">
        <f t="shared" si="1"/>
        <v>0</v>
      </c>
      <c r="BA25" s="95">
        <f>VLOOKUP(AU25,CENY!$B$11:$M$2025,12,FALSE)</f>
        <v>21.111910000000002</v>
      </c>
      <c r="BB25" s="95">
        <f t="shared" si="0"/>
        <v>0</v>
      </c>
      <c r="BD25" s="319">
        <f>OBJ!B181</f>
        <v>9257136</v>
      </c>
      <c r="BE25" s="21" t="str">
        <f>VLOOKUP(BD25,CENY!$B$11:$G$1054,2,FALSE)</f>
        <v>AvanY-bok Inlay pravý /v187/h450/ strieb.</v>
      </c>
      <c r="BF25" s="22">
        <f>VLOOKUP(BD25,CENY!$B$11:$G$1054,3,FALSE)</f>
        <v>10</v>
      </c>
      <c r="BG25" s="22"/>
      <c r="BH25" s="23">
        <f>AY15</f>
        <v>0</v>
      </c>
      <c r="BI25" s="326">
        <f t="shared" si="2"/>
        <v>0</v>
      </c>
      <c r="BJ25" s="95">
        <f>VLOOKUP(BD25,CENY!$B$11:$M$2025,12,FALSE)</f>
        <v>393.85784000000001</v>
      </c>
      <c r="BK25" s="95">
        <f t="shared" si="6"/>
        <v>0</v>
      </c>
    </row>
    <row r="26" spans="2:63" ht="14.4" customHeight="1" thickBot="1">
      <c r="B26" s="96"/>
      <c r="C26" s="96"/>
      <c r="D26" s="96"/>
      <c r="E26" s="96"/>
      <c r="F26" s="96"/>
      <c r="G26" s="96"/>
      <c r="H26" s="72"/>
      <c r="I26" s="72"/>
      <c r="J26" s="72"/>
      <c r="K26" s="72"/>
      <c r="L26" s="72"/>
      <c r="M26" s="72"/>
      <c r="N26" s="72" t="str">
        <f>verze!$E$20&amp;" "</f>
        <v xml:space="preserve">Jmenovitá délka: </v>
      </c>
      <c r="O26" s="535">
        <v>270</v>
      </c>
      <c r="P26" s="536"/>
      <c r="Q26" s="535">
        <v>300</v>
      </c>
      <c r="R26" s="536"/>
      <c r="S26" s="535">
        <v>350</v>
      </c>
      <c r="T26" s="536"/>
      <c r="U26" s="535">
        <v>400</v>
      </c>
      <c r="V26" s="536"/>
      <c r="W26" s="535">
        <v>450</v>
      </c>
      <c r="X26" s="536"/>
      <c r="Y26" s="537">
        <v>500</v>
      </c>
      <c r="Z26" s="538"/>
      <c r="AA26" s="535">
        <v>550</v>
      </c>
      <c r="AB26" s="536"/>
      <c r="AC26" s="535">
        <v>600</v>
      </c>
      <c r="AD26" s="536"/>
      <c r="AU26" s="319">
        <f>OBJ!B76</f>
        <v>9347507</v>
      </c>
      <c r="AV26" s="21" t="str">
        <f>VLOOKUP(AU26,CENY!$B$11:$G$1054,2,FALSE)</f>
        <v>AvanY-design ALprofil Hybrid na bok 500/ strieb.</v>
      </c>
      <c r="AW26" s="22">
        <f>VLOOKUP(AU26,CENY!$B$11:$G$1054,3,FALSE)</f>
        <v>200</v>
      </c>
      <c r="AX26" s="22"/>
      <c r="AY26" s="23">
        <f>IF(FORM!AM18=FORM!AU16,0,2*SUM(AY1:AY2)*(Y20+Y22+Y28))</f>
        <v>0</v>
      </c>
      <c r="AZ26" s="326">
        <f t="shared" si="1"/>
        <v>0</v>
      </c>
      <c r="BA26" s="95">
        <f>VLOOKUP(AU26,CENY!$B$11:$M$2025,12,FALSE)</f>
        <v>21.479700000000001</v>
      </c>
      <c r="BB26" s="95">
        <f t="shared" si="0"/>
        <v>0</v>
      </c>
      <c r="BD26" s="319">
        <f>OBJ!B182</f>
        <v>9257137</v>
      </c>
      <c r="BE26" s="21" t="str">
        <f>VLOOKUP(BD26,CENY!$B$11:$G$1054,2,FALSE)</f>
        <v>AvanY-bok Inlay ľavý /v187/h500/ strieb.</v>
      </c>
      <c r="BF26" s="22">
        <f>VLOOKUP(BD26,CENY!$B$11:$G$1054,3,FALSE)</f>
        <v>10</v>
      </c>
      <c r="BG26" s="22"/>
      <c r="BH26" s="23">
        <f>AY16</f>
        <v>0</v>
      </c>
      <c r="BI26" s="326">
        <f t="shared" si="2"/>
        <v>0</v>
      </c>
      <c r="BJ26" s="95">
        <f>VLOOKUP(BD26,CENY!$B$11:$M$2025,12,FALSE)</f>
        <v>390.06617</v>
      </c>
      <c r="BK26" s="95">
        <f t="shared" si="6"/>
        <v>0</v>
      </c>
    </row>
    <row r="27" spans="2:63" ht="14.4" customHeight="1" thickBot="1">
      <c r="B27" s="530" t="s">
        <v>292</v>
      </c>
      <c r="C27" s="530"/>
      <c r="D27" s="530"/>
      <c r="E27" s="530"/>
      <c r="F27" s="530"/>
      <c r="G27" s="530"/>
      <c r="H27" s="531" t="str">
        <f>verze!E18</f>
        <v>plnovýsuv</v>
      </c>
      <c r="I27" s="531"/>
      <c r="J27" s="531"/>
      <c r="K27" s="531"/>
      <c r="L27" s="531"/>
      <c r="M27" s="532" t="s">
        <v>286</v>
      </c>
      <c r="N27" s="533"/>
      <c r="O27" s="569"/>
      <c r="P27" s="612"/>
      <c r="Q27" s="613"/>
      <c r="R27" s="612"/>
      <c r="S27" s="613"/>
      <c r="T27" s="570"/>
      <c r="U27" s="283"/>
      <c r="V27" s="284"/>
      <c r="W27" s="283"/>
      <c r="X27" s="284"/>
      <c r="Y27" s="283"/>
      <c r="Z27" s="284"/>
      <c r="AA27" s="283"/>
      <c r="AB27" s="284"/>
      <c r="AC27" s="283"/>
      <c r="AD27" s="284"/>
      <c r="AU27" s="319">
        <f>OBJ!B77</f>
        <v>9347508</v>
      </c>
      <c r="AV27" s="21" t="str">
        <f>VLOOKUP(AU27,CENY!$B$11:$G$1054,2,FALSE)</f>
        <v>AvanY-design ALprofil Hybrid na bok 550/ strieb.</v>
      </c>
      <c r="AW27" s="22">
        <f>VLOOKUP(AU27,CENY!$B$11:$G$1054,3,FALSE)</f>
        <v>200</v>
      </c>
      <c r="AX27" s="22"/>
      <c r="AY27" s="23">
        <f>IF(FORM!AM18=FORM!AU16,0,2*SUM(AY1:AY2)*(AA20+AA22+AA28))</f>
        <v>0</v>
      </c>
      <c r="AZ27" s="326">
        <f t="shared" si="1"/>
        <v>0</v>
      </c>
      <c r="BA27" s="95">
        <f>VLOOKUP(AU27,CENY!$B$11:$M$2025,12,FALSE)</f>
        <v>21.84564</v>
      </c>
      <c r="BB27" s="95">
        <f t="shared" si="0"/>
        <v>0</v>
      </c>
      <c r="BD27" s="319">
        <f>OBJ!B183</f>
        <v>9257138</v>
      </c>
      <c r="BE27" s="21" t="str">
        <f>VLOOKUP(BD27,CENY!$B$11:$G$1054,2,FALSE)</f>
        <v>AvanY-bok Inlay pravý /v187/h500/ strieb.</v>
      </c>
      <c r="BF27" s="22">
        <f>VLOOKUP(BD27,CENY!$B$11:$G$1054,3,FALSE)</f>
        <v>10</v>
      </c>
      <c r="BG27" s="22"/>
      <c r="BH27" s="23">
        <f>AY16</f>
        <v>0</v>
      </c>
      <c r="BI27" s="326">
        <f t="shared" si="2"/>
        <v>0</v>
      </c>
      <c r="BJ27" s="95">
        <f>VLOOKUP(BD27,CENY!$B$11:$M$2025,12,FALSE)</f>
        <v>390.06617</v>
      </c>
      <c r="BK27" s="95">
        <f t="shared" si="6"/>
        <v>0</v>
      </c>
    </row>
    <row r="28" spans="2:63" ht="14.4" customHeight="1" thickBot="1">
      <c r="B28" s="521" t="s">
        <v>372</v>
      </c>
      <c r="C28" s="521"/>
      <c r="D28" s="521"/>
      <c r="E28" s="521"/>
      <c r="F28" s="521"/>
      <c r="G28" s="521"/>
      <c r="H28" s="522" t="str">
        <f>verze!E18</f>
        <v>plnovýsuv</v>
      </c>
      <c r="I28" s="522"/>
      <c r="J28" s="522"/>
      <c r="K28" s="522"/>
      <c r="L28" s="522"/>
      <c r="M28" s="523" t="s">
        <v>1</v>
      </c>
      <c r="N28" s="524"/>
      <c r="O28" s="518"/>
      <c r="P28" s="519"/>
      <c r="Q28" s="518"/>
      <c r="R28" s="519"/>
      <c r="S28" s="518"/>
      <c r="T28" s="519"/>
      <c r="U28" s="518"/>
      <c r="V28" s="519"/>
      <c r="W28" s="516"/>
      <c r="X28" s="517"/>
      <c r="Y28" s="516"/>
      <c r="Z28" s="517"/>
      <c r="AA28" s="516"/>
      <c r="AB28" s="517"/>
      <c r="AC28" s="516"/>
      <c r="AD28" s="517"/>
      <c r="AU28" s="319">
        <f>OBJ!B78</f>
        <v>9347509</v>
      </c>
      <c r="AV28" s="21" t="str">
        <f>VLOOKUP(AU28,CENY!$B$11:$G$1054,2,FALSE)</f>
        <v>AvanY-design ALprofil Hybrid na bok 600/ strieb.</v>
      </c>
      <c r="AW28" s="22">
        <f>VLOOKUP(AU28,CENY!$B$11:$G$1054,3,FALSE)</f>
        <v>200</v>
      </c>
      <c r="AX28" s="22"/>
      <c r="AY28" s="23">
        <f>IF(FORM!AM18=FORM!AU16,0,2*SUM(AY1:AY2)*(AC20+AC22+AC28))</f>
        <v>0</v>
      </c>
      <c r="AZ28" s="326">
        <f t="shared" si="1"/>
        <v>0</v>
      </c>
      <c r="BA28" s="95">
        <f>VLOOKUP(AU28,CENY!$B$11:$M$2025,12,FALSE)</f>
        <v>22.79205</v>
      </c>
      <c r="BB28" s="95">
        <f t="shared" si="0"/>
        <v>0</v>
      </c>
      <c r="BD28" s="319">
        <f>OBJ!B184</f>
        <v>9257139</v>
      </c>
      <c r="BE28" s="21" t="str">
        <f>VLOOKUP(BD28,CENY!$B$11:$G$1054,2,FALSE)</f>
        <v>AvanY-bok Inlay ľavý /v187/h550/ strieb.</v>
      </c>
      <c r="BF28" s="22">
        <f>VLOOKUP(BD28,CENY!$B$11:$G$1054,3,FALSE)</f>
        <v>10</v>
      </c>
      <c r="BG28" s="22"/>
      <c r="BH28" s="23">
        <f>AY17</f>
        <v>0</v>
      </c>
      <c r="BI28" s="326">
        <f t="shared" si="2"/>
        <v>0</v>
      </c>
      <c r="BJ28" s="95">
        <f>VLOOKUP(BD28,CENY!$B$11:$M$2025,12,FALSE)</f>
        <v>407.58967999999999</v>
      </c>
      <c r="BK28" s="95">
        <f t="shared" si="6"/>
        <v>0</v>
      </c>
    </row>
    <row r="29" spans="2:63" ht="14.4" customHeight="1">
      <c r="AU29" s="319">
        <f>OBJ!B79</f>
        <v>9347510</v>
      </c>
      <c r="AV29" s="21" t="str">
        <f>VLOOKUP(AU29,CENY!$B$11:$G$1054,2,FALSE)</f>
        <v>AvanY-design ALprofil Hybrid na bok 650/ strieb.</v>
      </c>
      <c r="AW29" s="22">
        <f>VLOOKUP(AU29,CENY!$B$11:$G$1054,3,FALSE)</f>
        <v>200</v>
      </c>
      <c r="AX29" s="22"/>
      <c r="AY29" s="23">
        <f>IF(FORM!AM18=FORM!AU16,0,2*SUM(AY1:AY2)*AE22)</f>
        <v>0</v>
      </c>
      <c r="AZ29" s="326">
        <f t="shared" si="1"/>
        <v>0</v>
      </c>
      <c r="BA29" s="95">
        <f>VLOOKUP(AU29,CENY!$B$11:$M$2025,12,FALSE)</f>
        <v>24.580449999999999</v>
      </c>
      <c r="BB29" s="95">
        <f t="shared" si="0"/>
        <v>0</v>
      </c>
      <c r="BD29" s="319">
        <f>OBJ!B185</f>
        <v>9257140</v>
      </c>
      <c r="BE29" s="21" t="str">
        <f>VLOOKUP(BD29,CENY!$B$11:$G$1054,2,FALSE)</f>
        <v>AvanY-bok Inlay pravý /v187/h550/ strieb.</v>
      </c>
      <c r="BF29" s="22">
        <f>VLOOKUP(BD29,CENY!$B$11:$G$1054,3,FALSE)</f>
        <v>10</v>
      </c>
      <c r="BG29" s="22"/>
      <c r="BH29" s="23">
        <f>AY17</f>
        <v>0</v>
      </c>
      <c r="BI29" s="326">
        <f t="shared" si="2"/>
        <v>0</v>
      </c>
      <c r="BJ29" s="95">
        <f>VLOOKUP(BD29,CENY!$B$11:$M$2025,12,FALSE)</f>
        <v>407.58967999999999</v>
      </c>
      <c r="BK29" s="95">
        <f t="shared" si="6"/>
        <v>0</v>
      </c>
    </row>
    <row r="30" spans="2:63" ht="14.4" customHeight="1">
      <c r="B30" s="366" t="str">
        <f>verze!E201</f>
        <v>SiSy = tlumení Silent System</v>
      </c>
      <c r="AU30" s="319"/>
      <c r="AV30" s="21"/>
      <c r="AW30" s="22"/>
      <c r="AX30" s="22"/>
      <c r="AY30" s="23"/>
      <c r="AZ30" s="326" t="str">
        <f t="shared" si="1"/>
        <v/>
      </c>
      <c r="BA30" s="95"/>
      <c r="BB30" s="95" t="str">
        <f t="shared" si="0"/>
        <v/>
      </c>
      <c r="BD30" s="319">
        <f>OBJ!B186</f>
        <v>9257141</v>
      </c>
      <c r="BE30" s="21" t="str">
        <f>VLOOKUP(BD30,CENY!$B$11:$G$1054,2,FALSE)</f>
        <v>AvanY-bok Inlay ľavý /v187/h600/ strieb.</v>
      </c>
      <c r="BF30" s="22">
        <f>VLOOKUP(BD30,CENY!$B$11:$G$1054,3,FALSE)</f>
        <v>10</v>
      </c>
      <c r="BG30" s="22"/>
      <c r="BH30" s="23">
        <f>AY18</f>
        <v>0</v>
      </c>
      <c r="BI30" s="326">
        <f t="shared" si="2"/>
        <v>0</v>
      </c>
      <c r="BJ30" s="95">
        <f>VLOOKUP(BD30,CENY!$B$11:$M$2025,12,FALSE)</f>
        <v>417.95686000000001</v>
      </c>
      <c r="BK30" s="95">
        <f t="shared" si="6"/>
        <v>0</v>
      </c>
    </row>
    <row r="31" spans="2:63" ht="14.4" customHeight="1">
      <c r="AU31" s="319">
        <f>OBJ!B233</f>
        <v>9318154</v>
      </c>
      <c r="AV31" s="21" t="str">
        <f>VLOOKUP(AU31,CENY!$B$11:$G$1054,2,FALSE)</f>
        <v>Actro You(S) 270/SiSy 10kg; EB21</v>
      </c>
      <c r="AW31" s="22">
        <f>VLOOKUP(AU31,CENY!$B$11:$G$1054,3,FALSE)</f>
        <v>1</v>
      </c>
      <c r="AX31" s="362">
        <v>4</v>
      </c>
      <c r="AY31" s="68"/>
      <c r="AZ31" s="326" t="str">
        <f t="shared" si="1"/>
        <v/>
      </c>
      <c r="BA31" s="95">
        <f>VLOOKUP(AU31,CENY!$B$11:$M$2025,12,FALSE)</f>
        <v>657.45060999999998</v>
      </c>
      <c r="BB31" s="95">
        <f t="shared" si="0"/>
        <v>0</v>
      </c>
      <c r="BD31" s="319">
        <f>OBJ!B187</f>
        <v>9257142</v>
      </c>
      <c r="BE31" s="21" t="str">
        <f>VLOOKUP(BD31,CENY!$B$11:$G$1054,2,FALSE)</f>
        <v>AvanY-bok Inlay pravý /v187/h600/ strieb.</v>
      </c>
      <c r="BF31" s="22">
        <f>VLOOKUP(BD31,CENY!$B$11:$G$1054,3,FALSE)</f>
        <v>10</v>
      </c>
      <c r="BG31" s="22"/>
      <c r="BH31" s="23">
        <f>AY18</f>
        <v>0</v>
      </c>
      <c r="BI31" s="326">
        <f t="shared" si="2"/>
        <v>0</v>
      </c>
      <c r="BJ31" s="95">
        <f>VLOOKUP(BD31,CENY!$B$11:$M$2025,12,FALSE)</f>
        <v>417.95686000000001</v>
      </c>
      <c r="BK31" s="95">
        <f t="shared" si="6"/>
        <v>0</v>
      </c>
    </row>
    <row r="32" spans="2:63" ht="14.4" customHeight="1">
      <c r="AU32" s="319">
        <f>OBJ!B234</f>
        <v>9318156</v>
      </c>
      <c r="AV32" s="21" t="str">
        <f>VLOOKUP(AU32,CENY!$B$11:$G$1054,2,FALSE)</f>
        <v>Actro You(S) 300/SiSy 10kg; EB21</v>
      </c>
      <c r="AW32" s="22">
        <f>VLOOKUP(AU32,CENY!$B$11:$G$1054,3,FALSE)</f>
        <v>1</v>
      </c>
      <c r="AX32" s="362">
        <v>4</v>
      </c>
      <c r="AY32" s="68"/>
      <c r="AZ32" s="326" t="str">
        <f t="shared" si="1"/>
        <v/>
      </c>
      <c r="BA32" s="95">
        <f>VLOOKUP(AU32,CENY!$B$11:$M$2025,12,FALSE)</f>
        <v>657.45060999999998</v>
      </c>
      <c r="BB32" s="95">
        <f t="shared" si="0"/>
        <v>0</v>
      </c>
      <c r="BD32" s="319">
        <f>OBJ!B188</f>
        <v>9257143</v>
      </c>
      <c r="BE32" s="21" t="str">
        <f>VLOOKUP(BD32,CENY!$B$11:$G$1054,2,FALSE)</f>
        <v>AvanY-bok Inlay ľavý /v187/h650/ strieb.</v>
      </c>
      <c r="BF32" s="22">
        <f>VLOOKUP(BD32,CENY!$B$11:$G$1054,3,FALSE)</f>
        <v>10</v>
      </c>
      <c r="BG32" s="22"/>
      <c r="BH32" s="23">
        <f>AY19</f>
        <v>0</v>
      </c>
      <c r="BI32" s="326">
        <f t="shared" si="2"/>
        <v>0</v>
      </c>
      <c r="BJ32" s="95">
        <f>VLOOKUP(BD32,CENY!$B$11:$M$2025,12,FALSE)</f>
        <v>432.04088000000002</v>
      </c>
      <c r="BK32" s="95">
        <f t="shared" si="6"/>
        <v>0</v>
      </c>
    </row>
    <row r="33" spans="47:63" ht="14.4" customHeight="1">
      <c r="AU33" s="319">
        <f>OBJ!B235</f>
        <v>9318160</v>
      </c>
      <c r="AV33" s="21" t="str">
        <f>VLOOKUP(AU33,CENY!$B$11:$G$1054,2,FALSE)</f>
        <v>Actro You(S) 350/SiSy 10kg; EB21</v>
      </c>
      <c r="AW33" s="22">
        <f>VLOOKUP(AU33,CENY!$B$11:$G$1054,3,FALSE)</f>
        <v>1</v>
      </c>
      <c r="AX33" s="362">
        <v>4</v>
      </c>
      <c r="AY33" s="68"/>
      <c r="AZ33" s="326" t="str">
        <f t="shared" si="1"/>
        <v/>
      </c>
      <c r="BA33" s="95">
        <f>VLOOKUP(AU33,CENY!$B$11:$M$2025,12,FALSE)</f>
        <v>657.45060999999998</v>
      </c>
      <c r="BB33" s="95">
        <f t="shared" si="0"/>
        <v>0</v>
      </c>
      <c r="BD33" s="319">
        <f>OBJ!B189</f>
        <v>9257144</v>
      </c>
      <c r="BE33" s="21" t="str">
        <f>VLOOKUP(BD33,CENY!$B$11:$G$1054,2,FALSE)</f>
        <v>AvanY-bok Inlay pravý /v187/h650/ strieb.</v>
      </c>
      <c r="BF33" s="22">
        <f>VLOOKUP(BD33,CENY!$B$11:$G$1054,3,FALSE)</f>
        <v>10</v>
      </c>
      <c r="BG33" s="22"/>
      <c r="BH33" s="23">
        <f>AY19</f>
        <v>0</v>
      </c>
      <c r="BI33" s="326">
        <f t="shared" si="2"/>
        <v>0</v>
      </c>
      <c r="BJ33" s="95">
        <f>VLOOKUP(BD33,CENY!$B$11:$M$2025,12,FALSE)</f>
        <v>432.04088000000002</v>
      </c>
      <c r="BK33" s="95">
        <f t="shared" si="6"/>
        <v>0</v>
      </c>
    </row>
    <row r="34" spans="47:63" ht="14.4" customHeight="1">
      <c r="AU34" s="20"/>
      <c r="AV34" s="21"/>
      <c r="AW34" s="22"/>
      <c r="AX34" s="22"/>
      <c r="AY34" s="23"/>
      <c r="AZ34" s="326" t="str">
        <f t="shared" si="1"/>
        <v/>
      </c>
      <c r="BA34" s="95"/>
      <c r="BB34" s="95" t="str">
        <f t="shared" si="0"/>
        <v/>
      </c>
      <c r="BD34" s="319"/>
      <c r="BE34" s="21"/>
      <c r="BF34" s="22"/>
      <c r="BG34" s="22"/>
      <c r="BH34" s="23"/>
      <c r="BI34" s="326" t="str">
        <f t="shared" si="2"/>
        <v/>
      </c>
      <c r="BJ34" s="95"/>
      <c r="BK34" s="95" t="str">
        <f t="shared" si="3"/>
        <v/>
      </c>
    </row>
    <row r="35" spans="47:63" ht="14.4" customHeight="1">
      <c r="AU35" s="319">
        <f>OBJ!B243</f>
        <v>9318186</v>
      </c>
      <c r="AV35" s="21" t="str">
        <f>VLOOKUP(AU35,CENY!$B$11:$G$1054,2,FALSE)</f>
        <v>Actro You(L) 270/SiSy 40kg; EB21</v>
      </c>
      <c r="AW35" s="22">
        <f>VLOOKUP(AU35,CENY!$B$11:$G$1054,3,FALSE)</f>
        <v>1</v>
      </c>
      <c r="AX35" s="362">
        <v>8</v>
      </c>
      <c r="AY35" s="68"/>
      <c r="AZ35" s="326" t="str">
        <f t="shared" si="1"/>
        <v/>
      </c>
      <c r="BA35" s="95">
        <f>VLOOKUP(AU35,CENY!$B$11:$M$2025,12,FALSE)</f>
        <v>657.45060999999998</v>
      </c>
      <c r="BB35" s="95">
        <f t="shared" si="0"/>
        <v>0</v>
      </c>
      <c r="BD35" s="319">
        <f>OBJ!B69</f>
        <v>9255835</v>
      </c>
      <c r="BE35" s="21" t="str">
        <f>VLOOKUP(BD35,CENY!$B$11:$G$1054,2,FALSE)</f>
        <v>AvanY-príchytka čela k naskrutk./ v101</v>
      </c>
      <c r="BF35" s="22">
        <f>VLOOKUP(BD35,CENY!$B$11:$G$1054,3,FALSE)</f>
        <v>200</v>
      </c>
      <c r="BG35" s="22"/>
      <c r="BH35" s="23">
        <f>2*(AY2)*(SUM(W20:AD20)+SUM(W22:AF22)+SUM(W28:AD28))</f>
        <v>0</v>
      </c>
      <c r="BI35" s="326">
        <f t="shared" si="2"/>
        <v>0</v>
      </c>
      <c r="BJ35" s="95">
        <f>VLOOKUP(BD35,CENY!$B$11:$M$2025,12,FALSE)</f>
        <v>24.69378</v>
      </c>
      <c r="BK35" s="95">
        <f t="shared" si="3"/>
        <v>0</v>
      </c>
    </row>
    <row r="36" spans="47:63" ht="14.4" customHeight="1">
      <c r="AU36" s="319">
        <f>OBJ!B244</f>
        <v>9318187</v>
      </c>
      <c r="AV36" s="21" t="str">
        <f>VLOOKUP(AU36,CENY!$B$11:$G$1054,2,FALSE)</f>
        <v>Actro You(L) 300/SiSy 40kg; EB21</v>
      </c>
      <c r="AW36" s="22">
        <f>VLOOKUP(AU36,CENY!$B$11:$G$1054,3,FALSE)</f>
        <v>1</v>
      </c>
      <c r="AX36" s="362">
        <v>8</v>
      </c>
      <c r="AY36" s="68"/>
      <c r="AZ36" s="326" t="str">
        <f t="shared" si="1"/>
        <v/>
      </c>
      <c r="BA36" s="95">
        <f>VLOOKUP(AU36,CENY!$B$11:$M$2025,12,FALSE)</f>
        <v>657.45060999999998</v>
      </c>
      <c r="BB36" s="95">
        <f t="shared" si="0"/>
        <v>0</v>
      </c>
      <c r="BD36" s="319">
        <f>OBJ!B191</f>
        <v>9257257</v>
      </c>
      <c r="BE36" s="21" t="str">
        <f>VLOOKUP(BD36,CENY!$B$11:$G$1054,2,FALSE)</f>
        <v>AvanY-prích.čela Inlay k naskrutk./ v187</v>
      </c>
      <c r="BF36" s="22">
        <f>VLOOKUP(BD36,CENY!$B$11:$G$1054,3,FALSE)</f>
        <v>100</v>
      </c>
      <c r="BG36" s="22"/>
      <c r="BH36" s="23">
        <f>2*(AY4)*(SUM(W20:AD20)+SUM(W22:AF22)+SUM(W28:AD28))</f>
        <v>0</v>
      </c>
      <c r="BI36" s="326">
        <f t="shared" si="2"/>
        <v>0</v>
      </c>
      <c r="BJ36" s="95">
        <f>VLOOKUP(BD36,CENY!$B$11:$M$2025,12,FALSE)</f>
        <v>50.732700000000001</v>
      </c>
      <c r="BK36" s="95">
        <f t="shared" si="3"/>
        <v>0</v>
      </c>
    </row>
    <row r="37" spans="47:63" ht="14.4" customHeight="1">
      <c r="AU37" s="319">
        <f>OBJ!B245</f>
        <v>9318188</v>
      </c>
      <c r="AV37" s="21" t="str">
        <f>VLOOKUP(AU37,CENY!$B$11:$G$1054,2,FALSE)</f>
        <v>Actro You(L) 350/SiSy 40kg; EB21</v>
      </c>
      <c r="AW37" s="22">
        <f>VLOOKUP(AU37,CENY!$B$11:$G$1054,3,FALSE)</f>
        <v>1</v>
      </c>
      <c r="AX37" s="362">
        <v>8</v>
      </c>
      <c r="AY37" s="68"/>
      <c r="AZ37" s="326" t="str">
        <f t="shared" si="1"/>
        <v/>
      </c>
      <c r="BA37" s="95">
        <f>VLOOKUP(AU37,CENY!$B$11:$M$2025,12,FALSE)</f>
        <v>657.45060999999998</v>
      </c>
      <c r="BB37" s="95">
        <f t="shared" si="0"/>
        <v>0</v>
      </c>
      <c r="BD37" s="320">
        <v>9255835</v>
      </c>
      <c r="BE37" s="321" t="str">
        <f>VLOOKUP(BD37,CENY!$B$11:$G$1054,2,FALSE)</f>
        <v>AvanY-príchytka čela k naskrutk./ v101</v>
      </c>
      <c r="BF37" s="22">
        <f>VLOOKUP(BD37,CENY!$B$11:$G$1054,3,FALSE)</f>
        <v>200</v>
      </c>
      <c r="BG37" s="22"/>
      <c r="BH37" s="68">
        <f>2*(AY1)*(SUM(W20:AD20)+SUM(W22:AF22)+SUM(W28:AD28))</f>
        <v>0</v>
      </c>
      <c r="BI37" s="326">
        <f t="shared" si="2"/>
        <v>0</v>
      </c>
      <c r="BJ37" s="95">
        <f>VLOOKUP(BD37,CENY!$B$11:$M$2025,12,FALSE)</f>
        <v>24.69378</v>
      </c>
      <c r="BK37" s="95">
        <f t="shared" si="3"/>
        <v>0</v>
      </c>
    </row>
    <row r="38" spans="47:63" ht="14.4" customHeight="1">
      <c r="AU38" s="319">
        <f>OBJ!B246</f>
        <v>9318190</v>
      </c>
      <c r="AV38" s="21" t="str">
        <f>VLOOKUP(AU38,CENY!$B$11:$G$1054,2,FALSE)</f>
        <v>Actro You(L) 400/SiSy 40kg; EB21</v>
      </c>
      <c r="AW38" s="22">
        <f>VLOOKUP(AU38,CENY!$B$11:$G$1054,3,FALSE)</f>
        <v>1</v>
      </c>
      <c r="AX38" s="362">
        <v>8</v>
      </c>
      <c r="AY38" s="68"/>
      <c r="AZ38" s="326" t="str">
        <f t="shared" si="1"/>
        <v/>
      </c>
      <c r="BA38" s="95">
        <f>VLOOKUP(AU38,CENY!$B$11:$M$2025,12,FALSE)</f>
        <v>664.73978</v>
      </c>
      <c r="BB38" s="95">
        <f t="shared" si="0"/>
        <v>0</v>
      </c>
      <c r="BD38" s="320">
        <v>9257257</v>
      </c>
      <c r="BE38" s="321" t="str">
        <f>VLOOKUP(BD38,CENY!$B$11:$G$1054,2,FALSE)</f>
        <v>AvanY-prích.čela Inlay k naskrutk./ v187</v>
      </c>
      <c r="BF38" s="22">
        <f>VLOOKUP(BD38,CENY!$B$11:$G$1054,3,FALSE)</f>
        <v>100</v>
      </c>
      <c r="BG38" s="22"/>
      <c r="BH38" s="68">
        <f>2*(AY3)*(SUM(W20:AD20)+SUM(W22:AF22)+SUM(W28:AD28))</f>
        <v>0</v>
      </c>
      <c r="BI38" s="326">
        <f t="shared" si="2"/>
        <v>0</v>
      </c>
      <c r="BJ38" s="95">
        <f>VLOOKUP(BD38,CENY!$B$11:$M$2025,12,FALSE)</f>
        <v>50.732700000000001</v>
      </c>
      <c r="BK38" s="95">
        <f t="shared" si="3"/>
        <v>0</v>
      </c>
    </row>
    <row r="39" spans="47:63" ht="14.4" customHeight="1">
      <c r="AU39" s="319">
        <f>OBJ!B247</f>
        <v>9318191</v>
      </c>
      <c r="AV39" s="21" t="str">
        <f>VLOOKUP(AU39,CENY!$B$11:$G$1054,2,FALSE)</f>
        <v>Actro You(L) 450/SiSy 40kg; EB21</v>
      </c>
      <c r="AW39" s="22">
        <f>VLOOKUP(AU39,CENY!$B$11:$G$1054,3,FALSE)</f>
        <v>1</v>
      </c>
      <c r="AX39" s="362">
        <v>10</v>
      </c>
      <c r="AY39" s="23">
        <f>SUM(AY1:AY4)*W20</f>
        <v>0</v>
      </c>
      <c r="AZ39" s="326">
        <f t="shared" si="1"/>
        <v>0</v>
      </c>
      <c r="BA39" s="95">
        <f>VLOOKUP(AU39,CENY!$B$11:$M$2025,12,FALSE)</f>
        <v>671.97520999999995</v>
      </c>
      <c r="BB39" s="95">
        <f t="shared" si="0"/>
        <v>0</v>
      </c>
      <c r="BD39" s="319">
        <f>OBJ!B48</f>
        <v>9257702</v>
      </c>
      <c r="BE39" s="21" t="str">
        <f>VLOOKUP(BD39,CENY!$B$11:$G$1054,2,FALSE)</f>
        <v>AvanY-stabilizátor chrbáta</v>
      </c>
      <c r="BF39" s="22">
        <f>VLOOKUP(BD39,CENY!$B$11:$G$1054,3,FALSE)</f>
        <v>200</v>
      </c>
      <c r="BG39" s="22"/>
      <c r="BH39" s="23">
        <f>2*(SUM(AY1:AY4)*(SUM(W20:AD20)+SUM(W22:AF22)+SUM(W28:AD28)))</f>
        <v>0</v>
      </c>
      <c r="BI39" s="326">
        <f t="shared" si="2"/>
        <v>0</v>
      </c>
      <c r="BJ39" s="95">
        <f>VLOOKUP(BD39,CENY!$B$11:$M$2025,12,FALSE)</f>
        <v>15.54837</v>
      </c>
      <c r="BK39" s="95">
        <f t="shared" si="3"/>
        <v>0</v>
      </c>
    </row>
    <row r="40" spans="47:63" ht="14.4" customHeight="1">
      <c r="AU40" s="319">
        <f>OBJ!B248</f>
        <v>9318192</v>
      </c>
      <c r="AV40" s="21" t="str">
        <f>VLOOKUP(AU40,CENY!$B$11:$G$1054,2,FALSE)</f>
        <v>Actro You(L) 500/SiSy 40kg; EB21</v>
      </c>
      <c r="AW40" s="22">
        <f>VLOOKUP(AU40,CENY!$B$11:$G$1054,3,FALSE)</f>
        <v>1</v>
      </c>
      <c r="AX40" s="362">
        <v>10</v>
      </c>
      <c r="AY40" s="23">
        <f>SUM(AY1:AY4)*Y20</f>
        <v>0</v>
      </c>
      <c r="AZ40" s="326">
        <f t="shared" si="1"/>
        <v>0</v>
      </c>
      <c r="BA40" s="95">
        <f>VLOOKUP(AU40,CENY!$B$11:$M$2025,12,FALSE)</f>
        <v>164.23333</v>
      </c>
      <c r="BB40" s="95">
        <f t="shared" si="0"/>
        <v>0</v>
      </c>
      <c r="BD40" s="20"/>
      <c r="BE40" s="21"/>
      <c r="BF40" s="22"/>
      <c r="BG40" s="22"/>
      <c r="BH40" s="23"/>
      <c r="BI40" s="326" t="str">
        <f t="shared" si="2"/>
        <v/>
      </c>
      <c r="BJ40" s="95"/>
      <c r="BK40" s="95" t="str">
        <f t="shared" si="3"/>
        <v/>
      </c>
    </row>
    <row r="41" spans="47:63" ht="14.4" customHeight="1">
      <c r="AU41" s="319">
        <f>OBJ!B249</f>
        <v>9318194</v>
      </c>
      <c r="AV41" s="21" t="str">
        <f>VLOOKUP(AU41,CENY!$B$11:$G$1054,2,FALSE)</f>
        <v>Actro You(L) 550/SiSy 40kg; EB21</v>
      </c>
      <c r="AW41" s="22">
        <f>VLOOKUP(AU41,CENY!$B$11:$G$1054,3,FALSE)</f>
        <v>1</v>
      </c>
      <c r="AX41" s="362">
        <v>10</v>
      </c>
      <c r="AY41" s="23">
        <f>SUM(AY1:AY4)*AA20</f>
        <v>0</v>
      </c>
      <c r="AZ41" s="326">
        <f t="shared" si="1"/>
        <v>0</v>
      </c>
      <c r="BA41" s="95">
        <f>VLOOKUP(AU41,CENY!$B$11:$M$2025,12,FALSE)</f>
        <v>173.62268</v>
      </c>
      <c r="BB41" s="95">
        <f t="shared" si="0"/>
        <v>0</v>
      </c>
      <c r="BD41" s="319">
        <f>OBJ!B71</f>
        <v>9347502</v>
      </c>
      <c r="BE41" s="21" t="str">
        <f>VLOOKUP(BD41,CENY!$B$11:$G$1054,2,FALSE)</f>
        <v>AvanY-design ALprofil Hybrid na bok 270/ strieb.</v>
      </c>
      <c r="BF41" s="22">
        <f>VLOOKUP(BD41,CENY!$B$11:$G$1054,3,FALSE)</f>
        <v>200</v>
      </c>
      <c r="BG41" s="22"/>
      <c r="BH41" s="68"/>
      <c r="BI41" s="326" t="str">
        <f t="shared" si="2"/>
        <v/>
      </c>
      <c r="BJ41" s="95">
        <f>VLOOKUP(BD41,CENY!$B$11:$M$2025,12,FALSE)</f>
        <v>19.78839</v>
      </c>
      <c r="BK41" s="95">
        <f t="shared" si="3"/>
        <v>0</v>
      </c>
    </row>
    <row r="42" spans="47:63" ht="14.4" customHeight="1">
      <c r="AU42" s="319">
        <f>OBJ!B250</f>
        <v>9318196</v>
      </c>
      <c r="AV42" s="21" t="str">
        <f>VLOOKUP(AU42,CENY!$B$11:$G$1054,2,FALSE)</f>
        <v>Actro You(L) 600/SiSy 40kg; EB21</v>
      </c>
      <c r="AW42" s="22">
        <f>VLOOKUP(AU42,CENY!$B$11:$G$1054,3,FALSE)</f>
        <v>1</v>
      </c>
      <c r="AX42" s="362">
        <v>10</v>
      </c>
      <c r="AY42" s="23">
        <f>SUM(AY1:AY4)*AC20</f>
        <v>0</v>
      </c>
      <c r="AZ42" s="326">
        <f t="shared" si="1"/>
        <v>0</v>
      </c>
      <c r="BA42" s="95">
        <f>VLOOKUP(AU42,CENY!$B$11:$M$2025,12,FALSE)</f>
        <v>726.70140000000004</v>
      </c>
      <c r="BB42" s="95">
        <f t="shared" si="0"/>
        <v>0</v>
      </c>
      <c r="BD42" s="319">
        <f>OBJ!B72</f>
        <v>9347503</v>
      </c>
      <c r="BE42" s="21" t="str">
        <f>VLOOKUP(BD42,CENY!$B$11:$G$1054,2,FALSE)</f>
        <v>AvanY-design ALprofil Hybrid na bok 300/ strieb.</v>
      </c>
      <c r="BF42" s="22">
        <f>VLOOKUP(BD42,CENY!$B$11:$G$1054,3,FALSE)</f>
        <v>200</v>
      </c>
      <c r="BG42" s="22"/>
      <c r="BH42" s="68"/>
      <c r="BI42" s="326" t="str">
        <f t="shared" si="2"/>
        <v/>
      </c>
      <c r="BJ42" s="95">
        <f>VLOOKUP(BD42,CENY!$B$11:$M$2025,12,FALSE)</f>
        <v>20.006769999999999</v>
      </c>
      <c r="BK42" s="95">
        <f t="shared" si="3"/>
        <v>0</v>
      </c>
    </row>
    <row r="43" spans="47:63" ht="14.4" customHeight="1">
      <c r="AU43" s="319"/>
      <c r="AV43" s="21"/>
      <c r="AW43" s="22"/>
      <c r="AX43" s="22"/>
      <c r="AY43" s="23"/>
      <c r="AZ43" s="326" t="str">
        <f t="shared" si="1"/>
        <v/>
      </c>
      <c r="BA43" s="95"/>
      <c r="BB43" s="95" t="str">
        <f t="shared" si="0"/>
        <v/>
      </c>
      <c r="BD43" s="319">
        <f>OBJ!B73</f>
        <v>9347504</v>
      </c>
      <c r="BE43" s="21" t="str">
        <f>VLOOKUP(BD43,CENY!$B$11:$G$1054,2,FALSE)</f>
        <v>AvanY-design ALprofil Hybrid na bok 350/ strieb.</v>
      </c>
      <c r="BF43" s="22">
        <f>VLOOKUP(BD43,CENY!$B$11:$G$1054,3,FALSE)</f>
        <v>200</v>
      </c>
      <c r="BG43" s="22"/>
      <c r="BH43" s="68"/>
      <c r="BI43" s="326" t="str">
        <f t="shared" si="2"/>
        <v/>
      </c>
      <c r="BJ43" s="95">
        <f>VLOOKUP(BD43,CENY!$B$11:$M$2025,12,FALSE)</f>
        <v>20.37642</v>
      </c>
      <c r="BK43" s="95">
        <f t="shared" si="3"/>
        <v>0</v>
      </c>
    </row>
    <row r="44" spans="47:63" ht="14.4" customHeight="1">
      <c r="AU44" s="319">
        <f>OBJ!B268</f>
        <v>9318215</v>
      </c>
      <c r="AV44" s="21" t="str">
        <f>VLOOKUP(AU44,CENY!$B$11:$G$1054,2,FALSE)</f>
        <v>Actro You(XL) 450/SiSy 70kg; EB21</v>
      </c>
      <c r="AW44" s="22">
        <f>VLOOKUP(AU44,CENY!$B$11:$G$1054,3,FALSE)</f>
        <v>1</v>
      </c>
      <c r="AX44" s="362">
        <v>10</v>
      </c>
      <c r="AY44" s="23">
        <f>SUM(AY1:AY4)*W22</f>
        <v>0</v>
      </c>
      <c r="AZ44" s="326">
        <f t="shared" si="1"/>
        <v>0</v>
      </c>
      <c r="BA44" s="95">
        <f>VLOOKUP(AU44,CENY!$B$11:$M$2025,12,FALSE)</f>
        <v>197.37184999999999</v>
      </c>
      <c r="BB44" s="95">
        <f t="shared" si="0"/>
        <v>0</v>
      </c>
      <c r="BD44" s="319">
        <f>OBJ!B74</f>
        <v>9347505</v>
      </c>
      <c r="BE44" s="21" t="str">
        <f>VLOOKUP(BD44,CENY!$B$11:$G$1054,2,FALSE)</f>
        <v>AvanY-design ALprofil Hybrid na bok 400/ strieb.</v>
      </c>
      <c r="BF44" s="22">
        <f>VLOOKUP(BD44,CENY!$B$11:$G$1054,3,FALSE)</f>
        <v>200</v>
      </c>
      <c r="BG44" s="22"/>
      <c r="BH44" s="68"/>
      <c r="BI44" s="326" t="str">
        <f t="shared" si="2"/>
        <v/>
      </c>
      <c r="BJ44" s="95">
        <f>VLOOKUP(BD44,CENY!$B$11:$M$2025,12,FALSE)</f>
        <v>20.742249999999999</v>
      </c>
      <c r="BK44" s="95">
        <f t="shared" si="3"/>
        <v>0</v>
      </c>
    </row>
    <row r="45" spans="47:63" ht="14.4" customHeight="1">
      <c r="AU45" s="319">
        <f>OBJ!B269</f>
        <v>9318216</v>
      </c>
      <c r="AV45" s="21" t="str">
        <f>VLOOKUP(AU45,CENY!$B$11:$G$1054,2,FALSE)</f>
        <v>Actro You(XL) 500/SiSy 70kg; EB21</v>
      </c>
      <c r="AW45" s="22">
        <f>VLOOKUP(AU45,CENY!$B$11:$G$1054,3,FALSE)</f>
        <v>1</v>
      </c>
      <c r="AX45" s="362">
        <v>10</v>
      </c>
      <c r="AY45" s="23">
        <f>SUM(AY1:AY4)*Y22</f>
        <v>0</v>
      </c>
      <c r="AZ45" s="326">
        <f t="shared" si="1"/>
        <v>0</v>
      </c>
      <c r="BA45" s="95">
        <f>VLOOKUP(AU45,CENY!$B$11:$M$2025,12,FALSE)</f>
        <v>823.68502000000001</v>
      </c>
      <c r="BB45" s="95">
        <f t="shared" si="0"/>
        <v>0</v>
      </c>
      <c r="BD45" s="319">
        <f>OBJ!B75</f>
        <v>9347506</v>
      </c>
      <c r="BE45" s="21" t="str">
        <f>VLOOKUP(BD45,CENY!$B$11:$G$1054,2,FALSE)</f>
        <v>AvanY-design ALprofil Hybrid na bok 450/ strieb.</v>
      </c>
      <c r="BF45" s="22">
        <f>VLOOKUP(BD45,CENY!$B$11:$G$1054,3,FALSE)</f>
        <v>200</v>
      </c>
      <c r="BG45" s="22"/>
      <c r="BH45" s="23">
        <f>2*SUM(AY1:AY2)*(W20+W22+W28)</f>
        <v>0</v>
      </c>
      <c r="BI45" s="326">
        <f t="shared" si="2"/>
        <v>0</v>
      </c>
      <c r="BJ45" s="95">
        <f>VLOOKUP(BD45,CENY!$B$11:$M$2025,12,FALSE)</f>
        <v>21.111910000000002</v>
      </c>
      <c r="BK45" s="95">
        <f t="shared" si="3"/>
        <v>0</v>
      </c>
    </row>
    <row r="46" spans="47:63" ht="14.4" customHeight="1">
      <c r="AU46" s="319">
        <f>OBJ!B270</f>
        <v>9318217</v>
      </c>
      <c r="AV46" s="21" t="str">
        <f>VLOOKUP(AU46,CENY!$B$11:$G$1054,2,FALSE)</f>
        <v>Actro You(XL) 550/SiSy 70kg; EB21</v>
      </c>
      <c r="AW46" s="22">
        <f>VLOOKUP(AU46,CENY!$B$11:$G$1054,3,FALSE)</f>
        <v>1</v>
      </c>
      <c r="AX46" s="362">
        <v>10</v>
      </c>
      <c r="AY46" s="23">
        <f>SUM(AY1:AY4)*AA22</f>
        <v>0</v>
      </c>
      <c r="AZ46" s="326">
        <f t="shared" si="1"/>
        <v>0</v>
      </c>
      <c r="BA46" s="95">
        <f>VLOOKUP(AU46,CENY!$B$11:$M$2025,12,FALSE)</f>
        <v>862.82307000000003</v>
      </c>
      <c r="BB46" s="95">
        <f t="shared" si="0"/>
        <v>0</v>
      </c>
      <c r="BD46" s="319">
        <f>OBJ!B76</f>
        <v>9347507</v>
      </c>
      <c r="BE46" s="21" t="str">
        <f>VLOOKUP(BD46,CENY!$B$11:$G$1054,2,FALSE)</f>
        <v>AvanY-design ALprofil Hybrid na bok 500/ strieb.</v>
      </c>
      <c r="BF46" s="22">
        <f>VLOOKUP(BD46,CENY!$B$11:$G$1054,3,FALSE)</f>
        <v>200</v>
      </c>
      <c r="BG46" s="22"/>
      <c r="BH46" s="23">
        <f>2*SUM(AY1:AY2)*(Y20+Y22+Y28)</f>
        <v>0</v>
      </c>
      <c r="BI46" s="326">
        <f t="shared" si="2"/>
        <v>0</v>
      </c>
      <c r="BJ46" s="95">
        <f>VLOOKUP(BD46,CENY!$B$11:$M$2025,12,FALSE)</f>
        <v>21.479700000000001</v>
      </c>
      <c r="BK46" s="95">
        <f t="shared" si="3"/>
        <v>0</v>
      </c>
    </row>
    <row r="47" spans="47:63" ht="14.4" customHeight="1">
      <c r="AU47" s="319">
        <f>OBJ!B271</f>
        <v>9318218</v>
      </c>
      <c r="AV47" s="21" t="str">
        <f>VLOOKUP(AU47,CENY!$B$11:$G$1054,2,FALSE)</f>
        <v>Actro You(XL) 600/SiSy 70kg; EB21</v>
      </c>
      <c r="AW47" s="22">
        <f>VLOOKUP(AU47,CENY!$B$11:$G$1054,3,FALSE)</f>
        <v>1</v>
      </c>
      <c r="AX47" s="362">
        <v>10</v>
      </c>
      <c r="AY47" s="23">
        <f>SUM(AY1:AY4)*AC22</f>
        <v>0</v>
      </c>
      <c r="AZ47" s="326">
        <f t="shared" si="1"/>
        <v>0</v>
      </c>
      <c r="BA47" s="95">
        <f>VLOOKUP(AU47,CENY!$B$11:$M$2025,12,FALSE)</f>
        <v>941.88580999999999</v>
      </c>
      <c r="BB47" s="95">
        <f t="shared" si="0"/>
        <v>0</v>
      </c>
      <c r="BD47" s="319">
        <f>OBJ!B77</f>
        <v>9347508</v>
      </c>
      <c r="BE47" s="21" t="str">
        <f>VLOOKUP(BD47,CENY!$B$11:$G$1054,2,FALSE)</f>
        <v>AvanY-design ALprofil Hybrid na bok 550/ strieb.</v>
      </c>
      <c r="BF47" s="22">
        <f>VLOOKUP(BD47,CENY!$B$11:$G$1054,3,FALSE)</f>
        <v>200</v>
      </c>
      <c r="BG47" s="22"/>
      <c r="BH47" s="23">
        <f>2*SUM(AY1:AY2)*(AA20+AA22+AA28)</f>
        <v>0</v>
      </c>
      <c r="BI47" s="326">
        <f t="shared" si="2"/>
        <v>0</v>
      </c>
      <c r="BJ47" s="95">
        <f>VLOOKUP(BD47,CENY!$B$11:$M$2025,12,FALSE)</f>
        <v>21.84564</v>
      </c>
      <c r="BK47" s="95">
        <f t="shared" si="3"/>
        <v>0</v>
      </c>
    </row>
    <row r="48" spans="47:63" ht="14.4" customHeight="1">
      <c r="AU48" s="319">
        <f>OBJ!B272</f>
        <v>9318219</v>
      </c>
      <c r="AV48" s="21" t="str">
        <f>VLOOKUP(AU48,CENY!$B$11:$G$1054,2,FALSE)</f>
        <v>Actro You(XL) 650/SiSy 70kg; EB21</v>
      </c>
      <c r="AW48" s="22">
        <f>VLOOKUP(AU48,CENY!$B$11:$G$1054,3,FALSE)</f>
        <v>1</v>
      </c>
      <c r="AX48" s="362">
        <v>10</v>
      </c>
      <c r="AY48" s="23">
        <f>SUM(AY1:AY4)*AE22</f>
        <v>0</v>
      </c>
      <c r="AZ48" s="326">
        <f t="shared" si="1"/>
        <v>0</v>
      </c>
      <c r="BA48" s="95">
        <f>VLOOKUP(AU48,CENY!$B$11:$M$2025,12,FALSE)</f>
        <v>977.56314999999995</v>
      </c>
      <c r="BB48" s="95">
        <f t="shared" si="0"/>
        <v>0</v>
      </c>
      <c r="BD48" s="319">
        <f>OBJ!B78</f>
        <v>9347509</v>
      </c>
      <c r="BE48" s="21" t="str">
        <f>VLOOKUP(BD48,CENY!$B$11:$G$1054,2,FALSE)</f>
        <v>AvanY-design ALprofil Hybrid na bok 600/ strieb.</v>
      </c>
      <c r="BF48" s="22">
        <f>VLOOKUP(BD48,CENY!$B$11:$G$1054,3,FALSE)</f>
        <v>200</v>
      </c>
      <c r="BG48" s="22"/>
      <c r="BH48" s="23">
        <f>2*SUM(AY1:AY2)*(AC20+AC22+AC28)</f>
        <v>0</v>
      </c>
      <c r="BI48" s="326">
        <f t="shared" si="2"/>
        <v>0</v>
      </c>
      <c r="BJ48" s="95">
        <f>VLOOKUP(BD48,CENY!$B$11:$M$2025,12,FALSE)</f>
        <v>22.79205</v>
      </c>
      <c r="BK48" s="95">
        <f t="shared" si="3"/>
        <v>0</v>
      </c>
    </row>
    <row r="49" spans="47:63" ht="14.4" customHeight="1">
      <c r="AU49" s="319"/>
      <c r="AV49" s="21"/>
      <c r="AW49" s="22"/>
      <c r="AX49" s="22"/>
      <c r="AY49" s="23"/>
      <c r="AZ49" s="326" t="str">
        <f t="shared" si="1"/>
        <v/>
      </c>
      <c r="BA49" s="95"/>
      <c r="BB49" s="95" t="str">
        <f t="shared" si="0"/>
        <v/>
      </c>
      <c r="BD49" s="319">
        <f>OBJ!B79</f>
        <v>9347510</v>
      </c>
      <c r="BE49" s="21" t="str">
        <f>VLOOKUP(BD49,CENY!$B$11:$G$1054,2,FALSE)</f>
        <v>AvanY-design ALprofil Hybrid na bok 650/ strieb.</v>
      </c>
      <c r="BF49" s="22">
        <f>VLOOKUP(BD49,CENY!$B$11:$G$1054,3,FALSE)</f>
        <v>200</v>
      </c>
      <c r="BG49" s="22"/>
      <c r="BH49" s="23">
        <f>2*SUM(AY1:AY2)*AE22</f>
        <v>0</v>
      </c>
      <c r="BI49" s="326">
        <f t="shared" si="2"/>
        <v>0</v>
      </c>
      <c r="BJ49" s="95">
        <f>VLOOKUP(BD49,CENY!$B$11:$M$2025,12,FALSE)</f>
        <v>24.580449999999999</v>
      </c>
      <c r="BK49" s="95">
        <f t="shared" si="3"/>
        <v>0</v>
      </c>
    </row>
    <row r="50" spans="47:63" ht="14.4" customHeight="1">
      <c r="AU50" s="319">
        <f>OBJ!B284</f>
        <v>9257890</v>
      </c>
      <c r="AV50" s="21" t="str">
        <f>VLOOKUP(AU50,CENY!$B$11:$G$1054,2,FALSE)</f>
        <v>Actro You - Push to open Silent; &lt;10kg</v>
      </c>
      <c r="AW50" s="22">
        <f>VLOOKUP(AU50,CENY!$B$11:$G$1054,3,FALSE)</f>
        <v>1</v>
      </c>
      <c r="AX50" s="22"/>
      <c r="AY50" s="68"/>
      <c r="AZ50" s="326" t="str">
        <f t="shared" si="1"/>
        <v/>
      </c>
      <c r="BA50" s="95">
        <f>VLOOKUP(AU50,CENY!$B$11:$M$2025,12,FALSE)</f>
        <v>481.81412999999998</v>
      </c>
      <c r="BB50" s="95">
        <f t="shared" si="0"/>
        <v>0</v>
      </c>
      <c r="BD50" s="319"/>
      <c r="BE50" s="21"/>
      <c r="BF50" s="22"/>
      <c r="BG50" s="22"/>
      <c r="BH50" s="23"/>
      <c r="BI50" s="326" t="str">
        <f t="shared" si="2"/>
        <v/>
      </c>
      <c r="BJ50" s="95"/>
      <c r="BK50" s="95" t="str">
        <f t="shared" si="3"/>
        <v/>
      </c>
    </row>
    <row r="51" spans="47:63" ht="14.4" customHeight="1">
      <c r="AU51" s="319">
        <f>OBJ!B285</f>
        <v>9257891</v>
      </c>
      <c r="AV51" s="21" t="str">
        <f>VLOOKUP(AU51,CENY!$B$11:$G$1054,2,FALSE)</f>
        <v>Actro You - Push to open Silent; 8-20kg</v>
      </c>
      <c r="AW51" s="22">
        <f>VLOOKUP(AU51,CENY!$B$11:$G$1054,3,FALSE)</f>
        <v>1</v>
      </c>
      <c r="AX51" s="22"/>
      <c r="AY51" s="68"/>
      <c r="AZ51" s="326" t="str">
        <f t="shared" si="1"/>
        <v/>
      </c>
      <c r="BA51" s="95">
        <f>VLOOKUP(AU51,CENY!$B$11:$M$2025,12,FALSE)</f>
        <v>481.81412999999998</v>
      </c>
      <c r="BB51" s="95">
        <f t="shared" si="0"/>
        <v>0</v>
      </c>
      <c r="BD51" s="319">
        <f>OBJ!B236</f>
        <v>9318145</v>
      </c>
      <c r="BE51" s="21" t="str">
        <f>VLOOKUP(BD51,CENY!$B$11:$G$1054,2,FALSE)</f>
        <v>Actro You(S) 270/SiSy 10kg; EB21; ľavý</v>
      </c>
      <c r="BF51" s="22">
        <f>VLOOKUP(BD51,CENY!$B$11:$G$1054,3,FALSE)</f>
        <v>10</v>
      </c>
      <c r="BG51" s="22"/>
      <c r="BH51" s="68"/>
      <c r="BI51" s="326" t="str">
        <f t="shared" si="2"/>
        <v/>
      </c>
      <c r="BJ51" s="95">
        <f>VLOOKUP(BD51,CENY!$B$11:$M$2025,12,FALSE)</f>
        <v>298.88173999999998</v>
      </c>
      <c r="BK51" s="95">
        <f t="shared" si="3"/>
        <v>0</v>
      </c>
    </row>
    <row r="52" spans="47:63" ht="14.4" customHeight="1">
      <c r="AU52" s="319">
        <f>OBJ!B286</f>
        <v>9257892</v>
      </c>
      <c r="AV52" s="21" t="str">
        <f>VLOOKUP(AU52,CENY!$B$11:$G$1054,2,FALSE)</f>
        <v>Actro You - Push to open Silent; 10-40kg</v>
      </c>
      <c r="AW52" s="22">
        <f>VLOOKUP(AU52,CENY!$B$11:$G$1054,3,FALSE)</f>
        <v>1</v>
      </c>
      <c r="AX52" s="22"/>
      <c r="AY52" s="68"/>
      <c r="AZ52" s="326" t="str">
        <f t="shared" si="1"/>
        <v/>
      </c>
      <c r="BA52" s="95">
        <f>VLOOKUP(AU52,CENY!$B$11:$M$2025,12,FALSE)</f>
        <v>481.81412999999998</v>
      </c>
      <c r="BB52" s="95">
        <f t="shared" si="0"/>
        <v>0</v>
      </c>
      <c r="BD52" s="319">
        <f>OBJ!B237</f>
        <v>9318146</v>
      </c>
      <c r="BE52" s="21" t="str">
        <f>VLOOKUP(BD52,CENY!$B$11:$G$1054,2,FALSE)</f>
        <v>Actro You(S) 270/SiSy 10kg; EB21; pravý</v>
      </c>
      <c r="BF52" s="22">
        <f>VLOOKUP(BD52,CENY!$B$11:$G$1054,3,FALSE)</f>
        <v>10</v>
      </c>
      <c r="BG52" s="22"/>
      <c r="BH52" s="68"/>
      <c r="BI52" s="326" t="str">
        <f t="shared" si="2"/>
        <v/>
      </c>
      <c r="BJ52" s="95">
        <f>VLOOKUP(BD52,CENY!$B$11:$M$2025,12,FALSE)</f>
        <v>298.88173999999998</v>
      </c>
      <c r="BK52" s="95">
        <f t="shared" si="3"/>
        <v>0</v>
      </c>
    </row>
    <row r="53" spans="47:63" ht="14.4" customHeight="1">
      <c r="AU53" s="319">
        <f>OBJ!B287</f>
        <v>9257893</v>
      </c>
      <c r="AV53" s="21" t="str">
        <f>VLOOKUP(AU53,CENY!$B$11:$G$1054,2,FALSE)</f>
        <v>Actro You - Push to open Silent; 20-70kg</v>
      </c>
      <c r="AW53" s="22">
        <f>VLOOKUP(AU53,CENY!$B$11:$G$1054,3,FALSE)</f>
        <v>1</v>
      </c>
      <c r="AX53" s="22"/>
      <c r="AY53" s="68"/>
      <c r="AZ53" s="326" t="str">
        <f t="shared" si="1"/>
        <v/>
      </c>
      <c r="BA53" s="95">
        <f>VLOOKUP(AU53,CENY!$B$11:$M$2025,12,FALSE)</f>
        <v>481.81412999999998</v>
      </c>
      <c r="BB53" s="95">
        <f t="shared" si="0"/>
        <v>0</v>
      </c>
      <c r="BD53" s="319">
        <f>OBJ!B238</f>
        <v>9318147</v>
      </c>
      <c r="BE53" s="21" t="str">
        <f>VLOOKUP(BD53,CENY!$B$11:$G$1054,2,FALSE)</f>
        <v>Actro You(S) 300/SiSy 10kg; EB21; ľavý</v>
      </c>
      <c r="BF53" s="22">
        <f>VLOOKUP(BD53,CENY!$B$11:$G$1054,3,FALSE)</f>
        <v>10</v>
      </c>
      <c r="BG53" s="22"/>
      <c r="BH53" s="68"/>
      <c r="BI53" s="326" t="str">
        <f t="shared" si="2"/>
        <v/>
      </c>
      <c r="BJ53" s="95">
        <f>VLOOKUP(BD53,CENY!$B$11:$M$2025,12,FALSE)</f>
        <v>298.88173999999998</v>
      </c>
      <c r="BK53" s="95">
        <f t="shared" si="3"/>
        <v>0</v>
      </c>
    </row>
    <row r="54" spans="47:63" ht="14.4" customHeight="1">
      <c r="AU54" s="319">
        <f>OBJ!B288</f>
        <v>9236718</v>
      </c>
      <c r="AV54" s="21" t="str">
        <f>VLOOKUP(AU54,CENY!$B$11:$G$1054,2,FALSE)</f>
        <v>Push to open Synchro / tyč 2.000 mm</v>
      </c>
      <c r="AW54" s="22">
        <f>VLOOKUP(AU54,CENY!$B$11:$G$1054,3,FALSE)</f>
        <v>100</v>
      </c>
      <c r="AX54" s="22"/>
      <c r="AY54" s="68"/>
      <c r="AZ54" s="326" t="str">
        <f t="shared" si="1"/>
        <v/>
      </c>
      <c r="BA54" s="95">
        <f>VLOOKUP(AU54,CENY!$B$11:$M$2025,12,FALSE)</f>
        <v>182.03933000000001</v>
      </c>
      <c r="BB54" s="95">
        <f t="shared" si="0"/>
        <v>0</v>
      </c>
      <c r="BD54" s="319">
        <f>OBJ!B239</f>
        <v>9318148</v>
      </c>
      <c r="BE54" s="21" t="str">
        <f>VLOOKUP(BD54,CENY!$B$11:$G$1054,2,FALSE)</f>
        <v>Actro You(S) 300/SiSy 10kg; EB21; pravý</v>
      </c>
      <c r="BF54" s="22">
        <f>VLOOKUP(BD54,CENY!$B$11:$G$1054,3,FALSE)</f>
        <v>10</v>
      </c>
      <c r="BG54" s="22"/>
      <c r="BH54" s="68"/>
      <c r="BI54" s="326" t="str">
        <f t="shared" si="2"/>
        <v/>
      </c>
      <c r="BJ54" s="95">
        <f>VLOOKUP(BD54,CENY!$B$11:$M$2025,12,FALSE)</f>
        <v>298.88173999999998</v>
      </c>
      <c r="BK54" s="95">
        <f t="shared" si="3"/>
        <v>0</v>
      </c>
    </row>
    <row r="55" spans="47:63" ht="14.4" customHeight="1">
      <c r="AU55" s="319"/>
      <c r="AV55" s="21"/>
      <c r="AW55" s="22"/>
      <c r="AX55" s="22"/>
      <c r="AY55" s="23"/>
      <c r="AZ55" s="326" t="str">
        <f t="shared" si="1"/>
        <v/>
      </c>
      <c r="BA55" s="95"/>
      <c r="BB55" s="95" t="str">
        <f t="shared" si="0"/>
        <v/>
      </c>
      <c r="BD55" s="319">
        <f>OBJ!B240</f>
        <v>9318149</v>
      </c>
      <c r="BE55" s="21" t="str">
        <f>VLOOKUP(BD55,CENY!$B$11:$G$1054,2,FALSE)</f>
        <v>Actro You(S) 350/SiSy 10kg; EB21; ľavý</v>
      </c>
      <c r="BF55" s="22">
        <f>VLOOKUP(BD55,CENY!$B$11:$G$1054,3,FALSE)</f>
        <v>10</v>
      </c>
      <c r="BG55" s="22"/>
      <c r="BH55" s="68"/>
      <c r="BI55" s="326" t="str">
        <f t="shared" si="2"/>
        <v/>
      </c>
      <c r="BJ55" s="95">
        <f>VLOOKUP(BD55,CENY!$B$11:$M$2025,12,FALSE)</f>
        <v>298.88173999999998</v>
      </c>
      <c r="BK55" s="95">
        <f t="shared" si="3"/>
        <v>0</v>
      </c>
    </row>
    <row r="56" spans="47:63" ht="14.4" customHeight="1">
      <c r="AU56" s="319">
        <f>OBJ!B294</f>
        <v>9256953</v>
      </c>
      <c r="AV56" s="21" t="str">
        <f>VLOOKUP(AU56,CENY!$B$11:$G$1054,2,FALSE)</f>
        <v>Quadro You(S) 270/SiSy 10kg; EB21</v>
      </c>
      <c r="AW56" s="22">
        <f>VLOOKUP(AU56,CENY!$B$11:$G$1054,3,FALSE)</f>
        <v>1</v>
      </c>
      <c r="AX56" s="362">
        <v>4</v>
      </c>
      <c r="AY56" s="68"/>
      <c r="AZ56" s="326" t="str">
        <f t="shared" si="1"/>
        <v/>
      </c>
      <c r="BA56" s="95">
        <f>VLOOKUP(AU56,CENY!$B$11:$M$2025,12,FALSE)</f>
        <v>478.60127999999997</v>
      </c>
      <c r="BB56" s="95">
        <f t="shared" si="0"/>
        <v>0</v>
      </c>
      <c r="BD56" s="319">
        <f>OBJ!B241</f>
        <v>9318150</v>
      </c>
      <c r="BE56" s="21" t="str">
        <f>VLOOKUP(BD56,CENY!$B$11:$G$1054,2,FALSE)</f>
        <v>Actro You(S) 350/SiSy 10kg; EB21; pravý</v>
      </c>
      <c r="BF56" s="22">
        <f>VLOOKUP(BD56,CENY!$B$11:$G$1054,3,FALSE)</f>
        <v>10</v>
      </c>
      <c r="BG56" s="22"/>
      <c r="BH56" s="68"/>
      <c r="BI56" s="326" t="str">
        <f t="shared" si="2"/>
        <v/>
      </c>
      <c r="BJ56" s="95">
        <f>VLOOKUP(BD56,CENY!$B$11:$M$2025,12,FALSE)</f>
        <v>298.88173999999998</v>
      </c>
      <c r="BK56" s="95">
        <f t="shared" si="3"/>
        <v>0</v>
      </c>
    </row>
    <row r="57" spans="47:63" ht="14.4" customHeight="1">
      <c r="AU57" s="319">
        <f>OBJ!B295</f>
        <v>9256954</v>
      </c>
      <c r="AV57" s="21" t="str">
        <f>VLOOKUP(AU57,CENY!$B$11:$G$1054,2,FALSE)</f>
        <v>Quadro You(S) 300/SiSy 10kg; EB21</v>
      </c>
      <c r="AW57" s="22">
        <f>VLOOKUP(AU57,CENY!$B$11:$G$1054,3,FALSE)</f>
        <v>1</v>
      </c>
      <c r="AX57" s="362">
        <v>4</v>
      </c>
      <c r="AY57" s="68"/>
      <c r="AZ57" s="326" t="str">
        <f t="shared" si="1"/>
        <v/>
      </c>
      <c r="BA57" s="95">
        <f>VLOOKUP(AU57,CENY!$B$11:$M$2025,12,FALSE)</f>
        <v>479.57344999999998</v>
      </c>
      <c r="BB57" s="95">
        <f t="shared" si="0"/>
        <v>0</v>
      </c>
      <c r="BD57" s="319"/>
      <c r="BE57" s="21"/>
      <c r="BF57" s="22"/>
      <c r="BG57" s="22"/>
      <c r="BH57" s="23"/>
      <c r="BI57" s="326" t="str">
        <f t="shared" si="2"/>
        <v/>
      </c>
      <c r="BJ57" s="95"/>
      <c r="BK57" s="95" t="str">
        <f t="shared" si="3"/>
        <v/>
      </c>
    </row>
    <row r="58" spans="47:63" ht="14.4" customHeight="1">
      <c r="AU58" s="319">
        <f>OBJ!B296</f>
        <v>9256956</v>
      </c>
      <c r="AV58" s="21" t="str">
        <f>VLOOKUP(AU58,CENY!$B$11:$G$1054,2,FALSE)</f>
        <v>Quadro You(S) 350/SiSy 10kg; EB21</v>
      </c>
      <c r="AW58" s="22">
        <f>VLOOKUP(AU58,CENY!$B$11:$G$1054,3,FALSE)</f>
        <v>1</v>
      </c>
      <c r="AX58" s="362">
        <v>4</v>
      </c>
      <c r="AY58" s="68"/>
      <c r="AZ58" s="326" t="str">
        <f t="shared" si="1"/>
        <v/>
      </c>
      <c r="BA58" s="95">
        <f>VLOOKUP(AU58,CENY!$B$11:$M$2025,12,FALSE)</f>
        <v>489.27857</v>
      </c>
      <c r="BB58" s="95">
        <f t="shared" si="0"/>
        <v>0</v>
      </c>
      <c r="BD58" s="319">
        <f>OBJ!B251</f>
        <v>9318167</v>
      </c>
      <c r="BE58" s="21" t="str">
        <f>VLOOKUP(BD58,CENY!$B$11:$G$1054,2,FALSE)</f>
        <v>Actro You(L) 270/SiSy 40kg; EB21; ľavý</v>
      </c>
      <c r="BF58" s="22">
        <f>VLOOKUP(BD58,CENY!$B$11:$G$1054,3,FALSE)</f>
        <v>10</v>
      </c>
      <c r="BG58" s="22"/>
      <c r="BH58" s="68"/>
      <c r="BI58" s="326" t="str">
        <f t="shared" si="2"/>
        <v/>
      </c>
      <c r="BJ58" s="95">
        <f>VLOOKUP(BD58,CENY!$B$11:$M$2025,12,FALSE)</f>
        <v>298.88173999999998</v>
      </c>
      <c r="BK58" s="95">
        <f t="shared" si="3"/>
        <v>0</v>
      </c>
    </row>
    <row r="59" spans="47:63" ht="14.4" customHeight="1">
      <c r="AU59" s="319"/>
      <c r="AV59" s="21"/>
      <c r="AW59" s="22"/>
      <c r="AX59" s="22"/>
      <c r="AY59" s="23"/>
      <c r="AZ59" s="326" t="str">
        <f t="shared" si="1"/>
        <v/>
      </c>
      <c r="BA59" s="95"/>
      <c r="BB59" s="95" t="str">
        <f t="shared" si="0"/>
        <v/>
      </c>
      <c r="BD59" s="319">
        <f>OBJ!B252</f>
        <v>9318170</v>
      </c>
      <c r="BE59" s="21" t="str">
        <f>VLOOKUP(BD59,CENY!$B$11:$G$1054,2,FALSE)</f>
        <v>Actro You(L) 270/SiSy 40kg; EB21; pravý</v>
      </c>
      <c r="BF59" s="22">
        <f>VLOOKUP(BD59,CENY!$B$11:$G$1054,3,FALSE)</f>
        <v>10</v>
      </c>
      <c r="BG59" s="22"/>
      <c r="BH59" s="68"/>
      <c r="BI59" s="326" t="str">
        <f t="shared" si="2"/>
        <v/>
      </c>
      <c r="BJ59" s="95">
        <f>VLOOKUP(BD59,CENY!$B$11:$M$2025,12,FALSE)</f>
        <v>298.88173999999998</v>
      </c>
      <c r="BK59" s="95">
        <f t="shared" si="3"/>
        <v>0</v>
      </c>
    </row>
    <row r="60" spans="47:63" ht="14.4" customHeight="1">
      <c r="AU60" s="319">
        <f>OBJ!B304</f>
        <v>9256883</v>
      </c>
      <c r="AV60" s="21" t="str">
        <f>VLOOKUP(AU60,CENY!$B$11:$G$1054,2,FALSE)</f>
        <v>Quadro You(M) 270/SiSy 20kg; EB21</v>
      </c>
      <c r="AW60" s="22">
        <f>VLOOKUP(AU60,CENY!$B$11:$G$1054,3,FALSE)</f>
        <v>1</v>
      </c>
      <c r="AX60" s="362">
        <v>8</v>
      </c>
      <c r="AY60" s="68"/>
      <c r="AZ60" s="326" t="str">
        <f t="shared" si="1"/>
        <v/>
      </c>
      <c r="BA60" s="95">
        <f>VLOOKUP(AU60,CENY!$B$11:$M$2025,12,FALSE)</f>
        <v>478.60127999999997</v>
      </c>
      <c r="BB60" s="95">
        <f t="shared" si="0"/>
        <v>0</v>
      </c>
      <c r="BD60" s="319">
        <f>OBJ!B253</f>
        <v>9318171</v>
      </c>
      <c r="BE60" s="21" t="str">
        <f>VLOOKUP(BD60,CENY!$B$11:$G$1054,2,FALSE)</f>
        <v>Actro You(L) 300/SiSy 40kg; EB21; ľavý</v>
      </c>
      <c r="BF60" s="22">
        <f>VLOOKUP(BD60,CENY!$B$11:$G$1054,3,FALSE)</f>
        <v>10</v>
      </c>
      <c r="BG60" s="22"/>
      <c r="BH60" s="68"/>
      <c r="BI60" s="326" t="str">
        <f t="shared" si="2"/>
        <v/>
      </c>
      <c r="BJ60" s="95">
        <f>VLOOKUP(BD60,CENY!$B$11:$M$2025,12,FALSE)</f>
        <v>298.88173999999998</v>
      </c>
      <c r="BK60" s="95">
        <f t="shared" si="3"/>
        <v>0</v>
      </c>
    </row>
    <row r="61" spans="47:63" ht="14.4" customHeight="1">
      <c r="AU61" s="319">
        <f>OBJ!B305</f>
        <v>9256884</v>
      </c>
      <c r="AV61" s="21" t="str">
        <f>VLOOKUP(AU61,CENY!$B$11:$G$1054,2,FALSE)</f>
        <v>Quadro You(M) 300/SiSy 20kg; EB21</v>
      </c>
      <c r="AW61" s="22">
        <f>VLOOKUP(AU61,CENY!$B$11:$G$1054,3,FALSE)</f>
        <v>1</v>
      </c>
      <c r="AX61" s="362">
        <v>8</v>
      </c>
      <c r="AY61" s="68"/>
      <c r="AZ61" s="326" t="str">
        <f t="shared" si="1"/>
        <v/>
      </c>
      <c r="BA61" s="95">
        <f>VLOOKUP(AU61,CENY!$B$11:$M$2025,12,FALSE)</f>
        <v>479.57344999999998</v>
      </c>
      <c r="BB61" s="95">
        <f t="shared" si="0"/>
        <v>0</v>
      </c>
      <c r="BD61" s="319">
        <f>OBJ!B254</f>
        <v>9318172</v>
      </c>
      <c r="BE61" s="21" t="str">
        <f>VLOOKUP(BD61,CENY!$B$11:$G$1054,2,FALSE)</f>
        <v>Actro You(L) 300/SiSy 40kg; EB21; pravý</v>
      </c>
      <c r="BF61" s="22">
        <f>VLOOKUP(BD61,CENY!$B$11:$G$1054,3,FALSE)</f>
        <v>10</v>
      </c>
      <c r="BG61" s="22"/>
      <c r="BH61" s="68"/>
      <c r="BI61" s="326" t="str">
        <f t="shared" si="2"/>
        <v/>
      </c>
      <c r="BJ61" s="95">
        <f>VLOOKUP(BD61,CENY!$B$11:$M$2025,12,FALSE)</f>
        <v>298.88173999999998</v>
      </c>
      <c r="BK61" s="95">
        <f t="shared" si="3"/>
        <v>0</v>
      </c>
    </row>
    <row r="62" spans="47:63" ht="14.4" customHeight="1">
      <c r="AU62" s="319">
        <f>OBJ!B306</f>
        <v>9256886</v>
      </c>
      <c r="AV62" s="21" t="str">
        <f>VLOOKUP(AU62,CENY!$B$11:$G$1054,2,FALSE)</f>
        <v>Quadro You(M) 350/SiSy 25kg; EB21</v>
      </c>
      <c r="AW62" s="22">
        <f>VLOOKUP(AU62,CENY!$B$11:$G$1054,3,FALSE)</f>
        <v>1</v>
      </c>
      <c r="AX62" s="362">
        <v>8</v>
      </c>
      <c r="AY62" s="68"/>
      <c r="AZ62" s="326" t="str">
        <f t="shared" si="1"/>
        <v/>
      </c>
      <c r="BA62" s="95">
        <f>VLOOKUP(AU62,CENY!$B$11:$M$2025,12,FALSE)</f>
        <v>489.27857</v>
      </c>
      <c r="BB62" s="95">
        <f t="shared" si="0"/>
        <v>0</v>
      </c>
      <c r="BD62" s="319">
        <f>OBJ!B255</f>
        <v>9318173</v>
      </c>
      <c r="BE62" s="21" t="str">
        <f>VLOOKUP(BD62,CENY!$B$11:$G$1054,2,FALSE)</f>
        <v>Actro You(L) 350/SiSy 40kg; EB21; ľavý</v>
      </c>
      <c r="BF62" s="22">
        <f>VLOOKUP(BD62,CENY!$B$11:$G$1054,3,FALSE)</f>
        <v>10</v>
      </c>
      <c r="BG62" s="22"/>
      <c r="BH62" s="68"/>
      <c r="BI62" s="326" t="str">
        <f t="shared" si="2"/>
        <v/>
      </c>
      <c r="BJ62" s="95">
        <f>VLOOKUP(BD62,CENY!$B$11:$M$2025,12,FALSE)</f>
        <v>298.88173999999998</v>
      </c>
      <c r="BK62" s="95">
        <f t="shared" si="3"/>
        <v>0</v>
      </c>
    </row>
    <row r="63" spans="47:63" ht="14.4" customHeight="1">
      <c r="AU63" s="319">
        <f>OBJ!B307</f>
        <v>9256888</v>
      </c>
      <c r="AV63" s="21" t="str">
        <f>VLOOKUP(AU63,CENY!$B$11:$G$1054,2,FALSE)</f>
        <v>Quadro You(M) 400/SiSy 30kg; EB21</v>
      </c>
      <c r="AW63" s="22">
        <f>VLOOKUP(AU63,CENY!$B$11:$G$1054,3,FALSE)</f>
        <v>1</v>
      </c>
      <c r="AX63" s="362">
        <v>8</v>
      </c>
      <c r="AY63" s="68"/>
      <c r="AZ63" s="326" t="str">
        <f t="shared" si="1"/>
        <v/>
      </c>
      <c r="BA63" s="95">
        <f>VLOOKUP(AU63,CENY!$B$11:$M$2025,12,FALSE)</f>
        <v>498.97861999999998</v>
      </c>
      <c r="BB63" s="95">
        <f t="shared" si="0"/>
        <v>0</v>
      </c>
      <c r="BD63" s="319">
        <f>OBJ!B256</f>
        <v>9318174</v>
      </c>
      <c r="BE63" s="21" t="str">
        <f>VLOOKUP(BD63,CENY!$B$11:$G$1054,2,FALSE)</f>
        <v>Actro You(L) 350/SiSy 40kg; EB21; pravý</v>
      </c>
      <c r="BF63" s="22">
        <f>VLOOKUP(BD63,CENY!$B$11:$G$1054,3,FALSE)</f>
        <v>10</v>
      </c>
      <c r="BG63" s="22"/>
      <c r="BH63" s="68"/>
      <c r="BI63" s="326" t="str">
        <f t="shared" si="2"/>
        <v/>
      </c>
      <c r="BJ63" s="95">
        <f>VLOOKUP(BD63,CENY!$B$11:$M$2025,12,FALSE)</f>
        <v>298.88173999999998</v>
      </c>
      <c r="BK63" s="95">
        <f t="shared" si="3"/>
        <v>0</v>
      </c>
    </row>
    <row r="64" spans="47:63" ht="14.4" customHeight="1">
      <c r="AU64" s="319">
        <f>OBJ!B308</f>
        <v>9256890</v>
      </c>
      <c r="AV64" s="21" t="str">
        <f>VLOOKUP(AU64,CENY!$B$11:$G$1054,2,FALSE)</f>
        <v>Quadro You(M) 450/SiSy 30kg; EB21</v>
      </c>
      <c r="AW64" s="22">
        <f>VLOOKUP(AU64,CENY!$B$11:$G$1054,3,FALSE)</f>
        <v>1</v>
      </c>
      <c r="AX64" s="362">
        <v>8</v>
      </c>
      <c r="AY64" s="23">
        <f>SUM(AY1:AY4)*W28</f>
        <v>0</v>
      </c>
      <c r="AZ64" s="326">
        <f t="shared" si="1"/>
        <v>0</v>
      </c>
      <c r="BA64" s="95">
        <f>VLOOKUP(AU64,CENY!$B$11:$M$2025,12,FALSE)</f>
        <v>122.98869999999999</v>
      </c>
      <c r="BB64" s="95">
        <f t="shared" si="0"/>
        <v>0</v>
      </c>
      <c r="BD64" s="319">
        <f>OBJ!B257</f>
        <v>9318175</v>
      </c>
      <c r="BE64" s="21" t="str">
        <f>VLOOKUP(BD64,CENY!$B$11:$G$1054,2,FALSE)</f>
        <v>Actro You(L) 400/SiSy 40kg; EB21; ľavý</v>
      </c>
      <c r="BF64" s="22">
        <f>VLOOKUP(BD64,CENY!$B$11:$G$1054,3,FALSE)</f>
        <v>10</v>
      </c>
      <c r="BG64" s="22"/>
      <c r="BH64" s="68"/>
      <c r="BI64" s="326" t="str">
        <f t="shared" si="2"/>
        <v/>
      </c>
      <c r="BJ64" s="95">
        <f>VLOOKUP(BD64,CENY!$B$11:$M$2025,12,FALSE)</f>
        <v>302.69770999999997</v>
      </c>
      <c r="BK64" s="95">
        <f t="shared" si="3"/>
        <v>0</v>
      </c>
    </row>
    <row r="65" spans="1:63" ht="14.4" customHeight="1">
      <c r="AU65" s="319">
        <f>OBJ!B309</f>
        <v>9256892</v>
      </c>
      <c r="AV65" s="21" t="str">
        <f>VLOOKUP(AU65,CENY!$B$11:$G$1054,2,FALSE)</f>
        <v>Quadro You(M) 500/SiSy 30kg; EB21</v>
      </c>
      <c r="AW65" s="22">
        <f>VLOOKUP(AU65,CENY!$B$11:$G$1054,3,FALSE)</f>
        <v>1</v>
      </c>
      <c r="AX65" s="362">
        <v>8</v>
      </c>
      <c r="AY65" s="23">
        <f>SUM(AY1:AY4)*Y28</f>
        <v>0</v>
      </c>
      <c r="AZ65" s="326">
        <f t="shared" si="1"/>
        <v>0</v>
      </c>
      <c r="BA65" s="95">
        <f>VLOOKUP(AU65,CENY!$B$11:$M$2025,12,FALSE)</f>
        <v>504.59701000000001</v>
      </c>
      <c r="BB65" s="95">
        <f t="shared" si="0"/>
        <v>0</v>
      </c>
      <c r="BD65" s="319">
        <f>OBJ!B258</f>
        <v>9318176</v>
      </c>
      <c r="BE65" s="21" t="str">
        <f>VLOOKUP(BD65,CENY!$B$11:$G$1054,2,FALSE)</f>
        <v>Actro You(L) 400/SiSy 40kg; EB21; pravý</v>
      </c>
      <c r="BF65" s="22">
        <f>VLOOKUP(BD65,CENY!$B$11:$G$1054,3,FALSE)</f>
        <v>10</v>
      </c>
      <c r="BG65" s="22"/>
      <c r="BH65" s="68"/>
      <c r="BI65" s="326" t="str">
        <f t="shared" si="2"/>
        <v/>
      </c>
      <c r="BJ65" s="95">
        <f>VLOOKUP(BD65,CENY!$B$11:$M$2025,12,FALSE)</f>
        <v>302.69770999999997</v>
      </c>
      <c r="BK65" s="95">
        <f t="shared" si="3"/>
        <v>0</v>
      </c>
    </row>
    <row r="66" spans="1:63" ht="12.9" customHeight="1" thickBot="1">
      <c r="A66" s="577"/>
      <c r="AU66" s="319">
        <f>OBJ!B310</f>
        <v>9256894</v>
      </c>
      <c r="AV66" s="21" t="str">
        <f>VLOOKUP(AU66,CENY!$B$11:$G$1054,2,FALSE)</f>
        <v>Quadro You(M) 550/SiSy 30kg; EB21</v>
      </c>
      <c r="AW66" s="22">
        <f>VLOOKUP(AU66,CENY!$B$11:$G$1054,3,FALSE)</f>
        <v>1</v>
      </c>
      <c r="AX66" s="362">
        <v>8</v>
      </c>
      <c r="AY66" s="23">
        <f>SUM(AY1:AY4)*AA28</f>
        <v>0</v>
      </c>
      <c r="AZ66" s="326">
        <f t="shared" si="1"/>
        <v>0</v>
      </c>
      <c r="BA66" s="95">
        <f>VLOOKUP(AU66,CENY!$B$11:$M$2025,12,FALSE)</f>
        <v>127.68105</v>
      </c>
      <c r="BB66" s="95">
        <f t="shared" si="0"/>
        <v>0</v>
      </c>
      <c r="BD66" s="319">
        <f>OBJ!B259</f>
        <v>9318177</v>
      </c>
      <c r="BE66" s="21" t="str">
        <f>VLOOKUP(BD66,CENY!$B$11:$G$1054,2,FALSE)</f>
        <v>Actro You(L) 450/SiSy 40kg; EB21; ľavý</v>
      </c>
      <c r="BF66" s="22">
        <f>VLOOKUP(BD66,CENY!$B$11:$G$1054,3,FALSE)</f>
        <v>10</v>
      </c>
      <c r="BG66" s="22"/>
      <c r="BH66" s="23">
        <f>AY39</f>
        <v>0</v>
      </c>
      <c r="BI66" s="326">
        <f t="shared" si="2"/>
        <v>0</v>
      </c>
      <c r="BJ66" s="95">
        <f>VLOOKUP(BD66,CENY!$B$11:$M$2025,12,FALSE)</f>
        <v>298.33073999999999</v>
      </c>
      <c r="BK66" s="95">
        <f t="shared" si="3"/>
        <v>0</v>
      </c>
    </row>
    <row r="67" spans="1:63" ht="23.1" customHeight="1" thickBot="1">
      <c r="A67" s="577"/>
      <c r="B67" s="484" t="str">
        <f>verze!E13</f>
        <v>&lt;&lt;  zpět</v>
      </c>
      <c r="C67" s="485"/>
      <c r="D67" s="485"/>
      <c r="E67" s="486"/>
      <c r="G67" s="513" t="str">
        <f>verze!E6</f>
        <v xml:space="preserve"> Úvod</v>
      </c>
      <c r="H67" s="514"/>
      <c r="I67" s="514"/>
      <c r="J67" s="514"/>
      <c r="K67" s="515"/>
      <c r="O67" s="513" t="str">
        <f>verze!E7</f>
        <v xml:space="preserve"> Výběr zásuvek</v>
      </c>
      <c r="P67" s="514"/>
      <c r="Q67" s="514"/>
      <c r="R67" s="514"/>
      <c r="S67" s="515"/>
      <c r="U67" s="513" t="str">
        <f>verze!E8</f>
        <v xml:space="preserve"> </v>
      </c>
      <c r="V67" s="514"/>
      <c r="W67" s="514"/>
      <c r="X67" s="514"/>
      <c r="Y67" s="515"/>
      <c r="AA67" s="513" t="str">
        <f>verze!E9</f>
        <v xml:space="preserve"> </v>
      </c>
      <c r="AB67" s="514"/>
      <c r="AC67" s="514"/>
      <c r="AD67" s="514"/>
      <c r="AE67" s="515"/>
      <c r="AI67" s="513" t="str">
        <f>verze!E10</f>
        <v xml:space="preserve"> Objednávka</v>
      </c>
      <c r="AJ67" s="514"/>
      <c r="AK67" s="514"/>
      <c r="AL67" s="514"/>
      <c r="AM67" s="515"/>
      <c r="AO67" s="475" t="str">
        <f>verze!E14</f>
        <v>vpřed  &gt;&gt;</v>
      </c>
      <c r="AP67" s="476"/>
      <c r="AQ67" s="476"/>
      <c r="AR67" s="477"/>
      <c r="AU67" s="319">
        <f>OBJ!B311</f>
        <v>9256896</v>
      </c>
      <c r="AV67" s="21" t="str">
        <f>VLOOKUP(AU67,CENY!$B$11:$G$1054,2,FALSE)</f>
        <v>Quadro You(M) 600/SiSy 25kg; EB21</v>
      </c>
      <c r="AW67" s="22">
        <f>VLOOKUP(AU67,CENY!$B$11:$G$1054,3,FALSE)</f>
        <v>1</v>
      </c>
      <c r="AX67" s="362">
        <v>8</v>
      </c>
      <c r="AY67" s="23">
        <f>SUM(AY1:AY4)*AC28</f>
        <v>0</v>
      </c>
      <c r="AZ67" s="326">
        <f t="shared" si="1"/>
        <v>0</v>
      </c>
      <c r="BA67" s="95">
        <f>VLOOKUP(AU67,CENY!$B$11:$M$2025,12,FALSE)</f>
        <v>537.79395</v>
      </c>
      <c r="BB67" s="95">
        <f t="shared" si="0"/>
        <v>0</v>
      </c>
      <c r="BD67" s="319">
        <f>OBJ!B260</f>
        <v>9318178</v>
      </c>
      <c r="BE67" s="21" t="str">
        <f>VLOOKUP(BD67,CENY!$B$11:$G$1054,2,FALSE)</f>
        <v>Actro You(L) 450/SiSy 40kg; EB21; pravý</v>
      </c>
      <c r="BF67" s="22">
        <f>VLOOKUP(BD67,CENY!$B$11:$G$1054,3,FALSE)</f>
        <v>10</v>
      </c>
      <c r="BG67" s="22"/>
      <c r="BH67" s="23">
        <f>AY39</f>
        <v>0</v>
      </c>
      <c r="BI67" s="326">
        <f t="shared" si="2"/>
        <v>0</v>
      </c>
      <c r="BJ67" s="95">
        <f>VLOOKUP(BD67,CENY!$B$11:$M$2025,12,FALSE)</f>
        <v>298.33073999999999</v>
      </c>
      <c r="BK67" s="95">
        <f t="shared" si="3"/>
        <v>0</v>
      </c>
    </row>
    <row r="68" spans="1:63" ht="12.9" customHeight="1">
      <c r="A68" s="577"/>
      <c r="AU68" s="319"/>
      <c r="AV68" s="21"/>
      <c r="AW68" s="22"/>
      <c r="AX68" s="22"/>
      <c r="AY68" s="23"/>
      <c r="AZ68" s="326" t="str">
        <f t="shared" si="1"/>
        <v/>
      </c>
      <c r="BA68" s="95"/>
      <c r="BB68" s="95" t="str">
        <f t="shared" si="0"/>
        <v/>
      </c>
      <c r="BD68" s="319">
        <f>OBJ!B261</f>
        <v>9318179</v>
      </c>
      <c r="BE68" s="21" t="str">
        <f>VLOOKUP(BD68,CENY!$B$11:$G$1054,2,FALSE)</f>
        <v>Actro You(L) 500/SiSy 40kg; EB21; ľavý</v>
      </c>
      <c r="BF68" s="22">
        <f>VLOOKUP(BD68,CENY!$B$11:$G$1054,3,FALSE)</f>
        <v>10</v>
      </c>
      <c r="BG68" s="22"/>
      <c r="BH68" s="23">
        <f>AY40</f>
        <v>0</v>
      </c>
      <c r="BI68" s="326">
        <f t="shared" si="2"/>
        <v>0</v>
      </c>
      <c r="BJ68" s="95">
        <f>VLOOKUP(BD68,CENY!$B$11:$M$2025,12,FALSE)</f>
        <v>296.00905</v>
      </c>
      <c r="BK68" s="95">
        <f t="shared" si="3"/>
        <v>0</v>
      </c>
    </row>
    <row r="69" spans="1:63" ht="23.1" customHeight="1">
      <c r="A69" s="577"/>
      <c r="B69" s="93" t="str">
        <f>verze!E206&amp;" AVANTECH YOU  101 / 187"</f>
        <v>Zásuvka AVANTECH YOU  101 / 187</v>
      </c>
      <c r="C69" s="89"/>
      <c r="D69" s="89"/>
      <c r="E69" s="89"/>
      <c r="F69" s="89"/>
      <c r="G69" s="89"/>
      <c r="H69" s="89"/>
      <c r="I69" s="89"/>
      <c r="J69" s="89"/>
      <c r="K69" s="89"/>
      <c r="L69" s="89"/>
      <c r="M69" s="89"/>
      <c r="N69" s="89"/>
      <c r="O69" s="89"/>
      <c r="P69" s="89"/>
      <c r="Q69" s="89"/>
      <c r="R69" s="89"/>
      <c r="S69" s="89"/>
      <c r="T69" s="89"/>
      <c r="U69" s="89"/>
      <c r="V69" s="89"/>
      <c r="W69" s="89"/>
      <c r="X69" s="89"/>
      <c r="Y69" s="89"/>
      <c r="Z69" s="89"/>
      <c r="AA69" s="89"/>
      <c r="AB69" s="89"/>
      <c r="AC69" s="89"/>
      <c r="AD69" s="89"/>
      <c r="AE69" s="89"/>
      <c r="AF69" s="89"/>
      <c r="AG69" s="89"/>
      <c r="AH69" s="89"/>
      <c r="AI69" s="89"/>
      <c r="AJ69" s="89"/>
      <c r="AK69" s="89"/>
      <c r="AL69" s="89"/>
      <c r="AM69" s="89"/>
      <c r="AN69" s="89"/>
      <c r="AO69" s="89"/>
      <c r="AP69" s="89"/>
      <c r="AQ69" s="89"/>
      <c r="AR69" s="89"/>
      <c r="AU69" s="319">
        <f>OBJ!B329</f>
        <v>9257894</v>
      </c>
      <c r="AV69" s="21" t="str">
        <f>VLOOKUP(AU69,CENY!$B$11:$G$1054,2,FALSE)</f>
        <v>Quadro You - Push to open Silent; &lt;10kg</v>
      </c>
      <c r="AW69" s="22">
        <f>VLOOKUP(AU69,CENY!$B$11:$G$1054,3,FALSE)</f>
        <v>1</v>
      </c>
      <c r="AX69" s="22"/>
      <c r="AY69" s="68"/>
      <c r="AZ69" s="326" t="str">
        <f t="shared" si="1"/>
        <v/>
      </c>
      <c r="BA69" s="95">
        <f>VLOOKUP(AU69,CENY!$B$11:$M$2025,12,FALSE)</f>
        <v>480.50922000000003</v>
      </c>
      <c r="BB69" s="95">
        <f t="shared" si="0"/>
        <v>0</v>
      </c>
      <c r="BD69" s="319">
        <f>OBJ!B262</f>
        <v>9318180</v>
      </c>
      <c r="BE69" s="21" t="str">
        <f>VLOOKUP(BD69,CENY!$B$11:$G$1054,2,FALSE)</f>
        <v>Actro You(L) 500/SiSy 40kg; EB21; pravý</v>
      </c>
      <c r="BF69" s="22">
        <f>VLOOKUP(BD69,CENY!$B$11:$G$1054,3,FALSE)</f>
        <v>10</v>
      </c>
      <c r="BG69" s="22"/>
      <c r="BH69" s="23">
        <f>AY40</f>
        <v>0</v>
      </c>
      <c r="BI69" s="326">
        <f t="shared" si="2"/>
        <v>0</v>
      </c>
      <c r="BJ69" s="95">
        <f>VLOOKUP(BD69,CENY!$B$11:$M$2025,12,FALSE)</f>
        <v>296.00905</v>
      </c>
      <c r="BK69" s="95">
        <f t="shared" si="3"/>
        <v>0</v>
      </c>
    </row>
    <row r="70" spans="1:63" ht="14.4" customHeight="1">
      <c r="A70" s="577"/>
      <c r="AU70" s="319">
        <f>OBJ!B330</f>
        <v>9257895</v>
      </c>
      <c r="AV70" s="21" t="str">
        <f>VLOOKUP(AU70,CENY!$B$11:$G$1054,2,FALSE)</f>
        <v>Quadro You - Push to open Silent; 8-20kg</v>
      </c>
      <c r="AW70" s="22">
        <f>VLOOKUP(AU70,CENY!$B$11:$G$1054,3,FALSE)</f>
        <v>1</v>
      </c>
      <c r="AX70" s="22"/>
      <c r="AY70" s="68"/>
      <c r="AZ70" s="326" t="str">
        <f t="shared" si="1"/>
        <v/>
      </c>
      <c r="BA70" s="95">
        <f>VLOOKUP(AU70,CENY!$B$11:$M$2025,12,FALSE)</f>
        <v>480.50922000000003</v>
      </c>
      <c r="BB70" s="95">
        <f t="shared" si="0"/>
        <v>0</v>
      </c>
      <c r="BD70" s="319">
        <f>OBJ!B263</f>
        <v>9318181</v>
      </c>
      <c r="BE70" s="21" t="str">
        <f>VLOOKUP(BD70,CENY!$B$11:$G$1054,2,FALSE)</f>
        <v>Actro You(L) 550/SiSy 40kg; EB21; ľavý</v>
      </c>
      <c r="BF70" s="22">
        <f>VLOOKUP(BD70,CENY!$B$11:$G$1054,3,FALSE)</f>
        <v>10</v>
      </c>
      <c r="BG70" s="22"/>
      <c r="BH70" s="23">
        <f>AY41</f>
        <v>0</v>
      </c>
      <c r="BI70" s="326">
        <f t="shared" si="2"/>
        <v>0</v>
      </c>
      <c r="BJ70" s="95">
        <f>VLOOKUP(BD70,CENY!$B$11:$M$2025,12,FALSE)</f>
        <v>321.83461999999997</v>
      </c>
      <c r="BK70" s="95">
        <f t="shared" si="3"/>
        <v>0</v>
      </c>
    </row>
    <row r="71" spans="1:63" ht="14.4" customHeight="1">
      <c r="A71" s="577"/>
      <c r="AU71" s="319">
        <f>OBJ!B331</f>
        <v>9257896</v>
      </c>
      <c r="AV71" s="21" t="str">
        <f>VLOOKUP(AU71,CENY!$B$11:$G$1054,2,FALSE)</f>
        <v>Quadro You - Push to open Silent; 10-30kg</v>
      </c>
      <c r="AW71" s="22">
        <f>VLOOKUP(AU71,CENY!$B$11:$G$1054,3,FALSE)</f>
        <v>1</v>
      </c>
      <c r="AX71" s="22"/>
      <c r="AY71" s="68"/>
      <c r="AZ71" s="326" t="str">
        <f t="shared" si="1"/>
        <v/>
      </c>
      <c r="BA71" s="95">
        <f>VLOOKUP(AU71,CENY!$B$11:$M$2025,12,FALSE)</f>
        <v>480.50922000000003</v>
      </c>
      <c r="BB71" s="95">
        <f t="shared" si="0"/>
        <v>0</v>
      </c>
      <c r="BD71" s="319">
        <f>OBJ!B264</f>
        <v>9318182</v>
      </c>
      <c r="BE71" s="21" t="str">
        <f>VLOOKUP(BD71,CENY!$B$11:$G$1054,2,FALSE)</f>
        <v>Actro You(L) 550/SiSy 40kg; EB21; pravý</v>
      </c>
      <c r="BF71" s="22">
        <f>VLOOKUP(BD71,CENY!$B$11:$G$1054,3,FALSE)</f>
        <v>10</v>
      </c>
      <c r="BG71" s="22"/>
      <c r="BH71" s="23">
        <f>AY41</f>
        <v>0</v>
      </c>
      <c r="BI71" s="326">
        <f t="shared" si="2"/>
        <v>0</v>
      </c>
      <c r="BJ71" s="95">
        <f>VLOOKUP(BD71,CENY!$B$11:$M$2025,12,FALSE)</f>
        <v>321.83461999999997</v>
      </c>
      <c r="BK71" s="95">
        <f t="shared" si="3"/>
        <v>0</v>
      </c>
    </row>
    <row r="72" spans="1:63" ht="14.4" customHeight="1">
      <c r="A72" s="577"/>
      <c r="AU72" s="319"/>
      <c r="AV72" s="21"/>
      <c r="AW72" s="22"/>
      <c r="AX72" s="22"/>
      <c r="AY72" s="23"/>
      <c r="AZ72" s="326" t="str">
        <f t="shared" si="1"/>
        <v/>
      </c>
      <c r="BA72" s="95"/>
      <c r="BB72" s="95" t="str">
        <f t="shared" si="0"/>
        <v/>
      </c>
      <c r="BD72" s="319">
        <f>OBJ!B265</f>
        <v>9318183</v>
      </c>
      <c r="BE72" s="21" t="str">
        <f>VLOOKUP(BD72,CENY!$B$11:$G$1054,2,FALSE)</f>
        <v>Actro You(L) 600/SiSy 40kg; EB21; ľavý</v>
      </c>
      <c r="BF72" s="22">
        <f>VLOOKUP(BD72,CENY!$B$11:$G$1054,3,FALSE)</f>
        <v>10</v>
      </c>
      <c r="BG72" s="22"/>
      <c r="BH72" s="23">
        <f>AY42</f>
        <v>0</v>
      </c>
      <c r="BI72" s="326">
        <f t="shared" si="2"/>
        <v>0</v>
      </c>
      <c r="BJ72" s="95">
        <f>VLOOKUP(BD72,CENY!$B$11:$M$2025,12,FALSE)</f>
        <v>326.21229</v>
      </c>
      <c r="BK72" s="95">
        <f t="shared" si="3"/>
        <v>0</v>
      </c>
    </row>
    <row r="73" spans="1:63" ht="14.4" customHeight="1">
      <c r="A73" s="577"/>
      <c r="AU73" s="319">
        <f>OBJ!B333</f>
        <v>9256928</v>
      </c>
      <c r="AV73" s="21" t="str">
        <f>VLOOKUP(AU73,CENY!$B$11:$G$1054,2,FALSE)</f>
        <v>Quadro You(M) 270/P2O 20kg; EB21</v>
      </c>
      <c r="AW73" s="22">
        <f>VLOOKUP(AU73,CENY!$B$11:$G$1054,3,FALSE)</f>
        <v>1</v>
      </c>
      <c r="AX73" s="362">
        <v>8</v>
      </c>
      <c r="AY73" s="68"/>
      <c r="AZ73" s="326" t="str">
        <f t="shared" si="1"/>
        <v/>
      </c>
      <c r="BA73" s="95">
        <f>VLOOKUP(AU73,CENY!$B$11:$M$2025,12,FALSE)</f>
        <v>536.84897999999998</v>
      </c>
      <c r="BB73" s="95">
        <f t="shared" si="0"/>
        <v>0</v>
      </c>
      <c r="BD73" s="319">
        <f>OBJ!B266</f>
        <v>9318184</v>
      </c>
      <c r="BE73" s="21" t="str">
        <f>VLOOKUP(BD73,CENY!$B$11:$G$1054,2,FALSE)</f>
        <v>Actro You(L) 600/SiSy 40kg; EB21; pravý</v>
      </c>
      <c r="BF73" s="22">
        <f>VLOOKUP(BD73,CENY!$B$11:$G$1054,3,FALSE)</f>
        <v>10</v>
      </c>
      <c r="BG73" s="22"/>
      <c r="BH73" s="23">
        <f>AY42</f>
        <v>0</v>
      </c>
      <c r="BI73" s="326">
        <f t="shared" si="2"/>
        <v>0</v>
      </c>
      <c r="BJ73" s="95">
        <f>VLOOKUP(BD73,CENY!$B$11:$M$2025,12,FALSE)</f>
        <v>326.21229</v>
      </c>
      <c r="BK73" s="95">
        <f t="shared" si="3"/>
        <v>0</v>
      </c>
    </row>
    <row r="74" spans="1:63" ht="14.4" customHeight="1">
      <c r="A74" s="577"/>
      <c r="AU74" s="319">
        <f>OBJ!B334</f>
        <v>9256929</v>
      </c>
      <c r="AV74" s="21" t="str">
        <f>VLOOKUP(AU74,CENY!$B$11:$G$1054,2,FALSE)</f>
        <v>Quadro You(M) 300/P2O 20kg; EB21</v>
      </c>
      <c r="AW74" s="22">
        <f>VLOOKUP(AU74,CENY!$B$11:$G$1054,3,FALSE)</f>
        <v>1</v>
      </c>
      <c r="AX74" s="362">
        <v>8</v>
      </c>
      <c r="AY74" s="68"/>
      <c r="AZ74" s="326" t="str">
        <f t="shared" si="1"/>
        <v/>
      </c>
      <c r="BA74" s="95">
        <f>VLOOKUP(AU74,CENY!$B$11:$M$2025,12,FALSE)</f>
        <v>537.79395</v>
      </c>
      <c r="BB74" s="95">
        <f t="shared" si="0"/>
        <v>0</v>
      </c>
      <c r="BD74" s="319"/>
      <c r="BE74" s="21"/>
      <c r="BF74" s="22"/>
      <c r="BG74" s="22"/>
      <c r="BH74" s="23"/>
      <c r="BI74" s="326" t="str">
        <f t="shared" si="2"/>
        <v/>
      </c>
      <c r="BJ74" s="95"/>
      <c r="BK74" s="95" t="str">
        <f t="shared" si="3"/>
        <v/>
      </c>
    </row>
    <row r="75" spans="1:63" ht="14.4" customHeight="1">
      <c r="A75" s="577"/>
      <c r="AU75" s="319">
        <f>OBJ!B335</f>
        <v>9256931</v>
      </c>
      <c r="AV75" s="21" t="str">
        <f>VLOOKUP(AU75,CENY!$B$11:$G$1054,2,FALSE)</f>
        <v>Quadro You(M) 350/P2O 25kg; EB21</v>
      </c>
      <c r="AW75" s="22">
        <f>VLOOKUP(AU75,CENY!$B$11:$G$1054,3,FALSE)</f>
        <v>1</v>
      </c>
      <c r="AX75" s="362">
        <v>8</v>
      </c>
      <c r="AY75" s="68"/>
      <c r="AZ75" s="326" t="str">
        <f t="shared" si="1"/>
        <v/>
      </c>
      <c r="BA75" s="95">
        <f>VLOOKUP(AU75,CENY!$B$11:$M$2025,12,FALSE)</f>
        <v>547.49897999999996</v>
      </c>
      <c r="BB75" s="95">
        <f t="shared" ref="BB75:BB141" si="7">IF(BA75="","",BA75*AY75)</f>
        <v>0</v>
      </c>
      <c r="BD75" s="319">
        <f>OBJ!B273</f>
        <v>9318198</v>
      </c>
      <c r="BE75" s="21" t="str">
        <f>VLOOKUP(BD75,CENY!$B$11:$G$1054,2,FALSE)</f>
        <v>Actro You(XL) 450/SiSy 70kg; EB21; ľavý</v>
      </c>
      <c r="BF75" s="22">
        <f>VLOOKUP(BD75,CENY!$B$11:$G$1054,3,FALSE)</f>
        <v>10</v>
      </c>
      <c r="BG75" s="22"/>
      <c r="BH75" s="23">
        <f>AY44</f>
        <v>0</v>
      </c>
      <c r="BI75" s="326">
        <f t="shared" si="2"/>
        <v>0</v>
      </c>
      <c r="BJ75" s="95">
        <f>VLOOKUP(BD75,CENY!$B$11:$M$2025,12,FALSE)</f>
        <v>368.62277</v>
      </c>
      <c r="BK75" s="95">
        <f t="shared" si="3"/>
        <v>0</v>
      </c>
    </row>
    <row r="76" spans="1:63" ht="14.4" customHeight="1">
      <c r="A76" s="577"/>
      <c r="AU76" s="319">
        <f>OBJ!B336</f>
        <v>9256933</v>
      </c>
      <c r="AV76" s="21" t="str">
        <f>VLOOKUP(AU76,CENY!$B$11:$G$1054,2,FALSE)</f>
        <v>Quadro You(M) 400/P2O 30kg; EB21</v>
      </c>
      <c r="AW76" s="22">
        <f>VLOOKUP(AU76,CENY!$B$11:$G$1054,3,FALSE)</f>
        <v>1</v>
      </c>
      <c r="AX76" s="362">
        <v>8</v>
      </c>
      <c r="AY76" s="68"/>
      <c r="AZ76" s="326" t="str">
        <f t="shared" ref="AZ76:AZ142" si="8">IF(AY76="","",IF($AW$4=1,AY76,0))</f>
        <v/>
      </c>
      <c r="BA76" s="95">
        <f>VLOOKUP(AU76,CENY!$B$11:$M$2025,12,FALSE)</f>
        <v>557.20162000000005</v>
      </c>
      <c r="BB76" s="95">
        <f t="shared" si="7"/>
        <v>0</v>
      </c>
      <c r="BD76" s="319">
        <f>OBJ!B274</f>
        <v>9318199</v>
      </c>
      <c r="BE76" s="21" t="str">
        <f>VLOOKUP(BD76,CENY!$B$11:$G$1054,2,FALSE)</f>
        <v>Actro You(XL) 450/SiSy 70kg; EB21; pravý</v>
      </c>
      <c r="BF76" s="22">
        <f>VLOOKUP(BD76,CENY!$B$11:$G$1054,3,FALSE)</f>
        <v>10</v>
      </c>
      <c r="BG76" s="22"/>
      <c r="BH76" s="23">
        <f>AY44</f>
        <v>0</v>
      </c>
      <c r="BI76" s="326">
        <f t="shared" si="2"/>
        <v>0</v>
      </c>
      <c r="BJ76" s="95">
        <f>VLOOKUP(BD76,CENY!$B$11:$M$2025,12,FALSE)</f>
        <v>368.62277</v>
      </c>
      <c r="BK76" s="95">
        <f t="shared" si="3"/>
        <v>0</v>
      </c>
    </row>
    <row r="77" spans="1:63" ht="14.4" customHeight="1">
      <c r="A77" s="577"/>
      <c r="AU77" s="319">
        <f>OBJ!B337</f>
        <v>9256935</v>
      </c>
      <c r="AV77" s="21" t="str">
        <f>VLOOKUP(AU77,CENY!$B$11:$G$1054,2,FALSE)</f>
        <v>Quadro You(M) 450/P2O 30kg; EB21</v>
      </c>
      <c r="AW77" s="22">
        <f>VLOOKUP(AU77,CENY!$B$11:$G$1054,3,FALSE)</f>
        <v>1</v>
      </c>
      <c r="AX77" s="362">
        <v>8</v>
      </c>
      <c r="AY77" s="68"/>
      <c r="AZ77" s="326" t="str">
        <f t="shared" si="8"/>
        <v/>
      </c>
      <c r="BA77" s="95">
        <f>VLOOKUP(AU77,CENY!$B$11:$M$2025,12,FALSE)</f>
        <v>566.90911000000006</v>
      </c>
      <c r="BB77" s="95">
        <f t="shared" si="7"/>
        <v>0</v>
      </c>
      <c r="BD77" s="319">
        <f>OBJ!B275</f>
        <v>9318201</v>
      </c>
      <c r="BE77" s="21" t="str">
        <f>VLOOKUP(BD77,CENY!$B$11:$G$1054,2,FALSE)</f>
        <v>Actro You(XL) 500/SiSy 70kg; EB21; ľavý</v>
      </c>
      <c r="BF77" s="22">
        <f>VLOOKUP(BD77,CENY!$B$11:$G$1054,3,FALSE)</f>
        <v>10</v>
      </c>
      <c r="BG77" s="22"/>
      <c r="BH77" s="23">
        <f>AY45</f>
        <v>0</v>
      </c>
      <c r="BI77" s="326">
        <f t="shared" si="2"/>
        <v>0</v>
      </c>
      <c r="BJ77" s="95">
        <f>VLOOKUP(BD77,CENY!$B$11:$M$2025,12,FALSE)</f>
        <v>372.33726999999999</v>
      </c>
      <c r="BK77" s="95">
        <f t="shared" si="3"/>
        <v>0</v>
      </c>
    </row>
    <row r="78" spans="1:63" ht="14.4" customHeight="1">
      <c r="A78" s="577"/>
      <c r="AU78" s="319">
        <f>OBJ!B338</f>
        <v>9256937</v>
      </c>
      <c r="AV78" s="21" t="str">
        <f>VLOOKUP(AU78,CENY!$B$11:$G$1054,2,FALSE)</f>
        <v>Quadro You(M) 500/P2O 30kg; EB21</v>
      </c>
      <c r="AW78" s="22">
        <f>VLOOKUP(AU78,CENY!$B$11:$G$1054,3,FALSE)</f>
        <v>1</v>
      </c>
      <c r="AX78" s="362">
        <v>8</v>
      </c>
      <c r="AY78" s="68"/>
      <c r="AZ78" s="326" t="str">
        <f t="shared" si="8"/>
        <v/>
      </c>
      <c r="BA78" s="95">
        <f>VLOOKUP(AU78,CENY!$B$11:$M$2025,12,FALSE)</f>
        <v>139.41228000000001</v>
      </c>
      <c r="BB78" s="95">
        <f t="shared" si="7"/>
        <v>0</v>
      </c>
      <c r="BD78" s="319">
        <f>OBJ!B276</f>
        <v>9318203</v>
      </c>
      <c r="BE78" s="21" t="str">
        <f>VLOOKUP(BD78,CENY!$B$11:$G$1054,2,FALSE)</f>
        <v>Actro You(XL) 500/SiSy 70kg; EB21; pravý</v>
      </c>
      <c r="BF78" s="22">
        <f>VLOOKUP(BD78,CENY!$B$11:$G$1054,3,FALSE)</f>
        <v>10</v>
      </c>
      <c r="BG78" s="22"/>
      <c r="BH78" s="23">
        <f>AY45</f>
        <v>0</v>
      </c>
      <c r="BI78" s="326">
        <f t="shared" si="2"/>
        <v>0</v>
      </c>
      <c r="BJ78" s="95">
        <f>VLOOKUP(BD78,CENY!$B$11:$M$2025,12,FALSE)</f>
        <v>372.33726999999999</v>
      </c>
      <c r="BK78" s="95">
        <f t="shared" si="3"/>
        <v>0</v>
      </c>
    </row>
    <row r="79" spans="1:63" ht="14.4" customHeight="1">
      <c r="A79" s="577"/>
      <c r="O79" s="576">
        <f>CEILING((O85*AY1)/FLOOR(2000/O86,1),1)</f>
        <v>0</v>
      </c>
      <c r="P79" s="576"/>
      <c r="Q79" s="576">
        <f>CEILING((Q85*AY1)/FLOOR(2000/Q86,1),1)</f>
        <v>0</v>
      </c>
      <c r="R79" s="576"/>
      <c r="S79" s="576">
        <f>CEILING((S85*AY1)/FLOOR(2000/S86,1),1)</f>
        <v>0</v>
      </c>
      <c r="T79" s="576"/>
      <c r="U79" s="576">
        <f>CEILING((U85*AY1)/FLOOR(2000/U86,1),1)</f>
        <v>0</v>
      </c>
      <c r="V79" s="576"/>
      <c r="W79" s="576">
        <f>CEILING((W85*AY1)/FLOOR(2000/W86,1),1)</f>
        <v>0</v>
      </c>
      <c r="X79" s="576"/>
      <c r="Y79" s="576">
        <f>CEILING((Y85*AY1)/FLOOR(2000/Y86,1),1)</f>
        <v>0</v>
      </c>
      <c r="Z79" s="576"/>
      <c r="AA79" s="576">
        <f>CEILING((AA85*AY1)/FLOOR(2000/AA86,1),1)</f>
        <v>0</v>
      </c>
      <c r="AB79" s="576"/>
      <c r="AC79" s="576">
        <f>CEILING((AC85*AY1)/FLOOR(2000/AC86,1),1)</f>
        <v>0</v>
      </c>
      <c r="AD79" s="576"/>
      <c r="AE79" s="576">
        <f>CEILING((AE85*AY1)/FLOOR(2000/AE86,1),1)</f>
        <v>0</v>
      </c>
      <c r="AF79" s="576"/>
      <c r="AG79" s="576">
        <f>CEILING((AG85*AY1)/FLOOR(2000/AG86,1),1)</f>
        <v>0</v>
      </c>
      <c r="AH79" s="576"/>
      <c r="AI79" s="576">
        <f>CEILING((AI85*AY1)/FLOOR(2000/AI86,1),1)</f>
        <v>0</v>
      </c>
      <c r="AJ79" s="576"/>
      <c r="AU79" s="319">
        <f>OBJ!B339</f>
        <v>9256939</v>
      </c>
      <c r="AV79" s="21" t="str">
        <f>VLOOKUP(AU79,CENY!$B$11:$G$1054,2,FALSE)</f>
        <v>Quadro You(M) 550/P2O 30kg; EB21</v>
      </c>
      <c r="AW79" s="22">
        <f>VLOOKUP(AU79,CENY!$B$11:$G$1054,3,FALSE)</f>
        <v>1</v>
      </c>
      <c r="AX79" s="362">
        <v>8</v>
      </c>
      <c r="AY79" s="68"/>
      <c r="AZ79" s="326" t="str">
        <f t="shared" si="8"/>
        <v/>
      </c>
      <c r="BA79" s="95">
        <f>VLOOKUP(AU79,CENY!$B$11:$M$2025,12,FALSE)</f>
        <v>586.3143</v>
      </c>
      <c r="BB79" s="95">
        <f t="shared" si="7"/>
        <v>0</v>
      </c>
      <c r="BD79" s="319">
        <f>OBJ!B277</f>
        <v>9318208</v>
      </c>
      <c r="BE79" s="21" t="str">
        <f>VLOOKUP(BD79,CENY!$B$11:$G$1054,2,FALSE)</f>
        <v>Actro You(XL) 550/SiSy 70kg; EB21; ľavý</v>
      </c>
      <c r="BF79" s="22">
        <f>VLOOKUP(BD79,CENY!$B$11:$G$1054,3,FALSE)</f>
        <v>10</v>
      </c>
      <c r="BG79" s="22"/>
      <c r="BH79" s="23">
        <f>AY46</f>
        <v>0</v>
      </c>
      <c r="BI79" s="326">
        <f t="shared" si="2"/>
        <v>0</v>
      </c>
      <c r="BJ79" s="95">
        <f>VLOOKUP(BD79,CENY!$B$11:$M$2025,12,FALSE)</f>
        <v>392.11943000000002</v>
      </c>
      <c r="BK79" s="95">
        <f t="shared" si="3"/>
        <v>0</v>
      </c>
    </row>
    <row r="80" spans="1:63" ht="14.4" customHeight="1">
      <c r="A80" s="577"/>
      <c r="O80" s="576">
        <f>CEILING((O85*AY3)/FLOOR(2000/O86,1),1)</f>
        <v>0</v>
      </c>
      <c r="P80" s="576"/>
      <c r="Q80" s="576">
        <f>CEILING((Q85*AY3)/FLOOR(2000/Q86,1),1)</f>
        <v>0</v>
      </c>
      <c r="R80" s="576"/>
      <c r="S80" s="576">
        <f>CEILING((S85*AY3)/FLOOR(2000/S86,1),1)</f>
        <v>0</v>
      </c>
      <c r="T80" s="576"/>
      <c r="U80" s="576">
        <f>CEILING((U85*AY3)/FLOOR(2000/U86,1),1)</f>
        <v>0</v>
      </c>
      <c r="V80" s="576"/>
      <c r="W80" s="576">
        <f>CEILING((W85*AY3)/FLOOR(2000/W86,1),1)</f>
        <v>0</v>
      </c>
      <c r="X80" s="576"/>
      <c r="Y80" s="576">
        <f>CEILING((Y85*AY3)/FLOOR(2000/Y86,1),1)</f>
        <v>0</v>
      </c>
      <c r="Z80" s="576"/>
      <c r="AA80" s="576">
        <f>CEILING((AA85*AY3)/FLOOR(2000/AA86,1),1)</f>
        <v>0</v>
      </c>
      <c r="AB80" s="576"/>
      <c r="AC80" s="576">
        <f>CEILING((AC85*AY3)/FLOOR(2000/AC86,1),1)</f>
        <v>0</v>
      </c>
      <c r="AD80" s="576"/>
      <c r="AE80" s="576">
        <f>CEILING((AE85*AY3)/FLOOR(2000/AE86,1),1)</f>
        <v>0</v>
      </c>
      <c r="AF80" s="576"/>
      <c r="AG80" s="576">
        <f>CEILING((AG85*AY3)/FLOOR(2000/AG86,1),1)</f>
        <v>0</v>
      </c>
      <c r="AH80" s="576"/>
      <c r="AI80" s="576">
        <f>CEILING((AI85*AY3)/FLOOR(2000/AI86,1),1)</f>
        <v>0</v>
      </c>
      <c r="AJ80" s="576"/>
      <c r="AU80" s="319">
        <f>OBJ!B340</f>
        <v>9256941</v>
      </c>
      <c r="AV80" s="21" t="str">
        <f>VLOOKUP(AU80,CENY!$B$11:$G$1054,2,FALSE)</f>
        <v>Quadro You(M) 600/P2O 25kg; EB21</v>
      </c>
      <c r="AW80" s="22">
        <f>VLOOKUP(AU80,CENY!$B$11:$G$1054,3,FALSE)</f>
        <v>1</v>
      </c>
      <c r="AX80" s="362">
        <v>8</v>
      </c>
      <c r="AY80" s="68"/>
      <c r="AZ80" s="326" t="str">
        <f t="shared" si="8"/>
        <v/>
      </c>
      <c r="BA80" s="95">
        <f>VLOOKUP(AU80,CENY!$B$11:$M$2025,12,FALSE)</f>
        <v>596.01683000000003</v>
      </c>
      <c r="BB80" s="95">
        <f t="shared" si="7"/>
        <v>0</v>
      </c>
      <c r="BD80" s="319">
        <f>OBJ!B278</f>
        <v>9318209</v>
      </c>
      <c r="BE80" s="21" t="str">
        <f>VLOOKUP(BD80,CENY!$B$11:$G$1054,2,FALSE)</f>
        <v>Actro You(XL) 550/SiSy 70kg; EB21; pravý</v>
      </c>
      <c r="BF80" s="22">
        <f>VLOOKUP(BD80,CENY!$B$11:$G$1054,3,FALSE)</f>
        <v>10</v>
      </c>
      <c r="BG80" s="22"/>
      <c r="BH80" s="23">
        <f>AY46</f>
        <v>0</v>
      </c>
      <c r="BI80" s="326">
        <f t="shared" si="2"/>
        <v>0</v>
      </c>
      <c r="BJ80" s="95">
        <f>VLOOKUP(BD80,CENY!$B$11:$M$2025,12,FALSE)</f>
        <v>392.11943000000002</v>
      </c>
      <c r="BK80" s="95">
        <f t="shared" si="3"/>
        <v>0</v>
      </c>
    </row>
    <row r="81" spans="1:63" ht="14.4" customHeight="1">
      <c r="A81" s="577"/>
      <c r="O81" s="575">
        <f>O86*O85*$AY$1</f>
        <v>0</v>
      </c>
      <c r="P81" s="575"/>
      <c r="Q81" s="575">
        <f>Q86*Q85*$AY$1</f>
        <v>0</v>
      </c>
      <c r="R81" s="575"/>
      <c r="S81" s="575">
        <f>S86*S85*$AY$1</f>
        <v>0</v>
      </c>
      <c r="T81" s="575"/>
      <c r="U81" s="575">
        <f>U86*U85*$AY$1</f>
        <v>0</v>
      </c>
      <c r="V81" s="575"/>
      <c r="W81" s="575">
        <f>W86*W85*$AY$1</f>
        <v>0</v>
      </c>
      <c r="X81" s="575"/>
      <c r="Y81" s="575">
        <f>Y86*Y85*$AY$1</f>
        <v>0</v>
      </c>
      <c r="Z81" s="575"/>
      <c r="AA81" s="575">
        <f>AA86*AA85*$AY$1</f>
        <v>0</v>
      </c>
      <c r="AB81" s="575"/>
      <c r="AC81" s="575">
        <f>AC86*AC85*$AY$1</f>
        <v>0</v>
      </c>
      <c r="AD81" s="575"/>
      <c r="AE81" s="575">
        <f>AE86*AE85*$AY$1</f>
        <v>0</v>
      </c>
      <c r="AF81" s="575"/>
      <c r="AG81" s="575">
        <f>AG86*AG85*$AY$1</f>
        <v>0</v>
      </c>
      <c r="AH81" s="575"/>
      <c r="AI81" s="575">
        <f>AI86*AI85*$AY$1</f>
        <v>0</v>
      </c>
      <c r="AJ81" s="575"/>
      <c r="AU81" s="319"/>
      <c r="AV81" s="21"/>
      <c r="AW81" s="22"/>
      <c r="AX81" s="22"/>
      <c r="AY81" s="23"/>
      <c r="AZ81" s="326" t="str">
        <f t="shared" si="8"/>
        <v/>
      </c>
      <c r="BA81" s="95"/>
      <c r="BB81" s="95" t="str">
        <f t="shared" si="7"/>
        <v/>
      </c>
      <c r="BD81" s="319">
        <f>OBJ!B279</f>
        <v>9318211</v>
      </c>
      <c r="BE81" s="21" t="str">
        <f>VLOOKUP(BD81,CENY!$B$11:$G$1054,2,FALSE)</f>
        <v>Actro You(XL) 600/SiSy 70kg; EB21; ľavý</v>
      </c>
      <c r="BF81" s="22">
        <f>VLOOKUP(BD81,CENY!$B$11:$G$1054,3,FALSE)</f>
        <v>10</v>
      </c>
      <c r="BG81" s="22"/>
      <c r="BH81" s="23">
        <f>AY47</f>
        <v>0</v>
      </c>
      <c r="BI81" s="326">
        <f t="shared" si="2"/>
        <v>0</v>
      </c>
      <c r="BJ81" s="95">
        <f>VLOOKUP(BD81,CENY!$B$11:$M$2025,12,FALSE)</f>
        <v>443.89010999999999</v>
      </c>
      <c r="BK81" s="95">
        <f t="shared" si="3"/>
        <v>0</v>
      </c>
    </row>
    <row r="82" spans="1:63" ht="14.4" customHeight="1">
      <c r="A82" s="577"/>
      <c r="O82" s="575">
        <f>O86*O85*$AY$3</f>
        <v>0</v>
      </c>
      <c r="P82" s="575"/>
      <c r="Q82" s="575">
        <f>Q86*Q85*$AY$3</f>
        <v>0</v>
      </c>
      <c r="R82" s="575"/>
      <c r="S82" s="575">
        <f>S86*S85*$AY$3</f>
        <v>0</v>
      </c>
      <c r="T82" s="575"/>
      <c r="U82" s="575">
        <f>U86*U85*$AY$3</f>
        <v>0</v>
      </c>
      <c r="V82" s="575"/>
      <c r="W82" s="575">
        <f>W86*W85*$AY$3</f>
        <v>0</v>
      </c>
      <c r="X82" s="575"/>
      <c r="Y82" s="575">
        <f>Y86*Y85*$AY$3</f>
        <v>0</v>
      </c>
      <c r="Z82" s="575"/>
      <c r="AA82" s="575">
        <f>AA86*AA85*$AY$3</f>
        <v>0</v>
      </c>
      <c r="AB82" s="575"/>
      <c r="AC82" s="575">
        <f>AC86*AC85*$AY$3</f>
        <v>0</v>
      </c>
      <c r="AD82" s="575"/>
      <c r="AE82" s="575">
        <f>AE86*AE85*$AY$3</f>
        <v>0</v>
      </c>
      <c r="AF82" s="575"/>
      <c r="AG82" s="575">
        <f>AG86*AG85*$AY$3</f>
        <v>0</v>
      </c>
      <c r="AH82" s="575"/>
      <c r="AI82" s="575">
        <f>AI86*AI85*$AY$3</f>
        <v>0</v>
      </c>
      <c r="AJ82" s="575"/>
      <c r="AK82" s="577"/>
      <c r="AL82" s="577"/>
      <c r="AU82" s="319">
        <f>OBJ!B358</f>
        <v>9219966</v>
      </c>
      <c r="AV82" s="21" t="str">
        <f>VLOOKUP(AU82,CENY!$B$11:$G$1054,2,FALSE)</f>
        <v>Push to open Synchro / adaptér typ A</v>
      </c>
      <c r="AW82" s="22">
        <f>VLOOKUP(AU82,CENY!$B$11:$G$1054,3,FALSE)</f>
        <v>200</v>
      </c>
      <c r="AX82" s="22"/>
      <c r="AY82" s="68"/>
      <c r="AZ82" s="326" t="str">
        <f t="shared" si="8"/>
        <v/>
      </c>
      <c r="BA82" s="95">
        <f>VLOOKUP(AU82,CENY!$B$11:$M$2025,12,FALSE)</f>
        <v>16.488900000000001</v>
      </c>
      <c r="BB82" s="95">
        <f t="shared" si="7"/>
        <v>0</v>
      </c>
      <c r="BD82" s="319">
        <f>OBJ!B280</f>
        <v>9318212</v>
      </c>
      <c r="BE82" s="21" t="str">
        <f>VLOOKUP(BD82,CENY!$B$11:$G$1054,2,FALSE)</f>
        <v>Actro You(XL) 600/SiSy 70kg; EB21; pravý</v>
      </c>
      <c r="BF82" s="22">
        <f>VLOOKUP(BD82,CENY!$B$11:$G$1054,3,FALSE)</f>
        <v>10</v>
      </c>
      <c r="BG82" s="22"/>
      <c r="BH82" s="23">
        <f>AY47</f>
        <v>0</v>
      </c>
      <c r="BI82" s="326">
        <f t="shared" si="2"/>
        <v>0</v>
      </c>
      <c r="BJ82" s="95">
        <f>VLOOKUP(BD82,CENY!$B$11:$M$2025,12,FALSE)</f>
        <v>443.89010999999999</v>
      </c>
      <c r="BK82" s="95">
        <f t="shared" si="3"/>
        <v>0</v>
      </c>
    </row>
    <row r="83" spans="1:63" ht="14.4" customHeight="1" thickBot="1">
      <c r="A83" s="577"/>
      <c r="B83" s="1" t="str">
        <f>verze!E162</f>
        <v>Čelo na vnitřní zásuvku</v>
      </c>
      <c r="O83" s="581" t="str">
        <f>verze!E163</f>
        <v>vnější rozměry zásuvkové skřínky [mm]</v>
      </c>
      <c r="P83" s="582"/>
      <c r="Q83" s="582"/>
      <c r="R83" s="582"/>
      <c r="S83" s="582"/>
      <c r="T83" s="582"/>
      <c r="U83" s="582"/>
      <c r="V83" s="582"/>
      <c r="W83" s="582"/>
      <c r="X83" s="582"/>
      <c r="Y83" s="582"/>
      <c r="Z83" s="582"/>
      <c r="AA83" s="582"/>
      <c r="AB83" s="582"/>
      <c r="AC83" s="582"/>
      <c r="AD83" s="582"/>
      <c r="AE83" s="582"/>
      <c r="AF83" s="582"/>
      <c r="AG83" s="582"/>
      <c r="AH83" s="582"/>
      <c r="AI83" s="582"/>
      <c r="AJ83" s="582"/>
      <c r="AU83" s="319"/>
      <c r="AV83" s="21"/>
      <c r="AW83" s="22"/>
      <c r="AX83" s="22"/>
      <c r="AY83" s="23"/>
      <c r="AZ83" s="326" t="str">
        <f t="shared" si="8"/>
        <v/>
      </c>
      <c r="BA83" s="95"/>
      <c r="BB83" s="95" t="str">
        <f t="shared" si="7"/>
        <v/>
      </c>
      <c r="BD83" s="319">
        <f>OBJ!B281</f>
        <v>9318213</v>
      </c>
      <c r="BE83" s="21" t="str">
        <f>VLOOKUP(BD83,CENY!$B$11:$G$1054,2,FALSE)</f>
        <v>Actro You(XL) 650/SiSy 70kg; EB21; ľavý</v>
      </c>
      <c r="BF83" s="22">
        <f>VLOOKUP(BD83,CENY!$B$11:$G$1054,3,FALSE)</f>
        <v>5</v>
      </c>
      <c r="BG83" s="22"/>
      <c r="BH83" s="23">
        <f>AY48</f>
        <v>0</v>
      </c>
      <c r="BI83" s="326">
        <f t="shared" si="2"/>
        <v>0</v>
      </c>
      <c r="BJ83" s="95">
        <f>VLOOKUP(BD83,CENY!$B$11:$M$2025,12,FALSE)</f>
        <v>462.41142000000002</v>
      </c>
      <c r="BK83" s="95">
        <f t="shared" si="3"/>
        <v>0</v>
      </c>
    </row>
    <row r="84" spans="1:63" ht="14.4" customHeight="1" thickBot="1">
      <c r="A84" s="577"/>
      <c r="B84" s="96"/>
      <c r="C84" s="96"/>
      <c r="D84" s="96"/>
      <c r="E84" s="96"/>
      <c r="F84" s="96"/>
      <c r="G84" s="96"/>
      <c r="H84" s="72"/>
      <c r="I84" s="72"/>
      <c r="J84" s="72"/>
      <c r="K84" s="72"/>
      <c r="L84" s="72"/>
      <c r="M84" s="72"/>
      <c r="N84" s="72" t="str">
        <f>verze!E166&amp;" "</f>
        <v xml:space="preserve">Šířka korpusu: </v>
      </c>
      <c r="O84" s="535">
        <v>300</v>
      </c>
      <c r="P84" s="536"/>
      <c r="Q84" s="535">
        <v>400</v>
      </c>
      <c r="R84" s="536"/>
      <c r="S84" s="535">
        <v>450</v>
      </c>
      <c r="T84" s="536"/>
      <c r="U84" s="535">
        <v>500</v>
      </c>
      <c r="V84" s="536"/>
      <c r="W84" s="535">
        <v>550</v>
      </c>
      <c r="X84" s="536"/>
      <c r="Y84" s="535">
        <v>600</v>
      </c>
      <c r="Z84" s="536"/>
      <c r="AA84" s="535">
        <v>700</v>
      </c>
      <c r="AB84" s="536"/>
      <c r="AC84" s="535">
        <v>800</v>
      </c>
      <c r="AD84" s="536"/>
      <c r="AE84" s="535">
        <v>900</v>
      </c>
      <c r="AF84" s="584"/>
      <c r="AG84" s="535">
        <v>1000</v>
      </c>
      <c r="AH84" s="584"/>
      <c r="AI84" s="535">
        <v>1200</v>
      </c>
      <c r="AJ84" s="536"/>
      <c r="AU84" s="320">
        <v>9255836</v>
      </c>
      <c r="AV84" s="321" t="str">
        <f>VLOOKUP(AU84,CENY!$B$11:$G$1054,2,FALSE)</f>
        <v>AvanY-príchytka čela s rozp.púzdrom/ v101</v>
      </c>
      <c r="AW84" s="22">
        <f>VLOOKUP(AU84,CENY!$B$11:$G$1054,3,FALSE)</f>
        <v>200</v>
      </c>
      <c r="AX84" s="22"/>
      <c r="AY84" s="68">
        <f>IF(FORM!AM8=FORM!AU11,(2*(AY2)*(SUM(W20:AD20)+SUM(W22:AF22)+SUM(W28:AD28))),0)</f>
        <v>0</v>
      </c>
      <c r="AZ84" s="326">
        <f t="shared" si="8"/>
        <v>0</v>
      </c>
      <c r="BA84" s="95">
        <f>VLOOKUP(AU84,CENY!$B$11:$M$2025,12,FALSE)</f>
        <v>25.299289999999999</v>
      </c>
      <c r="BB84" s="95">
        <f t="shared" si="7"/>
        <v>0</v>
      </c>
      <c r="BD84" s="319">
        <f>OBJ!B282</f>
        <v>9318214</v>
      </c>
      <c r="BE84" s="21" t="str">
        <f>VLOOKUP(BD84,CENY!$B$11:$G$1054,2,FALSE)</f>
        <v>Actro You(XL) 650/SiSy 70kg; EB21; pravý</v>
      </c>
      <c r="BF84" s="22">
        <f>VLOOKUP(BD84,CENY!$B$11:$G$1054,3,FALSE)</f>
        <v>5</v>
      </c>
      <c r="BG84" s="22"/>
      <c r="BH84" s="23">
        <f>AY48</f>
        <v>0</v>
      </c>
      <c r="BI84" s="326">
        <f t="shared" ref="BI84:BI148" si="9">IF(BH84="","",IF($AW$4=0,BH84,0))</f>
        <v>0</v>
      </c>
      <c r="BJ84" s="95">
        <f>VLOOKUP(BD84,CENY!$B$11:$M$2025,12,FALSE)</f>
        <v>462.41142000000002</v>
      </c>
      <c r="BK84" s="95">
        <f t="shared" ref="BK84:BK153" si="10">IF(BJ84="","",BJ84*BH84)</f>
        <v>0</v>
      </c>
    </row>
    <row r="85" spans="1:63" ht="14.4" customHeight="1" thickBot="1">
      <c r="A85" s="577"/>
      <c r="B85" s="158" t="str">
        <f>" "&amp;verze!E167</f>
        <v xml:space="preserve"> ALU čelo</v>
      </c>
      <c r="C85" s="158"/>
      <c r="D85" s="158"/>
      <c r="E85" s="158"/>
      <c r="F85" s="158"/>
      <c r="G85" s="158"/>
      <c r="H85" s="158"/>
      <c r="I85" s="158"/>
      <c r="J85" s="158"/>
      <c r="K85" s="158"/>
      <c r="L85" s="158"/>
      <c r="M85" s="523"/>
      <c r="N85" s="546"/>
      <c r="O85" s="578"/>
      <c r="P85" s="579"/>
      <c r="Q85" s="578"/>
      <c r="R85" s="579"/>
      <c r="S85" s="578"/>
      <c r="T85" s="579"/>
      <c r="U85" s="578"/>
      <c r="V85" s="579"/>
      <c r="W85" s="578"/>
      <c r="X85" s="579"/>
      <c r="Y85" s="578"/>
      <c r="Z85" s="579"/>
      <c r="AA85" s="578"/>
      <c r="AB85" s="579"/>
      <c r="AC85" s="578"/>
      <c r="AD85" s="579"/>
      <c r="AE85" s="578"/>
      <c r="AF85" s="579"/>
      <c r="AG85" s="578"/>
      <c r="AH85" s="579"/>
      <c r="AI85" s="578"/>
      <c r="AJ85" s="583"/>
      <c r="AU85" s="320">
        <v>9257258</v>
      </c>
      <c r="AV85" s="321" t="str">
        <f>VLOOKUP(AU85,CENY!$B$11:$G$1054,2,FALSE)</f>
        <v>AvanY-prích.čela Inlay s rozp.púzdrom/ v187</v>
      </c>
      <c r="AW85" s="22">
        <f>VLOOKUP(AU85,CENY!$B$11:$G$1054,3,FALSE)</f>
        <v>100</v>
      </c>
      <c r="AX85" s="22"/>
      <c r="AY85" s="68">
        <f>IF(FORM!AM8=FORM!AU11,(2*(AY4)*(SUM(W20:AD20)+SUM(W22:AF22)+SUM(W28:AD28))),0)</f>
        <v>0</v>
      </c>
      <c r="AZ85" s="326">
        <f t="shared" si="8"/>
        <v>0</v>
      </c>
      <c r="BA85" s="95">
        <f>VLOOKUP(AU85,CENY!$B$11:$M$2025,12,FALSE)</f>
        <v>51.356920000000002</v>
      </c>
      <c r="BB85" s="95">
        <f t="shared" si="7"/>
        <v>0</v>
      </c>
      <c r="BD85" s="319"/>
      <c r="BE85" s="21"/>
      <c r="BF85" s="22"/>
      <c r="BG85" s="22"/>
      <c r="BH85" s="23"/>
      <c r="BI85" s="326" t="str">
        <f t="shared" si="9"/>
        <v/>
      </c>
      <c r="BJ85" s="95"/>
      <c r="BK85" s="95" t="str">
        <f t="shared" si="10"/>
        <v/>
      </c>
    </row>
    <row r="86" spans="1:63" ht="14.4" customHeight="1">
      <c r="A86" s="577"/>
      <c r="O86" s="580">
        <f>O84-2*FORM!$AM$24-12</f>
        <v>252</v>
      </c>
      <c r="P86" s="580"/>
      <c r="Q86" s="580">
        <f>Q84-2*FORM!$AM$24-12</f>
        <v>352</v>
      </c>
      <c r="R86" s="580"/>
      <c r="S86" s="580">
        <f>S84-2*FORM!$AM$24-12</f>
        <v>402</v>
      </c>
      <c r="T86" s="580"/>
      <c r="U86" s="580">
        <f>U84-2*FORM!$AM$24-12</f>
        <v>452</v>
      </c>
      <c r="V86" s="580"/>
      <c r="W86" s="580">
        <f>W84-2*FORM!$AM$24-12</f>
        <v>502</v>
      </c>
      <c r="X86" s="580"/>
      <c r="Y86" s="580">
        <f>Y84-2*FORM!$AM$24-12</f>
        <v>552</v>
      </c>
      <c r="Z86" s="580"/>
      <c r="AA86" s="580">
        <f>AA84-2*FORM!$AM$24-12</f>
        <v>652</v>
      </c>
      <c r="AB86" s="580"/>
      <c r="AC86" s="580">
        <f>AC84-2*FORM!$AM$24-12</f>
        <v>752</v>
      </c>
      <c r="AD86" s="580"/>
      <c r="AE86" s="580">
        <f>AE84-2*FORM!$AM$24-12</f>
        <v>852</v>
      </c>
      <c r="AF86" s="580"/>
      <c r="AG86" s="580">
        <f>AG84-2*FORM!$AM$24-12</f>
        <v>952</v>
      </c>
      <c r="AH86" s="580"/>
      <c r="AI86" s="580">
        <f>AI84-2*FORM!$AM$24-12</f>
        <v>1152</v>
      </c>
      <c r="AJ86" s="580"/>
      <c r="AU86" s="319"/>
      <c r="AV86" s="21"/>
      <c r="AW86" s="22"/>
      <c r="AX86" s="22"/>
      <c r="AY86" s="23"/>
      <c r="AZ86" s="326" t="str">
        <f t="shared" si="8"/>
        <v/>
      </c>
      <c r="BA86" s="95"/>
      <c r="BB86" s="95" t="str">
        <f t="shared" si="7"/>
        <v/>
      </c>
      <c r="BD86" s="319">
        <f>OBJ!B284</f>
        <v>9257890</v>
      </c>
      <c r="BE86" s="21" t="str">
        <f>VLOOKUP(BD86,CENY!$B$11:$G$1054,2,FALSE)</f>
        <v>Actro You - Push to open Silent; &lt;10kg</v>
      </c>
      <c r="BF86" s="22">
        <f>VLOOKUP(BD86,CENY!$B$11:$G$1054,3,FALSE)</f>
        <v>1</v>
      </c>
      <c r="BG86" s="22"/>
      <c r="BH86" s="68"/>
      <c r="BI86" s="326" t="str">
        <f t="shared" si="9"/>
        <v/>
      </c>
      <c r="BJ86" s="95">
        <f>VLOOKUP(BD86,CENY!$B$11:$M$2025,12,FALSE)</f>
        <v>481.81412999999998</v>
      </c>
      <c r="BK86" s="95">
        <f t="shared" si="10"/>
        <v>0</v>
      </c>
    </row>
    <row r="87" spans="1:63" ht="14.4" customHeight="1">
      <c r="A87" s="577"/>
      <c r="AR87" s="157" t="str">
        <f>IF(AU98=0,verze!E169&amp;" "&amp;AU96&amp;" "&amp;verze!E170,"")</f>
        <v>Je potřebné vybrat 0 ks vnitřních čel.</v>
      </c>
      <c r="AU87" s="319">
        <f>OBJ!B214</f>
        <v>0</v>
      </c>
      <c r="AV87" s="21" t="e">
        <f>VLOOKUP(AU87,CENY!$B$11:$G$1054,2,FALSE)</f>
        <v>#N/A</v>
      </c>
      <c r="AW87" s="22" t="e">
        <f>VLOOKUP(AU87,CENY!$B$11:$G$1054,3,FALSE)</f>
        <v>#N/A</v>
      </c>
      <c r="AX87" s="22"/>
      <c r="AY87" s="68">
        <f>IF(FORM!AM21&lt;&gt;FORM!AW16,(2*SUM(AY1:AY4)*(SUM(W20:AD20)+SUM(W22:AF22)+SUM(W28:AD28))),0)</f>
        <v>0</v>
      </c>
      <c r="AZ87" s="326">
        <f t="shared" si="8"/>
        <v>0</v>
      </c>
      <c r="BA87" s="324" t="str">
        <f>IF(AU87=0,"",VLOOKUP(AU87,CENY!$B$11:$M$2025,12,FALSE))</f>
        <v/>
      </c>
      <c r="BB87" s="95" t="str">
        <f>IF(BA87="","",BA87*AY87)</f>
        <v/>
      </c>
      <c r="BD87" s="319">
        <f>OBJ!B285</f>
        <v>9257891</v>
      </c>
      <c r="BE87" s="21" t="str">
        <f>VLOOKUP(BD87,CENY!$B$11:$G$1054,2,FALSE)</f>
        <v>Actro You - Push to open Silent; 8-20kg</v>
      </c>
      <c r="BF87" s="22">
        <f>VLOOKUP(BD87,CENY!$B$11:$G$1054,3,FALSE)</f>
        <v>1</v>
      </c>
      <c r="BG87" s="22"/>
      <c r="BH87" s="68"/>
      <c r="BI87" s="326" t="str">
        <f t="shared" si="9"/>
        <v/>
      </c>
      <c r="BJ87" s="95">
        <f>VLOOKUP(BD87,CENY!$B$11:$M$2025,12,FALSE)</f>
        <v>481.81412999999998</v>
      </c>
      <c r="BK87" s="95">
        <f t="shared" si="10"/>
        <v>0</v>
      </c>
    </row>
    <row r="88" spans="1:63" ht="14.4" customHeight="1">
      <c r="A88" s="577"/>
      <c r="AR88" s="332" t="str">
        <f>IF(AU98=0,"",IF(AU96=AU98,verze!E174,IF(AU99&gt;0,verze!E171&amp;" "&amp;AU99&amp;" "&amp;verze!E170,verze!E172&amp;" "&amp;AU100&amp;" "&amp;verze!E173)))</f>
        <v/>
      </c>
      <c r="AU88" s="319"/>
      <c r="AV88" s="21"/>
      <c r="AW88" s="22"/>
      <c r="AX88" s="22"/>
      <c r="AY88" s="23"/>
      <c r="AZ88" s="326" t="str">
        <f t="shared" si="8"/>
        <v/>
      </c>
      <c r="BA88" s="95"/>
      <c r="BB88" s="95" t="str">
        <f t="shared" si="7"/>
        <v/>
      </c>
      <c r="BD88" s="319">
        <f>OBJ!B286</f>
        <v>9257892</v>
      </c>
      <c r="BE88" s="21" t="str">
        <f>VLOOKUP(BD88,CENY!$B$11:$G$1054,2,FALSE)</f>
        <v>Actro You - Push to open Silent; 10-40kg</v>
      </c>
      <c r="BF88" s="22">
        <f>VLOOKUP(BD88,CENY!$B$11:$G$1054,3,FALSE)</f>
        <v>1</v>
      </c>
      <c r="BG88" s="22"/>
      <c r="BH88" s="68"/>
      <c r="BI88" s="326" t="str">
        <f t="shared" si="9"/>
        <v/>
      </c>
      <c r="BJ88" s="95">
        <f>VLOOKUP(BD88,CENY!$B$11:$M$2025,12,FALSE)</f>
        <v>481.81412999999998</v>
      </c>
      <c r="BK88" s="95">
        <f t="shared" si="10"/>
        <v>0</v>
      </c>
    </row>
    <row r="89" spans="1:63" ht="14.4" customHeight="1">
      <c r="A89" s="577"/>
      <c r="AU89" s="319"/>
      <c r="AV89" s="21"/>
      <c r="AW89" s="22"/>
      <c r="AX89" s="22"/>
      <c r="AY89" s="23"/>
      <c r="AZ89" s="326" t="str">
        <f t="shared" si="8"/>
        <v/>
      </c>
      <c r="BA89" s="95"/>
      <c r="BB89" s="95" t="str">
        <f t="shared" si="7"/>
        <v/>
      </c>
      <c r="BD89" s="319">
        <f>OBJ!B287</f>
        <v>9257893</v>
      </c>
      <c r="BE89" s="21" t="str">
        <f>VLOOKUP(BD89,CENY!$B$11:$G$1054,2,FALSE)</f>
        <v>Actro You - Push to open Silent; 20-70kg</v>
      </c>
      <c r="BF89" s="22">
        <f>VLOOKUP(BD89,CENY!$B$11:$G$1054,3,FALSE)</f>
        <v>1</v>
      </c>
      <c r="BG89" s="22"/>
      <c r="BH89" s="68"/>
      <c r="BI89" s="326" t="str">
        <f t="shared" si="9"/>
        <v/>
      </c>
      <c r="BJ89" s="95">
        <f>VLOOKUP(BD89,CENY!$B$11:$M$2025,12,FALSE)</f>
        <v>481.81412999999998</v>
      </c>
      <c r="BK89" s="95">
        <f t="shared" si="10"/>
        <v>0</v>
      </c>
    </row>
    <row r="90" spans="1:63" ht="14.4" customHeight="1">
      <c r="A90" s="577"/>
      <c r="AU90" s="319">
        <f>OBJ!B194</f>
        <v>9257269</v>
      </c>
      <c r="AV90" s="21" t="str">
        <f>VLOOKUP(AU90,CENY!$B$11:$G$1054,2,FALSE)</f>
        <v>AvanY-čelo vnút.zásuvky /v101/d2000/strieb.</v>
      </c>
      <c r="AW90" s="22">
        <f>VLOOKUP(AU90,CENY!$B$11:$G$1054,3,FALSE)</f>
        <v>1</v>
      </c>
      <c r="AX90" s="22"/>
      <c r="AY90" s="23">
        <f>IF(AU96=0,0,IF(AU102&lt;2000,1,SUM(O79:AJ79)))</f>
        <v>0</v>
      </c>
      <c r="AZ90" s="326">
        <f>IF(AY90="","",IF($AW$4=1,AY90,0))</f>
        <v>0</v>
      </c>
      <c r="BA90" s="95">
        <f>VLOOKUP(AU90,CENY!$B$11:$M$2025,12,FALSE)</f>
        <v>1483.13021</v>
      </c>
      <c r="BB90" s="95">
        <f>IF(BA90="","",BA90*AY90)</f>
        <v>0</v>
      </c>
      <c r="BD90" s="319">
        <f>OBJ!B288</f>
        <v>9236718</v>
      </c>
      <c r="BE90" s="21" t="str">
        <f>VLOOKUP(BD90,CENY!$B$11:$G$1054,2,FALSE)</f>
        <v>Push to open Synchro / tyč 2.000 mm</v>
      </c>
      <c r="BF90" s="22">
        <f>VLOOKUP(BD90,CENY!$B$11:$G$1054,3,FALSE)</f>
        <v>100</v>
      </c>
      <c r="BG90" s="22"/>
      <c r="BH90" s="68"/>
      <c r="BI90" s="326" t="str">
        <f t="shared" si="9"/>
        <v/>
      </c>
      <c r="BJ90" s="95">
        <f>VLOOKUP(BD90,CENY!$B$11:$M$2025,12,FALSE)</f>
        <v>182.03933000000001</v>
      </c>
      <c r="BK90" s="95">
        <f t="shared" si="10"/>
        <v>0</v>
      </c>
    </row>
    <row r="91" spans="1:63" ht="14.4" customHeight="1">
      <c r="A91" s="577"/>
      <c r="AU91" s="319">
        <f>OBJ!B198</f>
        <v>9257611</v>
      </c>
      <c r="AV91" s="21" t="str">
        <f>VLOOKUP(AU91,CENY!$B$11:$G$1054,2,FALSE)</f>
        <v>AvanY-spojky čela vnút.zás./v101/strieb.</v>
      </c>
      <c r="AW91" s="22">
        <f>VLOOKUP(AU91,CENY!$B$11:$G$1054,3,FALSE)</f>
        <v>1</v>
      </c>
      <c r="AX91" s="22"/>
      <c r="AY91" s="23">
        <f>1*(AY1)*(SUM(W20:AD20)+SUM(W22:AF22)+SUM(W28:AD28))</f>
        <v>0</v>
      </c>
      <c r="AZ91" s="326">
        <f>IF(AY91="","",IF($AW$4=1,AY91,0))</f>
        <v>0</v>
      </c>
      <c r="BA91" s="95">
        <f>VLOOKUP(AU91,CENY!$B$11:$M$2025,12,FALSE)</f>
        <v>97.260310000000004</v>
      </c>
      <c r="BB91" s="95">
        <f>IF(BA91="","",BA91*AY91)</f>
        <v>0</v>
      </c>
      <c r="BD91" s="319"/>
      <c r="BE91" s="21"/>
      <c r="BF91" s="22"/>
      <c r="BG91" s="22"/>
      <c r="BH91" s="23"/>
      <c r="BI91" s="326" t="str">
        <f t="shared" si="9"/>
        <v/>
      </c>
      <c r="BJ91" s="95"/>
      <c r="BK91" s="95" t="str">
        <f t="shared" si="10"/>
        <v/>
      </c>
    </row>
    <row r="92" spans="1:63" ht="14.4" customHeight="1">
      <c r="A92" s="577"/>
      <c r="AU92" s="319">
        <f>OBJ!B196</f>
        <v>9257271</v>
      </c>
      <c r="AV92" s="21" t="str">
        <f>VLOOKUP(AU92,CENY!$B$11:$G$1054,2,FALSE)</f>
        <v>AvanY-čelo vnút.zásuvky /v187/d2000/strieb.</v>
      </c>
      <c r="AW92" s="22">
        <f>VLOOKUP(AU92,CENY!$B$11:$G$1054,3,FALSE)</f>
        <v>1</v>
      </c>
      <c r="AX92" s="22"/>
      <c r="AY92" s="23">
        <f>IF(AW96=0,0,IF(AW102&lt;2000,1,SUM(O80:AJ80)))</f>
        <v>0</v>
      </c>
      <c r="AZ92" s="326">
        <f>IF(AY92="","",IF($AW$4=1,AY92,0))</f>
        <v>0</v>
      </c>
      <c r="BA92" s="95">
        <f>VLOOKUP(AU92,CENY!$B$11:$M$2025,12,FALSE)</f>
        <v>2217.7650899999999</v>
      </c>
      <c r="BB92" s="95">
        <f>IF(BA92="","",BA92*AY92)</f>
        <v>0</v>
      </c>
      <c r="BD92" s="319">
        <f>OBJ!B297</f>
        <v>9256944</v>
      </c>
      <c r="BE92" s="21" t="str">
        <f>VLOOKUP(BD92,CENY!$B$11:$G$1054,2,FALSE)</f>
        <v>Quadro You(S) 270/SiSy 10kg; EB21; ľavý</v>
      </c>
      <c r="BF92" s="22">
        <f>VLOOKUP(BD92,CENY!$B$11:$G$1054,3,FALSE)</f>
        <v>20</v>
      </c>
      <c r="BG92" s="22"/>
      <c r="BH92" s="68"/>
      <c r="BI92" s="326" t="str">
        <f t="shared" si="9"/>
        <v/>
      </c>
      <c r="BJ92" s="95">
        <f>VLOOKUP(BD92,CENY!$B$11:$M$2025,12,FALSE)</f>
        <v>223.77942999999999</v>
      </c>
      <c r="BK92" s="95">
        <f t="shared" si="10"/>
        <v>0</v>
      </c>
    </row>
    <row r="93" spans="1:63" ht="14.4" customHeight="1">
      <c r="A93" s="577"/>
      <c r="AU93" s="319">
        <f>OBJ!B201</f>
        <v>9257623</v>
      </c>
      <c r="AV93" s="21" t="str">
        <f>VLOOKUP(AU93,CENY!$B$11:$G$1054,2,FALSE)</f>
        <v>AvanY-spojky čela vnút.Inlay/v187/strieb.</v>
      </c>
      <c r="AW93" s="22">
        <f>VLOOKUP(AU93,CENY!$B$11:$G$1054,3,FALSE)</f>
        <v>1</v>
      </c>
      <c r="AX93" s="22"/>
      <c r="AY93" s="23">
        <f>1*(AY3)*(SUM(W20:AD20)+SUM(W22:AF22)+SUM(W28:AD28))</f>
        <v>0</v>
      </c>
      <c r="AZ93" s="326">
        <f>IF(AY93="","",IF($AW$4=1,AY93,0))</f>
        <v>0</v>
      </c>
      <c r="BA93" s="95">
        <f>VLOOKUP(AU93,CENY!$B$11:$M$2025,12,FALSE)</f>
        <v>150.04737</v>
      </c>
      <c r="BB93" s="95">
        <f>IF(BA93="","",BA93*AY93)</f>
        <v>0</v>
      </c>
      <c r="BD93" s="319">
        <f>OBJ!B298</f>
        <v>9256945</v>
      </c>
      <c r="BE93" s="21" t="str">
        <f>VLOOKUP(BD93,CENY!$B$11:$G$1054,2,FALSE)</f>
        <v>Quadro You(S) 270/SiSy 10kg; EB21; pravý</v>
      </c>
      <c r="BF93" s="22">
        <f>VLOOKUP(BD93,CENY!$B$11:$G$1054,3,FALSE)</f>
        <v>20</v>
      </c>
      <c r="BG93" s="22"/>
      <c r="BH93" s="68"/>
      <c r="BI93" s="326" t="str">
        <f t="shared" si="9"/>
        <v/>
      </c>
      <c r="BJ93" s="95">
        <f>VLOOKUP(BD93,CENY!$B$11:$M$2025,12,FALSE)</f>
        <v>223.77942999999999</v>
      </c>
      <c r="BK93" s="95">
        <f t="shared" si="10"/>
        <v>0</v>
      </c>
    </row>
    <row r="94" spans="1:63" ht="14.4" customHeight="1">
      <c r="A94" s="577"/>
      <c r="AU94" s="319"/>
      <c r="AV94" s="21"/>
      <c r="AW94" s="368"/>
      <c r="AX94" s="368"/>
      <c r="AY94" s="369"/>
      <c r="AZ94" s="326" t="str">
        <f t="shared" si="8"/>
        <v/>
      </c>
      <c r="BA94" s="95"/>
      <c r="BB94" s="95" t="str">
        <f t="shared" si="7"/>
        <v/>
      </c>
      <c r="BD94" s="319">
        <f>OBJ!B299</f>
        <v>9256946</v>
      </c>
      <c r="BE94" s="21" t="str">
        <f>VLOOKUP(BD94,CENY!$B$11:$G$1054,2,FALSE)</f>
        <v>Quadro You(S) 300/SiSy 10kg; EB21; ľavý</v>
      </c>
      <c r="BF94" s="22">
        <f>VLOOKUP(BD94,CENY!$B$11:$G$1054,3,FALSE)</f>
        <v>20</v>
      </c>
      <c r="BG94" s="22"/>
      <c r="BH94" s="68"/>
      <c r="BI94" s="326" t="str">
        <f t="shared" si="9"/>
        <v/>
      </c>
      <c r="BJ94" s="95">
        <f>VLOOKUP(BD94,CENY!$B$11:$M$2025,12,FALSE)</f>
        <v>224.26065</v>
      </c>
      <c r="BK94" s="95">
        <f t="shared" si="10"/>
        <v>0</v>
      </c>
    </row>
    <row r="95" spans="1:63" ht="14.4" customHeight="1">
      <c r="A95" s="577"/>
      <c r="AU95" s="372" t="s">
        <v>595</v>
      </c>
      <c r="AV95" s="21"/>
      <c r="AW95" s="611" t="s">
        <v>596</v>
      </c>
      <c r="AX95" s="611"/>
      <c r="AY95" s="611"/>
      <c r="AZ95" s="326" t="str">
        <f t="shared" si="8"/>
        <v/>
      </c>
      <c r="BA95" s="95"/>
      <c r="BB95" s="95" t="str">
        <f t="shared" si="7"/>
        <v/>
      </c>
      <c r="BD95" s="319">
        <f>OBJ!B300</f>
        <v>9256947</v>
      </c>
      <c r="BE95" s="21" t="str">
        <f>VLOOKUP(BD95,CENY!$B$11:$G$1054,2,FALSE)</f>
        <v>Quadro You(S) 300/SiSy 10kg; EB21; pravý</v>
      </c>
      <c r="BF95" s="22">
        <f>VLOOKUP(BD95,CENY!$B$11:$G$1054,3,FALSE)</f>
        <v>20</v>
      </c>
      <c r="BG95" s="22"/>
      <c r="BH95" s="68"/>
      <c r="BI95" s="326" t="str">
        <f t="shared" si="9"/>
        <v/>
      </c>
      <c r="BJ95" s="95">
        <f>VLOOKUP(BD95,CENY!$B$11:$M$2025,12,FALSE)</f>
        <v>224.26065</v>
      </c>
      <c r="BK95" s="95">
        <f t="shared" si="10"/>
        <v>0</v>
      </c>
    </row>
    <row r="96" spans="1:63" ht="14.4" customHeight="1">
      <c r="A96" s="577"/>
      <c r="AU96" s="330">
        <f>1*(AY1)*(SUM(W20:AD20)+SUM(W22:AF22)+SUM(W28:AD28))</f>
        <v>0</v>
      </c>
      <c r="AV96" s="329" t="s">
        <v>356</v>
      </c>
      <c r="AW96" s="610">
        <f>1*(AY3)*(SUM(W20:AD20)+SUM(W22:AF22)+SUM(W28:AD28))</f>
        <v>0</v>
      </c>
      <c r="AX96" s="610"/>
      <c r="AY96" s="610"/>
      <c r="AZ96" s="326" t="str">
        <f t="shared" si="8"/>
        <v/>
      </c>
      <c r="BA96" s="95"/>
      <c r="BB96" s="95" t="str">
        <f t="shared" si="7"/>
        <v/>
      </c>
      <c r="BD96" s="319">
        <f>OBJ!B301</f>
        <v>9256950</v>
      </c>
      <c r="BE96" s="21" t="str">
        <f>VLOOKUP(BD96,CENY!$B$11:$G$1054,2,FALSE)</f>
        <v>Quadro You(S) 350/SiSy 10kg; EB21; ľavý</v>
      </c>
      <c r="BF96" s="22">
        <f>VLOOKUP(BD96,CENY!$B$11:$G$1054,3,FALSE)</f>
        <v>20</v>
      </c>
      <c r="BG96" s="22"/>
      <c r="BH96" s="68"/>
      <c r="BI96" s="326" t="str">
        <f t="shared" si="9"/>
        <v/>
      </c>
      <c r="BJ96" s="95">
        <f>VLOOKUP(BD96,CENY!$B$11:$M$2025,12,FALSE)</f>
        <v>229.11434</v>
      </c>
      <c r="BK96" s="95">
        <f t="shared" si="10"/>
        <v>0</v>
      </c>
    </row>
    <row r="97" spans="1:63" ht="14.4" customHeight="1">
      <c r="A97" s="577"/>
      <c r="AU97" s="20"/>
      <c r="AV97" s="21"/>
      <c r="AW97" s="610"/>
      <c r="AX97" s="610"/>
      <c r="AY97" s="610"/>
      <c r="AZ97" s="326" t="str">
        <f t="shared" si="8"/>
        <v/>
      </c>
      <c r="BA97" s="95"/>
      <c r="BB97" s="95" t="str">
        <f t="shared" si="7"/>
        <v/>
      </c>
      <c r="BD97" s="319">
        <f>OBJ!B302</f>
        <v>9256951</v>
      </c>
      <c r="BE97" s="21" t="str">
        <f>VLOOKUP(BD97,CENY!$B$11:$G$1054,2,FALSE)</f>
        <v>Quadro You(S) 350/SiSy 10kg; EB21; pravý</v>
      </c>
      <c r="BF97" s="22">
        <f>VLOOKUP(BD97,CENY!$B$11:$G$1054,3,FALSE)</f>
        <v>20</v>
      </c>
      <c r="BG97" s="22"/>
      <c r="BH97" s="68"/>
      <c r="BI97" s="326" t="str">
        <f t="shared" si="9"/>
        <v/>
      </c>
      <c r="BJ97" s="95">
        <f>VLOOKUP(BD97,CENY!$B$11:$M$2025,12,FALSE)</f>
        <v>229.11434</v>
      </c>
      <c r="BK97" s="95">
        <f t="shared" si="10"/>
        <v>0</v>
      </c>
    </row>
    <row r="98" spans="1:63" ht="14.4" customHeight="1">
      <c r="A98" s="577"/>
      <c r="AU98" s="331">
        <f>SUM(O85:AJ85)*AY1</f>
        <v>0</v>
      </c>
      <c r="AV98" s="21" t="s">
        <v>357</v>
      </c>
      <c r="AW98" s="610">
        <f>SUM(O85:AJ85)*AY3</f>
        <v>0</v>
      </c>
      <c r="AX98" s="610"/>
      <c r="AY98" s="610"/>
      <c r="AZ98" s="326" t="str">
        <f t="shared" si="8"/>
        <v/>
      </c>
      <c r="BA98" s="95"/>
      <c r="BB98" s="95" t="str">
        <f t="shared" si="7"/>
        <v/>
      </c>
      <c r="BD98" s="319"/>
      <c r="BE98" s="21"/>
      <c r="BF98" s="22"/>
      <c r="BG98" s="22"/>
      <c r="BH98" s="23"/>
      <c r="BI98" s="326" t="str">
        <f t="shared" si="9"/>
        <v/>
      </c>
      <c r="BJ98" s="95"/>
      <c r="BK98" s="95" t="str">
        <f t="shared" si="10"/>
        <v/>
      </c>
    </row>
    <row r="99" spans="1:63" ht="14.4" customHeight="1">
      <c r="A99" s="577"/>
      <c r="AU99" s="22">
        <f>AU96-AU98</f>
        <v>0</v>
      </c>
      <c r="AV99" s="21"/>
      <c r="AW99" s="610">
        <f>AW96-AW98</f>
        <v>0</v>
      </c>
      <c r="AX99" s="610"/>
      <c r="AY99" s="610"/>
      <c r="AZ99" s="326" t="str">
        <f t="shared" si="8"/>
        <v/>
      </c>
      <c r="BA99" s="95"/>
      <c r="BB99" s="95" t="str">
        <f t="shared" si="7"/>
        <v/>
      </c>
      <c r="BD99" s="319">
        <f>OBJ!B312</f>
        <v>9256854</v>
      </c>
      <c r="BE99" s="21" t="str">
        <f>VLOOKUP(BD99,CENY!$B$11:$G$1054,2,FALSE)</f>
        <v>Quadro You(M) 270/SiSy 20kg; EB21; ľavý</v>
      </c>
      <c r="BF99" s="22">
        <f>VLOOKUP(BD99,CENY!$B$11:$G$1054,3,FALSE)</f>
        <v>20</v>
      </c>
      <c r="BG99" s="22"/>
      <c r="BH99" s="68"/>
      <c r="BI99" s="326" t="str">
        <f t="shared" si="9"/>
        <v/>
      </c>
      <c r="BJ99" s="95">
        <f>VLOOKUP(BD99,CENY!$B$11:$M$2025,12,FALSE)</f>
        <v>223.77942999999999</v>
      </c>
      <c r="BK99" s="95">
        <f t="shared" si="10"/>
        <v>0</v>
      </c>
    </row>
    <row r="100" spans="1:63" ht="14.4" customHeight="1">
      <c r="A100" s="577"/>
      <c r="AU100" s="22">
        <f>ABS(AU99)</f>
        <v>0</v>
      </c>
      <c r="AV100" s="21"/>
      <c r="AW100" s="610">
        <f>ABS(AW99)</f>
        <v>0</v>
      </c>
      <c r="AX100" s="610"/>
      <c r="AY100" s="610"/>
      <c r="AZ100" s="326" t="str">
        <f t="shared" si="8"/>
        <v/>
      </c>
      <c r="BA100" s="95"/>
      <c r="BB100" s="95" t="str">
        <f t="shared" si="7"/>
        <v/>
      </c>
      <c r="BD100" s="319">
        <f>OBJ!B313</f>
        <v>9256855</v>
      </c>
      <c r="BE100" s="21" t="str">
        <f>VLOOKUP(BD100,CENY!$B$11:$G$1054,2,FALSE)</f>
        <v>Quadro You(M) 270/SiSy 20kg; EB21; pravý</v>
      </c>
      <c r="BF100" s="22">
        <f>VLOOKUP(BD100,CENY!$B$11:$G$1054,3,FALSE)</f>
        <v>20</v>
      </c>
      <c r="BG100" s="22"/>
      <c r="BH100" s="68"/>
      <c r="BI100" s="326" t="str">
        <f t="shared" si="9"/>
        <v/>
      </c>
      <c r="BJ100" s="95">
        <f>VLOOKUP(BD100,CENY!$B$11:$M$2025,12,FALSE)</f>
        <v>223.77942999999999</v>
      </c>
      <c r="BK100" s="95">
        <f t="shared" si="10"/>
        <v>0</v>
      </c>
    </row>
    <row r="101" spans="1:63">
      <c r="A101" s="577"/>
      <c r="AU101" s="20"/>
      <c r="AV101" s="21"/>
      <c r="AW101" s="610"/>
      <c r="AX101" s="610"/>
      <c r="AY101" s="610"/>
      <c r="AZ101" s="326" t="str">
        <f t="shared" si="8"/>
        <v/>
      </c>
      <c r="BA101" s="95"/>
      <c r="BB101" s="95" t="str">
        <f t="shared" si="7"/>
        <v/>
      </c>
      <c r="BD101" s="319">
        <f>OBJ!B314</f>
        <v>9256856</v>
      </c>
      <c r="BE101" s="21" t="str">
        <f>VLOOKUP(BD101,CENY!$B$11:$G$1054,2,FALSE)</f>
        <v>Quadro You(M) 300/SiSy 20kg; EB21; ľavý</v>
      </c>
      <c r="BF101" s="22">
        <f>VLOOKUP(BD101,CENY!$B$11:$G$1054,3,FALSE)</f>
        <v>20</v>
      </c>
      <c r="BG101" s="22"/>
      <c r="BH101" s="68"/>
      <c r="BI101" s="326" t="str">
        <f t="shared" si="9"/>
        <v/>
      </c>
      <c r="BJ101" s="95">
        <f>VLOOKUP(BD101,CENY!$B$11:$M$2025,12,FALSE)</f>
        <v>224.26065</v>
      </c>
      <c r="BK101" s="95">
        <f t="shared" si="10"/>
        <v>0</v>
      </c>
    </row>
    <row r="102" spans="1:63">
      <c r="A102" s="577"/>
      <c r="AU102" s="22">
        <f>(AU98-1)*4+SUM(O81:AJ81)</f>
        <v>-4</v>
      </c>
      <c r="AV102" s="21" t="s">
        <v>358</v>
      </c>
      <c r="AW102" s="610">
        <f>(AW98-1)*4+SUM(O82:AJ82)</f>
        <v>-4</v>
      </c>
      <c r="AX102" s="610"/>
      <c r="AY102" s="610"/>
      <c r="AZ102" s="326" t="str">
        <f t="shared" si="8"/>
        <v/>
      </c>
      <c r="BA102" s="95"/>
      <c r="BB102" s="95" t="str">
        <f t="shared" si="7"/>
        <v/>
      </c>
      <c r="BD102" s="319">
        <f>OBJ!B315</f>
        <v>9256857</v>
      </c>
      <c r="BE102" s="21" t="str">
        <f>VLOOKUP(BD102,CENY!$B$11:$G$1054,2,FALSE)</f>
        <v>Quadro You(M) 300/SiSy 20kg; EB21; pravý</v>
      </c>
      <c r="BF102" s="22">
        <f>VLOOKUP(BD102,CENY!$B$11:$G$1054,3,FALSE)</f>
        <v>20</v>
      </c>
      <c r="BG102" s="22"/>
      <c r="BH102" s="68"/>
      <c r="BI102" s="326" t="str">
        <f t="shared" si="9"/>
        <v/>
      </c>
      <c r="BJ102" s="95">
        <f>VLOOKUP(BD102,CENY!$B$11:$M$2025,12,FALSE)</f>
        <v>224.26065</v>
      </c>
      <c r="BK102" s="95">
        <f t="shared" si="10"/>
        <v>0</v>
      </c>
    </row>
    <row r="103" spans="1:63">
      <c r="A103" s="577"/>
      <c r="AU103" s="22"/>
      <c r="AV103" s="21"/>
      <c r="AW103" s="370"/>
      <c r="AX103" s="370"/>
      <c r="AY103" s="371"/>
      <c r="AZ103" s="326" t="str">
        <f t="shared" si="8"/>
        <v/>
      </c>
      <c r="BA103" s="95"/>
      <c r="BB103" s="95" t="str">
        <f t="shared" si="7"/>
        <v/>
      </c>
      <c r="BD103" s="319">
        <f>OBJ!B316</f>
        <v>9256860</v>
      </c>
      <c r="BE103" s="21" t="str">
        <f>VLOOKUP(BD103,CENY!$B$11:$G$1054,2,FALSE)</f>
        <v>Quadro You(M) 350/SiSy 25kg; EB21; ľavý</v>
      </c>
      <c r="BF103" s="22">
        <f>VLOOKUP(BD103,CENY!$B$11:$G$1054,3,FALSE)</f>
        <v>20</v>
      </c>
      <c r="BG103" s="22"/>
      <c r="BH103" s="68"/>
      <c r="BI103" s="326" t="str">
        <f t="shared" si="9"/>
        <v/>
      </c>
      <c r="BJ103" s="95">
        <f>VLOOKUP(BD103,CENY!$B$11:$M$2025,12,FALSE)</f>
        <v>229.11434</v>
      </c>
      <c r="BK103" s="95">
        <f t="shared" si="10"/>
        <v>0</v>
      </c>
    </row>
    <row r="104" spans="1:63">
      <c r="A104" s="577"/>
      <c r="AU104" s="20"/>
      <c r="AV104" s="21"/>
      <c r="AW104" s="22"/>
      <c r="AX104" s="22"/>
      <c r="AY104" s="23"/>
      <c r="AZ104" s="326" t="str">
        <f t="shared" si="8"/>
        <v/>
      </c>
      <c r="BA104" s="95"/>
      <c r="BB104" s="95" t="str">
        <f t="shared" si="7"/>
        <v/>
      </c>
      <c r="BD104" s="319">
        <f>OBJ!B317</f>
        <v>9256861</v>
      </c>
      <c r="BE104" s="21" t="str">
        <f>VLOOKUP(BD104,CENY!$B$11:$G$1054,2,FALSE)</f>
        <v>Quadro You(M) 350/SiSy 25kg; EB21; pravý</v>
      </c>
      <c r="BF104" s="22">
        <f>VLOOKUP(BD104,CENY!$B$11:$G$1054,3,FALSE)</f>
        <v>20</v>
      </c>
      <c r="BG104" s="22"/>
      <c r="BH104" s="68"/>
      <c r="BI104" s="326" t="str">
        <f t="shared" si="9"/>
        <v/>
      </c>
      <c r="BJ104" s="95">
        <f>VLOOKUP(BD104,CENY!$B$11:$M$2025,12,FALSE)</f>
        <v>229.11434</v>
      </c>
      <c r="BK104" s="95">
        <f t="shared" si="10"/>
        <v>0</v>
      </c>
    </row>
    <row r="105" spans="1:63">
      <c r="A105" s="577"/>
      <c r="AU105" s="20"/>
      <c r="AV105" s="21"/>
      <c r="AW105" s="22"/>
      <c r="AX105" s="22"/>
      <c r="AY105" s="23"/>
      <c r="AZ105" s="326" t="str">
        <f t="shared" si="8"/>
        <v/>
      </c>
      <c r="BA105" s="95"/>
      <c r="BB105" s="95" t="str">
        <f t="shared" si="7"/>
        <v/>
      </c>
      <c r="BD105" s="319">
        <f>OBJ!B318</f>
        <v>9256864</v>
      </c>
      <c r="BE105" s="21" t="str">
        <f>VLOOKUP(BD105,CENY!$B$11:$G$1054,2,FALSE)</f>
        <v>Quadro You(M) 400/SiSy 30kg; EB21; ľavý</v>
      </c>
      <c r="BF105" s="22">
        <f>VLOOKUP(BD105,CENY!$B$11:$G$1054,3,FALSE)</f>
        <v>20</v>
      </c>
      <c r="BG105" s="22"/>
      <c r="BH105" s="68"/>
      <c r="BI105" s="326" t="str">
        <f t="shared" si="9"/>
        <v/>
      </c>
      <c r="BJ105" s="95">
        <f>VLOOKUP(BD105,CENY!$B$11:$M$2025,12,FALSE)</f>
        <v>233.96566000000001</v>
      </c>
      <c r="BK105" s="95">
        <f t="shared" si="10"/>
        <v>0</v>
      </c>
    </row>
    <row r="106" spans="1:63">
      <c r="AU106" s="20"/>
      <c r="AV106" s="21"/>
      <c r="AW106" s="22"/>
      <c r="AX106" s="22"/>
      <c r="AY106" s="23"/>
      <c r="AZ106" s="326" t="str">
        <f t="shared" si="8"/>
        <v/>
      </c>
      <c r="BA106" s="95"/>
      <c r="BB106" s="95" t="str">
        <f t="shared" si="7"/>
        <v/>
      </c>
      <c r="BD106" s="319">
        <f>OBJ!B319</f>
        <v>9256865</v>
      </c>
      <c r="BE106" s="21" t="str">
        <f>VLOOKUP(BD106,CENY!$B$11:$G$1054,2,FALSE)</f>
        <v>Quadro You(M) 400/SiSy 30kg; EB21; pravý</v>
      </c>
      <c r="BF106" s="22">
        <f>VLOOKUP(BD106,CENY!$B$11:$G$1054,3,FALSE)</f>
        <v>20</v>
      </c>
      <c r="BG106" s="22"/>
      <c r="BH106" s="68"/>
      <c r="BI106" s="326" t="str">
        <f t="shared" si="9"/>
        <v/>
      </c>
      <c r="BJ106" s="95">
        <f>VLOOKUP(BD106,CENY!$B$11:$M$2025,12,FALSE)</f>
        <v>233.96566000000001</v>
      </c>
      <c r="BK106" s="95">
        <f t="shared" si="10"/>
        <v>0</v>
      </c>
    </row>
    <row r="107" spans="1:63">
      <c r="AU107" s="374">
        <f>OBJ!B367</f>
        <v>9099540</v>
      </c>
      <c r="AV107" s="375" t="str">
        <f>VLOOKUP(AU107,CENY!$B$11:$G$1054,2,FALSE)</f>
        <v>SENSYS 8657i 165st. B12,5/TH52</v>
      </c>
      <c r="AW107" s="22">
        <f>VLOOKUP(AU107,CENY!$B$11:$G$1054,3,FALSE)</f>
        <v>50</v>
      </c>
      <c r="AX107" s="22"/>
      <c r="AY107" s="23">
        <f>VLOOKUP(SUM(AY1:AY4),AY154:AZ161,2,FALSE)*(SUM(W20:AD20)+SUM(W22:AF22)+SUM(W28:AD28))*IF(SUM(AA85:AJ85)=0,1,2)</f>
        <v>0</v>
      </c>
      <c r="AZ107" s="326">
        <f t="shared" si="8"/>
        <v>0</v>
      </c>
      <c r="BA107" s="95">
        <f>VLOOKUP(AU107,CENY!$B$11:$M$2025,12,FALSE)</f>
        <v>141.95956000000001</v>
      </c>
      <c r="BB107" s="95">
        <f t="shared" si="7"/>
        <v>0</v>
      </c>
      <c r="BD107" s="319">
        <f>OBJ!B320</f>
        <v>9256868</v>
      </c>
      <c r="BE107" s="21" t="str">
        <f>VLOOKUP(BD107,CENY!$B$11:$G$1054,2,FALSE)</f>
        <v>Quadro You(M) 450/SiSy 30kg; EB21; ľavý</v>
      </c>
      <c r="BF107" s="22">
        <f>VLOOKUP(BD107,CENY!$B$11:$G$1054,3,FALSE)</f>
        <v>20</v>
      </c>
      <c r="BG107" s="22"/>
      <c r="BH107" s="23">
        <f>AY64</f>
        <v>0</v>
      </c>
      <c r="BI107" s="326">
        <f t="shared" si="9"/>
        <v>0</v>
      </c>
      <c r="BJ107" s="95">
        <f>VLOOKUP(BD107,CENY!$B$11:$M$2025,12,FALSE)</f>
        <v>238.81201999999999</v>
      </c>
      <c r="BK107" s="95">
        <f t="shared" si="10"/>
        <v>0</v>
      </c>
    </row>
    <row r="108" spans="1:63">
      <c r="AU108" s="374">
        <f>OBJ!B368</f>
        <v>9099600</v>
      </c>
      <c r="AV108" s="375" t="str">
        <f>VLOOKUP(AU108,CENY!$B$11:$G$1054,2,FALSE)</f>
        <v>SENSYS 8657 165st. B12,5/TH52 (bez SiSy)</v>
      </c>
      <c r="AW108" s="22">
        <f>VLOOKUP(AU108,CENY!$B$11:$G$1054,3,FALSE)</f>
        <v>50</v>
      </c>
      <c r="AX108" s="22"/>
      <c r="AY108" s="68"/>
      <c r="AZ108" s="326" t="str">
        <f t="shared" si="8"/>
        <v/>
      </c>
      <c r="BA108" s="95">
        <f>VLOOKUP(AU108,CENY!$B$11:$M$2025,12,FALSE)</f>
        <v>129.61077</v>
      </c>
      <c r="BB108" s="95">
        <f t="shared" si="7"/>
        <v>0</v>
      </c>
      <c r="BD108" s="319">
        <f>OBJ!B321</f>
        <v>9256869</v>
      </c>
      <c r="BE108" s="21" t="str">
        <f>VLOOKUP(BD108,CENY!$B$11:$G$1054,2,FALSE)</f>
        <v>Quadro You(M) 450/SiSy 30kg; EB21; pravý</v>
      </c>
      <c r="BF108" s="22">
        <f>VLOOKUP(BD108,CENY!$B$11:$G$1054,3,FALSE)</f>
        <v>20</v>
      </c>
      <c r="BG108" s="22"/>
      <c r="BH108" s="23">
        <f>AY64</f>
        <v>0</v>
      </c>
      <c r="BI108" s="326">
        <f t="shared" si="9"/>
        <v>0</v>
      </c>
      <c r="BJ108" s="95">
        <f>VLOOKUP(BD108,CENY!$B$11:$M$2025,12,FALSE)</f>
        <v>238.81201999999999</v>
      </c>
      <c r="BK108" s="95">
        <f t="shared" si="10"/>
        <v>0</v>
      </c>
    </row>
    <row r="109" spans="1:63">
      <c r="AU109" s="374">
        <f>OBJ!B369</f>
        <v>9099660</v>
      </c>
      <c r="AV109" s="375" t="str">
        <f>VLOOKUP(AU109,CENY!$B$11:$G$1054,2,FALSE)</f>
        <v>SENSYS 8687 165st. B12,5/TH52 (pre P2O)</v>
      </c>
      <c r="AW109" s="22">
        <f>VLOOKUP(AU109,CENY!$B$11:$G$1054,3,FALSE)</f>
        <v>50</v>
      </c>
      <c r="AX109" s="22"/>
      <c r="AY109" s="68"/>
      <c r="AZ109" s="326" t="str">
        <f t="shared" si="8"/>
        <v/>
      </c>
      <c r="BA109" s="95">
        <f>VLOOKUP(AU109,CENY!$B$11:$M$2025,12,FALSE)</f>
        <v>134.40997999999999</v>
      </c>
      <c r="BB109" s="95">
        <f t="shared" si="7"/>
        <v>0</v>
      </c>
      <c r="BD109" s="319">
        <f>OBJ!B322</f>
        <v>9256872</v>
      </c>
      <c r="BE109" s="21" t="str">
        <f>VLOOKUP(BD109,CENY!$B$11:$G$1054,2,FALSE)</f>
        <v>Quadro You(M) 500/SiSy 30kg; EB21; ľavý</v>
      </c>
      <c r="BF109" s="22">
        <f>VLOOKUP(BD109,CENY!$B$11:$G$1054,3,FALSE)</f>
        <v>20</v>
      </c>
      <c r="BG109" s="22"/>
      <c r="BH109" s="23">
        <f>AY65</f>
        <v>0</v>
      </c>
      <c r="BI109" s="326">
        <f t="shared" si="9"/>
        <v>0</v>
      </c>
      <c r="BJ109" s="95">
        <f>VLOOKUP(BD109,CENY!$B$11:$M$2025,12,FALSE)</f>
        <v>237.18776</v>
      </c>
      <c r="BK109" s="95">
        <f t="shared" si="10"/>
        <v>0</v>
      </c>
    </row>
    <row r="110" spans="1:63">
      <c r="AU110" s="374">
        <f>OBJ!B370</f>
        <v>9071576</v>
      </c>
      <c r="AV110" s="375" t="str">
        <f>VLOOKUP(AU110,CENY!$B$11:$G$1054,2,FALSE)</f>
        <v>Podložka SENSYS k naskrut./D=1,5 mm</v>
      </c>
      <c r="AW110" s="22">
        <f>VLOOKUP(AU110,CENY!$B$11:$G$1054,3,FALSE)</f>
        <v>200</v>
      </c>
      <c r="AX110" s="22"/>
      <c r="AY110" s="23">
        <f>AY107</f>
        <v>0</v>
      </c>
      <c r="AZ110" s="326">
        <f t="shared" si="8"/>
        <v>0</v>
      </c>
      <c r="BA110" s="95">
        <f>VLOOKUP(AU110,CENY!$B$11:$M$2025,12,FALSE)</f>
        <v>8.1449099999999994</v>
      </c>
      <c r="BB110" s="95">
        <f t="shared" si="7"/>
        <v>0</v>
      </c>
      <c r="BD110" s="319">
        <f>OBJ!B323</f>
        <v>9256873</v>
      </c>
      <c r="BE110" s="21" t="str">
        <f>VLOOKUP(BD110,CENY!$B$11:$G$1054,2,FALSE)</f>
        <v>Quadro You(M) 500/SiSy 30kg; EB21; pravý</v>
      </c>
      <c r="BF110" s="22">
        <f>VLOOKUP(BD110,CENY!$B$11:$G$1054,3,FALSE)</f>
        <v>20</v>
      </c>
      <c r="BG110" s="22"/>
      <c r="BH110" s="23">
        <f>AY65</f>
        <v>0</v>
      </c>
      <c r="BI110" s="326">
        <f t="shared" si="9"/>
        <v>0</v>
      </c>
      <c r="BJ110" s="95">
        <f>VLOOKUP(BD110,CENY!$B$11:$M$2025,12,FALSE)</f>
        <v>237.18776</v>
      </c>
      <c r="BK110" s="95">
        <f t="shared" si="10"/>
        <v>0</v>
      </c>
    </row>
    <row r="111" spans="1:63">
      <c r="AU111" s="374">
        <f>OBJ!B371</f>
        <v>9071671</v>
      </c>
      <c r="AV111" s="375" t="str">
        <f>VLOOKUP(AU111,CENY!$B$11:$G$1054,2,FALSE)</f>
        <v>Podlož.SENSYS s predm.skr.D=1,5(exc.)</v>
      </c>
      <c r="AW111" s="22">
        <f>VLOOKUP(AU111,CENY!$B$11:$G$1054,3,FALSE)</f>
        <v>200</v>
      </c>
      <c r="AX111" s="22"/>
      <c r="AY111" s="68"/>
      <c r="AZ111" s="326" t="str">
        <f t="shared" si="8"/>
        <v/>
      </c>
      <c r="BA111" s="95">
        <f>VLOOKUP(AU111,CENY!$B$11:$M$2025,12,FALSE)</f>
        <v>17.145990000000001</v>
      </c>
      <c r="BB111" s="95">
        <f t="shared" si="7"/>
        <v>0</v>
      </c>
      <c r="BD111" s="319">
        <f>OBJ!B324</f>
        <v>9256876</v>
      </c>
      <c r="BE111" s="21" t="str">
        <f>VLOOKUP(BD111,CENY!$B$11:$G$1054,2,FALSE)</f>
        <v>Quadro You(M) 550/SiSy 30kg; EB21; ľavý</v>
      </c>
      <c r="BF111" s="22">
        <f>VLOOKUP(BD111,CENY!$B$11:$G$1054,3,FALSE)</f>
        <v>20</v>
      </c>
      <c r="BG111" s="22"/>
      <c r="BH111" s="23">
        <f>AY66</f>
        <v>0</v>
      </c>
      <c r="BI111" s="326">
        <f t="shared" si="9"/>
        <v>0</v>
      </c>
      <c r="BJ111" s="95">
        <f>VLOOKUP(BD111,CENY!$B$11:$M$2025,12,FALSE)</f>
        <v>241.90996999999999</v>
      </c>
      <c r="BK111" s="95">
        <f t="shared" si="10"/>
        <v>0</v>
      </c>
    </row>
    <row r="112" spans="1:63">
      <c r="AU112" s="20"/>
      <c r="AV112" s="21"/>
      <c r="AW112" s="22"/>
      <c r="AX112" s="22"/>
      <c r="AY112" s="23"/>
      <c r="AZ112" s="326" t="str">
        <f t="shared" si="8"/>
        <v/>
      </c>
      <c r="BA112" s="95"/>
      <c r="BB112" s="95" t="str">
        <f t="shared" si="7"/>
        <v/>
      </c>
      <c r="BD112" s="319">
        <f>OBJ!B325</f>
        <v>9256877</v>
      </c>
      <c r="BE112" s="21" t="str">
        <f>VLOOKUP(BD112,CENY!$B$11:$G$1054,2,FALSE)</f>
        <v>Quadro You(M) 550/SiSy 30kg; EB21; pravý</v>
      </c>
      <c r="BF112" s="22">
        <f>VLOOKUP(BD112,CENY!$B$11:$G$1054,3,FALSE)</f>
        <v>20</v>
      </c>
      <c r="BG112" s="22"/>
      <c r="BH112" s="23">
        <f>AY66</f>
        <v>0</v>
      </c>
      <c r="BI112" s="326">
        <f t="shared" si="9"/>
        <v>0</v>
      </c>
      <c r="BJ112" s="95">
        <f>VLOOKUP(BD112,CENY!$B$11:$M$2025,12,FALSE)</f>
        <v>248.51953</v>
      </c>
      <c r="BK112" s="95">
        <f t="shared" si="10"/>
        <v>0</v>
      </c>
    </row>
    <row r="113" spans="47:63">
      <c r="AU113" s="20"/>
      <c r="AV113" s="21"/>
      <c r="AW113" s="22"/>
      <c r="AX113" s="22"/>
      <c r="AY113" s="23"/>
      <c r="AZ113" s="326" t="str">
        <f t="shared" si="8"/>
        <v/>
      </c>
      <c r="BA113" s="95"/>
      <c r="BB113" s="95" t="str">
        <f t="shared" si="7"/>
        <v/>
      </c>
      <c r="BD113" s="319">
        <f>OBJ!B326</f>
        <v>9256880</v>
      </c>
      <c r="BE113" s="21" t="str">
        <f>VLOOKUP(BD113,CENY!$B$11:$G$1054,2,FALSE)</f>
        <v>Quadro You(M) 600/SiSy 25kg; EB21; ľavý</v>
      </c>
      <c r="BF113" s="22">
        <f>VLOOKUP(BD113,CENY!$B$11:$G$1054,3,FALSE)</f>
        <v>20</v>
      </c>
      <c r="BG113" s="22"/>
      <c r="BH113" s="23">
        <f>AY67</f>
        <v>0</v>
      </c>
      <c r="BI113" s="326">
        <f t="shared" si="9"/>
        <v>0</v>
      </c>
      <c r="BJ113" s="95">
        <f>VLOOKUP(BD113,CENY!$B$11:$M$2025,12,FALSE)</f>
        <v>253.36837</v>
      </c>
      <c r="BK113" s="95">
        <f t="shared" si="10"/>
        <v>0</v>
      </c>
    </row>
    <row r="114" spans="47:63">
      <c r="AU114" s="20"/>
      <c r="AV114" s="21"/>
      <c r="AW114" s="22"/>
      <c r="AX114" s="22"/>
      <c r="AY114" s="23"/>
      <c r="AZ114" s="326" t="str">
        <f t="shared" si="8"/>
        <v/>
      </c>
      <c r="BA114" s="95"/>
      <c r="BB114" s="95" t="str">
        <f t="shared" si="7"/>
        <v/>
      </c>
      <c r="BD114" s="319">
        <f>OBJ!B327</f>
        <v>9256881</v>
      </c>
      <c r="BE114" s="21" t="str">
        <f>VLOOKUP(BD114,CENY!$B$11:$G$1054,2,FALSE)</f>
        <v>Quadro You(M) 600/SiSy 25kg; EB21; pravý</v>
      </c>
      <c r="BF114" s="22">
        <f>VLOOKUP(BD114,CENY!$B$11:$G$1054,3,FALSE)</f>
        <v>20</v>
      </c>
      <c r="BG114" s="22"/>
      <c r="BH114" s="23">
        <f>AY67</f>
        <v>0</v>
      </c>
      <c r="BI114" s="326">
        <f t="shared" si="9"/>
        <v>0</v>
      </c>
      <c r="BJ114" s="95">
        <f>VLOOKUP(BD114,CENY!$B$11:$M$2025,12,FALSE)</f>
        <v>253.36837</v>
      </c>
      <c r="BK114" s="95">
        <f t="shared" si="10"/>
        <v>0</v>
      </c>
    </row>
    <row r="115" spans="47:63">
      <c r="AU115" s="20"/>
      <c r="AV115" s="21"/>
      <c r="AW115" s="22"/>
      <c r="AX115" s="22"/>
      <c r="AY115" s="23"/>
      <c r="AZ115" s="326" t="str">
        <f t="shared" si="8"/>
        <v/>
      </c>
      <c r="BA115" s="95"/>
      <c r="BB115" s="95" t="str">
        <f t="shared" si="7"/>
        <v/>
      </c>
      <c r="BD115" s="319"/>
      <c r="BE115" s="21"/>
      <c r="BF115" s="22"/>
      <c r="BG115" s="22"/>
      <c r="BH115" s="23"/>
      <c r="BI115" s="326" t="str">
        <f t="shared" si="9"/>
        <v/>
      </c>
      <c r="BJ115" s="95"/>
      <c r="BK115" s="95" t="str">
        <f t="shared" si="10"/>
        <v/>
      </c>
    </row>
    <row r="116" spans="47:63">
      <c r="AU116" s="20"/>
      <c r="AV116" s="21"/>
      <c r="AW116" s="22"/>
      <c r="AX116" s="22"/>
      <c r="AY116" s="23"/>
      <c r="AZ116" s="326" t="str">
        <f t="shared" si="8"/>
        <v/>
      </c>
      <c r="BA116" s="95"/>
      <c r="BB116" s="95" t="str">
        <f t="shared" si="7"/>
        <v/>
      </c>
      <c r="BD116" s="319">
        <f>OBJ!B329</f>
        <v>9257894</v>
      </c>
      <c r="BE116" s="21" t="str">
        <f>VLOOKUP(BD116,CENY!$B$11:$G$1054,2,FALSE)</f>
        <v>Quadro You - Push to open Silent; &lt;10kg</v>
      </c>
      <c r="BF116" s="22">
        <f>VLOOKUP(BD116,CENY!$B$11:$G$1054,3,FALSE)</f>
        <v>1</v>
      </c>
      <c r="BG116" s="22"/>
      <c r="BH116" s="68"/>
      <c r="BI116" s="326" t="str">
        <f t="shared" si="9"/>
        <v/>
      </c>
      <c r="BJ116" s="95">
        <f>VLOOKUP(BD116,CENY!$B$11:$M$2025,12,FALSE)</f>
        <v>480.50922000000003</v>
      </c>
      <c r="BK116" s="95">
        <f t="shared" si="10"/>
        <v>0</v>
      </c>
    </row>
    <row r="117" spans="47:63">
      <c r="AU117" s="20"/>
      <c r="AV117" s="21"/>
      <c r="AW117" s="22"/>
      <c r="AX117" s="22"/>
      <c r="AY117" s="23"/>
      <c r="AZ117" s="326" t="str">
        <f t="shared" si="8"/>
        <v/>
      </c>
      <c r="BA117" s="95"/>
      <c r="BB117" s="95" t="str">
        <f t="shared" si="7"/>
        <v/>
      </c>
      <c r="BD117" s="319">
        <f>OBJ!B330</f>
        <v>9257895</v>
      </c>
      <c r="BE117" s="21" t="str">
        <f>VLOOKUP(BD117,CENY!$B$11:$G$1054,2,FALSE)</f>
        <v>Quadro You - Push to open Silent; 8-20kg</v>
      </c>
      <c r="BF117" s="22">
        <f>VLOOKUP(BD117,CENY!$B$11:$G$1054,3,FALSE)</f>
        <v>1</v>
      </c>
      <c r="BG117" s="22"/>
      <c r="BH117" s="68"/>
      <c r="BI117" s="326" t="str">
        <f t="shared" si="9"/>
        <v/>
      </c>
      <c r="BJ117" s="95">
        <f>VLOOKUP(BD117,CENY!$B$11:$M$2025,12,FALSE)</f>
        <v>480.50922000000003</v>
      </c>
      <c r="BK117" s="95">
        <f t="shared" si="10"/>
        <v>0</v>
      </c>
    </row>
    <row r="118" spans="47:63">
      <c r="AU118" s="20"/>
      <c r="AV118" s="21"/>
      <c r="AW118" s="22"/>
      <c r="AX118" s="22"/>
      <c r="AY118" s="23"/>
      <c r="AZ118" s="326" t="str">
        <f t="shared" si="8"/>
        <v/>
      </c>
      <c r="BA118" s="95"/>
      <c r="BB118" s="95" t="str">
        <f t="shared" si="7"/>
        <v/>
      </c>
      <c r="BD118" s="319">
        <f>OBJ!B331</f>
        <v>9257896</v>
      </c>
      <c r="BE118" s="21" t="str">
        <f>VLOOKUP(BD118,CENY!$B$11:$G$1054,2,FALSE)</f>
        <v>Quadro You - Push to open Silent; 10-30kg</v>
      </c>
      <c r="BF118" s="22">
        <f>VLOOKUP(BD118,CENY!$B$11:$G$1054,3,FALSE)</f>
        <v>1</v>
      </c>
      <c r="BG118" s="22"/>
      <c r="BH118" s="68"/>
      <c r="BI118" s="326" t="str">
        <f t="shared" si="9"/>
        <v/>
      </c>
      <c r="BJ118" s="95">
        <f>VLOOKUP(BD118,CENY!$B$11:$M$2025,12,FALSE)</f>
        <v>480.50922000000003</v>
      </c>
      <c r="BK118" s="95">
        <f t="shared" si="10"/>
        <v>0</v>
      </c>
    </row>
    <row r="119" spans="47:63">
      <c r="AU119" s="20"/>
      <c r="AV119" s="21"/>
      <c r="AW119" s="22"/>
      <c r="AX119" s="22"/>
      <c r="AY119" s="23"/>
      <c r="AZ119" s="326" t="str">
        <f t="shared" si="8"/>
        <v/>
      </c>
      <c r="BA119" s="95"/>
      <c r="BB119" s="95" t="str">
        <f t="shared" si="7"/>
        <v/>
      </c>
      <c r="BD119" s="319"/>
      <c r="BE119" s="21"/>
      <c r="BF119" s="22"/>
      <c r="BG119" s="22"/>
      <c r="BH119" s="23"/>
      <c r="BI119" s="326" t="str">
        <f t="shared" si="9"/>
        <v/>
      </c>
      <c r="BJ119" s="95"/>
      <c r="BK119" s="95" t="str">
        <f t="shared" si="10"/>
        <v/>
      </c>
    </row>
    <row r="120" spans="47:63">
      <c r="AU120" s="20"/>
      <c r="AV120" s="21"/>
      <c r="AW120" s="22"/>
      <c r="AX120" s="22"/>
      <c r="AY120" s="23"/>
      <c r="AZ120" s="326" t="str">
        <f t="shared" si="8"/>
        <v/>
      </c>
      <c r="BA120" s="95"/>
      <c r="BB120" s="95" t="str">
        <f t="shared" si="7"/>
        <v/>
      </c>
      <c r="BD120" s="319">
        <f>OBJ!B341</f>
        <v>9256899</v>
      </c>
      <c r="BE120" s="21" t="str">
        <f>VLOOKUP(BD120,CENY!$B$11:$G$1054,2,FALSE)</f>
        <v>Quadro You(M) 270/P2O 20kg; EB21; ľavý</v>
      </c>
      <c r="BF120" s="22">
        <f>VLOOKUP(BD120,CENY!$B$11:$G$1054,3,FALSE)</f>
        <v>20</v>
      </c>
      <c r="BG120" s="22"/>
      <c r="BH120" s="68"/>
      <c r="BI120" s="326" t="str">
        <f t="shared" si="9"/>
        <v/>
      </c>
      <c r="BJ120" s="95">
        <f>VLOOKUP(BD120,CENY!$B$11:$M$2025,12,FALSE)</f>
        <v>252.8922</v>
      </c>
      <c r="BK120" s="95">
        <f t="shared" si="10"/>
        <v>0</v>
      </c>
    </row>
    <row r="121" spans="47:63">
      <c r="AU121" s="20"/>
      <c r="AV121" s="21"/>
      <c r="AW121" s="22"/>
      <c r="AX121" s="22"/>
      <c r="AY121" s="23"/>
      <c r="AZ121" s="326" t="str">
        <f t="shared" si="8"/>
        <v/>
      </c>
      <c r="BA121" s="95"/>
      <c r="BB121" s="95" t="str">
        <f t="shared" si="7"/>
        <v/>
      </c>
      <c r="BD121" s="319">
        <f>OBJ!B342</f>
        <v>9256900</v>
      </c>
      <c r="BE121" s="21" t="str">
        <f>VLOOKUP(BD121,CENY!$B$11:$G$1054,2,FALSE)</f>
        <v>Quadro You(M) 270/P2O 20kg; EB21; pravý</v>
      </c>
      <c r="BF121" s="22">
        <f>VLOOKUP(BD121,CENY!$B$11:$G$1054,3,FALSE)</f>
        <v>20</v>
      </c>
      <c r="BG121" s="22"/>
      <c r="BH121" s="68"/>
      <c r="BI121" s="326" t="str">
        <f t="shared" si="9"/>
        <v/>
      </c>
      <c r="BJ121" s="95">
        <f>VLOOKUP(BD121,CENY!$B$11:$M$2025,12,FALSE)</f>
        <v>252.8922</v>
      </c>
      <c r="BK121" s="95">
        <f t="shared" si="10"/>
        <v>0</v>
      </c>
    </row>
    <row r="122" spans="47:63">
      <c r="AU122" s="20"/>
      <c r="AV122" s="21"/>
      <c r="AW122" s="22"/>
      <c r="AX122" s="22"/>
      <c r="AY122" s="23"/>
      <c r="AZ122" s="326" t="str">
        <f t="shared" si="8"/>
        <v/>
      </c>
      <c r="BA122" s="95"/>
      <c r="BB122" s="95" t="str">
        <f t="shared" si="7"/>
        <v/>
      </c>
      <c r="BD122" s="319">
        <f>OBJ!B343</f>
        <v>9256901</v>
      </c>
      <c r="BE122" s="21" t="str">
        <f>VLOOKUP(BD122,CENY!$B$11:$G$1054,2,FALSE)</f>
        <v>Quadro You(M) 300/P2O 20kg; EB21; ľavý</v>
      </c>
      <c r="BF122" s="22">
        <f>VLOOKUP(BD122,CENY!$B$11:$G$1054,3,FALSE)</f>
        <v>20</v>
      </c>
      <c r="BG122" s="22"/>
      <c r="BH122" s="68"/>
      <c r="BI122" s="326" t="str">
        <f t="shared" si="9"/>
        <v/>
      </c>
      <c r="BJ122" s="95">
        <f>VLOOKUP(BD122,CENY!$B$11:$M$2025,12,FALSE)</f>
        <v>253.36837</v>
      </c>
      <c r="BK122" s="95">
        <f t="shared" si="10"/>
        <v>0</v>
      </c>
    </row>
    <row r="123" spans="47:63">
      <c r="AU123" s="20"/>
      <c r="AV123" s="21"/>
      <c r="AW123" s="22"/>
      <c r="AX123" s="22"/>
      <c r="AY123" s="23"/>
      <c r="AZ123" s="326" t="str">
        <f t="shared" si="8"/>
        <v/>
      </c>
      <c r="BA123" s="95"/>
      <c r="BB123" s="95" t="str">
        <f t="shared" si="7"/>
        <v/>
      </c>
      <c r="BD123" s="319">
        <f>OBJ!B344</f>
        <v>9256902</v>
      </c>
      <c r="BE123" s="21" t="str">
        <f>VLOOKUP(BD123,CENY!$B$11:$G$1054,2,FALSE)</f>
        <v>Quadro You(M) 300/P2O 20kg; EB21; pravý</v>
      </c>
      <c r="BF123" s="22">
        <f>VLOOKUP(BD123,CENY!$B$11:$G$1054,3,FALSE)</f>
        <v>20</v>
      </c>
      <c r="BG123" s="22"/>
      <c r="BH123" s="68"/>
      <c r="BI123" s="326" t="str">
        <f t="shared" si="9"/>
        <v/>
      </c>
      <c r="BJ123" s="95">
        <f>VLOOKUP(BD123,CENY!$B$11:$M$2025,12,FALSE)</f>
        <v>253.36837</v>
      </c>
      <c r="BK123" s="95">
        <f t="shared" si="10"/>
        <v>0</v>
      </c>
    </row>
    <row r="124" spans="47:63">
      <c r="AU124" s="20"/>
      <c r="AV124" s="21"/>
      <c r="AW124" s="22"/>
      <c r="AX124" s="22"/>
      <c r="AY124" s="23"/>
      <c r="AZ124" s="326" t="str">
        <f t="shared" si="8"/>
        <v/>
      </c>
      <c r="BA124" s="95"/>
      <c r="BB124" s="95" t="str">
        <f t="shared" si="7"/>
        <v/>
      </c>
      <c r="BD124" s="319">
        <f>OBJ!B345</f>
        <v>9256905</v>
      </c>
      <c r="BE124" s="21" t="str">
        <f>VLOOKUP(BD124,CENY!$B$11:$G$1054,2,FALSE)</f>
        <v>Quadro You(M) 350/P2O 25kg; EB21; ľavý</v>
      </c>
      <c r="BF124" s="22">
        <f>VLOOKUP(BD124,CENY!$B$11:$G$1054,3,FALSE)</f>
        <v>20</v>
      </c>
      <c r="BG124" s="22"/>
      <c r="BH124" s="68"/>
      <c r="BI124" s="326" t="str">
        <f t="shared" si="9"/>
        <v/>
      </c>
      <c r="BJ124" s="95">
        <f>VLOOKUP(BD124,CENY!$B$11:$M$2025,12,FALSE)</f>
        <v>258.22465999999997</v>
      </c>
      <c r="BK124" s="95">
        <f t="shared" si="10"/>
        <v>0</v>
      </c>
    </row>
    <row r="125" spans="47:63">
      <c r="AU125" s="20"/>
      <c r="AV125" s="21"/>
      <c r="AW125" s="22"/>
      <c r="AX125" s="22"/>
      <c r="AY125" s="23"/>
      <c r="AZ125" s="326" t="str">
        <f t="shared" si="8"/>
        <v/>
      </c>
      <c r="BA125" s="95"/>
      <c r="BB125" s="95" t="str">
        <f t="shared" si="7"/>
        <v/>
      </c>
      <c r="BD125" s="319">
        <f>OBJ!B346</f>
        <v>9256906</v>
      </c>
      <c r="BE125" s="21" t="str">
        <f>VLOOKUP(BD125,CENY!$B$11:$G$1054,2,FALSE)</f>
        <v>Quadro You(M) 350/P2O 25kg; EB21; pravý</v>
      </c>
      <c r="BF125" s="22">
        <f>VLOOKUP(BD125,CENY!$B$11:$G$1054,3,FALSE)</f>
        <v>20</v>
      </c>
      <c r="BG125" s="22"/>
      <c r="BH125" s="68"/>
      <c r="BI125" s="326" t="str">
        <f t="shared" si="9"/>
        <v/>
      </c>
      <c r="BJ125" s="95">
        <f>VLOOKUP(BD125,CENY!$B$11:$M$2025,12,FALSE)</f>
        <v>258.22465999999997</v>
      </c>
      <c r="BK125" s="95">
        <f t="shared" si="10"/>
        <v>0</v>
      </c>
    </row>
    <row r="126" spans="47:63">
      <c r="AU126" s="20"/>
      <c r="AV126" s="21"/>
      <c r="AW126" s="22"/>
      <c r="AX126" s="22"/>
      <c r="AY126" s="23"/>
      <c r="AZ126" s="326" t="str">
        <f t="shared" si="8"/>
        <v/>
      </c>
      <c r="BA126" s="95"/>
      <c r="BB126" s="95" t="str">
        <f t="shared" si="7"/>
        <v/>
      </c>
      <c r="BD126" s="319">
        <f>OBJ!B347</f>
        <v>9256909</v>
      </c>
      <c r="BE126" s="21" t="str">
        <f>VLOOKUP(BD126,CENY!$B$11:$G$1054,2,FALSE)</f>
        <v>Quadro You(M) 400/P2O 30kg; EB21; ľavý</v>
      </c>
      <c r="BF126" s="22">
        <f>VLOOKUP(BD126,CENY!$B$11:$G$1054,3,FALSE)</f>
        <v>20</v>
      </c>
      <c r="BG126" s="22"/>
      <c r="BH126" s="68"/>
      <c r="BI126" s="326" t="str">
        <f t="shared" si="9"/>
        <v/>
      </c>
      <c r="BJ126" s="95">
        <f>VLOOKUP(BD126,CENY!$B$11:$M$2025,12,FALSE)</f>
        <v>263.07337999999999</v>
      </c>
      <c r="BK126" s="95">
        <f t="shared" si="10"/>
        <v>0</v>
      </c>
    </row>
    <row r="127" spans="47:63">
      <c r="AU127" s="20"/>
      <c r="AV127" s="21"/>
      <c r="AW127" s="22"/>
      <c r="AX127" s="22"/>
      <c r="AY127" s="23"/>
      <c r="AZ127" s="326" t="str">
        <f t="shared" si="8"/>
        <v/>
      </c>
      <c r="BA127" s="95"/>
      <c r="BB127" s="95" t="str">
        <f t="shared" si="7"/>
        <v/>
      </c>
      <c r="BD127" s="319">
        <f>OBJ!B348</f>
        <v>9256910</v>
      </c>
      <c r="BE127" s="21" t="str">
        <f>VLOOKUP(BD127,CENY!$B$11:$G$1054,2,FALSE)</f>
        <v>Quadro You(M) 400/P2O 30kg; EB21; pravý</v>
      </c>
      <c r="BF127" s="22">
        <f>VLOOKUP(BD127,CENY!$B$11:$G$1054,3,FALSE)</f>
        <v>20</v>
      </c>
      <c r="BG127" s="22"/>
      <c r="BH127" s="68"/>
      <c r="BI127" s="326" t="str">
        <f t="shared" si="9"/>
        <v/>
      </c>
      <c r="BJ127" s="95">
        <f>VLOOKUP(BD127,CENY!$B$11:$M$2025,12,FALSE)</f>
        <v>263.07337999999999</v>
      </c>
      <c r="BK127" s="95">
        <f t="shared" si="10"/>
        <v>0</v>
      </c>
    </row>
    <row r="128" spans="47:63">
      <c r="AU128" s="20"/>
      <c r="AV128" s="21"/>
      <c r="AW128" s="22"/>
      <c r="AX128" s="22"/>
      <c r="AY128" s="23"/>
      <c r="AZ128" s="326" t="str">
        <f t="shared" si="8"/>
        <v/>
      </c>
      <c r="BA128" s="95"/>
      <c r="BB128" s="95" t="str">
        <f t="shared" si="7"/>
        <v/>
      </c>
      <c r="BD128" s="319">
        <f>OBJ!B349</f>
        <v>9256913</v>
      </c>
      <c r="BE128" s="21" t="str">
        <f>VLOOKUP(BD128,CENY!$B$11:$G$1054,2,FALSE)</f>
        <v>Quadro You(M) 450/P2O 30kg; EB21; ľavý</v>
      </c>
      <c r="BF128" s="22">
        <f>VLOOKUP(BD128,CENY!$B$11:$G$1054,3,FALSE)</f>
        <v>20</v>
      </c>
      <c r="BG128" s="22"/>
      <c r="BH128" s="68"/>
      <c r="BI128" s="326" t="str">
        <f t="shared" si="9"/>
        <v/>
      </c>
      <c r="BJ128" s="95">
        <f>VLOOKUP(BD128,CENY!$B$11:$M$2025,12,FALSE)</f>
        <v>267.92221999999998</v>
      </c>
      <c r="BK128" s="95">
        <f t="shared" si="10"/>
        <v>0</v>
      </c>
    </row>
    <row r="129" spans="47:63">
      <c r="AU129" s="20"/>
      <c r="AV129" s="21"/>
      <c r="AW129" s="22"/>
      <c r="AX129" s="22"/>
      <c r="AY129" s="23"/>
      <c r="AZ129" s="326" t="str">
        <f t="shared" si="8"/>
        <v/>
      </c>
      <c r="BA129" s="95"/>
      <c r="BB129" s="95" t="str">
        <f t="shared" si="7"/>
        <v/>
      </c>
      <c r="BD129" s="319">
        <f>OBJ!B350</f>
        <v>9256914</v>
      </c>
      <c r="BE129" s="21" t="str">
        <f>VLOOKUP(BD129,CENY!$B$11:$G$1054,2,FALSE)</f>
        <v>Quadro You(M) 450/P2O 30kg; EB21; pravý</v>
      </c>
      <c r="BF129" s="22">
        <f>VLOOKUP(BD129,CENY!$B$11:$G$1054,3,FALSE)</f>
        <v>20</v>
      </c>
      <c r="BG129" s="22"/>
      <c r="BH129" s="68"/>
      <c r="BI129" s="326" t="str">
        <f t="shared" si="9"/>
        <v/>
      </c>
      <c r="BJ129" s="95">
        <f>VLOOKUP(BD129,CENY!$B$11:$M$2025,12,FALSE)</f>
        <v>267.92221999999998</v>
      </c>
      <c r="BK129" s="95">
        <f t="shared" si="10"/>
        <v>0</v>
      </c>
    </row>
    <row r="130" spans="47:63">
      <c r="AU130" s="20"/>
      <c r="AV130" s="21"/>
      <c r="AW130" s="22"/>
      <c r="AX130" s="22"/>
      <c r="AY130" s="23"/>
      <c r="AZ130" s="326" t="str">
        <f t="shared" si="8"/>
        <v/>
      </c>
      <c r="BA130" s="95"/>
      <c r="BB130" s="95" t="str">
        <f t="shared" si="7"/>
        <v/>
      </c>
      <c r="BD130" s="319">
        <f>OBJ!B351</f>
        <v>9256917</v>
      </c>
      <c r="BE130" s="21" t="str">
        <f>VLOOKUP(BD130,CENY!$B$11:$G$1054,2,FALSE)</f>
        <v>Quadro You(M) 500/P2O 30kg; EB21; ľavý</v>
      </c>
      <c r="BF130" s="22">
        <f>VLOOKUP(BD130,CENY!$B$11:$G$1054,3,FALSE)</f>
        <v>20</v>
      </c>
      <c r="BG130" s="22"/>
      <c r="BH130" s="68"/>
      <c r="BI130" s="326" t="str">
        <f t="shared" si="9"/>
        <v/>
      </c>
      <c r="BJ130" s="95">
        <f>VLOOKUP(BD130,CENY!$B$11:$M$2025,12,FALSE)</f>
        <v>265.52375999999998</v>
      </c>
      <c r="BK130" s="95">
        <f t="shared" si="10"/>
        <v>0</v>
      </c>
    </row>
    <row r="131" spans="47:63">
      <c r="AU131" s="20"/>
      <c r="AV131" s="21"/>
      <c r="AW131" s="22"/>
      <c r="AX131" s="22"/>
      <c r="AY131" s="23"/>
      <c r="AZ131" s="326" t="str">
        <f t="shared" si="8"/>
        <v/>
      </c>
      <c r="BA131" s="95"/>
      <c r="BB131" s="95" t="str">
        <f t="shared" si="7"/>
        <v/>
      </c>
      <c r="BD131" s="319">
        <f>OBJ!B352</f>
        <v>9256918</v>
      </c>
      <c r="BE131" s="21" t="str">
        <f>VLOOKUP(BD131,CENY!$B$11:$G$1054,2,FALSE)</f>
        <v>Quadro You(M) 500/P2O 30kg; EB21; pravý</v>
      </c>
      <c r="BF131" s="22">
        <f>VLOOKUP(BD131,CENY!$B$11:$G$1054,3,FALSE)</f>
        <v>20</v>
      </c>
      <c r="BG131" s="22"/>
      <c r="BH131" s="68"/>
      <c r="BI131" s="326" t="str">
        <f t="shared" si="9"/>
        <v/>
      </c>
      <c r="BJ131" s="95">
        <f>VLOOKUP(BD131,CENY!$B$11:$M$2025,12,FALSE)</f>
        <v>265.52375999999998</v>
      </c>
      <c r="BK131" s="95">
        <f t="shared" si="10"/>
        <v>0</v>
      </c>
    </row>
    <row r="132" spans="47:63">
      <c r="AU132" s="20"/>
      <c r="AV132" s="21"/>
      <c r="AW132" s="22"/>
      <c r="AX132" s="22"/>
      <c r="AY132" s="23"/>
      <c r="AZ132" s="326" t="str">
        <f t="shared" si="8"/>
        <v/>
      </c>
      <c r="BA132" s="95"/>
      <c r="BB132" s="95" t="str">
        <f t="shared" si="7"/>
        <v/>
      </c>
      <c r="BD132" s="319">
        <f>OBJ!B353</f>
        <v>9256921</v>
      </c>
      <c r="BE132" s="21" t="str">
        <f>VLOOKUP(BD132,CENY!$B$11:$G$1054,2,FALSE)</f>
        <v>Quadro You(M) 550/P2O 30kg; EB21; ľavý</v>
      </c>
      <c r="BF132" s="22">
        <f>VLOOKUP(BD132,CENY!$B$11:$G$1054,3,FALSE)</f>
        <v>20</v>
      </c>
      <c r="BG132" s="22"/>
      <c r="BH132" s="68"/>
      <c r="BI132" s="326" t="str">
        <f t="shared" si="9"/>
        <v/>
      </c>
      <c r="BJ132" s="95">
        <f>VLOOKUP(BD132,CENY!$B$11:$M$2025,12,FALSE)</f>
        <v>270.22431</v>
      </c>
      <c r="BK132" s="95">
        <f t="shared" si="10"/>
        <v>0</v>
      </c>
    </row>
    <row r="133" spans="47:63">
      <c r="AU133" s="20"/>
      <c r="AV133" s="21"/>
      <c r="AW133" s="22"/>
      <c r="AX133" s="22"/>
      <c r="AY133" s="23"/>
      <c r="AZ133" s="326" t="str">
        <f t="shared" si="8"/>
        <v/>
      </c>
      <c r="BA133" s="95"/>
      <c r="BB133" s="95" t="str">
        <f t="shared" si="7"/>
        <v/>
      </c>
      <c r="BD133" s="319">
        <f>OBJ!B354</f>
        <v>9256922</v>
      </c>
      <c r="BE133" s="21" t="str">
        <f>VLOOKUP(BD133,CENY!$B$11:$G$1054,2,FALSE)</f>
        <v>Quadro You(M) 550/P2O 30kg; EB21; pravý</v>
      </c>
      <c r="BF133" s="22">
        <f>VLOOKUP(BD133,CENY!$B$11:$G$1054,3,FALSE)</f>
        <v>20</v>
      </c>
      <c r="BG133" s="22"/>
      <c r="BH133" s="68"/>
      <c r="BI133" s="326" t="str">
        <f t="shared" si="9"/>
        <v/>
      </c>
      <c r="BJ133" s="95">
        <f>VLOOKUP(BD133,CENY!$B$11:$M$2025,12,FALSE)</f>
        <v>277.60748999999998</v>
      </c>
      <c r="BK133" s="95">
        <f t="shared" si="10"/>
        <v>0</v>
      </c>
    </row>
    <row r="134" spans="47:63">
      <c r="AU134" s="20"/>
      <c r="AV134" s="21"/>
      <c r="AW134" s="22"/>
      <c r="AX134" s="22"/>
      <c r="AY134" s="23"/>
      <c r="AZ134" s="326" t="str">
        <f t="shared" si="8"/>
        <v/>
      </c>
      <c r="BA134" s="95"/>
      <c r="BB134" s="95" t="str">
        <f t="shared" si="7"/>
        <v/>
      </c>
      <c r="BD134" s="319">
        <f>OBJ!B355</f>
        <v>9256925</v>
      </c>
      <c r="BE134" s="21" t="str">
        <f>VLOOKUP(BD134,CENY!$B$11:$G$1054,2,FALSE)</f>
        <v>Quadro You(M) 600/P2O 25kg; EB21; ľavý</v>
      </c>
      <c r="BF134" s="22">
        <f>VLOOKUP(BD134,CENY!$B$11:$G$1054,3,FALSE)</f>
        <v>20</v>
      </c>
      <c r="BG134" s="22"/>
      <c r="BH134" s="68"/>
      <c r="BI134" s="326" t="str">
        <f t="shared" si="9"/>
        <v/>
      </c>
      <c r="BJ134" s="95">
        <f>VLOOKUP(BD134,CENY!$B$11:$M$2025,12,FALSE)</f>
        <v>282.45375999999999</v>
      </c>
      <c r="BK134" s="95">
        <f t="shared" si="10"/>
        <v>0</v>
      </c>
    </row>
    <row r="135" spans="47:63">
      <c r="AU135" s="20"/>
      <c r="AV135" s="21"/>
      <c r="AW135" s="22"/>
      <c r="AX135" s="22"/>
      <c r="AY135" s="23"/>
      <c r="AZ135" s="326" t="str">
        <f t="shared" si="8"/>
        <v/>
      </c>
      <c r="BA135" s="95"/>
      <c r="BB135" s="95" t="str">
        <f t="shared" si="7"/>
        <v/>
      </c>
      <c r="BD135" s="319">
        <f>OBJ!B356</f>
        <v>9256926</v>
      </c>
      <c r="BE135" s="21" t="str">
        <f>VLOOKUP(BD135,CENY!$B$11:$G$1054,2,FALSE)</f>
        <v>Quadro You(M) 600/P2O 25kg; EB21; pravý</v>
      </c>
      <c r="BF135" s="22">
        <f>VLOOKUP(BD135,CENY!$B$11:$G$1054,3,FALSE)</f>
        <v>20</v>
      </c>
      <c r="BG135" s="22"/>
      <c r="BH135" s="68"/>
      <c r="BI135" s="326" t="str">
        <f t="shared" si="9"/>
        <v/>
      </c>
      <c r="BJ135" s="95">
        <f>VLOOKUP(BD135,CENY!$B$11:$M$2025,12,FALSE)</f>
        <v>282.45375999999999</v>
      </c>
      <c r="BK135" s="95">
        <f t="shared" si="10"/>
        <v>0</v>
      </c>
    </row>
    <row r="136" spans="47:63">
      <c r="AU136" s="20"/>
      <c r="AV136" s="21"/>
      <c r="AW136" s="22"/>
      <c r="AX136" s="22"/>
      <c r="AY136" s="23"/>
      <c r="AZ136" s="326" t="str">
        <f t="shared" si="8"/>
        <v/>
      </c>
      <c r="BA136" s="95"/>
      <c r="BB136" s="95" t="str">
        <f t="shared" si="7"/>
        <v/>
      </c>
      <c r="BD136" s="319"/>
      <c r="BE136" s="21"/>
      <c r="BF136" s="22"/>
      <c r="BG136" s="22"/>
      <c r="BH136" s="23"/>
      <c r="BI136" s="326" t="str">
        <f t="shared" si="9"/>
        <v/>
      </c>
      <c r="BJ136" s="95"/>
      <c r="BK136" s="95" t="str">
        <f t="shared" si="10"/>
        <v/>
      </c>
    </row>
    <row r="137" spans="47:63">
      <c r="AU137" s="20"/>
      <c r="AV137" s="21"/>
      <c r="AW137" s="22"/>
      <c r="AX137" s="22"/>
      <c r="AY137" s="23"/>
      <c r="AZ137" s="326" t="str">
        <f t="shared" si="8"/>
        <v/>
      </c>
      <c r="BA137" s="95"/>
      <c r="BB137" s="95" t="str">
        <f t="shared" si="7"/>
        <v/>
      </c>
      <c r="BD137" s="319">
        <f>OBJ!B358</f>
        <v>9219966</v>
      </c>
      <c r="BE137" s="21" t="str">
        <f>VLOOKUP(BD137,CENY!$B$11:$G$1054,2,FALSE)</f>
        <v>Push to open Synchro / adaptér typ A</v>
      </c>
      <c r="BF137" s="22">
        <f>VLOOKUP(BD137,CENY!$B$11:$G$1054,3,FALSE)</f>
        <v>200</v>
      </c>
      <c r="BG137" s="22"/>
      <c r="BH137" s="68"/>
      <c r="BI137" s="326" t="str">
        <f t="shared" si="9"/>
        <v/>
      </c>
      <c r="BJ137" s="95">
        <f>VLOOKUP(BD137,CENY!$B$11:$M$2025,12,FALSE)</f>
        <v>16.488900000000001</v>
      </c>
      <c r="BK137" s="95">
        <f t="shared" si="10"/>
        <v>0</v>
      </c>
    </row>
    <row r="138" spans="47:63">
      <c r="AU138" s="20"/>
      <c r="AV138" s="21"/>
      <c r="AW138" s="22"/>
      <c r="AX138" s="22"/>
      <c r="AY138" s="23"/>
      <c r="AZ138" s="326" t="str">
        <f t="shared" si="8"/>
        <v/>
      </c>
      <c r="BA138" s="95"/>
      <c r="BB138" s="95" t="str">
        <f t="shared" si="7"/>
        <v/>
      </c>
      <c r="BD138" s="319"/>
      <c r="BE138" s="21"/>
      <c r="BF138" s="22"/>
      <c r="BG138" s="22"/>
      <c r="BH138" s="23"/>
      <c r="BI138" s="326" t="str">
        <f t="shared" si="9"/>
        <v/>
      </c>
      <c r="BJ138" s="95"/>
      <c r="BK138" s="95" t="str">
        <f t="shared" si="10"/>
        <v/>
      </c>
    </row>
    <row r="139" spans="47:63">
      <c r="AU139" s="20"/>
      <c r="AV139" s="21"/>
      <c r="AW139" s="22"/>
      <c r="AX139" s="22"/>
      <c r="AY139" s="23"/>
      <c r="AZ139" s="326" t="str">
        <f t="shared" si="8"/>
        <v/>
      </c>
      <c r="BA139" s="95"/>
      <c r="BB139" s="95" t="str">
        <f t="shared" si="7"/>
        <v/>
      </c>
      <c r="BD139" s="319">
        <f>OBJ!B214</f>
        <v>0</v>
      </c>
      <c r="BE139" s="21" t="e">
        <f>VLOOKUP(BD139,CENY!$B$11:$G$1054,2,FALSE)</f>
        <v>#N/A</v>
      </c>
      <c r="BF139" s="22" t="e">
        <f>VLOOKUP(BD139,CENY!$B$11:$G$1054,3,FALSE)</f>
        <v>#N/A</v>
      </c>
      <c r="BG139" s="22"/>
      <c r="BH139" s="23">
        <f>AY87</f>
        <v>0</v>
      </c>
      <c r="BI139" s="326">
        <f t="shared" si="9"/>
        <v>0</v>
      </c>
      <c r="BJ139" s="324" t="str">
        <f>IF(BD139=0,"",VLOOKUP(BD139,CENY!$B$11:$M$2025,12,FALSE))</f>
        <v/>
      </c>
      <c r="BK139" s="95" t="str">
        <f t="shared" si="10"/>
        <v/>
      </c>
    </row>
    <row r="140" spans="47:63">
      <c r="AU140" s="20"/>
      <c r="AV140" s="21"/>
      <c r="AW140" s="22"/>
      <c r="AX140" s="22"/>
      <c r="AY140" s="23"/>
      <c r="AZ140" s="326" t="str">
        <f t="shared" si="8"/>
        <v/>
      </c>
      <c r="BA140" s="95"/>
      <c r="BB140" s="95" t="str">
        <f t="shared" si="7"/>
        <v/>
      </c>
      <c r="BD140" s="319"/>
      <c r="BE140" s="21"/>
      <c r="BF140" s="22"/>
      <c r="BG140" s="22"/>
      <c r="BH140" s="23"/>
      <c r="BI140" s="326" t="str">
        <f t="shared" si="9"/>
        <v/>
      </c>
      <c r="BJ140" s="95"/>
      <c r="BK140" s="95" t="str">
        <f t="shared" si="10"/>
        <v/>
      </c>
    </row>
    <row r="141" spans="47:63">
      <c r="AU141" s="20"/>
      <c r="AV141" s="21"/>
      <c r="AW141" s="22"/>
      <c r="AX141" s="22"/>
      <c r="AY141" s="23"/>
      <c r="AZ141" s="326" t="str">
        <f t="shared" si="8"/>
        <v/>
      </c>
      <c r="BA141" s="95"/>
      <c r="BB141" s="95" t="str">
        <f t="shared" si="7"/>
        <v/>
      </c>
      <c r="BD141" s="319"/>
      <c r="BE141" s="21"/>
      <c r="BF141" s="22"/>
      <c r="BG141" s="22"/>
      <c r="BH141" s="23"/>
      <c r="BI141" s="326" t="str">
        <f t="shared" si="9"/>
        <v/>
      </c>
      <c r="BJ141" s="95"/>
      <c r="BK141" s="95" t="str">
        <f t="shared" si="10"/>
        <v/>
      </c>
    </row>
    <row r="142" spans="47:63">
      <c r="AU142" s="319">
        <f>OBJ!B361</f>
        <v>45167</v>
      </c>
      <c r="AV142" s="21" t="str">
        <f>VLOOKUP(AU142,CENY!$B$11:$G$1054,2,FALSE)</f>
        <v>Skrutka s polgul.hlavou 3,5x12mm</v>
      </c>
      <c r="AW142" s="22">
        <f>VLOOKUP(AU142,CENY!$B$11:$G$1054,3,FALSE)</f>
        <v>200</v>
      </c>
      <c r="AX142" s="22"/>
      <c r="AY142" s="23">
        <f>SUMPRODUCT(AX9:AX19,AY9:AY19)</f>
        <v>0</v>
      </c>
      <c r="AZ142" s="326">
        <f t="shared" si="8"/>
        <v>0</v>
      </c>
      <c r="BA142" s="95">
        <f>VLOOKUP(AU142,CENY!$B$11:$M$2025,12,FALSE)</f>
        <v>0.84719999999999995</v>
      </c>
      <c r="BB142" s="95">
        <f>IF(BA142="","",BA142*AY142)</f>
        <v>0</v>
      </c>
      <c r="BC142" s="373" t="s">
        <v>396</v>
      </c>
      <c r="BD142" s="319">
        <f>OBJ!B194</f>
        <v>9257269</v>
      </c>
      <c r="BE142" s="21" t="str">
        <f>VLOOKUP(BD142,CENY!$B$11:$G$1054,2,FALSE)</f>
        <v>AvanY-čelo vnút.zásuvky /v101/d2000/strieb.</v>
      </c>
      <c r="BF142" s="22">
        <f>VLOOKUP(BD142,CENY!$B$11:$G$1054,3,FALSE)</f>
        <v>1</v>
      </c>
      <c r="BG142" s="22"/>
      <c r="BH142" s="23">
        <f>AY90</f>
        <v>0</v>
      </c>
      <c r="BI142" s="326">
        <f t="shared" si="9"/>
        <v>0</v>
      </c>
      <c r="BJ142" s="95">
        <f>VLOOKUP(BD142,CENY!$B$11:$M$2025,12,FALSE)</f>
        <v>1483.13021</v>
      </c>
      <c r="BK142" s="95">
        <f t="shared" si="10"/>
        <v>0</v>
      </c>
    </row>
    <row r="143" spans="47:63">
      <c r="AU143" s="319">
        <f>OBJ!B362</f>
        <v>45168</v>
      </c>
      <c r="AV143" s="21" t="str">
        <f>VLOOKUP(AU143,CENY!$B$11:$G$1054,2,FALSE)</f>
        <v>Skrutka s polgul.hlavou 3,5x20mm</v>
      </c>
      <c r="AW143" s="22">
        <f>VLOOKUP(AU143,CENY!$B$11:$G$1054,3,FALSE)</f>
        <v>200</v>
      </c>
      <c r="AX143" s="22"/>
      <c r="AY143" s="360">
        <v>0</v>
      </c>
      <c r="AZ143" s="326">
        <f t="shared" ref="AZ143:AZ146" si="11">IF(AY143="","",IF($AW$4=1,AY143,0))</f>
        <v>0</v>
      </c>
      <c r="BA143" s="95">
        <f>VLOOKUP(AU143,CENY!$B$11:$M$2025,12,FALSE)</f>
        <v>1.2154199999999999</v>
      </c>
      <c r="BB143" s="95">
        <f>IF(BA143="","",BA143*AY143)</f>
        <v>0</v>
      </c>
      <c r="BC143" s="373" t="s">
        <v>397</v>
      </c>
      <c r="BD143" s="319">
        <f>OBJ!B196</f>
        <v>9257271</v>
      </c>
      <c r="BE143" s="21" t="str">
        <f>VLOOKUP(BD143,CENY!$B$11:$G$1054,2,FALSE)</f>
        <v>AvanY-čelo vnút.zásuvky /v187/d2000/strieb.</v>
      </c>
      <c r="BF143" s="22">
        <f>VLOOKUP(BD143,CENY!$B$11:$G$1054,3,FALSE)</f>
        <v>1</v>
      </c>
      <c r="BG143" s="22"/>
      <c r="BH143" s="23">
        <f>AY92</f>
        <v>0</v>
      </c>
      <c r="BI143" s="326">
        <f t="shared" si="9"/>
        <v>0</v>
      </c>
      <c r="BJ143" s="95">
        <f>VLOOKUP(BD143,CENY!$B$11:$M$2025,12,FALSE)</f>
        <v>2217.7650899999999</v>
      </c>
      <c r="BK143" s="95">
        <f t="shared" si="10"/>
        <v>0</v>
      </c>
    </row>
    <row r="144" spans="47:63">
      <c r="AU144" s="319">
        <f>OBJ!B363</f>
        <v>9278224</v>
      </c>
      <c r="AV144" s="21" t="str">
        <f>VLOOKUP(AU144,CENY!$B$11:$G$1054,2,FALSE)</f>
        <v>Skrutka s polgul.hlavou 3,5x30mm</v>
      </c>
      <c r="AW144" s="22">
        <f>VLOOKUP(AU144,CENY!$B$11:$G$1054,3,FALSE)</f>
        <v>200</v>
      </c>
      <c r="AX144" s="22"/>
      <c r="AY144" s="360">
        <v>0</v>
      </c>
      <c r="AZ144" s="326">
        <f t="shared" si="11"/>
        <v>0</v>
      </c>
      <c r="BA144" s="95">
        <f>VLOOKUP(AU144,CENY!$B$11:$M$2025,12,FALSE)</f>
        <v>0.89337999999999995</v>
      </c>
      <c r="BB144" s="95">
        <f>IF(BA144="","",BA144*AY144)</f>
        <v>0</v>
      </c>
      <c r="BC144" s="373" t="s">
        <v>398</v>
      </c>
      <c r="BD144" s="319"/>
      <c r="BE144" s="21"/>
      <c r="BF144" s="22"/>
      <c r="BG144" s="22"/>
      <c r="BH144" s="23"/>
      <c r="BI144" s="326" t="str">
        <f>IF(BH144="","",IF($AW$4=0,BH144,0))</f>
        <v/>
      </c>
      <c r="BJ144" s="95"/>
      <c r="BK144" s="95" t="str">
        <f t="shared" si="10"/>
        <v/>
      </c>
    </row>
    <row r="145" spans="47:63">
      <c r="AU145" s="319">
        <f>OBJ!B364</f>
        <v>9279197</v>
      </c>
      <c r="AV145" s="21" t="str">
        <f>VLOOKUP(AU145,CENY!$B$11:$G$1054,2,FALSE)</f>
        <v>Skrutka s polgul.hlavou M3,5x12mm</v>
      </c>
      <c r="AW145" s="22">
        <f>VLOOKUP(AU145,CENY!$B$11:$G$1054,3,FALSE)</f>
        <v>1000</v>
      </c>
      <c r="AX145" s="22"/>
      <c r="AY145" s="68">
        <v>0</v>
      </c>
      <c r="AZ145" s="326">
        <f t="shared" si="11"/>
        <v>0</v>
      </c>
      <c r="BA145" s="95">
        <f>VLOOKUP(AU145,CENY!$B$11:$M$2025,12,FALSE)</f>
        <v>0</v>
      </c>
      <c r="BB145" s="95">
        <f>IF(BA145="","",BA145*AY145)</f>
        <v>0</v>
      </c>
      <c r="BC145" s="373" t="s">
        <v>399</v>
      </c>
      <c r="BD145" s="319">
        <f>OBJ!B203</f>
        <v>9257641</v>
      </c>
      <c r="BE145" s="21" t="str">
        <f>VLOOKUP(BD145,CENY!$B$11:$G$1054,2,FALSE)</f>
        <v>AvanY-stabilizátor čela vnút.zásuvky</v>
      </c>
      <c r="BF145" s="22">
        <f>VLOOKUP(BD145,CENY!$B$11:$G$1054,3,FALSE)</f>
        <v>100</v>
      </c>
      <c r="BG145" s="22"/>
      <c r="BH145" s="23">
        <f>AY91+AY93</f>
        <v>0</v>
      </c>
      <c r="BI145" s="326">
        <f>IF(BH145="","",IF($AW$4=0,BH145,0))</f>
        <v>0</v>
      </c>
      <c r="BJ145" s="95">
        <f>VLOOKUP(BD145,CENY!$B$11:$M$2025,12,FALSE)</f>
        <v>10.840870000000001</v>
      </c>
      <c r="BK145" s="95">
        <f t="shared" si="10"/>
        <v>0</v>
      </c>
    </row>
    <row r="146" spans="47:63">
      <c r="AU146" s="319">
        <f>OBJ!B365</f>
        <v>9137114</v>
      </c>
      <c r="AV146" s="21" t="str">
        <f>VLOOKUP(AU146,CENY!$B$11:$G$1054,2,FALSE)</f>
        <v>EURO-skrutka  6,0x14mm / niklovaná</v>
      </c>
      <c r="AW146" s="22">
        <f>VLOOKUP(AU146,CENY!$B$11:$G$1054,3,FALSE)</f>
        <v>200</v>
      </c>
      <c r="AX146" s="22"/>
      <c r="AY146" s="23">
        <f>SUMPRODUCT(AX31:AX80,AY31:AY80)</f>
        <v>0</v>
      </c>
      <c r="AZ146" s="326">
        <f t="shared" si="11"/>
        <v>0</v>
      </c>
      <c r="BA146" s="95">
        <f>VLOOKUP(AU146,CENY!$B$11:$M$2025,12,FALSE)</f>
        <v>1.8839300000000001</v>
      </c>
      <c r="BB146" s="95">
        <f>IF(BA146="","",BA146*AY146)</f>
        <v>0</v>
      </c>
      <c r="BC146" s="373" t="s">
        <v>400</v>
      </c>
      <c r="BD146" s="319">
        <f>OBJ!B204</f>
        <v>9257629</v>
      </c>
      <c r="BE146" s="21" t="str">
        <f>VLOOKUP(BD146,CENY!$B$11:$G$1054,2,FALSE)</f>
        <v>AvanY-krytka čela vnút.zás./v101/strieb.</v>
      </c>
      <c r="BF146" s="22">
        <f>VLOOKUP(BD146,CENY!$B$11:$G$1054,3,FALSE)</f>
        <v>200</v>
      </c>
      <c r="BG146" s="22"/>
      <c r="BH146" s="23">
        <f>2*AY91</f>
        <v>0</v>
      </c>
      <c r="BI146" s="326">
        <f>IF(BH146="","",IF($AW$4=0,BH146,0))</f>
        <v>0</v>
      </c>
      <c r="BJ146" s="95">
        <f>VLOOKUP(BD146,CENY!$B$11:$M$2025,12,FALSE)</f>
        <v>4.4243899999999998</v>
      </c>
      <c r="BK146" s="95">
        <f t="shared" si="10"/>
        <v>0</v>
      </c>
    </row>
    <row r="147" spans="47:63">
      <c r="AU147" s="20"/>
      <c r="AV147" s="21"/>
      <c r="AW147" s="22"/>
      <c r="AX147" s="22"/>
      <c r="AY147" s="23"/>
      <c r="AZ147" s="326"/>
      <c r="BA147" s="95"/>
      <c r="BB147" s="95"/>
      <c r="BD147" s="319">
        <f>OBJ!B206</f>
        <v>9257631</v>
      </c>
      <c r="BE147" s="21" t="str">
        <f>VLOOKUP(BD147,CENY!$B$11:$G$1054,2,FALSE)</f>
        <v>AvanY-krytka čela vnút.zás./v187/strieb.</v>
      </c>
      <c r="BF147" s="22">
        <f>VLOOKUP(BD147,CENY!$B$11:$G$1054,3,FALSE)</f>
        <v>200</v>
      </c>
      <c r="BG147" s="22"/>
      <c r="BH147" s="23">
        <f>2*AY93</f>
        <v>0</v>
      </c>
      <c r="BI147" s="326">
        <f>IF(BH147="","",IF($AW$4=0,BH147,0))</f>
        <v>0</v>
      </c>
      <c r="BJ147" s="95">
        <f>VLOOKUP(BD147,CENY!$B$11:$M$2025,12,FALSE)</f>
        <v>7.9287099999999997</v>
      </c>
      <c r="BK147" s="95">
        <f t="shared" si="10"/>
        <v>0</v>
      </c>
    </row>
    <row r="148" spans="47:63">
      <c r="AU148" s="20"/>
      <c r="AV148" s="21"/>
      <c r="AW148" s="22"/>
      <c r="AX148" s="22"/>
      <c r="AY148" s="23"/>
      <c r="AZ148" s="326"/>
      <c r="BA148" s="95"/>
      <c r="BB148" s="95"/>
      <c r="BD148" s="319"/>
      <c r="BE148" s="21"/>
      <c r="BF148" s="22"/>
      <c r="BG148" s="22"/>
      <c r="BH148" s="23"/>
      <c r="BI148" s="326" t="str">
        <f t="shared" si="9"/>
        <v/>
      </c>
      <c r="BJ148" s="95"/>
      <c r="BK148" s="95" t="str">
        <f t="shared" si="10"/>
        <v/>
      </c>
    </row>
    <row r="149" spans="47:63">
      <c r="AU149" s="20"/>
      <c r="AV149" s="21"/>
      <c r="AW149" s="22"/>
      <c r="AX149" s="22"/>
      <c r="AY149" s="23"/>
      <c r="AZ149" s="326"/>
      <c r="BA149" s="95"/>
      <c r="BB149" s="95"/>
      <c r="BD149" s="319">
        <f>OBJ!B361</f>
        <v>45167</v>
      </c>
      <c r="BE149" s="21" t="str">
        <f>VLOOKUP(BD149,CENY!$B$11:$G$1054,2,FALSE)</f>
        <v>Skrutka s polgul.hlavou 3,5x12mm</v>
      </c>
      <c r="BF149" s="22">
        <f>VLOOKUP(BD149,CENY!$B$11:$G$1054,3,FALSE)</f>
        <v>200</v>
      </c>
      <c r="BG149" s="22"/>
      <c r="BH149" s="23">
        <f>AY142+BH39*2+BH145</f>
        <v>0</v>
      </c>
      <c r="BI149" s="326">
        <f>IF(BH149="","",IF($AW$4=0,BH149,0))</f>
        <v>0</v>
      </c>
      <c r="BJ149" s="95">
        <f>VLOOKUP(BD149,CENY!$B$11:$M$2025,12,FALSE)</f>
        <v>0.84719999999999995</v>
      </c>
      <c r="BK149" s="95">
        <f t="shared" si="10"/>
        <v>0</v>
      </c>
    </row>
    <row r="150" spans="47:63">
      <c r="AU150" s="20"/>
      <c r="AV150" s="21"/>
      <c r="AW150" s="22"/>
      <c r="AX150" s="22"/>
      <c r="AY150" s="23"/>
      <c r="AZ150" s="326" t="str">
        <f>IF(AY150="","",IF($AW$4=1,AY150,0))</f>
        <v/>
      </c>
      <c r="BA150" s="95"/>
      <c r="BB150" s="95" t="str">
        <f>IF(BA150="","",BA150*AY150)</f>
        <v/>
      </c>
      <c r="BD150" s="319">
        <f>OBJ!B362</f>
        <v>45168</v>
      </c>
      <c r="BE150" s="21" t="str">
        <f>VLOOKUP(BD150,CENY!$B$11:$G$1054,2,FALSE)</f>
        <v>Skrutka s polgul.hlavou 3,5x20mm</v>
      </c>
      <c r="BF150" s="22">
        <f>VLOOKUP(BD150,CENY!$B$11:$G$1054,3,FALSE)</f>
        <v>200</v>
      </c>
      <c r="BG150" s="22"/>
      <c r="BH150" s="360">
        <f>IF(FORM!$AM$8=FORM!$AU$10,BH35*2+BH36*3,0)</f>
        <v>0</v>
      </c>
      <c r="BI150" s="326">
        <f>IF(BH150="","",IF($AW$4=0,BH150,0))</f>
        <v>0</v>
      </c>
      <c r="BJ150" s="95">
        <f>VLOOKUP(BD150,CENY!$B$11:$M$2025,12,FALSE)</f>
        <v>1.2154199999999999</v>
      </c>
      <c r="BK150" s="95">
        <f t="shared" si="10"/>
        <v>0</v>
      </c>
    </row>
    <row r="151" spans="47:63">
      <c r="BD151" s="319">
        <f>OBJ!B363</f>
        <v>9278224</v>
      </c>
      <c r="BE151" s="21" t="str">
        <f>VLOOKUP(BD151,CENY!$B$11:$G$1054,2,FALSE)</f>
        <v>Skrutka s polgul.hlavou 3,5x30mm</v>
      </c>
      <c r="BF151" s="22">
        <f>VLOOKUP(BD151,CENY!$B$11:$G$1054,3,FALSE)</f>
        <v>200</v>
      </c>
      <c r="BG151" s="22"/>
      <c r="BH151" s="360">
        <f>SUM(BH5:BH22)+2*SUM(BH24:BH33)</f>
        <v>0</v>
      </c>
      <c r="BI151" s="326">
        <f>IF(BH151="","",IF($AW$4=0,BH151,0))</f>
        <v>0</v>
      </c>
      <c r="BJ151" s="95">
        <f>VLOOKUP(BD151,CENY!$B$11:$M$2025,12,FALSE)</f>
        <v>0.89337999999999995</v>
      </c>
      <c r="BK151" s="95">
        <f t="shared" si="10"/>
        <v>0</v>
      </c>
    </row>
    <row r="152" spans="47:63">
      <c r="BD152" s="319">
        <f>OBJ!B364</f>
        <v>9279197</v>
      </c>
      <c r="BE152" s="21" t="str">
        <f>VLOOKUP(BD152,CENY!$B$11:$G$1054,2,FALSE)</f>
        <v>Skrutka s polgul.hlavou M3,5x12mm</v>
      </c>
      <c r="BF152" s="22">
        <f>VLOOKUP(BD152,CENY!$B$11:$G$1054,3,FALSE)</f>
        <v>1000</v>
      </c>
      <c r="BG152" s="22"/>
      <c r="BH152" s="68">
        <f>2*BH37+3*BH38</f>
        <v>0</v>
      </c>
      <c r="BI152" s="326">
        <f>IF(BH152="","",IF($AW$4=0,BH152,0))</f>
        <v>0</v>
      </c>
      <c r="BJ152" s="95">
        <f>VLOOKUP(BD152,CENY!$B$11:$M$2025,12,FALSE)</f>
        <v>0</v>
      </c>
      <c r="BK152" s="95">
        <f t="shared" si="10"/>
        <v>0</v>
      </c>
    </row>
    <row r="153" spans="47:63">
      <c r="AW153" s="376"/>
      <c r="AX153" s="377"/>
      <c r="AY153" s="379" t="s">
        <v>261</v>
      </c>
      <c r="AZ153" s="380" t="s">
        <v>262</v>
      </c>
      <c r="BD153" s="319">
        <f>OBJ!B365</f>
        <v>9137114</v>
      </c>
      <c r="BE153" s="21" t="str">
        <f>VLOOKUP(BD153,CENY!$B$11:$G$1054,2,FALSE)</f>
        <v>EURO-skrutka  6,0x14mm / niklovaná</v>
      </c>
      <c r="BF153" s="22">
        <f>VLOOKUP(BD153,CENY!$B$11:$G$1054,3,FALSE)</f>
        <v>200</v>
      </c>
      <c r="BG153" s="22"/>
      <c r="BH153" s="23">
        <f>AY146</f>
        <v>0</v>
      </c>
      <c r="BI153" s="326">
        <f>IF(BH153="","",IF($AW$4=0,BH153,0))</f>
        <v>0</v>
      </c>
      <c r="BJ153" s="95">
        <f>VLOOKUP(BD153,CENY!$B$11:$M$2025,12,FALSE)</f>
        <v>1.8839300000000001</v>
      </c>
      <c r="BK153" s="95">
        <f t="shared" si="10"/>
        <v>0</v>
      </c>
    </row>
    <row r="154" spans="47:63">
      <c r="AW154" s="376">
        <v>350</v>
      </c>
      <c r="AX154" s="377"/>
      <c r="AY154" s="378">
        <v>1</v>
      </c>
      <c r="AZ154" s="378">
        <v>2</v>
      </c>
      <c r="BD154" s="319"/>
      <c r="BE154" s="21"/>
      <c r="BF154" s="22"/>
      <c r="BG154" s="22"/>
      <c r="BH154" s="23"/>
      <c r="BI154" s="326"/>
      <c r="BJ154" s="95"/>
      <c r="BK154" s="95"/>
    </row>
    <row r="155" spans="47:63">
      <c r="AW155" s="376">
        <v>700</v>
      </c>
      <c r="AX155" s="377"/>
      <c r="AY155" s="378">
        <v>2</v>
      </c>
      <c r="AZ155" s="378">
        <v>2</v>
      </c>
      <c r="BD155" s="374">
        <f>OBJ!B367</f>
        <v>9099540</v>
      </c>
      <c r="BE155" s="375" t="str">
        <f>VLOOKUP(BD155,CENY!$B$11:$G$1054,2,FALSE)</f>
        <v>SENSYS 8657i 165st. B12,5/TH52</v>
      </c>
      <c r="BF155" s="22">
        <f>VLOOKUP(BD155,CENY!$B$11:$G$1054,3,FALSE)</f>
        <v>50</v>
      </c>
      <c r="BG155" s="22"/>
      <c r="BH155" s="23">
        <f>AY107</f>
        <v>0</v>
      </c>
      <c r="BI155" s="326">
        <f t="shared" ref="BI155:BI159" si="12">IF(BH155="","",IF($AW$4=0,BH155,0))</f>
        <v>0</v>
      </c>
      <c r="BJ155" s="95">
        <f>VLOOKUP(BD155,CENY!$B$11:$M$2025,12,FALSE)</f>
        <v>141.95956000000001</v>
      </c>
      <c r="BK155" s="95">
        <f t="shared" ref="BK155:BK159" si="13">IF(BJ155="","",BJ155*BH155)</f>
        <v>0</v>
      </c>
    </row>
    <row r="156" spans="47:63">
      <c r="AW156" s="376">
        <v>1050</v>
      </c>
      <c r="AX156" s="377"/>
      <c r="AY156" s="378">
        <v>3</v>
      </c>
      <c r="AZ156" s="378">
        <v>3</v>
      </c>
      <c r="BD156" s="374">
        <f>OBJ!B368</f>
        <v>9099600</v>
      </c>
      <c r="BE156" s="375" t="str">
        <f>VLOOKUP(BD156,CENY!$B$11:$G$1054,2,FALSE)</f>
        <v>SENSYS 8657 165st. B12,5/TH52 (bez SiSy)</v>
      </c>
      <c r="BF156" s="22">
        <f>VLOOKUP(BD156,CENY!$B$11:$G$1054,3,FALSE)</f>
        <v>50</v>
      </c>
      <c r="BG156" s="22"/>
      <c r="BH156" s="68"/>
      <c r="BI156" s="326" t="str">
        <f t="shared" si="12"/>
        <v/>
      </c>
      <c r="BJ156" s="95">
        <f>VLOOKUP(BD156,CENY!$B$11:$M$2025,12,FALSE)</f>
        <v>129.61077</v>
      </c>
      <c r="BK156" s="95">
        <f t="shared" si="13"/>
        <v>0</v>
      </c>
    </row>
    <row r="157" spans="47:63">
      <c r="AW157" s="376">
        <v>1400</v>
      </c>
      <c r="AX157" s="377"/>
      <c r="AY157" s="378">
        <v>4</v>
      </c>
      <c r="AZ157" s="378">
        <v>3</v>
      </c>
      <c r="BD157" s="374">
        <f>OBJ!B369</f>
        <v>9099660</v>
      </c>
      <c r="BE157" s="375" t="str">
        <f>VLOOKUP(BD157,CENY!$B$11:$G$1054,2,FALSE)</f>
        <v>SENSYS 8687 165st. B12,5/TH52 (pre P2O)</v>
      </c>
      <c r="BF157" s="22">
        <f>VLOOKUP(BD157,CENY!$B$11:$G$1054,3,FALSE)</f>
        <v>50</v>
      </c>
      <c r="BG157" s="22"/>
      <c r="BH157" s="68"/>
      <c r="BI157" s="326" t="str">
        <f t="shared" si="12"/>
        <v/>
      </c>
      <c r="BJ157" s="95">
        <f>VLOOKUP(BD157,CENY!$B$11:$M$2025,12,FALSE)</f>
        <v>134.40997999999999</v>
      </c>
      <c r="BK157" s="95">
        <f t="shared" si="13"/>
        <v>0</v>
      </c>
    </row>
    <row r="158" spans="47:63">
      <c r="AW158" s="376">
        <v>1750</v>
      </c>
      <c r="AX158" s="377"/>
      <c r="AY158" s="378">
        <v>5</v>
      </c>
      <c r="AZ158" s="378">
        <v>4</v>
      </c>
      <c r="BD158" s="374">
        <f>OBJ!B370</f>
        <v>9071576</v>
      </c>
      <c r="BE158" s="375" t="str">
        <f>VLOOKUP(BD158,CENY!$B$11:$G$1054,2,FALSE)</f>
        <v>Podložka SENSYS k naskrut./D=1,5 mm</v>
      </c>
      <c r="BF158" s="22">
        <f>VLOOKUP(BD158,CENY!$B$11:$G$1054,3,FALSE)</f>
        <v>200</v>
      </c>
      <c r="BG158" s="22"/>
      <c r="BH158" s="23">
        <f>AY110</f>
        <v>0</v>
      </c>
      <c r="BI158" s="326">
        <f t="shared" si="12"/>
        <v>0</v>
      </c>
      <c r="BJ158" s="95">
        <f>VLOOKUP(BD158,CENY!$B$11:$M$2025,12,FALSE)</f>
        <v>8.1449099999999994</v>
      </c>
      <c r="BK158" s="95">
        <f t="shared" si="13"/>
        <v>0</v>
      </c>
    </row>
    <row r="159" spans="47:63">
      <c r="AW159" s="376">
        <v>2100</v>
      </c>
      <c r="AX159" s="377"/>
      <c r="AY159" s="378">
        <v>6</v>
      </c>
      <c r="AZ159" s="378">
        <v>4</v>
      </c>
      <c r="BD159" s="374">
        <f>OBJ!B371</f>
        <v>9071671</v>
      </c>
      <c r="BE159" s="375" t="str">
        <f>VLOOKUP(BD159,CENY!$B$11:$G$1054,2,FALSE)</f>
        <v>Podlož.SENSYS s predm.skr.D=1,5(exc.)</v>
      </c>
      <c r="BF159" s="22">
        <f>VLOOKUP(BD159,CENY!$B$11:$G$1054,3,FALSE)</f>
        <v>200</v>
      </c>
      <c r="BG159" s="22"/>
      <c r="BH159" s="68"/>
      <c r="BI159" s="326" t="str">
        <f t="shared" si="12"/>
        <v/>
      </c>
      <c r="BJ159" s="95">
        <f>VLOOKUP(BD159,CENY!$B$11:$M$2025,12,FALSE)</f>
        <v>17.145990000000001</v>
      </c>
      <c r="BK159" s="95">
        <f t="shared" si="13"/>
        <v>0</v>
      </c>
    </row>
    <row r="160" spans="47:63">
      <c r="AW160" s="376">
        <v>2450</v>
      </c>
      <c r="AX160" s="377"/>
      <c r="AY160" s="378">
        <v>7</v>
      </c>
      <c r="AZ160" s="378">
        <v>5</v>
      </c>
    </row>
    <row r="161" spans="49:52">
      <c r="AW161" s="376">
        <v>2800</v>
      </c>
      <c r="AX161" s="377"/>
      <c r="AY161" s="378">
        <v>8</v>
      </c>
      <c r="AZ161" s="378">
        <v>5</v>
      </c>
    </row>
  </sheetData>
  <sheetProtection algorithmName="SHA-512" hashValue="U3rFmE2rHR3oR/Ij6GbsrgPzDwSVUd21RGTpNm7QMs/LAhWFbSEE3f6hM/GA4TiKtyvfFrfmT5H++UruOksomA==" saltValue="FgO/V3gfUmcMm8R5StZndQ==" spinCount="100000" sheet="1" objects="1" scenarios="1"/>
  <mergeCells count="189">
    <mergeCell ref="AW99:AY99"/>
    <mergeCell ref="AW100:AY100"/>
    <mergeCell ref="AW101:AY101"/>
    <mergeCell ref="AW102:AY102"/>
    <mergeCell ref="AG86:AH86"/>
    <mergeCell ref="AI86:AJ86"/>
    <mergeCell ref="AW95:AY95"/>
    <mergeCell ref="AW96:AY96"/>
    <mergeCell ref="AW97:AY97"/>
    <mergeCell ref="AW98:AY98"/>
    <mergeCell ref="O86:P86"/>
    <mergeCell ref="Q86:R86"/>
    <mergeCell ref="S86:T86"/>
    <mergeCell ref="U86:V86"/>
    <mergeCell ref="W86:X86"/>
    <mergeCell ref="Y86:Z86"/>
    <mergeCell ref="AA86:AB86"/>
    <mergeCell ref="AC86:AD86"/>
    <mergeCell ref="AE86:AF86"/>
    <mergeCell ref="AA84:AB84"/>
    <mergeCell ref="AC84:AD84"/>
    <mergeCell ref="AE84:AF84"/>
    <mergeCell ref="AG84:AH84"/>
    <mergeCell ref="AI84:AJ84"/>
    <mergeCell ref="M85:N85"/>
    <mergeCell ref="O85:P85"/>
    <mergeCell ref="Q85:R85"/>
    <mergeCell ref="S85:T85"/>
    <mergeCell ref="U85:V85"/>
    <mergeCell ref="O84:P84"/>
    <mergeCell ref="Q84:R84"/>
    <mergeCell ref="S84:T84"/>
    <mergeCell ref="U84:V84"/>
    <mergeCell ref="W84:X84"/>
    <mergeCell ref="Y84:Z84"/>
    <mergeCell ref="AI85:AJ85"/>
    <mergeCell ref="W85:X85"/>
    <mergeCell ref="Y85:Z85"/>
    <mergeCell ref="AA85:AB85"/>
    <mergeCell ref="AC85:AD85"/>
    <mergeCell ref="AE85:AF85"/>
    <mergeCell ref="AG85:AH85"/>
    <mergeCell ref="AC82:AD82"/>
    <mergeCell ref="AE82:AF82"/>
    <mergeCell ref="AG82:AH82"/>
    <mergeCell ref="AI82:AJ82"/>
    <mergeCell ref="AK82:AL82"/>
    <mergeCell ref="O83:AJ83"/>
    <mergeCell ref="AE81:AF81"/>
    <mergeCell ref="AG81:AH81"/>
    <mergeCell ref="AI81:AJ81"/>
    <mergeCell ref="O82:P82"/>
    <mergeCell ref="Q82:R82"/>
    <mergeCell ref="S82:T82"/>
    <mergeCell ref="U82:V82"/>
    <mergeCell ref="W82:X82"/>
    <mergeCell ref="Y82:Z82"/>
    <mergeCell ref="AA82:AB82"/>
    <mergeCell ref="AC80:AD80"/>
    <mergeCell ref="AG80:AH80"/>
    <mergeCell ref="AI80:AJ80"/>
    <mergeCell ref="O81:P81"/>
    <mergeCell ref="Q81:R81"/>
    <mergeCell ref="S81:T81"/>
    <mergeCell ref="U81:V81"/>
    <mergeCell ref="W81:X81"/>
    <mergeCell ref="Y81:Z81"/>
    <mergeCell ref="AA81:AB81"/>
    <mergeCell ref="AC81:AD81"/>
    <mergeCell ref="AI67:AM67"/>
    <mergeCell ref="AO67:AR67"/>
    <mergeCell ref="O79:P79"/>
    <mergeCell ref="Q79:R79"/>
    <mergeCell ref="S79:T79"/>
    <mergeCell ref="U79:V79"/>
    <mergeCell ref="W79:X79"/>
    <mergeCell ref="Y79:Z79"/>
    <mergeCell ref="AA79:AB79"/>
    <mergeCell ref="AC79:AD79"/>
    <mergeCell ref="AG79:AH79"/>
    <mergeCell ref="AI79:AJ79"/>
    <mergeCell ref="A66:A105"/>
    <mergeCell ref="B67:E67"/>
    <mergeCell ref="G67:K67"/>
    <mergeCell ref="O67:S67"/>
    <mergeCell ref="U67:Y67"/>
    <mergeCell ref="AA67:AE67"/>
    <mergeCell ref="AE79:AF79"/>
    <mergeCell ref="AE80:AF80"/>
    <mergeCell ref="B28:G28"/>
    <mergeCell ref="H28:L28"/>
    <mergeCell ref="M28:N28"/>
    <mergeCell ref="O28:P28"/>
    <mergeCell ref="Q28:R28"/>
    <mergeCell ref="S28:T28"/>
    <mergeCell ref="U28:V28"/>
    <mergeCell ref="W28:X28"/>
    <mergeCell ref="Y28:Z28"/>
    <mergeCell ref="O80:P80"/>
    <mergeCell ref="Q80:R80"/>
    <mergeCell ref="S80:T80"/>
    <mergeCell ref="U80:V80"/>
    <mergeCell ref="W80:X80"/>
    <mergeCell ref="Y80:Z80"/>
    <mergeCell ref="AA80:AB80"/>
    <mergeCell ref="B27:G27"/>
    <mergeCell ref="H27:L27"/>
    <mergeCell ref="M27:N27"/>
    <mergeCell ref="O27:P27"/>
    <mergeCell ref="Q27:R27"/>
    <mergeCell ref="S27:T27"/>
    <mergeCell ref="AA22:AB22"/>
    <mergeCell ref="AC22:AD22"/>
    <mergeCell ref="AA28:AB28"/>
    <mergeCell ref="AC28:AD28"/>
    <mergeCell ref="AE22:AF22"/>
    <mergeCell ref="AQ24:AR24"/>
    <mergeCell ref="O26:P26"/>
    <mergeCell ref="Q26:R26"/>
    <mergeCell ref="S26:T26"/>
    <mergeCell ref="U26:V26"/>
    <mergeCell ref="W26:X26"/>
    <mergeCell ref="Y26:Z26"/>
    <mergeCell ref="B22:G22"/>
    <mergeCell ref="H22:L22"/>
    <mergeCell ref="M22:N22"/>
    <mergeCell ref="O22:P22"/>
    <mergeCell ref="Q22:R22"/>
    <mergeCell ref="S22:T22"/>
    <mergeCell ref="U22:V22"/>
    <mergeCell ref="W22:X22"/>
    <mergeCell ref="Y22:Z22"/>
    <mergeCell ref="AA26:AB26"/>
    <mergeCell ref="AC26:AD26"/>
    <mergeCell ref="U20:V20"/>
    <mergeCell ref="W20:X20"/>
    <mergeCell ref="Y20:Z20"/>
    <mergeCell ref="AA20:AB20"/>
    <mergeCell ref="AC20:AD20"/>
    <mergeCell ref="AE20:AF20"/>
    <mergeCell ref="B20:G20"/>
    <mergeCell ref="H20:L20"/>
    <mergeCell ref="M20:N20"/>
    <mergeCell ref="O20:P20"/>
    <mergeCell ref="Q20:R20"/>
    <mergeCell ref="S20:T20"/>
    <mergeCell ref="AQ18:AR18"/>
    <mergeCell ref="B19:G19"/>
    <mergeCell ref="H19:L19"/>
    <mergeCell ref="M19:N19"/>
    <mergeCell ref="O19:P19"/>
    <mergeCell ref="Q19:R19"/>
    <mergeCell ref="S19:T19"/>
    <mergeCell ref="O17:AF17"/>
    <mergeCell ref="O18:P18"/>
    <mergeCell ref="Q18:R18"/>
    <mergeCell ref="S18:T18"/>
    <mergeCell ref="U18:V18"/>
    <mergeCell ref="W18:X18"/>
    <mergeCell ref="Y18:Z18"/>
    <mergeCell ref="AA18:AB18"/>
    <mergeCell ref="AC18:AD18"/>
    <mergeCell ref="AE18:AF18"/>
    <mergeCell ref="B12:E12"/>
    <mergeCell ref="F12:I12"/>
    <mergeCell ref="J12:K12"/>
    <mergeCell ref="B13:E13"/>
    <mergeCell ref="F13:I13"/>
    <mergeCell ref="J13:K13"/>
    <mergeCell ref="B9:E9"/>
    <mergeCell ref="F9:K9"/>
    <mergeCell ref="AK9:AP10"/>
    <mergeCell ref="B10:E10"/>
    <mergeCell ref="F10:K10"/>
    <mergeCell ref="B11:E11"/>
    <mergeCell ref="F11:K11"/>
    <mergeCell ref="AO2:AR2"/>
    <mergeCell ref="B6:E6"/>
    <mergeCell ref="F6:K6"/>
    <mergeCell ref="B7:E7"/>
    <mergeCell ref="F7:K7"/>
    <mergeCell ref="B8:E8"/>
    <mergeCell ref="F8:K8"/>
    <mergeCell ref="B2:E2"/>
    <mergeCell ref="G2:K2"/>
    <mergeCell ref="O2:S2"/>
    <mergeCell ref="U2:Y2"/>
    <mergeCell ref="AA2:AE2"/>
    <mergeCell ref="AI2:AM2"/>
  </mergeCells>
  <conditionalFormatting sqref="AZ94:AZ106 AZ147:AZ150 BI5:BI21 AZ20:AZ84 AZ86:AZ89 BI39:BI141 BH25:BI34 BH40:BH98 AY5:AZ19 AY20:AY48 BH13:BH24 BH142:BI144 AZ112:AZ141">
    <cfRule type="cellIs" dxfId="114" priority="55" stopIfTrue="1" operator="equal">
      <formula>0</formula>
    </cfRule>
  </conditionalFormatting>
  <conditionalFormatting sqref="AY59 AY72 AY49 AY55">
    <cfRule type="cellIs" dxfId="113" priority="53" stopIfTrue="1" operator="equal">
      <formula>0</formula>
    </cfRule>
  </conditionalFormatting>
  <conditionalFormatting sqref="O17:AF17 W20:AD20 W22:AF22 W28:AD28">
    <cfRule type="expression" dxfId="112" priority="54" stopIfTrue="1">
      <formula>$AW$4=0</formula>
    </cfRule>
  </conditionalFormatting>
  <conditionalFormatting sqref="AY83 AY86 AY88:AY89">
    <cfRule type="cellIs" dxfId="111" priority="52" stopIfTrue="1" operator="equal">
      <formula>0</formula>
    </cfRule>
  </conditionalFormatting>
  <conditionalFormatting sqref="AY103:AY106">
    <cfRule type="cellIs" dxfId="110" priority="51" stopIfTrue="1" operator="equal">
      <formula>0</formula>
    </cfRule>
  </conditionalFormatting>
  <conditionalFormatting sqref="BH39">
    <cfRule type="cellIs" dxfId="109" priority="50" stopIfTrue="1" operator="equal">
      <formula>0</formula>
    </cfRule>
  </conditionalFormatting>
  <conditionalFormatting sqref="AY64:AY68">
    <cfRule type="cellIs" dxfId="108" priority="49" stopIfTrue="1" operator="equal">
      <formula>0</formula>
    </cfRule>
  </conditionalFormatting>
  <conditionalFormatting sqref="AY112:AY141 AY147:AY150">
    <cfRule type="cellIs" dxfId="107" priority="43" stopIfTrue="1" operator="equal">
      <formula>0</formula>
    </cfRule>
  </conditionalFormatting>
  <conditionalFormatting sqref="AY81">
    <cfRule type="cellIs" dxfId="106" priority="48" stopIfTrue="1" operator="equal">
      <formula>0</formula>
    </cfRule>
  </conditionalFormatting>
  <conditionalFormatting sqref="AY84">
    <cfRule type="cellIs" dxfId="105" priority="47" stopIfTrue="1" operator="equal">
      <formula>0</formula>
    </cfRule>
  </conditionalFormatting>
  <conditionalFormatting sqref="AY94">
    <cfRule type="cellIs" dxfId="104" priority="46" stopIfTrue="1" operator="equal">
      <formula>0</formula>
    </cfRule>
  </conditionalFormatting>
  <conditionalFormatting sqref="BH115 BH119">
    <cfRule type="cellIs" dxfId="103" priority="45" stopIfTrue="1" operator="equal">
      <formula>0</formula>
    </cfRule>
  </conditionalFormatting>
  <conditionalFormatting sqref="BH136 BH140:BH141 BH148 BH154 BH138">
    <cfRule type="cellIs" dxfId="102" priority="44" stopIfTrue="1" operator="equal">
      <formula>0</formula>
    </cfRule>
  </conditionalFormatting>
  <conditionalFormatting sqref="BH105:BH114">
    <cfRule type="cellIs" dxfId="101" priority="42" stopIfTrue="1" operator="equal">
      <formula>0</formula>
    </cfRule>
  </conditionalFormatting>
  <conditionalFormatting sqref="BH139">
    <cfRule type="cellIs" dxfId="100" priority="40" stopIfTrue="1" operator="equal">
      <formula>0</formula>
    </cfRule>
  </conditionalFormatting>
  <conditionalFormatting sqref="AY87">
    <cfRule type="cellIs" dxfId="99" priority="41" stopIfTrue="1" operator="equal">
      <formula>0</formula>
    </cfRule>
  </conditionalFormatting>
  <conditionalFormatting sqref="F13:K13">
    <cfRule type="expression" dxfId="98" priority="39" stopIfTrue="1">
      <formula>$AW$4=1</formula>
    </cfRule>
  </conditionalFormatting>
  <conditionalFormatting sqref="BI148 BI154">
    <cfRule type="cellIs" dxfId="97" priority="38" stopIfTrue="1" operator="equal">
      <formula>0</formula>
    </cfRule>
  </conditionalFormatting>
  <conditionalFormatting sqref="AZ90:AZ91">
    <cfRule type="cellIs" dxfId="96" priority="37" stopIfTrue="1" operator="equal">
      <formula>0</formula>
    </cfRule>
  </conditionalFormatting>
  <conditionalFormatting sqref="AY90:AY91">
    <cfRule type="cellIs" dxfId="95" priority="36" stopIfTrue="1" operator="equal">
      <formula>0</formula>
    </cfRule>
  </conditionalFormatting>
  <conditionalFormatting sqref="BH145:BH146">
    <cfRule type="cellIs" dxfId="94" priority="35" stopIfTrue="1" operator="equal">
      <formula>0</formula>
    </cfRule>
  </conditionalFormatting>
  <conditionalFormatting sqref="BI145:BI146">
    <cfRule type="cellIs" dxfId="93" priority="34" stopIfTrue="1" operator="equal">
      <formula>0</formula>
    </cfRule>
  </conditionalFormatting>
  <conditionalFormatting sqref="AR88">
    <cfRule type="expression" dxfId="92" priority="33" stopIfTrue="1">
      <formula>$AU$96=AU98</formula>
    </cfRule>
  </conditionalFormatting>
  <conditionalFormatting sqref="AZ142:AZ146">
    <cfRule type="cellIs" dxfId="91" priority="32" stopIfTrue="1" operator="equal">
      <formula>0</formula>
    </cfRule>
  </conditionalFormatting>
  <conditionalFormatting sqref="AY142:AY146">
    <cfRule type="cellIs" dxfId="90" priority="31" stopIfTrue="1" operator="equal">
      <formula>0</formula>
    </cfRule>
  </conditionalFormatting>
  <conditionalFormatting sqref="BH149 BH152:BH153">
    <cfRule type="cellIs" dxfId="89" priority="30" stopIfTrue="1" operator="equal">
      <formula>0</formula>
    </cfRule>
  </conditionalFormatting>
  <conditionalFormatting sqref="BI149:BI153">
    <cfRule type="cellIs" dxfId="88" priority="29" stopIfTrue="1" operator="equal">
      <formula>0</formula>
    </cfRule>
  </conditionalFormatting>
  <conditionalFormatting sqref="BH150:BH151">
    <cfRule type="cellIs" dxfId="87" priority="28" stopIfTrue="1" operator="equal">
      <formula>0</formula>
    </cfRule>
  </conditionalFormatting>
  <conditionalFormatting sqref="AY50:AY54">
    <cfRule type="cellIs" dxfId="86" priority="27" stopIfTrue="1" operator="equal">
      <formula>0</formula>
    </cfRule>
  </conditionalFormatting>
  <conditionalFormatting sqref="AY56:AY58">
    <cfRule type="cellIs" dxfId="85" priority="26" stopIfTrue="1" operator="equal">
      <formula>0</formula>
    </cfRule>
  </conditionalFormatting>
  <conditionalFormatting sqref="AY60:AY62">
    <cfRule type="cellIs" dxfId="84" priority="25" stopIfTrue="1" operator="equal">
      <formula>0</formula>
    </cfRule>
  </conditionalFormatting>
  <conditionalFormatting sqref="AY69:AY71">
    <cfRule type="cellIs" dxfId="83" priority="24" stopIfTrue="1" operator="equal">
      <formula>0</formula>
    </cfRule>
  </conditionalFormatting>
  <conditionalFormatting sqref="AY73:AY74">
    <cfRule type="cellIs" dxfId="82" priority="23" stopIfTrue="1" operator="equal">
      <formula>0</formula>
    </cfRule>
  </conditionalFormatting>
  <conditionalFormatting sqref="AY75">
    <cfRule type="cellIs" dxfId="81" priority="22" stopIfTrue="1" operator="equal">
      <formula>0</formula>
    </cfRule>
  </conditionalFormatting>
  <conditionalFormatting sqref="AY76:AY80">
    <cfRule type="cellIs" dxfId="80" priority="21" stopIfTrue="1" operator="equal">
      <formula>0</formula>
    </cfRule>
  </conditionalFormatting>
  <conditionalFormatting sqref="AY82">
    <cfRule type="cellIs" dxfId="79" priority="20" stopIfTrue="1" operator="equal">
      <formula>0</formula>
    </cfRule>
  </conditionalFormatting>
  <conditionalFormatting sqref="BH5:BH10">
    <cfRule type="cellIs" dxfId="78" priority="19" stopIfTrue="1" operator="equal">
      <formula>0</formula>
    </cfRule>
  </conditionalFormatting>
  <conditionalFormatting sqref="BH99:BH106">
    <cfRule type="cellIs" dxfId="77" priority="18" stopIfTrue="1" operator="equal">
      <formula>0</formula>
    </cfRule>
  </conditionalFormatting>
  <conditionalFormatting sqref="BH116:BH118">
    <cfRule type="cellIs" dxfId="76" priority="17" stopIfTrue="1" operator="equal">
      <formula>0</formula>
    </cfRule>
  </conditionalFormatting>
  <conditionalFormatting sqref="BH120:BH135">
    <cfRule type="cellIs" dxfId="75" priority="16" stopIfTrue="1" operator="equal">
      <formula>0</formula>
    </cfRule>
  </conditionalFormatting>
  <conditionalFormatting sqref="BH137">
    <cfRule type="cellIs" dxfId="74" priority="15" stopIfTrue="1" operator="equal">
      <formula>0</formula>
    </cfRule>
  </conditionalFormatting>
  <conditionalFormatting sqref="AZ85">
    <cfRule type="cellIs" dxfId="73" priority="14" stopIfTrue="1" operator="equal">
      <formula>0</formula>
    </cfRule>
  </conditionalFormatting>
  <conditionalFormatting sqref="AY85">
    <cfRule type="cellIs" dxfId="72" priority="13" stopIfTrue="1" operator="equal">
      <formula>0</formula>
    </cfRule>
  </conditionalFormatting>
  <conditionalFormatting sqref="BH37:BI38">
    <cfRule type="cellIs" dxfId="71" priority="12" stopIfTrue="1" operator="equal">
      <formula>0</formula>
    </cfRule>
  </conditionalFormatting>
  <conditionalFormatting sqref="BH35:BI36">
    <cfRule type="cellIs" dxfId="70" priority="11" stopIfTrue="1" operator="equal">
      <formula>0</formula>
    </cfRule>
  </conditionalFormatting>
  <conditionalFormatting sqref="AY63">
    <cfRule type="cellIs" dxfId="69" priority="10" stopIfTrue="1" operator="equal">
      <formula>0</formula>
    </cfRule>
  </conditionalFormatting>
  <conditionalFormatting sqref="BH11:BH12">
    <cfRule type="cellIs" dxfId="68" priority="9" stopIfTrue="1" operator="equal">
      <formula>0</formula>
    </cfRule>
  </conditionalFormatting>
  <conditionalFormatting sqref="AZ92:AZ93">
    <cfRule type="cellIs" dxfId="67" priority="8" stopIfTrue="1" operator="equal">
      <formula>0</formula>
    </cfRule>
  </conditionalFormatting>
  <conditionalFormatting sqref="AY92:AY93">
    <cfRule type="cellIs" dxfId="66" priority="7" stopIfTrue="1" operator="equal">
      <formula>0</formula>
    </cfRule>
  </conditionalFormatting>
  <conditionalFormatting sqref="BI22:BI24">
    <cfRule type="cellIs" dxfId="65" priority="6" stopIfTrue="1" operator="equal">
      <formula>0</formula>
    </cfRule>
  </conditionalFormatting>
  <conditionalFormatting sqref="BH147">
    <cfRule type="cellIs" dxfId="64" priority="5" stopIfTrue="1" operator="equal">
      <formula>0</formula>
    </cfRule>
  </conditionalFormatting>
  <conditionalFormatting sqref="BI147">
    <cfRule type="cellIs" dxfId="63" priority="4" stopIfTrue="1" operator="equal">
      <formula>0</formula>
    </cfRule>
  </conditionalFormatting>
  <conditionalFormatting sqref="AY107:AZ111">
    <cfRule type="cellIs" dxfId="62" priority="3" stopIfTrue="1" operator="equal">
      <formula>0</formula>
    </cfRule>
  </conditionalFormatting>
  <conditionalFormatting sqref="BI155:BI159">
    <cfRule type="cellIs" dxfId="61" priority="2" stopIfTrue="1" operator="equal">
      <formula>0</formula>
    </cfRule>
  </conditionalFormatting>
  <conditionalFormatting sqref="BH155:BH159">
    <cfRule type="cellIs" dxfId="60" priority="1" stopIfTrue="1" operator="equal">
      <formula>0</formula>
    </cfRule>
  </conditionalFormatting>
  <hyperlinks>
    <hyperlink ref="M4" location="MENU!A1" display="MENU!A1" xr:uid="{00000000-0004-0000-1700-000000000000}"/>
    <hyperlink ref="M10" location="OBJ!A1" display="OBJ!A1" xr:uid="{00000000-0004-0000-1700-000001000000}"/>
    <hyperlink ref="M9" location="suhrn!A1" display="suhrn!A1" xr:uid="{00000000-0004-0000-1700-000002000000}"/>
    <hyperlink ref="O2:S2" location="MENU!A5" display="MENU!A5" xr:uid="{00000000-0004-0000-1700-000003000000}"/>
    <hyperlink ref="M69" location="MENU!A1" display="MENU!A1" xr:uid="{00000000-0004-0000-1700-000004000000}"/>
    <hyperlink ref="B67:E67" location="'potr-o101+187-IL'!A1" display="'potr-o101+187-IL'!A1" xr:uid="{00000000-0004-0000-1700-000005000000}"/>
    <hyperlink ref="AK9:AO10" location="'IT70(vn100)'!A66" display="'IT70(vn100)'!A66" xr:uid="{00000000-0004-0000-1700-000006000000}"/>
    <hyperlink ref="AK9:AP10" location="'potr-o101+187-IL'!A66" display="'potr-o101+187-IL'!A66" xr:uid="{00000000-0004-0000-1700-000007000000}"/>
  </hyperlinks>
  <printOptions horizontalCentered="1"/>
  <pageMargins left="0.19685039370078741" right="0.19685039370078741" top="0.19685039370078741" bottom="0.19685039370078741" header="0.31496062992125984" footer="0.31496062992125984"/>
  <pageSetup paperSize="9" orientation="landscape" r:id="rId1"/>
  <headerFooter>
    <oddHeader>&amp;R&amp;"Aptos"&amp;10&amp;K000000 Restricted&amp;1#_x000D_</oddHeader>
  </headerFooter>
  <drawing r:id="rId2"/>
  <legacyDrawing r:id="rId3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List63">
    <tabColor theme="1"/>
  </sheetPr>
  <dimension ref="A1:BK166"/>
  <sheetViews>
    <sheetView showGridLines="0" showRowColHeaders="0" zoomScale="95" zoomScaleNormal="95" workbookViewId="0"/>
  </sheetViews>
  <sheetFormatPr defaultColWidth="9" defaultRowHeight="13.8"/>
  <cols>
    <col min="1" max="1" width="3.59765625" style="86" customWidth="1"/>
    <col min="2" max="4" width="3.09765625" style="86" customWidth="1"/>
    <col min="5" max="5" width="7.59765625" style="86" customWidth="1"/>
    <col min="6" max="44" width="3.09765625" style="86" customWidth="1"/>
    <col min="45" max="45" width="3.59765625" style="86" customWidth="1"/>
    <col min="46" max="46" width="9" style="86" customWidth="1"/>
    <col min="47" max="47" width="9" style="86" hidden="1" customWidth="1"/>
    <col min="48" max="48" width="51.3984375" style="86" hidden="1" customWidth="1"/>
    <col min="49" max="49" width="4.3984375" style="86" hidden="1" customWidth="1"/>
    <col min="50" max="50" width="2" style="86" hidden="1" customWidth="1"/>
    <col min="51" max="52" width="4.59765625" style="86" hidden="1" customWidth="1"/>
    <col min="53" max="53" width="9" style="86" hidden="1" customWidth="1"/>
    <col min="54" max="54" width="9.09765625" style="86" hidden="1" customWidth="1"/>
    <col min="55" max="55" width="2.59765625" style="86" hidden="1" customWidth="1"/>
    <col min="56" max="56" width="9" style="86" hidden="1" customWidth="1"/>
    <col min="57" max="57" width="49.8984375" style="86" hidden="1" customWidth="1"/>
    <col min="58" max="58" width="4.3984375" style="86" hidden="1" customWidth="1"/>
    <col min="59" max="59" width="2" style="86" hidden="1" customWidth="1"/>
    <col min="60" max="61" width="4.59765625" style="86" hidden="1" customWidth="1"/>
    <col min="62" max="63" width="9" style="86" hidden="1" customWidth="1"/>
    <col min="64" max="75" width="9" style="86" customWidth="1"/>
    <col min="76" max="16384" width="9" style="86"/>
  </cols>
  <sheetData>
    <row r="1" spans="1:63" ht="12.9" customHeight="1" thickBot="1">
      <c r="AU1" s="140"/>
      <c r="AV1" s="279"/>
      <c r="AW1" s="279"/>
      <c r="AX1" s="140"/>
      <c r="AY1" s="212">
        <f>AQ18</f>
        <v>0</v>
      </c>
      <c r="AZ1" s="367" t="s">
        <v>593</v>
      </c>
      <c r="BA1" s="367"/>
      <c r="BB1" s="140"/>
      <c r="BC1" s="140"/>
      <c r="BD1" s="140"/>
      <c r="BE1" s="140"/>
      <c r="BF1" s="140"/>
      <c r="BG1" s="140"/>
      <c r="BH1" s="140"/>
      <c r="BI1" s="140"/>
      <c r="BJ1" s="140"/>
      <c r="BK1" s="140"/>
    </row>
    <row r="2" spans="1:63" ht="23.1" customHeight="1" thickBot="1">
      <c r="B2" s="475" t="str">
        <f>verze!E13</f>
        <v>&lt;&lt;  zpět</v>
      </c>
      <c r="C2" s="476"/>
      <c r="D2" s="476"/>
      <c r="E2" s="477"/>
      <c r="G2" s="513" t="str">
        <f>verze!E6</f>
        <v xml:space="preserve"> Úvod</v>
      </c>
      <c r="H2" s="514"/>
      <c r="I2" s="514"/>
      <c r="J2" s="514"/>
      <c r="K2" s="515"/>
      <c r="O2" s="500" t="str">
        <f>verze!E7</f>
        <v xml:space="preserve"> Výběr zásuvek</v>
      </c>
      <c r="P2" s="501"/>
      <c r="Q2" s="501"/>
      <c r="R2" s="501"/>
      <c r="S2" s="502"/>
      <c r="U2" s="513" t="str">
        <f>verze!E8</f>
        <v xml:space="preserve"> </v>
      </c>
      <c r="V2" s="514"/>
      <c r="W2" s="514"/>
      <c r="X2" s="514"/>
      <c r="Y2" s="515"/>
      <c r="AA2" s="513" t="str">
        <f>verze!E9</f>
        <v xml:space="preserve"> </v>
      </c>
      <c r="AB2" s="514"/>
      <c r="AC2" s="514"/>
      <c r="AD2" s="514"/>
      <c r="AE2" s="515"/>
      <c r="AI2" s="513" t="str">
        <f>verze!E10</f>
        <v xml:space="preserve"> Objednávka</v>
      </c>
      <c r="AJ2" s="514"/>
      <c r="AK2" s="514"/>
      <c r="AL2" s="514"/>
      <c r="AM2" s="515"/>
      <c r="AO2" s="475" t="str">
        <f>verze!E14</f>
        <v>vpřed  &gt;&gt;</v>
      </c>
      <c r="AP2" s="476"/>
      <c r="AQ2" s="476"/>
      <c r="AR2" s="477"/>
      <c r="AV2" s="143"/>
      <c r="AW2" s="143"/>
      <c r="AY2" s="212">
        <f>AQ21</f>
        <v>0</v>
      </c>
      <c r="AZ2" s="367" t="s">
        <v>591</v>
      </c>
      <c r="BA2" s="367"/>
    </row>
    <row r="3" spans="1:63" ht="12.9" customHeight="1">
      <c r="AV3" s="143"/>
      <c r="AW3" s="143"/>
      <c r="AY3" s="212">
        <f>AQ24</f>
        <v>3</v>
      </c>
      <c r="AZ3" s="367" t="s">
        <v>594</v>
      </c>
      <c r="BA3" s="367"/>
    </row>
    <row r="4" spans="1:63" ht="23.1" customHeight="1">
      <c r="A4" s="89"/>
      <c r="B4" s="93" t="str">
        <f>verze!E206&amp;" AVANTECH YOU  187 Inlay"</f>
        <v>Zásuvka AVANTECH YOU  187 Inlay</v>
      </c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U4" s="94" t="s">
        <v>33</v>
      </c>
      <c r="AW4" s="285">
        <f>IF(FORM!AU13=FORM!U18,1,0)</f>
        <v>1</v>
      </c>
      <c r="AY4" s="212">
        <f>AQ27</f>
        <v>0</v>
      </c>
      <c r="AZ4" s="367" t="s">
        <v>592</v>
      </c>
      <c r="BA4" s="367"/>
      <c r="BB4" s="322">
        <f>SUM(BB5:BB1012)</f>
        <v>0</v>
      </c>
      <c r="BD4" s="94" t="s">
        <v>34</v>
      </c>
      <c r="BK4" s="322">
        <f>SUM(BK5:BK1012)</f>
        <v>0</v>
      </c>
    </row>
    <row r="5" spans="1:63" ht="14.4" customHeight="1">
      <c r="AU5" s="319">
        <f>OBJ!B39</f>
        <v>9353335</v>
      </c>
      <c r="AV5" s="21" t="str">
        <f>VLOOKUP(AU5,CENY!$B$11:$G$1054,2,FALSE)</f>
        <v>AvanY-sólo oceľ.boky-NW 101/400mm/strieb.</v>
      </c>
      <c r="AW5" s="22">
        <f>VLOOKUP(AU5,CENY!$B$11:$G$1054,3,FALSE)</f>
        <v>1</v>
      </c>
      <c r="AX5" s="362">
        <v>4</v>
      </c>
      <c r="AY5" s="68"/>
      <c r="AZ5" s="326" t="str">
        <f>IF(AY5="","",IF($AW$4=1,AY5,0))</f>
        <v/>
      </c>
      <c r="BA5" s="95">
        <f>VLOOKUP(AU5,CENY!$B$11:$M$2025,12,FALSE)</f>
        <v>545.66444999999999</v>
      </c>
      <c r="BB5" s="95">
        <f t="shared" ref="BB5:BB74" si="0">IF(BA5="","",BA5*AY5)</f>
        <v>0</v>
      </c>
      <c r="BD5" s="319">
        <f>OBJ!B50</f>
        <v>9255008</v>
      </c>
      <c r="BE5" s="21" t="str">
        <f>VLOOKUP(BD5,CENY!$B$11:$G$1054,2,FALSE)</f>
        <v>AvanY-bok ľavý /v101/h270/ strieborná</v>
      </c>
      <c r="BF5" s="22">
        <f>VLOOKUP(BD5,CENY!$B$11:$G$1054,3,FALSE)</f>
        <v>20</v>
      </c>
      <c r="BG5" s="22"/>
      <c r="BH5" s="68"/>
      <c r="BI5" s="326" t="str">
        <f>IF(BH5="","",IF($AW$4=0,BH5,0))</f>
        <v/>
      </c>
      <c r="BJ5" s="95">
        <f>VLOOKUP(BD5,CENY!$B$11:$M$2025,12,FALSE)</f>
        <v>208.07782</v>
      </c>
      <c r="BK5" s="95">
        <f>IF(BJ5="","",BJ5*BH5)</f>
        <v>0</v>
      </c>
    </row>
    <row r="6" spans="1:63" ht="14.4" customHeight="1">
      <c r="B6" s="549" t="str">
        <f>" "&amp;verze!E90</f>
        <v xml:space="preserve"> bočnice:</v>
      </c>
      <c r="C6" s="549"/>
      <c r="D6" s="549"/>
      <c r="E6" s="549"/>
      <c r="F6" s="564" t="s">
        <v>343</v>
      </c>
      <c r="G6" s="564"/>
      <c r="H6" s="564"/>
      <c r="I6" s="564"/>
      <c r="J6" s="564"/>
      <c r="K6" s="564"/>
      <c r="AU6" s="319">
        <f>OBJ!B40</f>
        <v>9353336</v>
      </c>
      <c r="AV6" s="21" t="str">
        <f>VLOOKUP(AU6,CENY!$B$11:$G$1054,2,FALSE)</f>
        <v>AvanY-sólo oceľ.boky-NW 101/450mm/strieb.</v>
      </c>
      <c r="AW6" s="22">
        <f>VLOOKUP(AU6,CENY!$B$11:$G$1054,3,FALSE)</f>
        <v>1</v>
      </c>
      <c r="AX6" s="362">
        <v>4</v>
      </c>
      <c r="AY6" s="68"/>
      <c r="AZ6" s="326" t="str">
        <f t="shared" ref="AZ6:AZ75" si="1">IF(AY6="","",IF($AW$4=1,AY6,0))</f>
        <v/>
      </c>
      <c r="BA6" s="95">
        <f>VLOOKUP(AU6,CENY!$B$11:$M$2025,12,FALSE)</f>
        <v>550.21777999999995</v>
      </c>
      <c r="BB6" s="95">
        <f t="shared" si="0"/>
        <v>0</v>
      </c>
      <c r="BD6" s="319">
        <f>OBJ!B51</f>
        <v>9255009</v>
      </c>
      <c r="BE6" s="21" t="str">
        <f>VLOOKUP(BD6,CENY!$B$11:$G$1054,2,FALSE)</f>
        <v>AvanY-bok pravý /v101/h270/ strieborná</v>
      </c>
      <c r="BF6" s="22">
        <f>VLOOKUP(BD6,CENY!$B$11:$G$1054,3,FALSE)</f>
        <v>20</v>
      </c>
      <c r="BG6" s="22"/>
      <c r="BH6" s="68"/>
      <c r="BI6" s="326" t="str">
        <f t="shared" ref="BI6:BI83" si="2">IF(BH6="","",IF($AW$4=0,BH6,0))</f>
        <v/>
      </c>
      <c r="BJ6" s="95">
        <f>VLOOKUP(BD6,CENY!$B$11:$M$2025,12,FALSE)</f>
        <v>208.07782</v>
      </c>
      <c r="BK6" s="95">
        <f t="shared" ref="BK6:BK83" si="3">IF(BJ6="","",BJ6*BH6)</f>
        <v>0</v>
      </c>
    </row>
    <row r="7" spans="1:63" ht="14.4" customHeight="1">
      <c r="B7" s="549" t="str">
        <f>" "&amp;verze!E56</f>
        <v xml:space="preserve"> barva:</v>
      </c>
      <c r="C7" s="549"/>
      <c r="D7" s="549"/>
      <c r="E7" s="549"/>
      <c r="F7" s="564" t="str">
        <f>" "&amp;FORM!U8</f>
        <v xml:space="preserve"> stříbrná</v>
      </c>
      <c r="G7" s="564"/>
      <c r="H7" s="564"/>
      <c r="I7" s="564"/>
      <c r="J7" s="564"/>
      <c r="K7" s="564"/>
      <c r="AU7" s="319">
        <f>OBJ!B41</f>
        <v>9353337</v>
      </c>
      <c r="AV7" s="21" t="str">
        <f>VLOOKUP(AU7,CENY!$B$11:$G$1054,2,FALSE)</f>
        <v>AvanY-sólo oceľ.boky-NW 101/500mm/strieb.</v>
      </c>
      <c r="AW7" s="22">
        <f>VLOOKUP(AU7,CENY!$B$11:$G$1054,3,FALSE)</f>
        <v>1</v>
      </c>
      <c r="AX7" s="362">
        <v>6</v>
      </c>
      <c r="AY7" s="68"/>
      <c r="AZ7" s="326" t="str">
        <f t="shared" si="1"/>
        <v/>
      </c>
      <c r="BA7" s="95">
        <f>VLOOKUP(AU7,CENY!$B$11:$M$2025,12,FALSE)</f>
        <v>557.82863999999995</v>
      </c>
      <c r="BB7" s="95">
        <f t="shared" si="0"/>
        <v>0</v>
      </c>
      <c r="BD7" s="319">
        <f>OBJ!B52</f>
        <v>9255010</v>
      </c>
      <c r="BE7" s="21" t="str">
        <f>VLOOKUP(BD7,CENY!$B$11:$G$1054,2,FALSE)</f>
        <v>AvanY-bok ľavý /v101/h300/ strieborná</v>
      </c>
      <c r="BF7" s="22">
        <f>VLOOKUP(BD7,CENY!$B$11:$G$1054,3,FALSE)</f>
        <v>20</v>
      </c>
      <c r="BG7" s="22"/>
      <c r="BH7" s="68"/>
      <c r="BI7" s="326" t="str">
        <f t="shared" si="2"/>
        <v/>
      </c>
      <c r="BJ7" s="95">
        <f>VLOOKUP(BD7,CENY!$B$11:$M$2025,12,FALSE)</f>
        <v>210.40101000000001</v>
      </c>
      <c r="BK7" s="95">
        <f t="shared" si="3"/>
        <v>0</v>
      </c>
    </row>
    <row r="8" spans="1:63" ht="14.4" customHeight="1" thickBot="1">
      <c r="B8" s="549" t="str">
        <f>" "&amp;verze!E70</f>
        <v xml:space="preserve"> dekorativní profil:</v>
      </c>
      <c r="C8" s="549"/>
      <c r="D8" s="549"/>
      <c r="E8" s="549"/>
      <c r="F8" s="564" t="str">
        <f>" "&amp;FORM!AM18</f>
        <v xml:space="preserve"> v barvě bočnice</v>
      </c>
      <c r="G8" s="564"/>
      <c r="H8" s="564"/>
      <c r="I8" s="564"/>
      <c r="J8" s="564"/>
      <c r="K8" s="564"/>
      <c r="AU8" s="319">
        <f>OBJ!B42</f>
        <v>9353338</v>
      </c>
      <c r="AV8" s="21" t="str">
        <f>VLOOKUP(AU8,CENY!$B$11:$G$1054,2,FALSE)</f>
        <v>AvanY-sólo oceľ.boky-NW 101/550mm/strieb.</v>
      </c>
      <c r="AW8" s="22">
        <f>VLOOKUP(AU8,CENY!$B$11:$G$1054,3,FALSE)</f>
        <v>1</v>
      </c>
      <c r="AX8" s="362">
        <v>6</v>
      </c>
      <c r="AY8" s="68"/>
      <c r="AZ8" s="326" t="str">
        <f t="shared" si="1"/>
        <v/>
      </c>
      <c r="BA8" s="95">
        <f>VLOOKUP(AU8,CENY!$B$11:$M$2025,12,FALSE)</f>
        <v>565.42625999999996</v>
      </c>
      <c r="BB8" s="95">
        <f t="shared" si="0"/>
        <v>0</v>
      </c>
      <c r="BD8" s="319">
        <f>OBJ!B53</f>
        <v>9255011</v>
      </c>
      <c r="BE8" s="21" t="str">
        <f>VLOOKUP(BD8,CENY!$B$11:$G$1054,2,FALSE)</f>
        <v>AvanY-bok pravý /v101/h300/ strieborná</v>
      </c>
      <c r="BF8" s="22">
        <f>VLOOKUP(BD8,CENY!$B$11:$G$1054,3,FALSE)</f>
        <v>20</v>
      </c>
      <c r="BG8" s="22"/>
      <c r="BH8" s="68"/>
      <c r="BI8" s="326" t="str">
        <f t="shared" si="2"/>
        <v/>
      </c>
      <c r="BJ8" s="95">
        <f>VLOOKUP(BD8,CENY!$B$11:$M$2025,12,FALSE)</f>
        <v>210.40101000000001</v>
      </c>
      <c r="BK8" s="95">
        <f t="shared" si="3"/>
        <v>0</v>
      </c>
    </row>
    <row r="9" spans="1:63" ht="14.4" customHeight="1" thickTop="1">
      <c r="B9" s="550"/>
      <c r="C9" s="558"/>
      <c r="D9" s="558"/>
      <c r="E9" s="559"/>
      <c r="F9" s="560"/>
      <c r="G9" s="561"/>
      <c r="H9" s="561"/>
      <c r="I9" s="561"/>
      <c r="J9" s="561"/>
      <c r="K9" s="562"/>
      <c r="AK9" s="585" t="str">
        <f>verze!E160</f>
        <v>Je nutné natypovat šířky čel ?</v>
      </c>
      <c r="AL9" s="586"/>
      <c r="AM9" s="586"/>
      <c r="AN9" s="586"/>
      <c r="AO9" s="586"/>
      <c r="AP9" s="587"/>
      <c r="AU9" s="319">
        <f>OBJ!B43</f>
        <v>9353339</v>
      </c>
      <c r="AV9" s="21" t="str">
        <f>VLOOKUP(AU9,CENY!$B$11:$G$1054,2,FALSE)</f>
        <v>AvanY-sólo oceľ.boky-NW 101/600mm/strieb.</v>
      </c>
      <c r="AW9" s="22">
        <f>VLOOKUP(AU9,CENY!$B$11:$G$1054,3,FALSE)</f>
        <v>1</v>
      </c>
      <c r="AX9" s="362">
        <v>6</v>
      </c>
      <c r="AY9" s="68"/>
      <c r="AZ9" s="326" t="str">
        <f t="shared" si="1"/>
        <v/>
      </c>
      <c r="BA9" s="95">
        <f>VLOOKUP(AU9,CENY!$B$11:$M$2025,12,FALSE)</f>
        <v>557.79244000000006</v>
      </c>
      <c r="BB9" s="95">
        <f t="shared" si="0"/>
        <v>0</v>
      </c>
      <c r="BD9" s="319">
        <f>OBJ!B54</f>
        <v>9255012</v>
      </c>
      <c r="BE9" s="21" t="str">
        <f>VLOOKUP(BD9,CENY!$B$11:$G$1054,2,FALSE)</f>
        <v>AvanY-bok ľavý /v101/h350/ strieborná</v>
      </c>
      <c r="BF9" s="22">
        <f>VLOOKUP(BD9,CENY!$B$11:$G$1054,3,FALSE)</f>
        <v>20</v>
      </c>
      <c r="BG9" s="22"/>
      <c r="BH9" s="68"/>
      <c r="BI9" s="326" t="str">
        <f t="shared" si="2"/>
        <v/>
      </c>
      <c r="BJ9" s="95">
        <f>VLOOKUP(BD9,CENY!$B$11:$M$2025,12,FALSE)</f>
        <v>214.27737999999999</v>
      </c>
      <c r="BK9" s="95">
        <f t="shared" si="3"/>
        <v>0</v>
      </c>
    </row>
    <row r="10" spans="1:63" ht="14.4" customHeight="1">
      <c r="B10" s="549" t="str">
        <f>" "&amp;verze!E57</f>
        <v xml:space="preserve"> čelní kování:</v>
      </c>
      <c r="C10" s="549"/>
      <c r="D10" s="549"/>
      <c r="E10" s="549"/>
      <c r="F10" s="563" t="str">
        <f>" "&amp;FORM!AM8</f>
        <v xml:space="preserve"> na vruty</v>
      </c>
      <c r="G10" s="563"/>
      <c r="H10" s="563"/>
      <c r="I10" s="563"/>
      <c r="J10" s="563"/>
      <c r="K10" s="563"/>
      <c r="AK10" s="588"/>
      <c r="AL10" s="589"/>
      <c r="AM10" s="589"/>
      <c r="AN10" s="589"/>
      <c r="AO10" s="589"/>
      <c r="AP10" s="590"/>
      <c r="AU10" s="319">
        <f>OBJ!B44</f>
        <v>9353340</v>
      </c>
      <c r="AV10" s="21" t="str">
        <f>VLOOKUP(AU10,CENY!$B$11:$G$1054,2,FALSE)</f>
        <v>AvanY-sólo oceľ.boky-NW 101/650mm/strieb.</v>
      </c>
      <c r="AW10" s="22">
        <f>VLOOKUP(AU10,CENY!$B$11:$G$1054,3,FALSE)</f>
        <v>1</v>
      </c>
      <c r="AX10" s="362">
        <v>8</v>
      </c>
      <c r="AY10" s="68"/>
      <c r="AZ10" s="326" t="str">
        <f t="shared" si="1"/>
        <v/>
      </c>
      <c r="BA10" s="95">
        <f>VLOOKUP(AU10,CENY!$B$11:$M$2025,12,FALSE)</f>
        <v>565.19020999999998</v>
      </c>
      <c r="BB10" s="95">
        <f t="shared" si="0"/>
        <v>0</v>
      </c>
      <c r="BD10" s="319">
        <f>OBJ!B55</f>
        <v>9255013</v>
      </c>
      <c r="BE10" s="21" t="str">
        <f>VLOOKUP(BD10,CENY!$B$11:$G$1054,2,FALSE)</f>
        <v>AvanY-bok pravý /v101/h350/ strieborná</v>
      </c>
      <c r="BF10" s="22">
        <f>VLOOKUP(BD10,CENY!$B$11:$G$1054,3,FALSE)</f>
        <v>20</v>
      </c>
      <c r="BG10" s="22"/>
      <c r="BH10" s="68"/>
      <c r="BI10" s="326" t="str">
        <f t="shared" si="2"/>
        <v/>
      </c>
      <c r="BJ10" s="95">
        <f>VLOOKUP(BD10,CENY!$B$11:$M$2025,12,FALSE)</f>
        <v>214.27737999999999</v>
      </c>
      <c r="BK10" s="95">
        <f t="shared" si="3"/>
        <v>0</v>
      </c>
    </row>
    <row r="11" spans="1:63" ht="14.4" customHeight="1">
      <c r="B11" s="549" t="str">
        <f>" "&amp;verze!E76</f>
        <v xml:space="preserve"> krytka:</v>
      </c>
      <c r="C11" s="549"/>
      <c r="D11" s="549"/>
      <c r="E11" s="549"/>
      <c r="F11" s="563" t="str">
        <f>" "&amp;FORM!AM21</f>
        <v xml:space="preserve"> žádná</v>
      </c>
      <c r="G11" s="563"/>
      <c r="H11" s="563"/>
      <c r="I11" s="563"/>
      <c r="J11" s="563"/>
      <c r="K11" s="563"/>
      <c r="AU11" s="319">
        <f>OBJ!B45</f>
        <v>9353341</v>
      </c>
      <c r="AV11" s="21" t="str">
        <f>VLOOKUP(AU11,CENY!$B$11:$G$1054,2,FALSE)</f>
        <v>AvanY-sólo oceľ.boky-NW 101/270mm/biela</v>
      </c>
      <c r="AW11" s="22">
        <f>VLOOKUP(AU11,CENY!$B$11:$G$1054,3,FALSE)</f>
        <v>1</v>
      </c>
      <c r="AX11" s="362">
        <v>8</v>
      </c>
      <c r="AY11" s="68"/>
      <c r="AZ11" s="326" t="str">
        <f t="shared" si="1"/>
        <v/>
      </c>
      <c r="BA11" s="95">
        <f>VLOOKUP(AU11,CENY!$B$11:$M$2025,12,FALSE)</f>
        <v>588.23680999999999</v>
      </c>
      <c r="BB11" s="95">
        <f t="shared" si="0"/>
        <v>0</v>
      </c>
      <c r="BD11" s="319">
        <f>OBJ!B56</f>
        <v>9255014</v>
      </c>
      <c r="BE11" s="21" t="str">
        <f>VLOOKUP(BD11,CENY!$B$11:$G$1054,2,FALSE)</f>
        <v>AvanY-bok ľavý /v101/h400/ strieborná</v>
      </c>
      <c r="BF11" s="22">
        <f>VLOOKUP(BD11,CENY!$B$11:$G$1054,3,FALSE)</f>
        <v>20</v>
      </c>
      <c r="BG11" s="22"/>
      <c r="BH11" s="68"/>
      <c r="BI11" s="326" t="str">
        <f t="shared" si="2"/>
        <v/>
      </c>
      <c r="BJ11" s="95">
        <f>VLOOKUP(BD11,CENY!$B$11:$M$2025,12,FALSE)</f>
        <v>218.14608000000001</v>
      </c>
      <c r="BK11" s="95">
        <f t="shared" si="3"/>
        <v>0</v>
      </c>
    </row>
    <row r="12" spans="1:63" ht="14.4" customHeight="1" thickBot="1">
      <c r="B12" s="549"/>
      <c r="C12" s="549"/>
      <c r="D12" s="549"/>
      <c r="E12" s="550"/>
      <c r="F12" s="551"/>
      <c r="G12" s="552"/>
      <c r="H12" s="552"/>
      <c r="I12" s="552"/>
      <c r="J12" s="553"/>
      <c r="K12" s="554"/>
      <c r="AU12" s="319">
        <f>OBJ!B46</f>
        <v>9353342</v>
      </c>
      <c r="AV12" s="21" t="str">
        <f>VLOOKUP(AU12,CENY!$B$11:$G$1054,2,FALSE)</f>
        <v>AvanY-sólo oceľ.boky-NW 101/300mm/biela</v>
      </c>
      <c r="AW12" s="22">
        <f>VLOOKUP(AU12,CENY!$B$11:$G$1054,3,FALSE)</f>
        <v>1</v>
      </c>
      <c r="AX12" s="362">
        <v>8</v>
      </c>
      <c r="AY12" s="68"/>
      <c r="AZ12" s="326" t="str">
        <f t="shared" si="1"/>
        <v/>
      </c>
      <c r="BA12" s="95">
        <f>VLOOKUP(AU12,CENY!$B$11:$M$2025,12,FALSE)</f>
        <v>600.62784999999997</v>
      </c>
      <c r="BB12" s="95">
        <f t="shared" si="0"/>
        <v>0</v>
      </c>
      <c r="BD12" s="319">
        <f>OBJ!B57</f>
        <v>9255015</v>
      </c>
      <c r="BE12" s="21" t="str">
        <f>VLOOKUP(BD12,CENY!$B$11:$G$1054,2,FALSE)</f>
        <v>AvanY-bok pravý /v101/h400/ strieborná</v>
      </c>
      <c r="BF12" s="22">
        <f>VLOOKUP(BD12,CENY!$B$11:$G$1054,3,FALSE)</f>
        <v>20</v>
      </c>
      <c r="BG12" s="22"/>
      <c r="BH12" s="68"/>
      <c r="BI12" s="326" t="str">
        <f t="shared" si="2"/>
        <v/>
      </c>
      <c r="BJ12" s="95">
        <f>VLOOKUP(BD12,CENY!$B$11:$M$2025,12,FALSE)</f>
        <v>218.14608000000001</v>
      </c>
      <c r="BK12" s="95">
        <f t="shared" si="3"/>
        <v>0</v>
      </c>
    </row>
    <row r="13" spans="1:63" ht="14.4" customHeight="1">
      <c r="B13" s="549" t="str">
        <f>" "&amp;verze!E92</f>
        <v xml:space="preserve"> cena kování:</v>
      </c>
      <c r="C13" s="549"/>
      <c r="D13" s="549"/>
      <c r="E13" s="550"/>
      <c r="F13" s="555">
        <f>IF(AW4=1,BB4,BK4)</f>
        <v>0</v>
      </c>
      <c r="G13" s="555"/>
      <c r="H13" s="555"/>
      <c r="I13" s="555"/>
      <c r="J13" s="556" t="str">
        <f>IF(verze!E1="CZK","CZK","EUR")</f>
        <v>CZK</v>
      </c>
      <c r="K13" s="557"/>
      <c r="AU13" s="319">
        <f>OBJ!B47</f>
        <v>9353343</v>
      </c>
      <c r="AV13" s="21" t="str">
        <f>VLOOKUP(AU13,CENY!$B$11:$G$1054,2,FALSE)</f>
        <v>AvanY-sólo oceľ.boky-NW 101/350mm/biela</v>
      </c>
      <c r="AW13" s="22">
        <f>VLOOKUP(AU13,CENY!$B$11:$G$1054,3,FALSE)</f>
        <v>1</v>
      </c>
      <c r="AX13" s="362">
        <v>10</v>
      </c>
      <c r="AY13" s="68"/>
      <c r="AZ13" s="326" t="str">
        <f t="shared" si="1"/>
        <v/>
      </c>
      <c r="BA13" s="95">
        <f>VLOOKUP(AU13,CENY!$B$11:$M$2025,12,FALSE)</f>
        <v>618.65596000000005</v>
      </c>
      <c r="BB13" s="95">
        <f t="shared" si="0"/>
        <v>0</v>
      </c>
      <c r="BD13" s="319">
        <f>OBJ!B58</f>
        <v>9255016</v>
      </c>
      <c r="BE13" s="21" t="str">
        <f>VLOOKUP(BD13,CENY!$B$11:$G$1054,2,FALSE)</f>
        <v>AvanY-bok ľavý /v101/h450/ strieborná</v>
      </c>
      <c r="BF13" s="22">
        <f>VLOOKUP(BD13,CENY!$B$11:$G$1054,3,FALSE)</f>
        <v>20</v>
      </c>
      <c r="BG13" s="22"/>
      <c r="BH13" s="68"/>
      <c r="BI13" s="326" t="str">
        <f t="shared" si="2"/>
        <v/>
      </c>
      <c r="BJ13" s="95">
        <f>VLOOKUP(BD13,CENY!$B$11:$M$2025,12,FALSE)</f>
        <v>222.02244999999999</v>
      </c>
      <c r="BK13" s="95">
        <f t="shared" si="3"/>
        <v>0</v>
      </c>
    </row>
    <row r="14" spans="1:63" ht="14.4" customHeight="1">
      <c r="AU14" s="319"/>
      <c r="AV14" s="21"/>
      <c r="AW14" s="22"/>
      <c r="AX14" s="362"/>
      <c r="AY14" s="23"/>
      <c r="AZ14" s="326"/>
      <c r="BA14" s="95"/>
      <c r="BB14" s="95"/>
      <c r="BD14" s="319">
        <f>OBJ!B59</f>
        <v>9255017</v>
      </c>
      <c r="BE14" s="21" t="str">
        <f>VLOOKUP(BD14,CENY!$B$11:$G$1054,2,FALSE)</f>
        <v>AvanY-bok pravý /v101/h450/ strieborná</v>
      </c>
      <c r="BF14" s="22">
        <f>VLOOKUP(BD14,CENY!$B$11:$G$1054,3,FALSE)</f>
        <v>20</v>
      </c>
      <c r="BG14" s="22"/>
      <c r="BH14" s="68"/>
      <c r="BI14" s="326" t="str">
        <f t="shared" si="2"/>
        <v/>
      </c>
      <c r="BJ14" s="95">
        <f>VLOOKUP(BD14,CENY!$B$11:$M$2025,12,FALSE)</f>
        <v>222.02244999999999</v>
      </c>
      <c r="BK14" s="95">
        <f t="shared" si="3"/>
        <v>0</v>
      </c>
    </row>
    <row r="15" spans="1:63" ht="14.4" customHeight="1">
      <c r="AU15" s="319">
        <f>OBJ!B170</f>
        <v>9353285</v>
      </c>
      <c r="AV15" s="21" t="str">
        <f>VLOOKUP(AU15,CENY!$B$11:$G$1054,2,FALSE)</f>
        <v>AvanY-sólo boky Inlay-NW 187/450mm/strieb.</v>
      </c>
      <c r="AW15" s="22">
        <f>VLOOKUP(AU15,CENY!$B$11:$G$1054,3,FALSE)</f>
        <v>1</v>
      </c>
      <c r="AX15" s="362">
        <v>6</v>
      </c>
      <c r="AY15" s="23">
        <f>SUM(AY3:AY4)*(W20+W22+W28)</f>
        <v>0</v>
      </c>
      <c r="AZ15" s="326">
        <f t="shared" ref="AZ15:AZ19" si="4">IF(AY15="","",IF($AW$4=1,AY15,0))</f>
        <v>0</v>
      </c>
      <c r="BA15" s="95">
        <f>VLOOKUP(AU15,CENY!$B$11:$M$2025,12,FALSE)</f>
        <v>841.09733000000006</v>
      </c>
      <c r="BB15" s="95">
        <f t="shared" ref="BB15:BB19" si="5">IF(BA15="","",BA15*AY15)</f>
        <v>0</v>
      </c>
      <c r="BD15" s="319">
        <f>OBJ!B60</f>
        <v>9255018</v>
      </c>
      <c r="BE15" s="21" t="str">
        <f>VLOOKUP(BD15,CENY!$B$11:$G$1054,2,FALSE)</f>
        <v>AvanY-bok ľavý /v101/h500/ strieborná</v>
      </c>
      <c r="BF15" s="22">
        <f>VLOOKUP(BD15,CENY!$B$11:$G$1054,3,FALSE)</f>
        <v>20</v>
      </c>
      <c r="BG15" s="22"/>
      <c r="BH15" s="68"/>
      <c r="BI15" s="326" t="str">
        <f t="shared" si="2"/>
        <v/>
      </c>
      <c r="BJ15" s="95">
        <f>VLOOKUP(BD15,CENY!$B$11:$M$2025,12,FALSE)</f>
        <v>219.88341</v>
      </c>
      <c r="BK15" s="95">
        <f t="shared" si="3"/>
        <v>0</v>
      </c>
    </row>
    <row r="16" spans="1:63" ht="14.4" customHeight="1">
      <c r="AB16" s="341"/>
      <c r="AU16" s="319">
        <f>OBJ!B171</f>
        <v>9353286</v>
      </c>
      <c r="AV16" s="21" t="str">
        <f>VLOOKUP(AU16,CENY!$B$11:$G$1054,2,FALSE)</f>
        <v>AvanY-sólo boky Inlay-NW 187/500mm/strieb.</v>
      </c>
      <c r="AW16" s="22">
        <f>VLOOKUP(AU16,CENY!$B$11:$G$1054,3,FALSE)</f>
        <v>1</v>
      </c>
      <c r="AX16" s="362">
        <v>8</v>
      </c>
      <c r="AY16" s="23">
        <f>SUM(AY3:AY4)*(Y20+Y22+Y28)</f>
        <v>0</v>
      </c>
      <c r="AZ16" s="326">
        <f t="shared" si="4"/>
        <v>0</v>
      </c>
      <c r="BA16" s="95">
        <f>VLOOKUP(AU16,CENY!$B$11:$M$2025,12,FALSE)</f>
        <v>852.72563000000002</v>
      </c>
      <c r="BB16" s="95">
        <f t="shared" si="5"/>
        <v>0</v>
      </c>
      <c r="BD16" s="319">
        <f>OBJ!B61</f>
        <v>9255019</v>
      </c>
      <c r="BE16" s="21" t="str">
        <f>VLOOKUP(BD16,CENY!$B$11:$G$1054,2,FALSE)</f>
        <v>AvanY-bok pravý /v101/h500/ strieborná</v>
      </c>
      <c r="BF16" s="22">
        <f>VLOOKUP(BD16,CENY!$B$11:$G$1054,3,FALSE)</f>
        <v>20</v>
      </c>
      <c r="BG16" s="22"/>
      <c r="BH16" s="68"/>
      <c r="BI16" s="326" t="str">
        <f t="shared" si="2"/>
        <v/>
      </c>
      <c r="BJ16" s="95">
        <f>VLOOKUP(BD16,CENY!$B$11:$M$2025,12,FALSE)</f>
        <v>219.88341</v>
      </c>
      <c r="BK16" s="95">
        <f t="shared" si="3"/>
        <v>0</v>
      </c>
    </row>
    <row r="17" spans="2:63" ht="14.4" customHeight="1" thickBot="1">
      <c r="B17" s="1" t="s">
        <v>284</v>
      </c>
      <c r="O17" s="547" t="str">
        <f>FORM!U18</f>
        <v>flexibilní sety</v>
      </c>
      <c r="P17" s="548"/>
      <c r="Q17" s="548"/>
      <c r="R17" s="548"/>
      <c r="S17" s="548"/>
      <c r="T17" s="548"/>
      <c r="U17" s="548"/>
      <c r="V17" s="548"/>
      <c r="W17" s="548"/>
      <c r="X17" s="548"/>
      <c r="Y17" s="548"/>
      <c r="Z17" s="548"/>
      <c r="AA17" s="548"/>
      <c r="AB17" s="548"/>
      <c r="AC17" s="548"/>
      <c r="AD17" s="548"/>
      <c r="AE17" s="548"/>
      <c r="AF17" s="548"/>
      <c r="AU17" s="319">
        <f>OBJ!B172</f>
        <v>9353287</v>
      </c>
      <c r="AV17" s="21" t="str">
        <f>VLOOKUP(AU17,CENY!$B$11:$G$1054,2,FALSE)</f>
        <v>AvanY-sólo boky Inlay-NW 187/550mm/strieb.</v>
      </c>
      <c r="AW17" s="22">
        <f>VLOOKUP(AU17,CENY!$B$11:$G$1054,3,FALSE)</f>
        <v>1</v>
      </c>
      <c r="AX17" s="362">
        <v>8</v>
      </c>
      <c r="AY17" s="23">
        <f>SUM(AY3:AY4)*(AA20+AA22+AA28)</f>
        <v>0</v>
      </c>
      <c r="AZ17" s="326">
        <f t="shared" si="4"/>
        <v>0</v>
      </c>
      <c r="BA17" s="95">
        <f>VLOOKUP(AU17,CENY!$B$11:$M$2025,12,FALSE)</f>
        <v>887.97243000000003</v>
      </c>
      <c r="BB17" s="95">
        <f t="shared" si="5"/>
        <v>0</v>
      </c>
      <c r="BD17" s="319">
        <f>OBJ!B62</f>
        <v>9255020</v>
      </c>
      <c r="BE17" s="21" t="str">
        <f>VLOOKUP(BD17,CENY!$B$11:$G$1054,2,FALSE)</f>
        <v>AvanY-bok ľavý /v101/h550/ strieborná</v>
      </c>
      <c r="BF17" s="22">
        <f>VLOOKUP(BD17,CENY!$B$11:$G$1054,3,FALSE)</f>
        <v>20</v>
      </c>
      <c r="BG17" s="22"/>
      <c r="BH17" s="68"/>
      <c r="BI17" s="326" t="str">
        <f t="shared" si="2"/>
        <v/>
      </c>
      <c r="BJ17" s="95">
        <f>VLOOKUP(BD17,CENY!$B$11:$M$2025,12,FALSE)</f>
        <v>229.76492999999999</v>
      </c>
      <c r="BK17" s="95">
        <f t="shared" si="3"/>
        <v>0</v>
      </c>
    </row>
    <row r="18" spans="2:63" ht="14.4" customHeight="1" thickBot="1">
      <c r="B18" s="96"/>
      <c r="C18" s="96"/>
      <c r="D18" s="96"/>
      <c r="E18" s="96"/>
      <c r="F18" s="96"/>
      <c r="G18" s="96"/>
      <c r="H18" s="72"/>
      <c r="I18" s="72"/>
      <c r="J18" s="72"/>
      <c r="K18" s="72"/>
      <c r="L18" s="72"/>
      <c r="M18" s="72"/>
      <c r="N18" s="72" t="str">
        <f>verze!$E$20&amp;" "</f>
        <v xml:space="preserve">Jmenovitá délka: </v>
      </c>
      <c r="O18" s="535">
        <v>270</v>
      </c>
      <c r="P18" s="536"/>
      <c r="Q18" s="535">
        <v>300</v>
      </c>
      <c r="R18" s="536"/>
      <c r="S18" s="535">
        <v>350</v>
      </c>
      <c r="T18" s="536"/>
      <c r="U18" s="535">
        <v>400</v>
      </c>
      <c r="V18" s="536"/>
      <c r="W18" s="535">
        <v>450</v>
      </c>
      <c r="X18" s="536"/>
      <c r="Y18" s="537">
        <v>500</v>
      </c>
      <c r="Z18" s="538"/>
      <c r="AA18" s="535">
        <v>550</v>
      </c>
      <c r="AB18" s="536"/>
      <c r="AC18" s="535">
        <v>600</v>
      </c>
      <c r="AD18" s="536"/>
      <c r="AE18" s="535">
        <v>650</v>
      </c>
      <c r="AF18" s="536"/>
      <c r="AU18" s="319">
        <f>OBJ!B173</f>
        <v>9353288</v>
      </c>
      <c r="AV18" s="21" t="str">
        <f>VLOOKUP(AU18,CENY!$B$11:$G$1054,2,FALSE)</f>
        <v>AvanY-sólo boky Inlay-NW 187/600mm/strieb.</v>
      </c>
      <c r="AW18" s="22">
        <f>VLOOKUP(AU18,CENY!$B$11:$G$1054,3,FALSE)</f>
        <v>1</v>
      </c>
      <c r="AX18" s="362">
        <v>8</v>
      </c>
      <c r="AY18" s="23">
        <f>SUM(AY3:AY4)*(AC20+AC22+AC28)</f>
        <v>0</v>
      </c>
      <c r="AZ18" s="326">
        <f t="shared" si="4"/>
        <v>0</v>
      </c>
      <c r="BA18" s="95">
        <f>VLOOKUP(AU18,CENY!$B$11:$M$2025,12,FALSE)</f>
        <v>905.98955999999998</v>
      </c>
      <c r="BB18" s="95">
        <f t="shared" si="5"/>
        <v>0</v>
      </c>
      <c r="BD18" s="319">
        <f>OBJ!B63</f>
        <v>9255021</v>
      </c>
      <c r="BE18" s="21" t="str">
        <f>VLOOKUP(BD18,CENY!$B$11:$G$1054,2,FALSE)</f>
        <v>AvanY-bok pravý /v101/h550/ strieborná</v>
      </c>
      <c r="BF18" s="22">
        <f>VLOOKUP(BD18,CENY!$B$11:$G$1054,3,FALSE)</f>
        <v>20</v>
      </c>
      <c r="BG18" s="22"/>
      <c r="BH18" s="68"/>
      <c r="BI18" s="326" t="str">
        <f t="shared" si="2"/>
        <v/>
      </c>
      <c r="BJ18" s="95">
        <f>VLOOKUP(BD18,CENY!$B$11:$M$2025,12,FALSE)</f>
        <v>229.76492999999999</v>
      </c>
      <c r="BK18" s="95">
        <f t="shared" si="3"/>
        <v>0</v>
      </c>
    </row>
    <row r="19" spans="2:63" ht="14.4" customHeight="1" thickBot="1">
      <c r="B19" s="530" t="s">
        <v>289</v>
      </c>
      <c r="C19" s="530"/>
      <c r="D19" s="530"/>
      <c r="E19" s="530"/>
      <c r="F19" s="530"/>
      <c r="G19" s="530"/>
      <c r="H19" s="531" t="str">
        <f>verze!E18</f>
        <v>plnovýsuv</v>
      </c>
      <c r="I19" s="531"/>
      <c r="J19" s="531"/>
      <c r="K19" s="531"/>
      <c r="L19" s="531"/>
      <c r="M19" s="532" t="s">
        <v>286</v>
      </c>
      <c r="N19" s="533"/>
      <c r="O19" s="569"/>
      <c r="P19" s="612"/>
      <c r="Q19" s="613"/>
      <c r="R19" s="612"/>
      <c r="S19" s="613"/>
      <c r="T19" s="570"/>
      <c r="U19" s="283"/>
      <c r="V19" s="284"/>
      <c r="W19" s="283"/>
      <c r="X19" s="284"/>
      <c r="Y19" s="283"/>
      <c r="Z19" s="284"/>
      <c r="AA19" s="283"/>
      <c r="AB19" s="284"/>
      <c r="AC19" s="283"/>
      <c r="AD19" s="284"/>
      <c r="AE19" s="280"/>
      <c r="AF19" s="281"/>
      <c r="AU19" s="319">
        <f>OBJ!B174</f>
        <v>9353289</v>
      </c>
      <c r="AV19" s="21" t="str">
        <f>VLOOKUP(AU19,CENY!$B$11:$G$1054,2,FALSE)</f>
        <v>AvanY-sólo boky Inlay-NW 187/650mm/strieb.</v>
      </c>
      <c r="AW19" s="22">
        <f>VLOOKUP(AU19,CENY!$B$11:$G$1054,3,FALSE)</f>
        <v>1</v>
      </c>
      <c r="AX19" s="362">
        <v>10</v>
      </c>
      <c r="AY19" s="23">
        <f>SUM(AY3:AY4)*(AE22)</f>
        <v>0</v>
      </c>
      <c r="AZ19" s="326">
        <f t="shared" si="4"/>
        <v>0</v>
      </c>
      <c r="BA19" s="95">
        <f>VLOOKUP(AU19,CENY!$B$11:$M$2025,12,FALSE)</f>
        <v>930.49195999999995</v>
      </c>
      <c r="BB19" s="95">
        <f t="shared" si="5"/>
        <v>0</v>
      </c>
      <c r="BD19" s="319">
        <f>OBJ!B64</f>
        <v>9255022</v>
      </c>
      <c r="BE19" s="21" t="str">
        <f>VLOOKUP(BD19,CENY!$B$11:$G$1054,2,FALSE)</f>
        <v>AvanY-bok ľavý /v101/h600/ strieborná</v>
      </c>
      <c r="BF19" s="22">
        <f>VLOOKUP(BD19,CENY!$B$11:$G$1054,3,FALSE)</f>
        <v>20</v>
      </c>
      <c r="BG19" s="22"/>
      <c r="BH19" s="68"/>
      <c r="BI19" s="326" t="str">
        <f t="shared" si="2"/>
        <v/>
      </c>
      <c r="BJ19" s="95">
        <f>VLOOKUP(BD19,CENY!$B$11:$M$2025,12,FALSE)</f>
        <v>235.60476</v>
      </c>
      <c r="BK19" s="95">
        <f t="shared" si="3"/>
        <v>0</v>
      </c>
    </row>
    <row r="20" spans="2:63" ht="14.4" customHeight="1" thickBot="1">
      <c r="B20" s="521" t="s">
        <v>290</v>
      </c>
      <c r="C20" s="521"/>
      <c r="D20" s="521"/>
      <c r="E20" s="521"/>
      <c r="F20" s="521"/>
      <c r="G20" s="521"/>
      <c r="H20" s="522" t="str">
        <f>verze!E18</f>
        <v>plnovýsuv</v>
      </c>
      <c r="I20" s="522"/>
      <c r="J20" s="522"/>
      <c r="K20" s="522"/>
      <c r="L20" s="522"/>
      <c r="M20" s="523" t="s">
        <v>287</v>
      </c>
      <c r="N20" s="546"/>
      <c r="O20" s="518"/>
      <c r="P20" s="519"/>
      <c r="Q20" s="518"/>
      <c r="R20" s="519"/>
      <c r="S20" s="518"/>
      <c r="T20" s="519"/>
      <c r="U20" s="518"/>
      <c r="V20" s="519"/>
      <c r="W20" s="516"/>
      <c r="X20" s="517"/>
      <c r="Y20" s="516"/>
      <c r="Z20" s="517"/>
      <c r="AA20" s="516"/>
      <c r="AB20" s="517"/>
      <c r="AC20" s="565"/>
      <c r="AD20" s="566"/>
      <c r="AE20" s="518"/>
      <c r="AF20" s="519"/>
      <c r="AU20" s="319"/>
      <c r="AV20" s="21"/>
      <c r="AW20" s="22"/>
      <c r="AX20" s="22"/>
      <c r="AY20" s="23"/>
      <c r="AZ20" s="326" t="str">
        <f t="shared" si="1"/>
        <v/>
      </c>
      <c r="BA20" s="95"/>
      <c r="BB20" s="95" t="str">
        <f t="shared" si="0"/>
        <v/>
      </c>
      <c r="BD20" s="319">
        <f>OBJ!B65</f>
        <v>9255023</v>
      </c>
      <c r="BE20" s="21" t="str">
        <f>VLOOKUP(BD20,CENY!$B$11:$G$1054,2,FALSE)</f>
        <v>AvanY-bok pravý /v101/h600/ strieborná</v>
      </c>
      <c r="BF20" s="22">
        <f>VLOOKUP(BD20,CENY!$B$11:$G$1054,3,FALSE)</f>
        <v>20</v>
      </c>
      <c r="BG20" s="22"/>
      <c r="BH20" s="68"/>
      <c r="BI20" s="326" t="str">
        <f t="shared" si="2"/>
        <v/>
      </c>
      <c r="BJ20" s="95">
        <f>VLOOKUP(BD20,CENY!$B$11:$M$2025,12,FALSE)</f>
        <v>235.60476</v>
      </c>
      <c r="BK20" s="95">
        <f t="shared" si="3"/>
        <v>0</v>
      </c>
    </row>
    <row r="21" spans="2:63" ht="14.4" customHeight="1" thickBot="1">
      <c r="O21" s="283"/>
      <c r="P21" s="284"/>
      <c r="Q21" s="283"/>
      <c r="R21" s="284"/>
      <c r="S21" s="283"/>
      <c r="T21" s="284"/>
      <c r="U21" s="283"/>
      <c r="V21" s="284"/>
      <c r="W21" s="283"/>
      <c r="X21" s="284"/>
      <c r="Y21" s="283"/>
      <c r="Z21" s="284"/>
      <c r="AA21" s="283"/>
      <c r="AB21" s="284"/>
      <c r="AC21" s="283"/>
      <c r="AD21" s="284"/>
      <c r="AE21" s="283"/>
      <c r="AF21" s="284"/>
      <c r="AU21" s="319">
        <f>OBJ!B71</f>
        <v>9347502</v>
      </c>
      <c r="AV21" s="21" t="str">
        <f>VLOOKUP(AU21,CENY!$B$11:$G$1054,2,FALSE)</f>
        <v>AvanY-design ALprofil Hybrid na bok 270/ strieb.</v>
      </c>
      <c r="AW21" s="22">
        <f>VLOOKUP(AU21,CENY!$B$11:$G$1054,3,FALSE)</f>
        <v>200</v>
      </c>
      <c r="AX21" s="22"/>
      <c r="AY21" s="68"/>
      <c r="AZ21" s="326" t="str">
        <f t="shared" si="1"/>
        <v/>
      </c>
      <c r="BA21" s="95">
        <f>VLOOKUP(AU21,CENY!$B$11:$M$2025,12,FALSE)</f>
        <v>19.78839</v>
      </c>
      <c r="BB21" s="95">
        <f t="shared" si="0"/>
        <v>0</v>
      </c>
      <c r="BD21" s="319">
        <f>OBJ!B66</f>
        <v>9255024</v>
      </c>
      <c r="BE21" s="21" t="str">
        <f>VLOOKUP(BD21,CENY!$B$11:$G$1054,2,FALSE)</f>
        <v>AvanY-bok ľavý /v101/h650/ strieborná</v>
      </c>
      <c r="BF21" s="22">
        <f>VLOOKUP(BD21,CENY!$B$11:$G$1054,3,FALSE)</f>
        <v>20</v>
      </c>
      <c r="BG21" s="22"/>
      <c r="BH21" s="68"/>
      <c r="BI21" s="326" t="str">
        <f t="shared" si="2"/>
        <v/>
      </c>
      <c r="BJ21" s="95">
        <f>VLOOKUP(BD21,CENY!$B$11:$M$2025,12,FALSE)</f>
        <v>243.54496</v>
      </c>
      <c r="BK21" s="95">
        <f t="shared" si="3"/>
        <v>0</v>
      </c>
    </row>
    <row r="22" spans="2:63" ht="14.4" customHeight="1" thickBot="1">
      <c r="B22" s="544" t="s">
        <v>291</v>
      </c>
      <c r="C22" s="544"/>
      <c r="D22" s="544"/>
      <c r="E22" s="544"/>
      <c r="F22" s="544"/>
      <c r="G22" s="544"/>
      <c r="H22" s="545" t="str">
        <f>verze!E18</f>
        <v>plnovýsuv</v>
      </c>
      <c r="I22" s="545"/>
      <c r="J22" s="545"/>
      <c r="K22" s="545"/>
      <c r="L22" s="545"/>
      <c r="M22" s="523" t="s">
        <v>288</v>
      </c>
      <c r="N22" s="524"/>
      <c r="O22" s="518"/>
      <c r="P22" s="519"/>
      <c r="Q22" s="518"/>
      <c r="R22" s="519"/>
      <c r="S22" s="518"/>
      <c r="T22" s="519"/>
      <c r="U22" s="518"/>
      <c r="V22" s="519"/>
      <c r="W22" s="516"/>
      <c r="X22" s="517"/>
      <c r="Y22" s="516"/>
      <c r="Z22" s="517"/>
      <c r="AA22" s="516"/>
      <c r="AB22" s="517"/>
      <c r="AC22" s="516"/>
      <c r="AD22" s="517"/>
      <c r="AE22" s="565"/>
      <c r="AF22" s="566"/>
      <c r="AU22" s="319">
        <f>OBJ!B72</f>
        <v>9347503</v>
      </c>
      <c r="AV22" s="21" t="str">
        <f>VLOOKUP(AU22,CENY!$B$11:$G$1054,2,FALSE)</f>
        <v>AvanY-design ALprofil Hybrid na bok 300/ strieb.</v>
      </c>
      <c r="AW22" s="22">
        <f>VLOOKUP(AU22,CENY!$B$11:$G$1054,3,FALSE)</f>
        <v>200</v>
      </c>
      <c r="AX22" s="22"/>
      <c r="AY22" s="68"/>
      <c r="AZ22" s="326" t="str">
        <f t="shared" si="1"/>
        <v/>
      </c>
      <c r="BA22" s="95">
        <f>VLOOKUP(AU22,CENY!$B$11:$M$2025,12,FALSE)</f>
        <v>20.006769999999999</v>
      </c>
      <c r="BB22" s="95">
        <f t="shared" si="0"/>
        <v>0</v>
      </c>
      <c r="BD22" s="319">
        <f>OBJ!B67</f>
        <v>9255025</v>
      </c>
      <c r="BE22" s="21" t="str">
        <f>VLOOKUP(BD22,CENY!$B$11:$G$1054,2,FALSE)</f>
        <v>AvanY-bok pravý /v101/h650/ strieborná</v>
      </c>
      <c r="BF22" s="22">
        <f>VLOOKUP(BD22,CENY!$B$11:$G$1054,3,FALSE)</f>
        <v>20</v>
      </c>
      <c r="BG22" s="22"/>
      <c r="BH22" s="68"/>
      <c r="BI22" s="326" t="str">
        <f t="shared" si="2"/>
        <v/>
      </c>
      <c r="BJ22" s="95">
        <f>VLOOKUP(BD22,CENY!$B$11:$M$2025,12,FALSE)</f>
        <v>243.54496</v>
      </c>
      <c r="BK22" s="95">
        <f t="shared" si="3"/>
        <v>0</v>
      </c>
    </row>
    <row r="23" spans="2:63" ht="14.4" customHeight="1" thickBot="1">
      <c r="O23" s="4"/>
      <c r="P23" s="4"/>
      <c r="AU23" s="319">
        <f>OBJ!B73</f>
        <v>9347504</v>
      </c>
      <c r="AV23" s="21" t="str">
        <f>VLOOKUP(AU23,CENY!$B$11:$G$1054,2,FALSE)</f>
        <v>AvanY-design ALprofil Hybrid na bok 350/ strieb.</v>
      </c>
      <c r="AW23" s="22">
        <f>VLOOKUP(AU23,CENY!$B$11:$G$1054,3,FALSE)</f>
        <v>200</v>
      </c>
      <c r="AX23" s="22"/>
      <c r="AY23" s="68"/>
      <c r="AZ23" s="326" t="str">
        <f t="shared" si="1"/>
        <v/>
      </c>
      <c r="BA23" s="95">
        <f>VLOOKUP(AU23,CENY!$B$11:$M$2025,12,FALSE)</f>
        <v>20.37642</v>
      </c>
      <c r="BB23" s="95">
        <f t="shared" si="0"/>
        <v>0</v>
      </c>
      <c r="BD23" s="319"/>
      <c r="BE23" s="21"/>
      <c r="BF23" s="22"/>
      <c r="BG23" s="22"/>
      <c r="BH23" s="23"/>
      <c r="BI23" s="326" t="str">
        <f t="shared" si="2"/>
        <v/>
      </c>
      <c r="BJ23" s="95"/>
      <c r="BK23" s="95"/>
    </row>
    <row r="24" spans="2:63" ht="14.4" customHeight="1" thickBot="1">
      <c r="AP24" s="233" t="s">
        <v>258</v>
      </c>
      <c r="AQ24" s="614">
        <v>3</v>
      </c>
      <c r="AR24" s="615"/>
      <c r="AU24" s="319">
        <f>OBJ!B74</f>
        <v>9347505</v>
      </c>
      <c r="AV24" s="21" t="str">
        <f>VLOOKUP(AU24,CENY!$B$11:$G$1054,2,FALSE)</f>
        <v>AvanY-design ALprofil Hybrid na bok 400/ strieb.</v>
      </c>
      <c r="AW24" s="22">
        <f>VLOOKUP(AU24,CENY!$B$11:$G$1054,3,FALSE)</f>
        <v>200</v>
      </c>
      <c r="AX24" s="22"/>
      <c r="AY24" s="68"/>
      <c r="AZ24" s="326" t="str">
        <f t="shared" si="1"/>
        <v/>
      </c>
      <c r="BA24" s="95">
        <f>VLOOKUP(AU24,CENY!$B$11:$M$2025,12,FALSE)</f>
        <v>20.742249999999999</v>
      </c>
      <c r="BB24" s="95">
        <f t="shared" si="0"/>
        <v>0</v>
      </c>
      <c r="BD24" s="319">
        <f>OBJ!B180</f>
        <v>9257135</v>
      </c>
      <c r="BE24" s="21" t="str">
        <f>VLOOKUP(BD24,CENY!$B$11:$G$1054,2,FALSE)</f>
        <v>AvanY-bok Inlay ľavý /v187/h450/ strieb.</v>
      </c>
      <c r="BF24" s="22">
        <f>VLOOKUP(BD24,CENY!$B$11:$G$1054,3,FALSE)</f>
        <v>10</v>
      </c>
      <c r="BG24" s="22"/>
      <c r="BH24" s="23">
        <f>AY15</f>
        <v>0</v>
      </c>
      <c r="BI24" s="326">
        <f t="shared" si="2"/>
        <v>0</v>
      </c>
      <c r="BJ24" s="95">
        <f>VLOOKUP(BD24,CENY!$B$11:$M$2025,12,FALSE)</f>
        <v>393.85784000000001</v>
      </c>
      <c r="BK24" s="95">
        <f t="shared" ref="BK24:BK33" si="6">IF(BJ24="","",BJ24*BH24)</f>
        <v>0</v>
      </c>
    </row>
    <row r="25" spans="2:63" ht="14.4" customHeight="1" thickBot="1">
      <c r="B25" s="2" t="s">
        <v>285</v>
      </c>
      <c r="AU25" s="319">
        <f>OBJ!B75</f>
        <v>9347506</v>
      </c>
      <c r="AV25" s="21" t="str">
        <f>VLOOKUP(AU25,CENY!$B$11:$G$1054,2,FALSE)</f>
        <v>AvanY-design ALprofil Hybrid na bok 450/ strieb.</v>
      </c>
      <c r="AW25" s="22">
        <f>VLOOKUP(AU25,CENY!$B$11:$G$1054,3,FALSE)</f>
        <v>200</v>
      </c>
      <c r="AX25" s="22"/>
      <c r="AY25" s="68"/>
      <c r="AZ25" s="326" t="str">
        <f t="shared" si="1"/>
        <v/>
      </c>
      <c r="BA25" s="95">
        <f>VLOOKUP(AU25,CENY!$B$11:$M$2025,12,FALSE)</f>
        <v>21.111910000000002</v>
      </c>
      <c r="BB25" s="95">
        <f t="shared" si="0"/>
        <v>0</v>
      </c>
      <c r="BD25" s="319">
        <f>OBJ!B181</f>
        <v>9257136</v>
      </c>
      <c r="BE25" s="21" t="str">
        <f>VLOOKUP(BD25,CENY!$B$11:$G$1054,2,FALSE)</f>
        <v>AvanY-bok Inlay pravý /v187/h450/ strieb.</v>
      </c>
      <c r="BF25" s="22">
        <f>VLOOKUP(BD25,CENY!$B$11:$G$1054,3,FALSE)</f>
        <v>10</v>
      </c>
      <c r="BG25" s="22"/>
      <c r="BH25" s="23">
        <f>AY15</f>
        <v>0</v>
      </c>
      <c r="BI25" s="326">
        <f t="shared" si="2"/>
        <v>0</v>
      </c>
      <c r="BJ25" s="95">
        <f>VLOOKUP(BD25,CENY!$B$11:$M$2025,12,FALSE)</f>
        <v>393.85784000000001</v>
      </c>
      <c r="BK25" s="95">
        <f t="shared" si="6"/>
        <v>0</v>
      </c>
    </row>
    <row r="26" spans="2:63" ht="14.4" customHeight="1" thickBot="1">
      <c r="B26" s="96"/>
      <c r="C26" s="96"/>
      <c r="D26" s="96"/>
      <c r="E26" s="96"/>
      <c r="F26" s="96"/>
      <c r="G26" s="96"/>
      <c r="H26" s="72"/>
      <c r="I26" s="72"/>
      <c r="J26" s="72"/>
      <c r="K26" s="72"/>
      <c r="L26" s="72"/>
      <c r="M26" s="72"/>
      <c r="N26" s="72" t="str">
        <f>verze!$E$20&amp;" "</f>
        <v xml:space="preserve">Jmenovitá délka: </v>
      </c>
      <c r="O26" s="535">
        <v>270</v>
      </c>
      <c r="P26" s="536"/>
      <c r="Q26" s="535">
        <v>300</v>
      </c>
      <c r="R26" s="536"/>
      <c r="S26" s="535">
        <v>350</v>
      </c>
      <c r="T26" s="536"/>
      <c r="U26" s="535">
        <v>400</v>
      </c>
      <c r="V26" s="536"/>
      <c r="W26" s="535">
        <v>450</v>
      </c>
      <c r="X26" s="536"/>
      <c r="Y26" s="537">
        <v>500</v>
      </c>
      <c r="Z26" s="538"/>
      <c r="AA26" s="535">
        <v>550</v>
      </c>
      <c r="AB26" s="536"/>
      <c r="AC26" s="535">
        <v>600</v>
      </c>
      <c r="AD26" s="536"/>
      <c r="AU26" s="319">
        <f>OBJ!B76</f>
        <v>9347507</v>
      </c>
      <c r="AV26" s="21" t="str">
        <f>VLOOKUP(AU26,CENY!$B$11:$G$1054,2,FALSE)</f>
        <v>AvanY-design ALprofil Hybrid na bok 500/ strieb.</v>
      </c>
      <c r="AW26" s="22">
        <f>VLOOKUP(AU26,CENY!$B$11:$G$1054,3,FALSE)</f>
        <v>200</v>
      </c>
      <c r="AX26" s="22"/>
      <c r="AY26" s="68"/>
      <c r="AZ26" s="326" t="str">
        <f t="shared" si="1"/>
        <v/>
      </c>
      <c r="BA26" s="95">
        <f>VLOOKUP(AU26,CENY!$B$11:$M$2025,12,FALSE)</f>
        <v>21.479700000000001</v>
      </c>
      <c r="BB26" s="95">
        <f t="shared" si="0"/>
        <v>0</v>
      </c>
      <c r="BD26" s="319">
        <f>OBJ!B182</f>
        <v>9257137</v>
      </c>
      <c r="BE26" s="21" t="str">
        <f>VLOOKUP(BD26,CENY!$B$11:$G$1054,2,FALSE)</f>
        <v>AvanY-bok Inlay ľavý /v187/h500/ strieb.</v>
      </c>
      <c r="BF26" s="22">
        <f>VLOOKUP(BD26,CENY!$B$11:$G$1054,3,FALSE)</f>
        <v>10</v>
      </c>
      <c r="BG26" s="22"/>
      <c r="BH26" s="23">
        <f>AY16</f>
        <v>0</v>
      </c>
      <c r="BI26" s="326">
        <f t="shared" si="2"/>
        <v>0</v>
      </c>
      <c r="BJ26" s="95">
        <f>VLOOKUP(BD26,CENY!$B$11:$M$2025,12,FALSE)</f>
        <v>390.06617</v>
      </c>
      <c r="BK26" s="95">
        <f t="shared" si="6"/>
        <v>0</v>
      </c>
    </row>
    <row r="27" spans="2:63" ht="14.4" customHeight="1" thickBot="1">
      <c r="B27" s="530" t="s">
        <v>292</v>
      </c>
      <c r="C27" s="530"/>
      <c r="D27" s="530"/>
      <c r="E27" s="530"/>
      <c r="F27" s="530"/>
      <c r="G27" s="530"/>
      <c r="H27" s="531" t="str">
        <f>verze!E18</f>
        <v>plnovýsuv</v>
      </c>
      <c r="I27" s="531"/>
      <c r="J27" s="531"/>
      <c r="K27" s="531"/>
      <c r="L27" s="531"/>
      <c r="M27" s="532" t="s">
        <v>286</v>
      </c>
      <c r="N27" s="533"/>
      <c r="O27" s="569"/>
      <c r="P27" s="612"/>
      <c r="Q27" s="613"/>
      <c r="R27" s="612"/>
      <c r="S27" s="613"/>
      <c r="T27" s="570"/>
      <c r="U27" s="283"/>
      <c r="V27" s="284"/>
      <c r="W27" s="283"/>
      <c r="X27" s="284"/>
      <c r="Y27" s="283"/>
      <c r="Z27" s="284"/>
      <c r="AA27" s="283"/>
      <c r="AB27" s="284"/>
      <c r="AC27" s="283"/>
      <c r="AD27" s="284"/>
      <c r="AU27" s="319">
        <f>OBJ!B77</f>
        <v>9347508</v>
      </c>
      <c r="AV27" s="21" t="str">
        <f>VLOOKUP(AU27,CENY!$B$11:$G$1054,2,FALSE)</f>
        <v>AvanY-design ALprofil Hybrid na bok 550/ strieb.</v>
      </c>
      <c r="AW27" s="22">
        <f>VLOOKUP(AU27,CENY!$B$11:$G$1054,3,FALSE)</f>
        <v>200</v>
      </c>
      <c r="AX27" s="22"/>
      <c r="AY27" s="68"/>
      <c r="AZ27" s="326" t="str">
        <f t="shared" si="1"/>
        <v/>
      </c>
      <c r="BA27" s="95">
        <f>VLOOKUP(AU27,CENY!$B$11:$M$2025,12,FALSE)</f>
        <v>21.84564</v>
      </c>
      <c r="BB27" s="95">
        <f t="shared" si="0"/>
        <v>0</v>
      </c>
      <c r="BD27" s="319">
        <f>OBJ!B183</f>
        <v>9257138</v>
      </c>
      <c r="BE27" s="21" t="str">
        <f>VLOOKUP(BD27,CENY!$B$11:$G$1054,2,FALSE)</f>
        <v>AvanY-bok Inlay pravý /v187/h500/ strieb.</v>
      </c>
      <c r="BF27" s="22">
        <f>VLOOKUP(BD27,CENY!$B$11:$G$1054,3,FALSE)</f>
        <v>10</v>
      </c>
      <c r="BG27" s="22"/>
      <c r="BH27" s="23">
        <f>AY16</f>
        <v>0</v>
      </c>
      <c r="BI27" s="326">
        <f t="shared" si="2"/>
        <v>0</v>
      </c>
      <c r="BJ27" s="95">
        <f>VLOOKUP(BD27,CENY!$B$11:$M$2025,12,FALSE)</f>
        <v>390.06617</v>
      </c>
      <c r="BK27" s="95">
        <f t="shared" si="6"/>
        <v>0</v>
      </c>
    </row>
    <row r="28" spans="2:63" ht="14.4" customHeight="1" thickBot="1">
      <c r="B28" s="521" t="s">
        <v>372</v>
      </c>
      <c r="C28" s="521"/>
      <c r="D28" s="521"/>
      <c r="E28" s="521"/>
      <c r="F28" s="521"/>
      <c r="G28" s="521"/>
      <c r="H28" s="522" t="str">
        <f>verze!E18</f>
        <v>plnovýsuv</v>
      </c>
      <c r="I28" s="522"/>
      <c r="J28" s="522"/>
      <c r="K28" s="522"/>
      <c r="L28" s="522"/>
      <c r="M28" s="523" t="s">
        <v>1</v>
      </c>
      <c r="N28" s="524"/>
      <c r="O28" s="518"/>
      <c r="P28" s="519"/>
      <c r="Q28" s="518"/>
      <c r="R28" s="519"/>
      <c r="S28" s="518"/>
      <c r="T28" s="519"/>
      <c r="U28" s="518"/>
      <c r="V28" s="519"/>
      <c r="W28" s="516"/>
      <c r="X28" s="517"/>
      <c r="Y28" s="516"/>
      <c r="Z28" s="517"/>
      <c r="AA28" s="516"/>
      <c r="AB28" s="517"/>
      <c r="AC28" s="516"/>
      <c r="AD28" s="517"/>
      <c r="AU28" s="319">
        <f>OBJ!B78</f>
        <v>9347509</v>
      </c>
      <c r="AV28" s="21" t="str">
        <f>VLOOKUP(AU28,CENY!$B$11:$G$1054,2,FALSE)</f>
        <v>AvanY-design ALprofil Hybrid na bok 600/ strieb.</v>
      </c>
      <c r="AW28" s="22">
        <f>VLOOKUP(AU28,CENY!$B$11:$G$1054,3,FALSE)</f>
        <v>200</v>
      </c>
      <c r="AX28" s="22"/>
      <c r="AY28" s="68"/>
      <c r="AZ28" s="326" t="str">
        <f t="shared" si="1"/>
        <v/>
      </c>
      <c r="BA28" s="95">
        <f>VLOOKUP(AU28,CENY!$B$11:$M$2025,12,FALSE)</f>
        <v>22.79205</v>
      </c>
      <c r="BB28" s="95">
        <f t="shared" si="0"/>
        <v>0</v>
      </c>
      <c r="BD28" s="319">
        <f>OBJ!B184</f>
        <v>9257139</v>
      </c>
      <c r="BE28" s="21" t="str">
        <f>VLOOKUP(BD28,CENY!$B$11:$G$1054,2,FALSE)</f>
        <v>AvanY-bok Inlay ľavý /v187/h550/ strieb.</v>
      </c>
      <c r="BF28" s="22">
        <f>VLOOKUP(BD28,CENY!$B$11:$G$1054,3,FALSE)</f>
        <v>10</v>
      </c>
      <c r="BG28" s="22"/>
      <c r="BH28" s="23">
        <f>AY17</f>
        <v>0</v>
      </c>
      <c r="BI28" s="326">
        <f t="shared" si="2"/>
        <v>0</v>
      </c>
      <c r="BJ28" s="95">
        <f>VLOOKUP(BD28,CENY!$B$11:$M$2025,12,FALSE)</f>
        <v>407.58967999999999</v>
      </c>
      <c r="BK28" s="95">
        <f t="shared" si="6"/>
        <v>0</v>
      </c>
    </row>
    <row r="29" spans="2:63" ht="14.4" customHeight="1">
      <c r="AU29" s="319">
        <f>OBJ!B79</f>
        <v>9347510</v>
      </c>
      <c r="AV29" s="21" t="str">
        <f>VLOOKUP(AU29,CENY!$B$11:$G$1054,2,FALSE)</f>
        <v>AvanY-design ALprofil Hybrid na bok 650/ strieb.</v>
      </c>
      <c r="AW29" s="22">
        <f>VLOOKUP(AU29,CENY!$B$11:$G$1054,3,FALSE)</f>
        <v>200</v>
      </c>
      <c r="AX29" s="22"/>
      <c r="AY29" s="68"/>
      <c r="AZ29" s="326" t="str">
        <f t="shared" si="1"/>
        <v/>
      </c>
      <c r="BA29" s="95">
        <f>VLOOKUP(AU29,CENY!$B$11:$M$2025,12,FALSE)</f>
        <v>24.580449999999999</v>
      </c>
      <c r="BB29" s="95">
        <f t="shared" si="0"/>
        <v>0</v>
      </c>
      <c r="BD29" s="319">
        <f>OBJ!B185</f>
        <v>9257140</v>
      </c>
      <c r="BE29" s="21" t="str">
        <f>VLOOKUP(BD29,CENY!$B$11:$G$1054,2,FALSE)</f>
        <v>AvanY-bok Inlay pravý /v187/h550/ strieb.</v>
      </c>
      <c r="BF29" s="22">
        <f>VLOOKUP(BD29,CENY!$B$11:$G$1054,3,FALSE)</f>
        <v>10</v>
      </c>
      <c r="BG29" s="22"/>
      <c r="BH29" s="23">
        <f>AY17</f>
        <v>0</v>
      </c>
      <c r="BI29" s="326">
        <f t="shared" si="2"/>
        <v>0</v>
      </c>
      <c r="BJ29" s="95">
        <f>VLOOKUP(BD29,CENY!$B$11:$M$2025,12,FALSE)</f>
        <v>407.58967999999999</v>
      </c>
      <c r="BK29" s="95">
        <f t="shared" si="6"/>
        <v>0</v>
      </c>
    </row>
    <row r="30" spans="2:63" ht="14.4" customHeight="1">
      <c r="B30" s="366" t="str">
        <f>verze!E201</f>
        <v>SiSy = tlumení Silent System</v>
      </c>
      <c r="AU30" s="319"/>
      <c r="AV30" s="21"/>
      <c r="AW30" s="22"/>
      <c r="AX30" s="22"/>
      <c r="AY30" s="23"/>
      <c r="AZ30" s="326" t="str">
        <f t="shared" si="1"/>
        <v/>
      </c>
      <c r="BA30" s="95"/>
      <c r="BB30" s="95" t="str">
        <f t="shared" si="0"/>
        <v/>
      </c>
      <c r="BD30" s="319">
        <f>OBJ!B186</f>
        <v>9257141</v>
      </c>
      <c r="BE30" s="21" t="str">
        <f>VLOOKUP(BD30,CENY!$B$11:$G$1054,2,FALSE)</f>
        <v>AvanY-bok Inlay ľavý /v187/h600/ strieb.</v>
      </c>
      <c r="BF30" s="22">
        <f>VLOOKUP(BD30,CENY!$B$11:$G$1054,3,FALSE)</f>
        <v>10</v>
      </c>
      <c r="BG30" s="22"/>
      <c r="BH30" s="23">
        <f>AY18</f>
        <v>0</v>
      </c>
      <c r="BI30" s="326">
        <f t="shared" si="2"/>
        <v>0</v>
      </c>
      <c r="BJ30" s="95">
        <f>VLOOKUP(BD30,CENY!$B$11:$M$2025,12,FALSE)</f>
        <v>417.95686000000001</v>
      </c>
      <c r="BK30" s="95">
        <f t="shared" si="6"/>
        <v>0</v>
      </c>
    </row>
    <row r="31" spans="2:63" ht="14.4" customHeight="1">
      <c r="AU31" s="319">
        <f>OBJ!B233</f>
        <v>9318154</v>
      </c>
      <c r="AV31" s="21" t="str">
        <f>VLOOKUP(AU31,CENY!$B$11:$G$1054,2,FALSE)</f>
        <v>Actro You(S) 270/SiSy 10kg; EB21</v>
      </c>
      <c r="AW31" s="22">
        <f>VLOOKUP(AU31,CENY!$B$11:$G$1054,3,FALSE)</f>
        <v>1</v>
      </c>
      <c r="AX31" s="362">
        <v>4</v>
      </c>
      <c r="AY31" s="68"/>
      <c r="AZ31" s="326" t="str">
        <f t="shared" si="1"/>
        <v/>
      </c>
      <c r="BA31" s="95">
        <f>VLOOKUP(AU31,CENY!$B$11:$M$2025,12,FALSE)</f>
        <v>657.45060999999998</v>
      </c>
      <c r="BB31" s="95">
        <f t="shared" si="0"/>
        <v>0</v>
      </c>
      <c r="BD31" s="319">
        <f>OBJ!B187</f>
        <v>9257142</v>
      </c>
      <c r="BE31" s="21" t="str">
        <f>VLOOKUP(BD31,CENY!$B$11:$G$1054,2,FALSE)</f>
        <v>AvanY-bok Inlay pravý /v187/h600/ strieb.</v>
      </c>
      <c r="BF31" s="22">
        <f>VLOOKUP(BD31,CENY!$B$11:$G$1054,3,FALSE)</f>
        <v>10</v>
      </c>
      <c r="BG31" s="22"/>
      <c r="BH31" s="23">
        <f>AY18</f>
        <v>0</v>
      </c>
      <c r="BI31" s="326">
        <f t="shared" si="2"/>
        <v>0</v>
      </c>
      <c r="BJ31" s="95">
        <f>VLOOKUP(BD31,CENY!$B$11:$M$2025,12,FALSE)</f>
        <v>417.95686000000001</v>
      </c>
      <c r="BK31" s="95">
        <f t="shared" si="6"/>
        <v>0</v>
      </c>
    </row>
    <row r="32" spans="2:63" ht="14.4" customHeight="1">
      <c r="AU32" s="319">
        <f>OBJ!B234</f>
        <v>9318156</v>
      </c>
      <c r="AV32" s="21" t="str">
        <f>VLOOKUP(AU32,CENY!$B$11:$G$1054,2,FALSE)</f>
        <v>Actro You(S) 300/SiSy 10kg; EB21</v>
      </c>
      <c r="AW32" s="22">
        <f>VLOOKUP(AU32,CENY!$B$11:$G$1054,3,FALSE)</f>
        <v>1</v>
      </c>
      <c r="AX32" s="362">
        <v>4</v>
      </c>
      <c r="AY32" s="68"/>
      <c r="AZ32" s="326" t="str">
        <f t="shared" si="1"/>
        <v/>
      </c>
      <c r="BA32" s="95">
        <f>VLOOKUP(AU32,CENY!$B$11:$M$2025,12,FALSE)</f>
        <v>657.45060999999998</v>
      </c>
      <c r="BB32" s="95">
        <f t="shared" si="0"/>
        <v>0</v>
      </c>
      <c r="BD32" s="319">
        <f>OBJ!B188</f>
        <v>9257143</v>
      </c>
      <c r="BE32" s="21" t="str">
        <f>VLOOKUP(BD32,CENY!$B$11:$G$1054,2,FALSE)</f>
        <v>AvanY-bok Inlay ľavý /v187/h650/ strieb.</v>
      </c>
      <c r="BF32" s="22">
        <f>VLOOKUP(BD32,CENY!$B$11:$G$1054,3,FALSE)</f>
        <v>10</v>
      </c>
      <c r="BG32" s="22"/>
      <c r="BH32" s="23">
        <f>AY19</f>
        <v>0</v>
      </c>
      <c r="BI32" s="326">
        <f t="shared" si="2"/>
        <v>0</v>
      </c>
      <c r="BJ32" s="95">
        <f>VLOOKUP(BD32,CENY!$B$11:$M$2025,12,FALSE)</f>
        <v>432.04088000000002</v>
      </c>
      <c r="BK32" s="95">
        <f t="shared" si="6"/>
        <v>0</v>
      </c>
    </row>
    <row r="33" spans="47:63" ht="14.4" customHeight="1">
      <c r="AU33" s="319">
        <f>OBJ!B235</f>
        <v>9318160</v>
      </c>
      <c r="AV33" s="21" t="str">
        <f>VLOOKUP(AU33,CENY!$B$11:$G$1054,2,FALSE)</f>
        <v>Actro You(S) 350/SiSy 10kg; EB21</v>
      </c>
      <c r="AW33" s="22">
        <f>VLOOKUP(AU33,CENY!$B$11:$G$1054,3,FALSE)</f>
        <v>1</v>
      </c>
      <c r="AX33" s="362">
        <v>4</v>
      </c>
      <c r="AY33" s="68"/>
      <c r="AZ33" s="326" t="str">
        <f t="shared" si="1"/>
        <v/>
      </c>
      <c r="BA33" s="95">
        <f>VLOOKUP(AU33,CENY!$B$11:$M$2025,12,FALSE)</f>
        <v>657.45060999999998</v>
      </c>
      <c r="BB33" s="95">
        <f t="shared" si="0"/>
        <v>0</v>
      </c>
      <c r="BD33" s="319">
        <f>OBJ!B189</f>
        <v>9257144</v>
      </c>
      <c r="BE33" s="21" t="str">
        <f>VLOOKUP(BD33,CENY!$B$11:$G$1054,2,FALSE)</f>
        <v>AvanY-bok Inlay pravý /v187/h650/ strieb.</v>
      </c>
      <c r="BF33" s="22">
        <f>VLOOKUP(BD33,CENY!$B$11:$G$1054,3,FALSE)</f>
        <v>10</v>
      </c>
      <c r="BG33" s="22"/>
      <c r="BH33" s="23">
        <f>AY19</f>
        <v>0</v>
      </c>
      <c r="BI33" s="326">
        <f t="shared" si="2"/>
        <v>0</v>
      </c>
      <c r="BJ33" s="95">
        <f>VLOOKUP(BD33,CENY!$B$11:$M$2025,12,FALSE)</f>
        <v>432.04088000000002</v>
      </c>
      <c r="BK33" s="95">
        <f t="shared" si="6"/>
        <v>0</v>
      </c>
    </row>
    <row r="34" spans="47:63" ht="14.4" customHeight="1">
      <c r="AU34" s="20"/>
      <c r="AV34" s="21"/>
      <c r="AW34" s="22"/>
      <c r="AX34" s="22"/>
      <c r="AY34" s="23"/>
      <c r="AZ34" s="326" t="str">
        <f t="shared" si="1"/>
        <v/>
      </c>
      <c r="BA34" s="95"/>
      <c r="BB34" s="95" t="str">
        <f t="shared" si="0"/>
        <v/>
      </c>
      <c r="BD34" s="319"/>
      <c r="BE34" s="21"/>
      <c r="BF34" s="22"/>
      <c r="BG34" s="22"/>
      <c r="BH34" s="23"/>
      <c r="BI34" s="326" t="str">
        <f t="shared" si="2"/>
        <v/>
      </c>
      <c r="BJ34" s="95"/>
      <c r="BK34" s="95" t="str">
        <f t="shared" si="3"/>
        <v/>
      </c>
    </row>
    <row r="35" spans="47:63" ht="14.4" customHeight="1">
      <c r="AU35" s="319">
        <f>OBJ!B243</f>
        <v>9318186</v>
      </c>
      <c r="AV35" s="21" t="str">
        <f>VLOOKUP(AU35,CENY!$B$11:$G$1054,2,FALSE)</f>
        <v>Actro You(L) 270/SiSy 40kg; EB21</v>
      </c>
      <c r="AW35" s="22">
        <f>VLOOKUP(AU35,CENY!$B$11:$G$1054,3,FALSE)</f>
        <v>1</v>
      </c>
      <c r="AX35" s="362">
        <v>8</v>
      </c>
      <c r="AY35" s="68"/>
      <c r="AZ35" s="326" t="str">
        <f t="shared" si="1"/>
        <v/>
      </c>
      <c r="BA35" s="95">
        <f>VLOOKUP(AU35,CENY!$B$11:$M$2025,12,FALSE)</f>
        <v>657.45060999999998</v>
      </c>
      <c r="BB35" s="95">
        <f t="shared" si="0"/>
        <v>0</v>
      </c>
      <c r="BD35" s="319">
        <f>OBJ!B69</f>
        <v>9255835</v>
      </c>
      <c r="BE35" s="21" t="str">
        <f>VLOOKUP(BD35,CENY!$B$11:$G$1054,2,FALSE)</f>
        <v>AvanY-príchytka čela k naskrutk./ v101</v>
      </c>
      <c r="BF35" s="22">
        <f>VLOOKUP(BD35,CENY!$B$11:$G$1054,3,FALSE)</f>
        <v>200</v>
      </c>
      <c r="BG35" s="22"/>
      <c r="BH35" s="23">
        <f>2*(AY2)*(SUM(W20:AD20)+SUM(W22:AF22)+SUM(W28:AD28))</f>
        <v>0</v>
      </c>
      <c r="BI35" s="326">
        <f t="shared" si="2"/>
        <v>0</v>
      </c>
      <c r="BJ35" s="95">
        <f>VLOOKUP(BD35,CENY!$B$11:$M$2025,12,FALSE)</f>
        <v>24.69378</v>
      </c>
      <c r="BK35" s="95">
        <f t="shared" si="3"/>
        <v>0</v>
      </c>
    </row>
    <row r="36" spans="47:63" ht="14.4" customHeight="1">
      <c r="AU36" s="319">
        <f>OBJ!B244</f>
        <v>9318187</v>
      </c>
      <c r="AV36" s="21" t="str">
        <f>VLOOKUP(AU36,CENY!$B$11:$G$1054,2,FALSE)</f>
        <v>Actro You(L) 300/SiSy 40kg; EB21</v>
      </c>
      <c r="AW36" s="22">
        <f>VLOOKUP(AU36,CENY!$B$11:$G$1054,3,FALSE)</f>
        <v>1</v>
      </c>
      <c r="AX36" s="362">
        <v>8</v>
      </c>
      <c r="AY36" s="68"/>
      <c r="AZ36" s="326" t="str">
        <f t="shared" si="1"/>
        <v/>
      </c>
      <c r="BA36" s="95">
        <f>VLOOKUP(AU36,CENY!$B$11:$M$2025,12,FALSE)</f>
        <v>657.45060999999998</v>
      </c>
      <c r="BB36" s="95">
        <f t="shared" si="0"/>
        <v>0</v>
      </c>
      <c r="BD36" s="319">
        <f>OBJ!B191</f>
        <v>9257257</v>
      </c>
      <c r="BE36" s="21" t="str">
        <f>VLOOKUP(BD36,CENY!$B$11:$G$1054,2,FALSE)</f>
        <v>AvanY-prích.čela Inlay k naskrutk./ v187</v>
      </c>
      <c r="BF36" s="22">
        <f>VLOOKUP(BD36,CENY!$B$11:$G$1054,3,FALSE)</f>
        <v>100</v>
      </c>
      <c r="BG36" s="22"/>
      <c r="BH36" s="23">
        <f>2*(AY4)*(SUM(W20:AD20)+SUM(W22:AF22)+SUM(W28:AD28))</f>
        <v>0</v>
      </c>
      <c r="BI36" s="326">
        <f t="shared" si="2"/>
        <v>0</v>
      </c>
      <c r="BJ36" s="95">
        <f>VLOOKUP(BD36,CENY!$B$11:$M$2025,12,FALSE)</f>
        <v>50.732700000000001</v>
      </c>
      <c r="BK36" s="95">
        <f t="shared" si="3"/>
        <v>0</v>
      </c>
    </row>
    <row r="37" spans="47:63" ht="14.4" customHeight="1">
      <c r="AU37" s="319">
        <f>OBJ!B245</f>
        <v>9318188</v>
      </c>
      <c r="AV37" s="21" t="str">
        <f>VLOOKUP(AU37,CENY!$B$11:$G$1054,2,FALSE)</f>
        <v>Actro You(L) 350/SiSy 40kg; EB21</v>
      </c>
      <c r="AW37" s="22">
        <f>VLOOKUP(AU37,CENY!$B$11:$G$1054,3,FALSE)</f>
        <v>1</v>
      </c>
      <c r="AX37" s="362">
        <v>8</v>
      </c>
      <c r="AY37" s="68"/>
      <c r="AZ37" s="326" t="str">
        <f t="shared" si="1"/>
        <v/>
      </c>
      <c r="BA37" s="95">
        <f>VLOOKUP(AU37,CENY!$B$11:$M$2025,12,FALSE)</f>
        <v>657.45060999999998</v>
      </c>
      <c r="BB37" s="95">
        <f t="shared" si="0"/>
        <v>0</v>
      </c>
      <c r="BD37" s="320">
        <v>9255835</v>
      </c>
      <c r="BE37" s="321" t="str">
        <f>VLOOKUP(BD37,CENY!$B$11:$G$1054,2,FALSE)</f>
        <v>AvanY-príchytka čela k naskrutk./ v101</v>
      </c>
      <c r="BF37" s="22">
        <f>VLOOKUP(BD37,CENY!$B$11:$G$1054,3,FALSE)</f>
        <v>200</v>
      </c>
      <c r="BG37" s="22"/>
      <c r="BH37" s="68">
        <f>2*(AY1)*(SUM(W20:AD20)+SUM(W22:AF22)+SUM(W28:AD28))</f>
        <v>0</v>
      </c>
      <c r="BI37" s="326">
        <f t="shared" si="2"/>
        <v>0</v>
      </c>
      <c r="BJ37" s="95">
        <f>VLOOKUP(BD37,CENY!$B$11:$M$2025,12,FALSE)</f>
        <v>24.69378</v>
      </c>
      <c r="BK37" s="95">
        <f t="shared" si="3"/>
        <v>0</v>
      </c>
    </row>
    <row r="38" spans="47:63" ht="14.4" customHeight="1">
      <c r="AU38" s="319">
        <f>OBJ!B246</f>
        <v>9318190</v>
      </c>
      <c r="AV38" s="21" t="str">
        <f>VLOOKUP(AU38,CENY!$B$11:$G$1054,2,FALSE)</f>
        <v>Actro You(L) 400/SiSy 40kg; EB21</v>
      </c>
      <c r="AW38" s="22">
        <f>VLOOKUP(AU38,CENY!$B$11:$G$1054,3,FALSE)</f>
        <v>1</v>
      </c>
      <c r="AX38" s="362">
        <v>8</v>
      </c>
      <c r="AY38" s="68"/>
      <c r="AZ38" s="326" t="str">
        <f t="shared" si="1"/>
        <v/>
      </c>
      <c r="BA38" s="95">
        <f>VLOOKUP(AU38,CENY!$B$11:$M$2025,12,FALSE)</f>
        <v>664.73978</v>
      </c>
      <c r="BB38" s="95">
        <f t="shared" si="0"/>
        <v>0</v>
      </c>
      <c r="BD38" s="320">
        <v>9257257</v>
      </c>
      <c r="BE38" s="321" t="str">
        <f>VLOOKUP(BD38,CENY!$B$11:$G$1054,2,FALSE)</f>
        <v>AvanY-prích.čela Inlay k naskrutk./ v187</v>
      </c>
      <c r="BF38" s="22">
        <f>VLOOKUP(BD38,CENY!$B$11:$G$1054,3,FALSE)</f>
        <v>100</v>
      </c>
      <c r="BG38" s="22"/>
      <c r="BH38" s="68">
        <f>2*(AY3)*(SUM(W20:AD20)+SUM(W22:AF22)+SUM(W28:AD28))</f>
        <v>0</v>
      </c>
      <c r="BI38" s="326">
        <f t="shared" si="2"/>
        <v>0</v>
      </c>
      <c r="BJ38" s="95">
        <f>VLOOKUP(BD38,CENY!$B$11:$M$2025,12,FALSE)</f>
        <v>50.732700000000001</v>
      </c>
      <c r="BK38" s="95">
        <f t="shared" si="3"/>
        <v>0</v>
      </c>
    </row>
    <row r="39" spans="47:63" ht="14.4" customHeight="1">
      <c r="AU39" s="319">
        <f>OBJ!B247</f>
        <v>9318191</v>
      </c>
      <c r="AV39" s="21" t="str">
        <f>VLOOKUP(AU39,CENY!$B$11:$G$1054,2,FALSE)</f>
        <v>Actro You(L) 450/SiSy 40kg; EB21</v>
      </c>
      <c r="AW39" s="22">
        <f>VLOOKUP(AU39,CENY!$B$11:$G$1054,3,FALSE)</f>
        <v>1</v>
      </c>
      <c r="AX39" s="362">
        <v>10</v>
      </c>
      <c r="AY39" s="23">
        <f>SUM(AY1:AY4)*W20</f>
        <v>0</v>
      </c>
      <c r="AZ39" s="326">
        <f t="shared" si="1"/>
        <v>0</v>
      </c>
      <c r="BA39" s="95">
        <f>VLOOKUP(AU39,CENY!$B$11:$M$2025,12,FALSE)</f>
        <v>671.97520999999995</v>
      </c>
      <c r="BB39" s="95">
        <f t="shared" si="0"/>
        <v>0</v>
      </c>
      <c r="BD39" s="319">
        <f>OBJ!B48</f>
        <v>9257702</v>
      </c>
      <c r="BE39" s="21" t="str">
        <f>VLOOKUP(BD39,CENY!$B$11:$G$1054,2,FALSE)</f>
        <v>AvanY-stabilizátor chrbáta</v>
      </c>
      <c r="BF39" s="22">
        <f>VLOOKUP(BD39,CENY!$B$11:$G$1054,3,FALSE)</f>
        <v>200</v>
      </c>
      <c r="BG39" s="22"/>
      <c r="BH39" s="23">
        <f>2*(SUM(AY1:AY4)*(SUM(W20:AD20)+SUM(W22:AF22)+SUM(W28:AD28)))</f>
        <v>0</v>
      </c>
      <c r="BI39" s="326">
        <f t="shared" si="2"/>
        <v>0</v>
      </c>
      <c r="BJ39" s="95">
        <f>VLOOKUP(BD39,CENY!$B$11:$M$2025,12,FALSE)</f>
        <v>15.54837</v>
      </c>
      <c r="BK39" s="95">
        <f t="shared" si="3"/>
        <v>0</v>
      </c>
    </row>
    <row r="40" spans="47:63" ht="14.4" customHeight="1">
      <c r="AU40" s="319">
        <f>OBJ!B248</f>
        <v>9318192</v>
      </c>
      <c r="AV40" s="21" t="str">
        <f>VLOOKUP(AU40,CENY!$B$11:$G$1054,2,FALSE)</f>
        <v>Actro You(L) 500/SiSy 40kg; EB21</v>
      </c>
      <c r="AW40" s="22">
        <f>VLOOKUP(AU40,CENY!$B$11:$G$1054,3,FALSE)</f>
        <v>1</v>
      </c>
      <c r="AX40" s="362">
        <v>10</v>
      </c>
      <c r="AY40" s="23">
        <f>SUM(AY1:AY4)*Y20</f>
        <v>0</v>
      </c>
      <c r="AZ40" s="326">
        <f t="shared" si="1"/>
        <v>0</v>
      </c>
      <c r="BA40" s="95">
        <f>VLOOKUP(AU40,CENY!$B$11:$M$2025,12,FALSE)</f>
        <v>164.23333</v>
      </c>
      <c r="BB40" s="95">
        <f t="shared" si="0"/>
        <v>0</v>
      </c>
      <c r="BD40" s="20"/>
      <c r="BE40" s="21"/>
      <c r="BF40" s="22"/>
      <c r="BG40" s="22"/>
      <c r="BH40" s="23"/>
      <c r="BI40" s="326" t="str">
        <f t="shared" si="2"/>
        <v/>
      </c>
      <c r="BJ40" s="95"/>
      <c r="BK40" s="95" t="str">
        <f t="shared" si="3"/>
        <v/>
      </c>
    </row>
    <row r="41" spans="47:63" ht="14.4" customHeight="1">
      <c r="AU41" s="319">
        <f>OBJ!B249</f>
        <v>9318194</v>
      </c>
      <c r="AV41" s="21" t="str">
        <f>VLOOKUP(AU41,CENY!$B$11:$G$1054,2,FALSE)</f>
        <v>Actro You(L) 550/SiSy 40kg; EB21</v>
      </c>
      <c r="AW41" s="22">
        <f>VLOOKUP(AU41,CENY!$B$11:$G$1054,3,FALSE)</f>
        <v>1</v>
      </c>
      <c r="AX41" s="362">
        <v>10</v>
      </c>
      <c r="AY41" s="23">
        <f>SUM(AY1:AY4)*AA20</f>
        <v>0</v>
      </c>
      <c r="AZ41" s="326">
        <f t="shared" si="1"/>
        <v>0</v>
      </c>
      <c r="BA41" s="95">
        <f>VLOOKUP(AU41,CENY!$B$11:$M$2025,12,FALSE)</f>
        <v>173.62268</v>
      </c>
      <c r="BB41" s="95">
        <f t="shared" si="0"/>
        <v>0</v>
      </c>
      <c r="BD41" s="319">
        <f>OBJ!B71</f>
        <v>9347502</v>
      </c>
      <c r="BE41" s="21" t="str">
        <f>VLOOKUP(BD41,CENY!$B$11:$G$1054,2,FALSE)</f>
        <v>AvanY-design ALprofil Hybrid na bok 270/ strieb.</v>
      </c>
      <c r="BF41" s="22">
        <f>VLOOKUP(BD41,CENY!$B$11:$G$1054,3,FALSE)</f>
        <v>200</v>
      </c>
      <c r="BG41" s="22"/>
      <c r="BH41" s="68"/>
      <c r="BI41" s="326" t="str">
        <f t="shared" si="2"/>
        <v/>
      </c>
      <c r="BJ41" s="95">
        <f>VLOOKUP(BD41,CENY!$B$11:$M$2025,12,FALSE)</f>
        <v>19.78839</v>
      </c>
      <c r="BK41" s="95">
        <f t="shared" si="3"/>
        <v>0</v>
      </c>
    </row>
    <row r="42" spans="47:63" ht="14.4" customHeight="1">
      <c r="AU42" s="319">
        <f>OBJ!B250</f>
        <v>9318196</v>
      </c>
      <c r="AV42" s="21" t="str">
        <f>VLOOKUP(AU42,CENY!$B$11:$G$1054,2,FALSE)</f>
        <v>Actro You(L) 600/SiSy 40kg; EB21</v>
      </c>
      <c r="AW42" s="22">
        <f>VLOOKUP(AU42,CENY!$B$11:$G$1054,3,FALSE)</f>
        <v>1</v>
      </c>
      <c r="AX42" s="362">
        <v>10</v>
      </c>
      <c r="AY42" s="23">
        <f>SUM(AY1:AY4)*AC20</f>
        <v>0</v>
      </c>
      <c r="AZ42" s="326">
        <f t="shared" si="1"/>
        <v>0</v>
      </c>
      <c r="BA42" s="95">
        <f>VLOOKUP(AU42,CENY!$B$11:$M$2025,12,FALSE)</f>
        <v>726.70140000000004</v>
      </c>
      <c r="BB42" s="95">
        <f t="shared" si="0"/>
        <v>0</v>
      </c>
      <c r="BD42" s="319">
        <f>OBJ!B72</f>
        <v>9347503</v>
      </c>
      <c r="BE42" s="21" t="str">
        <f>VLOOKUP(BD42,CENY!$B$11:$G$1054,2,FALSE)</f>
        <v>AvanY-design ALprofil Hybrid na bok 300/ strieb.</v>
      </c>
      <c r="BF42" s="22">
        <f>VLOOKUP(BD42,CENY!$B$11:$G$1054,3,FALSE)</f>
        <v>200</v>
      </c>
      <c r="BG42" s="22"/>
      <c r="BH42" s="68"/>
      <c r="BI42" s="326" t="str">
        <f t="shared" si="2"/>
        <v/>
      </c>
      <c r="BJ42" s="95">
        <f>VLOOKUP(BD42,CENY!$B$11:$M$2025,12,FALSE)</f>
        <v>20.006769999999999</v>
      </c>
      <c r="BK42" s="95">
        <f t="shared" si="3"/>
        <v>0</v>
      </c>
    </row>
    <row r="43" spans="47:63" ht="14.4" customHeight="1">
      <c r="AU43" s="319"/>
      <c r="AV43" s="21"/>
      <c r="AW43" s="22"/>
      <c r="AX43" s="22"/>
      <c r="AY43" s="23"/>
      <c r="AZ43" s="326" t="str">
        <f t="shared" si="1"/>
        <v/>
      </c>
      <c r="BA43" s="95"/>
      <c r="BB43" s="95" t="str">
        <f t="shared" si="0"/>
        <v/>
      </c>
      <c r="BD43" s="319">
        <f>OBJ!B73</f>
        <v>9347504</v>
      </c>
      <c r="BE43" s="21" t="str">
        <f>VLOOKUP(BD43,CENY!$B$11:$G$1054,2,FALSE)</f>
        <v>AvanY-design ALprofil Hybrid na bok 350/ strieb.</v>
      </c>
      <c r="BF43" s="22">
        <f>VLOOKUP(BD43,CENY!$B$11:$G$1054,3,FALSE)</f>
        <v>200</v>
      </c>
      <c r="BG43" s="22"/>
      <c r="BH43" s="68"/>
      <c r="BI43" s="326" t="str">
        <f t="shared" si="2"/>
        <v/>
      </c>
      <c r="BJ43" s="95">
        <f>VLOOKUP(BD43,CENY!$B$11:$M$2025,12,FALSE)</f>
        <v>20.37642</v>
      </c>
      <c r="BK43" s="95">
        <f t="shared" si="3"/>
        <v>0</v>
      </c>
    </row>
    <row r="44" spans="47:63" ht="14.4" customHeight="1">
      <c r="AU44" s="319">
        <f>OBJ!B268</f>
        <v>9318215</v>
      </c>
      <c r="AV44" s="21" t="str">
        <f>VLOOKUP(AU44,CENY!$B$11:$G$1054,2,FALSE)</f>
        <v>Actro You(XL) 450/SiSy 70kg; EB21</v>
      </c>
      <c r="AW44" s="22">
        <f>VLOOKUP(AU44,CENY!$B$11:$G$1054,3,FALSE)</f>
        <v>1</v>
      </c>
      <c r="AX44" s="362">
        <v>10</v>
      </c>
      <c r="AY44" s="23">
        <f>SUM(AY1:AY4)*W22</f>
        <v>0</v>
      </c>
      <c r="AZ44" s="326">
        <f t="shared" si="1"/>
        <v>0</v>
      </c>
      <c r="BA44" s="95">
        <f>VLOOKUP(AU44,CENY!$B$11:$M$2025,12,FALSE)</f>
        <v>197.37184999999999</v>
      </c>
      <c r="BB44" s="95">
        <f t="shared" si="0"/>
        <v>0</v>
      </c>
      <c r="BD44" s="319">
        <f>OBJ!B74</f>
        <v>9347505</v>
      </c>
      <c r="BE44" s="21" t="str">
        <f>VLOOKUP(BD44,CENY!$B$11:$G$1054,2,FALSE)</f>
        <v>AvanY-design ALprofil Hybrid na bok 400/ strieb.</v>
      </c>
      <c r="BF44" s="22">
        <f>VLOOKUP(BD44,CENY!$B$11:$G$1054,3,FALSE)</f>
        <v>200</v>
      </c>
      <c r="BG44" s="22"/>
      <c r="BH44" s="68"/>
      <c r="BI44" s="326" t="str">
        <f t="shared" si="2"/>
        <v/>
      </c>
      <c r="BJ44" s="95">
        <f>VLOOKUP(BD44,CENY!$B$11:$M$2025,12,FALSE)</f>
        <v>20.742249999999999</v>
      </c>
      <c r="BK44" s="95">
        <f t="shared" si="3"/>
        <v>0</v>
      </c>
    </row>
    <row r="45" spans="47:63" ht="14.4" customHeight="1">
      <c r="AU45" s="319">
        <f>OBJ!B269</f>
        <v>9318216</v>
      </c>
      <c r="AV45" s="21" t="str">
        <f>VLOOKUP(AU45,CENY!$B$11:$G$1054,2,FALSE)</f>
        <v>Actro You(XL) 500/SiSy 70kg; EB21</v>
      </c>
      <c r="AW45" s="22">
        <f>VLOOKUP(AU45,CENY!$B$11:$G$1054,3,FALSE)</f>
        <v>1</v>
      </c>
      <c r="AX45" s="362">
        <v>10</v>
      </c>
      <c r="AY45" s="23">
        <f>SUM(AY1:AY4)*Y22</f>
        <v>0</v>
      </c>
      <c r="AZ45" s="326">
        <f t="shared" si="1"/>
        <v>0</v>
      </c>
      <c r="BA45" s="95">
        <f>VLOOKUP(AU45,CENY!$B$11:$M$2025,12,FALSE)</f>
        <v>823.68502000000001</v>
      </c>
      <c r="BB45" s="95">
        <f t="shared" si="0"/>
        <v>0</v>
      </c>
      <c r="BD45" s="319">
        <f>OBJ!B75</f>
        <v>9347506</v>
      </c>
      <c r="BE45" s="21" t="str">
        <f>VLOOKUP(BD45,CENY!$B$11:$G$1054,2,FALSE)</f>
        <v>AvanY-design ALprofil Hybrid na bok 450/ strieb.</v>
      </c>
      <c r="BF45" s="22">
        <f>VLOOKUP(BD45,CENY!$B$11:$G$1054,3,FALSE)</f>
        <v>200</v>
      </c>
      <c r="BG45" s="22"/>
      <c r="BH45" s="68"/>
      <c r="BI45" s="326" t="str">
        <f t="shared" si="2"/>
        <v/>
      </c>
      <c r="BJ45" s="95">
        <f>VLOOKUP(BD45,CENY!$B$11:$M$2025,12,FALSE)</f>
        <v>21.111910000000002</v>
      </c>
      <c r="BK45" s="95">
        <f t="shared" si="3"/>
        <v>0</v>
      </c>
    </row>
    <row r="46" spans="47:63" ht="14.4" customHeight="1">
      <c r="AU46" s="319">
        <f>OBJ!B270</f>
        <v>9318217</v>
      </c>
      <c r="AV46" s="21" t="str">
        <f>VLOOKUP(AU46,CENY!$B$11:$G$1054,2,FALSE)</f>
        <v>Actro You(XL) 550/SiSy 70kg; EB21</v>
      </c>
      <c r="AW46" s="22">
        <f>VLOOKUP(AU46,CENY!$B$11:$G$1054,3,FALSE)</f>
        <v>1</v>
      </c>
      <c r="AX46" s="362">
        <v>10</v>
      </c>
      <c r="AY46" s="23">
        <f>SUM(AY1:AY4)*AA22</f>
        <v>0</v>
      </c>
      <c r="AZ46" s="326">
        <f t="shared" si="1"/>
        <v>0</v>
      </c>
      <c r="BA46" s="95">
        <f>VLOOKUP(AU46,CENY!$B$11:$M$2025,12,FALSE)</f>
        <v>862.82307000000003</v>
      </c>
      <c r="BB46" s="95">
        <f t="shared" si="0"/>
        <v>0</v>
      </c>
      <c r="BD46" s="319">
        <f>OBJ!B76</f>
        <v>9347507</v>
      </c>
      <c r="BE46" s="21" t="str">
        <f>VLOOKUP(BD46,CENY!$B$11:$G$1054,2,FALSE)</f>
        <v>AvanY-design ALprofil Hybrid na bok 500/ strieb.</v>
      </c>
      <c r="BF46" s="22">
        <f>VLOOKUP(BD46,CENY!$B$11:$G$1054,3,FALSE)</f>
        <v>200</v>
      </c>
      <c r="BG46" s="22"/>
      <c r="BH46" s="68"/>
      <c r="BI46" s="326" t="str">
        <f t="shared" si="2"/>
        <v/>
      </c>
      <c r="BJ46" s="95">
        <f>VLOOKUP(BD46,CENY!$B$11:$M$2025,12,FALSE)</f>
        <v>21.479700000000001</v>
      </c>
      <c r="BK46" s="95">
        <f t="shared" si="3"/>
        <v>0</v>
      </c>
    </row>
    <row r="47" spans="47:63" ht="14.4" customHeight="1">
      <c r="AU47" s="319">
        <f>OBJ!B271</f>
        <v>9318218</v>
      </c>
      <c r="AV47" s="21" t="str">
        <f>VLOOKUP(AU47,CENY!$B$11:$G$1054,2,FALSE)</f>
        <v>Actro You(XL) 600/SiSy 70kg; EB21</v>
      </c>
      <c r="AW47" s="22">
        <f>VLOOKUP(AU47,CENY!$B$11:$G$1054,3,FALSE)</f>
        <v>1</v>
      </c>
      <c r="AX47" s="362">
        <v>10</v>
      </c>
      <c r="AY47" s="23">
        <f>SUM(AY1:AY4)*AC22</f>
        <v>0</v>
      </c>
      <c r="AZ47" s="326">
        <f t="shared" si="1"/>
        <v>0</v>
      </c>
      <c r="BA47" s="95">
        <f>VLOOKUP(AU47,CENY!$B$11:$M$2025,12,FALSE)</f>
        <v>941.88580999999999</v>
      </c>
      <c r="BB47" s="95">
        <f t="shared" si="0"/>
        <v>0</v>
      </c>
      <c r="BD47" s="319">
        <f>OBJ!B77</f>
        <v>9347508</v>
      </c>
      <c r="BE47" s="21" t="str">
        <f>VLOOKUP(BD47,CENY!$B$11:$G$1054,2,FALSE)</f>
        <v>AvanY-design ALprofil Hybrid na bok 550/ strieb.</v>
      </c>
      <c r="BF47" s="22">
        <f>VLOOKUP(BD47,CENY!$B$11:$G$1054,3,FALSE)</f>
        <v>200</v>
      </c>
      <c r="BG47" s="22"/>
      <c r="BH47" s="68"/>
      <c r="BI47" s="326" t="str">
        <f t="shared" si="2"/>
        <v/>
      </c>
      <c r="BJ47" s="95">
        <f>VLOOKUP(BD47,CENY!$B$11:$M$2025,12,FALSE)</f>
        <v>21.84564</v>
      </c>
      <c r="BK47" s="95">
        <f t="shared" si="3"/>
        <v>0</v>
      </c>
    </row>
    <row r="48" spans="47:63" ht="14.4" customHeight="1">
      <c r="AU48" s="319">
        <f>OBJ!B272</f>
        <v>9318219</v>
      </c>
      <c r="AV48" s="21" t="str">
        <f>VLOOKUP(AU48,CENY!$B$11:$G$1054,2,FALSE)</f>
        <v>Actro You(XL) 650/SiSy 70kg; EB21</v>
      </c>
      <c r="AW48" s="22">
        <f>VLOOKUP(AU48,CENY!$B$11:$G$1054,3,FALSE)</f>
        <v>1</v>
      </c>
      <c r="AX48" s="362">
        <v>10</v>
      </c>
      <c r="AY48" s="23">
        <f>SUM(AY1:AY4)*AE22</f>
        <v>0</v>
      </c>
      <c r="AZ48" s="326">
        <f t="shared" si="1"/>
        <v>0</v>
      </c>
      <c r="BA48" s="95">
        <f>VLOOKUP(AU48,CENY!$B$11:$M$2025,12,FALSE)</f>
        <v>977.56314999999995</v>
      </c>
      <c r="BB48" s="95">
        <f t="shared" si="0"/>
        <v>0</v>
      </c>
      <c r="BD48" s="319">
        <f>OBJ!B78</f>
        <v>9347509</v>
      </c>
      <c r="BE48" s="21" t="str">
        <f>VLOOKUP(BD48,CENY!$B$11:$G$1054,2,FALSE)</f>
        <v>AvanY-design ALprofil Hybrid na bok 600/ strieb.</v>
      </c>
      <c r="BF48" s="22">
        <f>VLOOKUP(BD48,CENY!$B$11:$G$1054,3,FALSE)</f>
        <v>200</v>
      </c>
      <c r="BG48" s="22"/>
      <c r="BH48" s="68"/>
      <c r="BI48" s="326" t="str">
        <f t="shared" si="2"/>
        <v/>
      </c>
      <c r="BJ48" s="95">
        <f>VLOOKUP(BD48,CENY!$B$11:$M$2025,12,FALSE)</f>
        <v>22.79205</v>
      </c>
      <c r="BK48" s="95">
        <f t="shared" si="3"/>
        <v>0</v>
      </c>
    </row>
    <row r="49" spans="47:63" ht="14.4" customHeight="1">
      <c r="AU49" s="319"/>
      <c r="AV49" s="21"/>
      <c r="AW49" s="22"/>
      <c r="AX49" s="22"/>
      <c r="AY49" s="23"/>
      <c r="AZ49" s="326" t="str">
        <f t="shared" si="1"/>
        <v/>
      </c>
      <c r="BA49" s="95"/>
      <c r="BB49" s="95" t="str">
        <f t="shared" si="0"/>
        <v/>
      </c>
      <c r="BD49" s="319">
        <f>OBJ!B79</f>
        <v>9347510</v>
      </c>
      <c r="BE49" s="21" t="str">
        <f>VLOOKUP(BD49,CENY!$B$11:$G$1054,2,FALSE)</f>
        <v>AvanY-design ALprofil Hybrid na bok 650/ strieb.</v>
      </c>
      <c r="BF49" s="22">
        <f>VLOOKUP(BD49,CENY!$B$11:$G$1054,3,FALSE)</f>
        <v>200</v>
      </c>
      <c r="BG49" s="22"/>
      <c r="BH49" s="68"/>
      <c r="BI49" s="326" t="str">
        <f t="shared" si="2"/>
        <v/>
      </c>
      <c r="BJ49" s="95">
        <f>VLOOKUP(BD49,CENY!$B$11:$M$2025,12,FALSE)</f>
        <v>24.580449999999999</v>
      </c>
      <c r="BK49" s="95">
        <f t="shared" si="3"/>
        <v>0</v>
      </c>
    </row>
    <row r="50" spans="47:63" ht="14.4" customHeight="1">
      <c r="AU50" s="319">
        <f>OBJ!B284</f>
        <v>9257890</v>
      </c>
      <c r="AV50" s="21" t="str">
        <f>VLOOKUP(AU50,CENY!$B$11:$G$1054,2,FALSE)</f>
        <v>Actro You - Push to open Silent; &lt;10kg</v>
      </c>
      <c r="AW50" s="22">
        <f>VLOOKUP(AU50,CENY!$B$11:$G$1054,3,FALSE)</f>
        <v>1</v>
      </c>
      <c r="AX50" s="22"/>
      <c r="AY50" s="68"/>
      <c r="AZ50" s="326" t="str">
        <f t="shared" si="1"/>
        <v/>
      </c>
      <c r="BA50" s="95">
        <f>VLOOKUP(AU50,CENY!$B$11:$M$2025,12,FALSE)</f>
        <v>481.81412999999998</v>
      </c>
      <c r="BB50" s="95">
        <f t="shared" si="0"/>
        <v>0</v>
      </c>
      <c r="BD50" s="319"/>
      <c r="BE50" s="21"/>
      <c r="BF50" s="22"/>
      <c r="BG50" s="22"/>
      <c r="BH50" s="23"/>
      <c r="BI50" s="326" t="str">
        <f t="shared" si="2"/>
        <v/>
      </c>
      <c r="BJ50" s="95"/>
      <c r="BK50" s="95" t="str">
        <f t="shared" si="3"/>
        <v/>
      </c>
    </row>
    <row r="51" spans="47:63" ht="14.4" customHeight="1">
      <c r="AU51" s="319">
        <f>OBJ!B285</f>
        <v>9257891</v>
      </c>
      <c r="AV51" s="21" t="str">
        <f>VLOOKUP(AU51,CENY!$B$11:$G$1054,2,FALSE)</f>
        <v>Actro You - Push to open Silent; 8-20kg</v>
      </c>
      <c r="AW51" s="22">
        <f>VLOOKUP(AU51,CENY!$B$11:$G$1054,3,FALSE)</f>
        <v>1</v>
      </c>
      <c r="AX51" s="22"/>
      <c r="AY51" s="68"/>
      <c r="AZ51" s="326" t="str">
        <f t="shared" si="1"/>
        <v/>
      </c>
      <c r="BA51" s="95">
        <f>VLOOKUP(AU51,CENY!$B$11:$M$2025,12,FALSE)</f>
        <v>481.81412999999998</v>
      </c>
      <c r="BB51" s="95">
        <f t="shared" si="0"/>
        <v>0</v>
      </c>
      <c r="BD51" s="319">
        <f>OBJ!B236</f>
        <v>9318145</v>
      </c>
      <c r="BE51" s="21" t="str">
        <f>VLOOKUP(BD51,CENY!$B$11:$G$1054,2,FALSE)</f>
        <v>Actro You(S) 270/SiSy 10kg; EB21; ľavý</v>
      </c>
      <c r="BF51" s="22">
        <f>VLOOKUP(BD51,CENY!$B$11:$G$1054,3,FALSE)</f>
        <v>10</v>
      </c>
      <c r="BG51" s="22"/>
      <c r="BH51" s="68"/>
      <c r="BI51" s="326" t="str">
        <f t="shared" si="2"/>
        <v/>
      </c>
      <c r="BJ51" s="95">
        <f>VLOOKUP(BD51,CENY!$B$11:$M$2025,12,FALSE)</f>
        <v>298.88173999999998</v>
      </c>
      <c r="BK51" s="95">
        <f t="shared" si="3"/>
        <v>0</v>
      </c>
    </row>
    <row r="52" spans="47:63" ht="14.4" customHeight="1">
      <c r="AU52" s="319">
        <f>OBJ!B286</f>
        <v>9257892</v>
      </c>
      <c r="AV52" s="21" t="str">
        <f>VLOOKUP(AU52,CENY!$B$11:$G$1054,2,FALSE)</f>
        <v>Actro You - Push to open Silent; 10-40kg</v>
      </c>
      <c r="AW52" s="22">
        <f>VLOOKUP(AU52,CENY!$B$11:$G$1054,3,FALSE)</f>
        <v>1</v>
      </c>
      <c r="AX52" s="22"/>
      <c r="AY52" s="68"/>
      <c r="AZ52" s="326" t="str">
        <f t="shared" si="1"/>
        <v/>
      </c>
      <c r="BA52" s="95">
        <f>VLOOKUP(AU52,CENY!$B$11:$M$2025,12,FALSE)</f>
        <v>481.81412999999998</v>
      </c>
      <c r="BB52" s="95">
        <f t="shared" si="0"/>
        <v>0</v>
      </c>
      <c r="BD52" s="319">
        <f>OBJ!B237</f>
        <v>9318146</v>
      </c>
      <c r="BE52" s="21" t="str">
        <f>VLOOKUP(BD52,CENY!$B$11:$G$1054,2,FALSE)</f>
        <v>Actro You(S) 270/SiSy 10kg; EB21; pravý</v>
      </c>
      <c r="BF52" s="22">
        <f>VLOOKUP(BD52,CENY!$B$11:$G$1054,3,FALSE)</f>
        <v>10</v>
      </c>
      <c r="BG52" s="22"/>
      <c r="BH52" s="68"/>
      <c r="BI52" s="326" t="str">
        <f t="shared" si="2"/>
        <v/>
      </c>
      <c r="BJ52" s="95">
        <f>VLOOKUP(BD52,CENY!$B$11:$M$2025,12,FALSE)</f>
        <v>298.88173999999998</v>
      </c>
      <c r="BK52" s="95">
        <f t="shared" si="3"/>
        <v>0</v>
      </c>
    </row>
    <row r="53" spans="47:63" ht="14.4" customHeight="1">
      <c r="AU53" s="319">
        <f>OBJ!B287</f>
        <v>9257893</v>
      </c>
      <c r="AV53" s="21" t="str">
        <f>VLOOKUP(AU53,CENY!$B$11:$G$1054,2,FALSE)</f>
        <v>Actro You - Push to open Silent; 20-70kg</v>
      </c>
      <c r="AW53" s="22">
        <f>VLOOKUP(AU53,CENY!$B$11:$G$1054,3,FALSE)</f>
        <v>1</v>
      </c>
      <c r="AX53" s="22"/>
      <c r="AY53" s="68"/>
      <c r="AZ53" s="326" t="str">
        <f t="shared" si="1"/>
        <v/>
      </c>
      <c r="BA53" s="95">
        <f>VLOOKUP(AU53,CENY!$B$11:$M$2025,12,FALSE)</f>
        <v>481.81412999999998</v>
      </c>
      <c r="BB53" s="95">
        <f t="shared" si="0"/>
        <v>0</v>
      </c>
      <c r="BD53" s="319">
        <f>OBJ!B238</f>
        <v>9318147</v>
      </c>
      <c r="BE53" s="21" t="str">
        <f>VLOOKUP(BD53,CENY!$B$11:$G$1054,2,FALSE)</f>
        <v>Actro You(S) 300/SiSy 10kg; EB21; ľavý</v>
      </c>
      <c r="BF53" s="22">
        <f>VLOOKUP(BD53,CENY!$B$11:$G$1054,3,FALSE)</f>
        <v>10</v>
      </c>
      <c r="BG53" s="22"/>
      <c r="BH53" s="68"/>
      <c r="BI53" s="326" t="str">
        <f t="shared" si="2"/>
        <v/>
      </c>
      <c r="BJ53" s="95">
        <f>VLOOKUP(BD53,CENY!$B$11:$M$2025,12,FALSE)</f>
        <v>298.88173999999998</v>
      </c>
      <c r="BK53" s="95">
        <f t="shared" si="3"/>
        <v>0</v>
      </c>
    </row>
    <row r="54" spans="47:63" ht="14.4" customHeight="1">
      <c r="AU54" s="319">
        <f>OBJ!B288</f>
        <v>9236718</v>
      </c>
      <c r="AV54" s="21" t="str">
        <f>VLOOKUP(AU54,CENY!$B$11:$G$1054,2,FALSE)</f>
        <v>Push to open Synchro / tyč 2.000 mm</v>
      </c>
      <c r="AW54" s="22">
        <f>VLOOKUP(AU54,CENY!$B$11:$G$1054,3,FALSE)</f>
        <v>100</v>
      </c>
      <c r="AX54" s="22"/>
      <c r="AY54" s="68"/>
      <c r="AZ54" s="326" t="str">
        <f t="shared" si="1"/>
        <v/>
      </c>
      <c r="BA54" s="95">
        <f>VLOOKUP(AU54,CENY!$B$11:$M$2025,12,FALSE)</f>
        <v>182.03933000000001</v>
      </c>
      <c r="BB54" s="95">
        <f t="shared" si="0"/>
        <v>0</v>
      </c>
      <c r="BD54" s="319">
        <f>OBJ!B239</f>
        <v>9318148</v>
      </c>
      <c r="BE54" s="21" t="str">
        <f>VLOOKUP(BD54,CENY!$B$11:$G$1054,2,FALSE)</f>
        <v>Actro You(S) 300/SiSy 10kg; EB21; pravý</v>
      </c>
      <c r="BF54" s="22">
        <f>VLOOKUP(BD54,CENY!$B$11:$G$1054,3,FALSE)</f>
        <v>10</v>
      </c>
      <c r="BG54" s="22"/>
      <c r="BH54" s="68"/>
      <c r="BI54" s="326" t="str">
        <f t="shared" si="2"/>
        <v/>
      </c>
      <c r="BJ54" s="95">
        <f>VLOOKUP(BD54,CENY!$B$11:$M$2025,12,FALSE)</f>
        <v>298.88173999999998</v>
      </c>
      <c r="BK54" s="95">
        <f t="shared" si="3"/>
        <v>0</v>
      </c>
    </row>
    <row r="55" spans="47:63" ht="14.4" customHeight="1">
      <c r="AU55" s="319"/>
      <c r="AV55" s="21"/>
      <c r="AW55" s="22"/>
      <c r="AX55" s="22"/>
      <c r="AY55" s="23"/>
      <c r="AZ55" s="326" t="str">
        <f t="shared" si="1"/>
        <v/>
      </c>
      <c r="BA55" s="95"/>
      <c r="BB55" s="95" t="str">
        <f t="shared" si="0"/>
        <v/>
      </c>
      <c r="BD55" s="319">
        <f>OBJ!B240</f>
        <v>9318149</v>
      </c>
      <c r="BE55" s="21" t="str">
        <f>VLOOKUP(BD55,CENY!$B$11:$G$1054,2,FALSE)</f>
        <v>Actro You(S) 350/SiSy 10kg; EB21; ľavý</v>
      </c>
      <c r="BF55" s="22">
        <f>VLOOKUP(BD55,CENY!$B$11:$G$1054,3,FALSE)</f>
        <v>10</v>
      </c>
      <c r="BG55" s="22"/>
      <c r="BH55" s="68"/>
      <c r="BI55" s="326" t="str">
        <f t="shared" si="2"/>
        <v/>
      </c>
      <c r="BJ55" s="95">
        <f>VLOOKUP(BD55,CENY!$B$11:$M$2025,12,FALSE)</f>
        <v>298.88173999999998</v>
      </c>
      <c r="BK55" s="95">
        <f t="shared" si="3"/>
        <v>0</v>
      </c>
    </row>
    <row r="56" spans="47:63" ht="14.4" customHeight="1">
      <c r="AU56" s="319">
        <f>OBJ!B294</f>
        <v>9256953</v>
      </c>
      <c r="AV56" s="21" t="str">
        <f>VLOOKUP(AU56,CENY!$B$11:$G$1054,2,FALSE)</f>
        <v>Quadro You(S) 270/SiSy 10kg; EB21</v>
      </c>
      <c r="AW56" s="22">
        <f>VLOOKUP(AU56,CENY!$B$11:$G$1054,3,FALSE)</f>
        <v>1</v>
      </c>
      <c r="AX56" s="362">
        <v>4</v>
      </c>
      <c r="AY56" s="68"/>
      <c r="AZ56" s="326" t="str">
        <f t="shared" si="1"/>
        <v/>
      </c>
      <c r="BA56" s="95">
        <f>VLOOKUP(AU56,CENY!$B$11:$M$2025,12,FALSE)</f>
        <v>478.60127999999997</v>
      </c>
      <c r="BB56" s="95">
        <f t="shared" si="0"/>
        <v>0</v>
      </c>
      <c r="BD56" s="319">
        <f>OBJ!B241</f>
        <v>9318150</v>
      </c>
      <c r="BE56" s="21" t="str">
        <f>VLOOKUP(BD56,CENY!$B$11:$G$1054,2,FALSE)</f>
        <v>Actro You(S) 350/SiSy 10kg; EB21; pravý</v>
      </c>
      <c r="BF56" s="22">
        <f>VLOOKUP(BD56,CENY!$B$11:$G$1054,3,FALSE)</f>
        <v>10</v>
      </c>
      <c r="BG56" s="22"/>
      <c r="BH56" s="68"/>
      <c r="BI56" s="326" t="str">
        <f t="shared" si="2"/>
        <v/>
      </c>
      <c r="BJ56" s="95">
        <f>VLOOKUP(BD56,CENY!$B$11:$M$2025,12,FALSE)</f>
        <v>298.88173999999998</v>
      </c>
      <c r="BK56" s="95">
        <f t="shared" si="3"/>
        <v>0</v>
      </c>
    </row>
    <row r="57" spans="47:63" ht="14.4" customHeight="1">
      <c r="AU57" s="319">
        <f>OBJ!B295</f>
        <v>9256954</v>
      </c>
      <c r="AV57" s="21" t="str">
        <f>VLOOKUP(AU57,CENY!$B$11:$G$1054,2,FALSE)</f>
        <v>Quadro You(S) 300/SiSy 10kg; EB21</v>
      </c>
      <c r="AW57" s="22">
        <f>VLOOKUP(AU57,CENY!$B$11:$G$1054,3,FALSE)</f>
        <v>1</v>
      </c>
      <c r="AX57" s="362">
        <v>4</v>
      </c>
      <c r="AY57" s="68"/>
      <c r="AZ57" s="326" t="str">
        <f t="shared" si="1"/>
        <v/>
      </c>
      <c r="BA57" s="95">
        <f>VLOOKUP(AU57,CENY!$B$11:$M$2025,12,FALSE)</f>
        <v>479.57344999999998</v>
      </c>
      <c r="BB57" s="95">
        <f t="shared" si="0"/>
        <v>0</v>
      </c>
      <c r="BD57" s="319"/>
      <c r="BE57" s="21"/>
      <c r="BF57" s="22"/>
      <c r="BG57" s="22"/>
      <c r="BH57" s="23"/>
      <c r="BI57" s="326" t="str">
        <f t="shared" si="2"/>
        <v/>
      </c>
      <c r="BJ57" s="95"/>
      <c r="BK57" s="95" t="str">
        <f t="shared" si="3"/>
        <v/>
      </c>
    </row>
    <row r="58" spans="47:63" ht="14.4" customHeight="1">
      <c r="AU58" s="319">
        <f>OBJ!B296</f>
        <v>9256956</v>
      </c>
      <c r="AV58" s="21" t="str">
        <f>VLOOKUP(AU58,CENY!$B$11:$G$1054,2,FALSE)</f>
        <v>Quadro You(S) 350/SiSy 10kg; EB21</v>
      </c>
      <c r="AW58" s="22">
        <f>VLOOKUP(AU58,CENY!$B$11:$G$1054,3,FALSE)</f>
        <v>1</v>
      </c>
      <c r="AX58" s="362">
        <v>4</v>
      </c>
      <c r="AY58" s="68"/>
      <c r="AZ58" s="326" t="str">
        <f t="shared" si="1"/>
        <v/>
      </c>
      <c r="BA58" s="95">
        <f>VLOOKUP(AU58,CENY!$B$11:$M$2025,12,FALSE)</f>
        <v>489.27857</v>
      </c>
      <c r="BB58" s="95">
        <f t="shared" si="0"/>
        <v>0</v>
      </c>
      <c r="BD58" s="319">
        <f>OBJ!B251</f>
        <v>9318167</v>
      </c>
      <c r="BE58" s="21" t="str">
        <f>VLOOKUP(BD58,CENY!$B$11:$G$1054,2,FALSE)</f>
        <v>Actro You(L) 270/SiSy 40kg; EB21; ľavý</v>
      </c>
      <c r="BF58" s="22">
        <f>VLOOKUP(BD58,CENY!$B$11:$G$1054,3,FALSE)</f>
        <v>10</v>
      </c>
      <c r="BG58" s="22"/>
      <c r="BH58" s="68"/>
      <c r="BI58" s="326" t="str">
        <f t="shared" si="2"/>
        <v/>
      </c>
      <c r="BJ58" s="95">
        <f>VLOOKUP(BD58,CENY!$B$11:$M$2025,12,FALSE)</f>
        <v>298.88173999999998</v>
      </c>
      <c r="BK58" s="95">
        <f t="shared" si="3"/>
        <v>0</v>
      </c>
    </row>
    <row r="59" spans="47:63" ht="14.4" customHeight="1">
      <c r="AU59" s="319"/>
      <c r="AV59" s="21"/>
      <c r="AW59" s="22"/>
      <c r="AX59" s="22"/>
      <c r="AY59" s="23"/>
      <c r="AZ59" s="326" t="str">
        <f t="shared" si="1"/>
        <v/>
      </c>
      <c r="BA59" s="95"/>
      <c r="BB59" s="95" t="str">
        <f t="shared" si="0"/>
        <v/>
      </c>
      <c r="BD59" s="319">
        <f>OBJ!B252</f>
        <v>9318170</v>
      </c>
      <c r="BE59" s="21" t="str">
        <f>VLOOKUP(BD59,CENY!$B$11:$G$1054,2,FALSE)</f>
        <v>Actro You(L) 270/SiSy 40kg; EB21; pravý</v>
      </c>
      <c r="BF59" s="22">
        <f>VLOOKUP(BD59,CENY!$B$11:$G$1054,3,FALSE)</f>
        <v>10</v>
      </c>
      <c r="BG59" s="22"/>
      <c r="BH59" s="68"/>
      <c r="BI59" s="326" t="str">
        <f t="shared" si="2"/>
        <v/>
      </c>
      <c r="BJ59" s="95">
        <f>VLOOKUP(BD59,CENY!$B$11:$M$2025,12,FALSE)</f>
        <v>298.88173999999998</v>
      </c>
      <c r="BK59" s="95">
        <f t="shared" si="3"/>
        <v>0</v>
      </c>
    </row>
    <row r="60" spans="47:63" ht="14.4" customHeight="1">
      <c r="AU60" s="319">
        <f>OBJ!B304</f>
        <v>9256883</v>
      </c>
      <c r="AV60" s="21" t="str">
        <f>VLOOKUP(AU60,CENY!$B$11:$G$1054,2,FALSE)</f>
        <v>Quadro You(M) 270/SiSy 20kg; EB21</v>
      </c>
      <c r="AW60" s="22">
        <f>VLOOKUP(AU60,CENY!$B$11:$G$1054,3,FALSE)</f>
        <v>1</v>
      </c>
      <c r="AX60" s="362">
        <v>8</v>
      </c>
      <c r="AY60" s="68"/>
      <c r="AZ60" s="326" t="str">
        <f t="shared" si="1"/>
        <v/>
      </c>
      <c r="BA60" s="95">
        <f>VLOOKUP(AU60,CENY!$B$11:$M$2025,12,FALSE)</f>
        <v>478.60127999999997</v>
      </c>
      <c r="BB60" s="95">
        <f t="shared" si="0"/>
        <v>0</v>
      </c>
      <c r="BD60" s="319">
        <f>OBJ!B253</f>
        <v>9318171</v>
      </c>
      <c r="BE60" s="21" t="str">
        <f>VLOOKUP(BD60,CENY!$B$11:$G$1054,2,FALSE)</f>
        <v>Actro You(L) 300/SiSy 40kg; EB21; ľavý</v>
      </c>
      <c r="BF60" s="22">
        <f>VLOOKUP(BD60,CENY!$B$11:$G$1054,3,FALSE)</f>
        <v>10</v>
      </c>
      <c r="BG60" s="22"/>
      <c r="BH60" s="68"/>
      <c r="BI60" s="326" t="str">
        <f t="shared" si="2"/>
        <v/>
      </c>
      <c r="BJ60" s="95">
        <f>VLOOKUP(BD60,CENY!$B$11:$M$2025,12,FALSE)</f>
        <v>298.88173999999998</v>
      </c>
      <c r="BK60" s="95">
        <f t="shared" si="3"/>
        <v>0</v>
      </c>
    </row>
    <row r="61" spans="47:63" ht="14.4" customHeight="1">
      <c r="AU61" s="319">
        <f>OBJ!B305</f>
        <v>9256884</v>
      </c>
      <c r="AV61" s="21" t="str">
        <f>VLOOKUP(AU61,CENY!$B$11:$G$1054,2,FALSE)</f>
        <v>Quadro You(M) 300/SiSy 20kg; EB21</v>
      </c>
      <c r="AW61" s="22">
        <f>VLOOKUP(AU61,CENY!$B$11:$G$1054,3,FALSE)</f>
        <v>1</v>
      </c>
      <c r="AX61" s="362">
        <v>8</v>
      </c>
      <c r="AY61" s="68"/>
      <c r="AZ61" s="326" t="str">
        <f t="shared" si="1"/>
        <v/>
      </c>
      <c r="BA61" s="95">
        <f>VLOOKUP(AU61,CENY!$B$11:$M$2025,12,FALSE)</f>
        <v>479.57344999999998</v>
      </c>
      <c r="BB61" s="95">
        <f t="shared" si="0"/>
        <v>0</v>
      </c>
      <c r="BD61" s="319">
        <f>OBJ!B254</f>
        <v>9318172</v>
      </c>
      <c r="BE61" s="21" t="str">
        <f>VLOOKUP(BD61,CENY!$B$11:$G$1054,2,FALSE)</f>
        <v>Actro You(L) 300/SiSy 40kg; EB21; pravý</v>
      </c>
      <c r="BF61" s="22">
        <f>VLOOKUP(BD61,CENY!$B$11:$G$1054,3,FALSE)</f>
        <v>10</v>
      </c>
      <c r="BG61" s="22"/>
      <c r="BH61" s="68"/>
      <c r="BI61" s="326" t="str">
        <f t="shared" si="2"/>
        <v/>
      </c>
      <c r="BJ61" s="95">
        <f>VLOOKUP(BD61,CENY!$B$11:$M$2025,12,FALSE)</f>
        <v>298.88173999999998</v>
      </c>
      <c r="BK61" s="95">
        <f t="shared" si="3"/>
        <v>0</v>
      </c>
    </row>
    <row r="62" spans="47:63" ht="14.4" customHeight="1">
      <c r="AU62" s="319">
        <f>OBJ!B306</f>
        <v>9256886</v>
      </c>
      <c r="AV62" s="21" t="str">
        <f>VLOOKUP(AU62,CENY!$B$11:$G$1054,2,FALSE)</f>
        <v>Quadro You(M) 350/SiSy 25kg; EB21</v>
      </c>
      <c r="AW62" s="22">
        <f>VLOOKUP(AU62,CENY!$B$11:$G$1054,3,FALSE)</f>
        <v>1</v>
      </c>
      <c r="AX62" s="362">
        <v>8</v>
      </c>
      <c r="AY62" s="68"/>
      <c r="AZ62" s="326" t="str">
        <f t="shared" si="1"/>
        <v/>
      </c>
      <c r="BA62" s="95">
        <f>VLOOKUP(AU62,CENY!$B$11:$M$2025,12,FALSE)</f>
        <v>489.27857</v>
      </c>
      <c r="BB62" s="95">
        <f t="shared" si="0"/>
        <v>0</v>
      </c>
      <c r="BD62" s="319">
        <f>OBJ!B255</f>
        <v>9318173</v>
      </c>
      <c r="BE62" s="21" t="str">
        <f>VLOOKUP(BD62,CENY!$B$11:$G$1054,2,FALSE)</f>
        <v>Actro You(L) 350/SiSy 40kg; EB21; ľavý</v>
      </c>
      <c r="BF62" s="22">
        <f>VLOOKUP(BD62,CENY!$B$11:$G$1054,3,FALSE)</f>
        <v>10</v>
      </c>
      <c r="BG62" s="22"/>
      <c r="BH62" s="68"/>
      <c r="BI62" s="326" t="str">
        <f t="shared" si="2"/>
        <v/>
      </c>
      <c r="BJ62" s="95">
        <f>VLOOKUP(BD62,CENY!$B$11:$M$2025,12,FALSE)</f>
        <v>298.88173999999998</v>
      </c>
      <c r="BK62" s="95">
        <f t="shared" si="3"/>
        <v>0</v>
      </c>
    </row>
    <row r="63" spans="47:63" ht="14.4" customHeight="1">
      <c r="AU63" s="319">
        <f>OBJ!B307</f>
        <v>9256888</v>
      </c>
      <c r="AV63" s="21" t="str">
        <f>VLOOKUP(AU63,CENY!$B$11:$G$1054,2,FALSE)</f>
        <v>Quadro You(M) 400/SiSy 30kg; EB21</v>
      </c>
      <c r="AW63" s="22">
        <f>VLOOKUP(AU63,CENY!$B$11:$G$1054,3,FALSE)</f>
        <v>1</v>
      </c>
      <c r="AX63" s="362">
        <v>8</v>
      </c>
      <c r="AY63" s="68"/>
      <c r="AZ63" s="326" t="str">
        <f t="shared" si="1"/>
        <v/>
      </c>
      <c r="BA63" s="95">
        <f>VLOOKUP(AU63,CENY!$B$11:$M$2025,12,FALSE)</f>
        <v>498.97861999999998</v>
      </c>
      <c r="BB63" s="95">
        <f t="shared" si="0"/>
        <v>0</v>
      </c>
      <c r="BD63" s="319">
        <f>OBJ!B256</f>
        <v>9318174</v>
      </c>
      <c r="BE63" s="21" t="str">
        <f>VLOOKUP(BD63,CENY!$B$11:$G$1054,2,FALSE)</f>
        <v>Actro You(L) 350/SiSy 40kg; EB21; pravý</v>
      </c>
      <c r="BF63" s="22">
        <f>VLOOKUP(BD63,CENY!$B$11:$G$1054,3,FALSE)</f>
        <v>10</v>
      </c>
      <c r="BG63" s="22"/>
      <c r="BH63" s="68"/>
      <c r="BI63" s="326" t="str">
        <f t="shared" si="2"/>
        <v/>
      </c>
      <c r="BJ63" s="95">
        <f>VLOOKUP(BD63,CENY!$B$11:$M$2025,12,FALSE)</f>
        <v>298.88173999999998</v>
      </c>
      <c r="BK63" s="95">
        <f t="shared" si="3"/>
        <v>0</v>
      </c>
    </row>
    <row r="64" spans="47:63" ht="14.4" customHeight="1">
      <c r="AU64" s="319">
        <f>OBJ!B308</f>
        <v>9256890</v>
      </c>
      <c r="AV64" s="21" t="str">
        <f>VLOOKUP(AU64,CENY!$B$11:$G$1054,2,FALSE)</f>
        <v>Quadro You(M) 450/SiSy 30kg; EB21</v>
      </c>
      <c r="AW64" s="22">
        <f>VLOOKUP(AU64,CENY!$B$11:$G$1054,3,FALSE)</f>
        <v>1</v>
      </c>
      <c r="AX64" s="362">
        <v>8</v>
      </c>
      <c r="AY64" s="23">
        <f>SUM(AY1:AY4)*W28</f>
        <v>0</v>
      </c>
      <c r="AZ64" s="326">
        <f t="shared" si="1"/>
        <v>0</v>
      </c>
      <c r="BA64" s="95">
        <f>VLOOKUP(AU64,CENY!$B$11:$M$2025,12,FALSE)</f>
        <v>122.98869999999999</v>
      </c>
      <c r="BB64" s="95">
        <f t="shared" si="0"/>
        <v>0</v>
      </c>
      <c r="BD64" s="319">
        <f>OBJ!B257</f>
        <v>9318175</v>
      </c>
      <c r="BE64" s="21" t="str">
        <f>VLOOKUP(BD64,CENY!$B$11:$G$1054,2,FALSE)</f>
        <v>Actro You(L) 400/SiSy 40kg; EB21; ľavý</v>
      </c>
      <c r="BF64" s="22">
        <f>VLOOKUP(BD64,CENY!$B$11:$G$1054,3,FALSE)</f>
        <v>10</v>
      </c>
      <c r="BG64" s="22"/>
      <c r="BH64" s="68"/>
      <c r="BI64" s="326" t="str">
        <f t="shared" si="2"/>
        <v/>
      </c>
      <c r="BJ64" s="95">
        <f>VLOOKUP(BD64,CENY!$B$11:$M$2025,12,FALSE)</f>
        <v>302.69770999999997</v>
      </c>
      <c r="BK64" s="95">
        <f t="shared" si="3"/>
        <v>0</v>
      </c>
    </row>
    <row r="65" spans="1:63" ht="14.4" customHeight="1">
      <c r="AU65" s="319">
        <f>OBJ!B309</f>
        <v>9256892</v>
      </c>
      <c r="AV65" s="21" t="str">
        <f>VLOOKUP(AU65,CENY!$B$11:$G$1054,2,FALSE)</f>
        <v>Quadro You(M) 500/SiSy 30kg; EB21</v>
      </c>
      <c r="AW65" s="22">
        <f>VLOOKUP(AU65,CENY!$B$11:$G$1054,3,FALSE)</f>
        <v>1</v>
      </c>
      <c r="AX65" s="362">
        <v>8</v>
      </c>
      <c r="AY65" s="23">
        <f>SUM(AY1:AY4)*Y28</f>
        <v>0</v>
      </c>
      <c r="AZ65" s="326">
        <f t="shared" si="1"/>
        <v>0</v>
      </c>
      <c r="BA65" s="95">
        <f>VLOOKUP(AU65,CENY!$B$11:$M$2025,12,FALSE)</f>
        <v>504.59701000000001</v>
      </c>
      <c r="BB65" s="95">
        <f t="shared" si="0"/>
        <v>0</v>
      </c>
      <c r="BD65" s="319">
        <f>OBJ!B258</f>
        <v>9318176</v>
      </c>
      <c r="BE65" s="21" t="str">
        <f>VLOOKUP(BD65,CENY!$B$11:$G$1054,2,FALSE)</f>
        <v>Actro You(L) 400/SiSy 40kg; EB21; pravý</v>
      </c>
      <c r="BF65" s="22">
        <f>VLOOKUP(BD65,CENY!$B$11:$G$1054,3,FALSE)</f>
        <v>10</v>
      </c>
      <c r="BG65" s="22"/>
      <c r="BH65" s="68"/>
      <c r="BI65" s="326" t="str">
        <f t="shared" si="2"/>
        <v/>
      </c>
      <c r="BJ65" s="95">
        <f>VLOOKUP(BD65,CENY!$B$11:$M$2025,12,FALSE)</f>
        <v>302.69770999999997</v>
      </c>
      <c r="BK65" s="95">
        <f t="shared" si="3"/>
        <v>0</v>
      </c>
    </row>
    <row r="66" spans="1:63" ht="12.9" customHeight="1" thickBot="1">
      <c r="A66" s="577"/>
      <c r="AU66" s="319">
        <f>OBJ!B310</f>
        <v>9256894</v>
      </c>
      <c r="AV66" s="21" t="str">
        <f>VLOOKUP(AU66,CENY!$B$11:$G$1054,2,FALSE)</f>
        <v>Quadro You(M) 550/SiSy 30kg; EB21</v>
      </c>
      <c r="AW66" s="22">
        <f>VLOOKUP(AU66,CENY!$B$11:$G$1054,3,FALSE)</f>
        <v>1</v>
      </c>
      <c r="AX66" s="362">
        <v>8</v>
      </c>
      <c r="AY66" s="23">
        <f>SUM(AY1:AY4)*AA28</f>
        <v>0</v>
      </c>
      <c r="AZ66" s="326">
        <f t="shared" si="1"/>
        <v>0</v>
      </c>
      <c r="BA66" s="95">
        <f>VLOOKUP(AU66,CENY!$B$11:$M$2025,12,FALSE)</f>
        <v>127.68105</v>
      </c>
      <c r="BB66" s="95">
        <f t="shared" si="0"/>
        <v>0</v>
      </c>
      <c r="BD66" s="319">
        <f>OBJ!B259</f>
        <v>9318177</v>
      </c>
      <c r="BE66" s="21" t="str">
        <f>VLOOKUP(BD66,CENY!$B$11:$G$1054,2,FALSE)</f>
        <v>Actro You(L) 450/SiSy 40kg; EB21; ľavý</v>
      </c>
      <c r="BF66" s="22">
        <f>VLOOKUP(BD66,CENY!$B$11:$G$1054,3,FALSE)</f>
        <v>10</v>
      </c>
      <c r="BG66" s="22"/>
      <c r="BH66" s="23">
        <f>AY39</f>
        <v>0</v>
      </c>
      <c r="BI66" s="326">
        <f t="shared" si="2"/>
        <v>0</v>
      </c>
      <c r="BJ66" s="95">
        <f>VLOOKUP(BD66,CENY!$B$11:$M$2025,12,FALSE)</f>
        <v>298.33073999999999</v>
      </c>
      <c r="BK66" s="95">
        <f t="shared" si="3"/>
        <v>0</v>
      </c>
    </row>
    <row r="67" spans="1:63" ht="23.1" customHeight="1" thickBot="1">
      <c r="A67" s="577"/>
      <c r="B67" s="484" t="str">
        <f>verze!E13</f>
        <v>&lt;&lt;  zpět</v>
      </c>
      <c r="C67" s="485"/>
      <c r="D67" s="485"/>
      <c r="E67" s="486"/>
      <c r="G67" s="513" t="str">
        <f>verze!E6</f>
        <v xml:space="preserve"> Úvod</v>
      </c>
      <c r="H67" s="514"/>
      <c r="I67" s="514"/>
      <c r="J67" s="514"/>
      <c r="K67" s="515"/>
      <c r="O67" s="513" t="str">
        <f>verze!E7</f>
        <v xml:space="preserve"> Výběr zásuvek</v>
      </c>
      <c r="P67" s="514"/>
      <c r="Q67" s="514"/>
      <c r="R67" s="514"/>
      <c r="S67" s="515"/>
      <c r="U67" s="513" t="str">
        <f>verze!E8</f>
        <v xml:space="preserve"> </v>
      </c>
      <c r="V67" s="514"/>
      <c r="W67" s="514"/>
      <c r="X67" s="514"/>
      <c r="Y67" s="515"/>
      <c r="AA67" s="513" t="str">
        <f>verze!E9</f>
        <v xml:space="preserve"> </v>
      </c>
      <c r="AB67" s="514"/>
      <c r="AC67" s="514"/>
      <c r="AD67" s="514"/>
      <c r="AE67" s="515"/>
      <c r="AI67" s="513" t="str">
        <f>verze!E10</f>
        <v xml:space="preserve"> Objednávka</v>
      </c>
      <c r="AJ67" s="514"/>
      <c r="AK67" s="514"/>
      <c r="AL67" s="514"/>
      <c r="AM67" s="515"/>
      <c r="AO67" s="475" t="str">
        <f>verze!E14</f>
        <v>vpřed  &gt;&gt;</v>
      </c>
      <c r="AP67" s="476"/>
      <c r="AQ67" s="476"/>
      <c r="AR67" s="477"/>
      <c r="AU67" s="319">
        <f>OBJ!B311</f>
        <v>9256896</v>
      </c>
      <c r="AV67" s="21" t="str">
        <f>VLOOKUP(AU67,CENY!$B$11:$G$1054,2,FALSE)</f>
        <v>Quadro You(M) 600/SiSy 25kg; EB21</v>
      </c>
      <c r="AW67" s="22">
        <f>VLOOKUP(AU67,CENY!$B$11:$G$1054,3,FALSE)</f>
        <v>1</v>
      </c>
      <c r="AX67" s="362">
        <v>8</v>
      </c>
      <c r="AY67" s="23">
        <f>SUM(AY1:AY4)*AC28</f>
        <v>0</v>
      </c>
      <c r="AZ67" s="326">
        <f t="shared" si="1"/>
        <v>0</v>
      </c>
      <c r="BA67" s="95">
        <f>VLOOKUP(AU67,CENY!$B$11:$M$2025,12,FALSE)</f>
        <v>537.79395</v>
      </c>
      <c r="BB67" s="95">
        <f t="shared" si="0"/>
        <v>0</v>
      </c>
      <c r="BD67" s="319">
        <f>OBJ!B260</f>
        <v>9318178</v>
      </c>
      <c r="BE67" s="21" t="str">
        <f>VLOOKUP(BD67,CENY!$B$11:$G$1054,2,FALSE)</f>
        <v>Actro You(L) 450/SiSy 40kg; EB21; pravý</v>
      </c>
      <c r="BF67" s="22">
        <f>VLOOKUP(BD67,CENY!$B$11:$G$1054,3,FALSE)</f>
        <v>10</v>
      </c>
      <c r="BG67" s="22"/>
      <c r="BH67" s="23">
        <f>AY39</f>
        <v>0</v>
      </c>
      <c r="BI67" s="326">
        <f t="shared" si="2"/>
        <v>0</v>
      </c>
      <c r="BJ67" s="95">
        <f>VLOOKUP(BD67,CENY!$B$11:$M$2025,12,FALSE)</f>
        <v>298.33073999999999</v>
      </c>
      <c r="BK67" s="95">
        <f t="shared" si="3"/>
        <v>0</v>
      </c>
    </row>
    <row r="68" spans="1:63" ht="12.9" customHeight="1">
      <c r="A68" s="577"/>
      <c r="AU68" s="319"/>
      <c r="AV68" s="21"/>
      <c r="AW68" s="22"/>
      <c r="AX68" s="22"/>
      <c r="AY68" s="23"/>
      <c r="AZ68" s="326" t="str">
        <f t="shared" si="1"/>
        <v/>
      </c>
      <c r="BA68" s="95"/>
      <c r="BB68" s="95" t="str">
        <f t="shared" si="0"/>
        <v/>
      </c>
      <c r="BD68" s="319">
        <f>OBJ!B261</f>
        <v>9318179</v>
      </c>
      <c r="BE68" s="21" t="str">
        <f>VLOOKUP(BD68,CENY!$B$11:$G$1054,2,FALSE)</f>
        <v>Actro You(L) 500/SiSy 40kg; EB21; ľavý</v>
      </c>
      <c r="BF68" s="22">
        <f>VLOOKUP(BD68,CENY!$B$11:$G$1054,3,FALSE)</f>
        <v>10</v>
      </c>
      <c r="BG68" s="22"/>
      <c r="BH68" s="23">
        <f>AY40</f>
        <v>0</v>
      </c>
      <c r="BI68" s="326">
        <f t="shared" si="2"/>
        <v>0</v>
      </c>
      <c r="BJ68" s="95">
        <f>VLOOKUP(BD68,CENY!$B$11:$M$2025,12,FALSE)</f>
        <v>296.00905</v>
      </c>
      <c r="BK68" s="95">
        <f t="shared" si="3"/>
        <v>0</v>
      </c>
    </row>
    <row r="69" spans="1:63" ht="23.1" customHeight="1">
      <c r="A69" s="577"/>
      <c r="B69" s="93" t="str">
        <f>B4</f>
        <v>Zásuvka AVANTECH YOU  187 Inlay</v>
      </c>
      <c r="C69" s="89"/>
      <c r="D69" s="89"/>
      <c r="E69" s="89"/>
      <c r="F69" s="89"/>
      <c r="G69" s="89"/>
      <c r="H69" s="89"/>
      <c r="I69" s="89"/>
      <c r="J69" s="89"/>
      <c r="K69" s="89"/>
      <c r="L69" s="89"/>
      <c r="M69" s="89"/>
      <c r="N69" s="89"/>
      <c r="O69" s="89"/>
      <c r="P69" s="89"/>
      <c r="Q69" s="89"/>
      <c r="R69" s="89"/>
      <c r="S69" s="89"/>
      <c r="T69" s="89"/>
      <c r="U69" s="89"/>
      <c r="V69" s="89"/>
      <c r="W69" s="89"/>
      <c r="X69" s="89"/>
      <c r="Y69" s="89"/>
      <c r="Z69" s="89"/>
      <c r="AA69" s="89"/>
      <c r="AB69" s="89"/>
      <c r="AC69" s="89"/>
      <c r="AD69" s="89"/>
      <c r="AE69" s="89"/>
      <c r="AF69" s="89"/>
      <c r="AG69" s="89"/>
      <c r="AH69" s="89"/>
      <c r="AI69" s="89"/>
      <c r="AJ69" s="89"/>
      <c r="AK69" s="89"/>
      <c r="AL69" s="89"/>
      <c r="AM69" s="89"/>
      <c r="AN69" s="89"/>
      <c r="AO69" s="89"/>
      <c r="AP69" s="89"/>
      <c r="AQ69" s="89"/>
      <c r="AR69" s="89"/>
      <c r="AU69" s="319">
        <f>OBJ!B329</f>
        <v>9257894</v>
      </c>
      <c r="AV69" s="21" t="str">
        <f>VLOOKUP(AU69,CENY!$B$11:$G$1054,2,FALSE)</f>
        <v>Quadro You - Push to open Silent; &lt;10kg</v>
      </c>
      <c r="AW69" s="22">
        <f>VLOOKUP(AU69,CENY!$B$11:$G$1054,3,FALSE)</f>
        <v>1</v>
      </c>
      <c r="AX69" s="22"/>
      <c r="AY69" s="68"/>
      <c r="AZ69" s="326" t="str">
        <f t="shared" si="1"/>
        <v/>
      </c>
      <c r="BA69" s="95">
        <f>VLOOKUP(AU69,CENY!$B$11:$M$2025,12,FALSE)</f>
        <v>480.50922000000003</v>
      </c>
      <c r="BB69" s="95">
        <f t="shared" si="0"/>
        <v>0</v>
      </c>
      <c r="BD69" s="319">
        <f>OBJ!B262</f>
        <v>9318180</v>
      </c>
      <c r="BE69" s="21" t="str">
        <f>VLOOKUP(BD69,CENY!$B$11:$G$1054,2,FALSE)</f>
        <v>Actro You(L) 500/SiSy 40kg; EB21; pravý</v>
      </c>
      <c r="BF69" s="22">
        <f>VLOOKUP(BD69,CENY!$B$11:$G$1054,3,FALSE)</f>
        <v>10</v>
      </c>
      <c r="BG69" s="22"/>
      <c r="BH69" s="23">
        <f>AY40</f>
        <v>0</v>
      </c>
      <c r="BI69" s="326">
        <f t="shared" si="2"/>
        <v>0</v>
      </c>
      <c r="BJ69" s="95">
        <f>VLOOKUP(BD69,CENY!$B$11:$M$2025,12,FALSE)</f>
        <v>296.00905</v>
      </c>
      <c r="BK69" s="95">
        <f t="shared" si="3"/>
        <v>0</v>
      </c>
    </row>
    <row r="70" spans="1:63" ht="14.4" customHeight="1">
      <c r="A70" s="577"/>
      <c r="AU70" s="319">
        <f>OBJ!B330</f>
        <v>9257895</v>
      </c>
      <c r="AV70" s="21" t="str">
        <f>VLOOKUP(AU70,CENY!$B$11:$G$1054,2,FALSE)</f>
        <v>Quadro You - Push to open Silent; 8-20kg</v>
      </c>
      <c r="AW70" s="22">
        <f>VLOOKUP(AU70,CENY!$B$11:$G$1054,3,FALSE)</f>
        <v>1</v>
      </c>
      <c r="AX70" s="22"/>
      <c r="AY70" s="68"/>
      <c r="AZ70" s="326" t="str">
        <f t="shared" si="1"/>
        <v/>
      </c>
      <c r="BA70" s="95">
        <f>VLOOKUP(AU70,CENY!$B$11:$M$2025,12,FALSE)</f>
        <v>480.50922000000003</v>
      </c>
      <c r="BB70" s="95">
        <f t="shared" si="0"/>
        <v>0</v>
      </c>
      <c r="BD70" s="319">
        <f>OBJ!B263</f>
        <v>9318181</v>
      </c>
      <c r="BE70" s="21" t="str">
        <f>VLOOKUP(BD70,CENY!$B$11:$G$1054,2,FALSE)</f>
        <v>Actro You(L) 550/SiSy 40kg; EB21; ľavý</v>
      </c>
      <c r="BF70" s="22">
        <f>VLOOKUP(BD70,CENY!$B$11:$G$1054,3,FALSE)</f>
        <v>10</v>
      </c>
      <c r="BG70" s="22"/>
      <c r="BH70" s="23">
        <f>AY41</f>
        <v>0</v>
      </c>
      <c r="BI70" s="326">
        <f t="shared" si="2"/>
        <v>0</v>
      </c>
      <c r="BJ70" s="95">
        <f>VLOOKUP(BD70,CENY!$B$11:$M$2025,12,FALSE)</f>
        <v>321.83461999999997</v>
      </c>
      <c r="BK70" s="95">
        <f t="shared" si="3"/>
        <v>0</v>
      </c>
    </row>
    <row r="71" spans="1:63" ht="14.4" customHeight="1">
      <c r="A71" s="577"/>
      <c r="AU71" s="319">
        <f>OBJ!B331</f>
        <v>9257896</v>
      </c>
      <c r="AV71" s="21" t="str">
        <f>VLOOKUP(AU71,CENY!$B$11:$G$1054,2,FALSE)</f>
        <v>Quadro You - Push to open Silent; 10-30kg</v>
      </c>
      <c r="AW71" s="22">
        <f>VLOOKUP(AU71,CENY!$B$11:$G$1054,3,FALSE)</f>
        <v>1</v>
      </c>
      <c r="AX71" s="22"/>
      <c r="AY71" s="68"/>
      <c r="AZ71" s="326" t="str">
        <f t="shared" si="1"/>
        <v/>
      </c>
      <c r="BA71" s="95">
        <f>VLOOKUP(AU71,CENY!$B$11:$M$2025,12,FALSE)</f>
        <v>480.50922000000003</v>
      </c>
      <c r="BB71" s="95">
        <f t="shared" si="0"/>
        <v>0</v>
      </c>
      <c r="BD71" s="319">
        <f>OBJ!B264</f>
        <v>9318182</v>
      </c>
      <c r="BE71" s="21" t="str">
        <f>VLOOKUP(BD71,CENY!$B$11:$G$1054,2,FALSE)</f>
        <v>Actro You(L) 550/SiSy 40kg; EB21; pravý</v>
      </c>
      <c r="BF71" s="22">
        <f>VLOOKUP(BD71,CENY!$B$11:$G$1054,3,FALSE)</f>
        <v>10</v>
      </c>
      <c r="BG71" s="22"/>
      <c r="BH71" s="23">
        <f>AY41</f>
        <v>0</v>
      </c>
      <c r="BI71" s="326">
        <f t="shared" si="2"/>
        <v>0</v>
      </c>
      <c r="BJ71" s="95">
        <f>VLOOKUP(BD71,CENY!$B$11:$M$2025,12,FALSE)</f>
        <v>321.83461999999997</v>
      </c>
      <c r="BK71" s="95">
        <f t="shared" si="3"/>
        <v>0</v>
      </c>
    </row>
    <row r="72" spans="1:63" ht="14.4" customHeight="1">
      <c r="A72" s="577"/>
      <c r="AU72" s="319"/>
      <c r="AV72" s="21"/>
      <c r="AW72" s="22"/>
      <c r="AX72" s="22"/>
      <c r="AY72" s="23"/>
      <c r="AZ72" s="326" t="str">
        <f t="shared" si="1"/>
        <v/>
      </c>
      <c r="BA72" s="95"/>
      <c r="BB72" s="95" t="str">
        <f t="shared" si="0"/>
        <v/>
      </c>
      <c r="BD72" s="319">
        <f>OBJ!B265</f>
        <v>9318183</v>
      </c>
      <c r="BE72" s="21" t="str">
        <f>VLOOKUP(BD72,CENY!$B$11:$G$1054,2,FALSE)</f>
        <v>Actro You(L) 600/SiSy 40kg; EB21; ľavý</v>
      </c>
      <c r="BF72" s="22">
        <f>VLOOKUP(BD72,CENY!$B$11:$G$1054,3,FALSE)</f>
        <v>10</v>
      </c>
      <c r="BG72" s="22"/>
      <c r="BH72" s="23">
        <f>AY42</f>
        <v>0</v>
      </c>
      <c r="BI72" s="326">
        <f t="shared" si="2"/>
        <v>0</v>
      </c>
      <c r="BJ72" s="95">
        <f>VLOOKUP(BD72,CENY!$B$11:$M$2025,12,FALSE)</f>
        <v>326.21229</v>
      </c>
      <c r="BK72" s="95">
        <f t="shared" si="3"/>
        <v>0</v>
      </c>
    </row>
    <row r="73" spans="1:63" ht="14.4" customHeight="1">
      <c r="A73" s="577"/>
      <c r="AU73" s="319">
        <f>OBJ!B333</f>
        <v>9256928</v>
      </c>
      <c r="AV73" s="21" t="str">
        <f>VLOOKUP(AU73,CENY!$B$11:$G$1054,2,FALSE)</f>
        <v>Quadro You(M) 270/P2O 20kg; EB21</v>
      </c>
      <c r="AW73" s="22">
        <f>VLOOKUP(AU73,CENY!$B$11:$G$1054,3,FALSE)</f>
        <v>1</v>
      </c>
      <c r="AX73" s="362">
        <v>8</v>
      </c>
      <c r="AY73" s="68"/>
      <c r="AZ73" s="326" t="str">
        <f t="shared" si="1"/>
        <v/>
      </c>
      <c r="BA73" s="95">
        <f>VLOOKUP(AU73,CENY!$B$11:$M$2025,12,FALSE)</f>
        <v>536.84897999999998</v>
      </c>
      <c r="BB73" s="95">
        <f t="shared" si="0"/>
        <v>0</v>
      </c>
      <c r="BD73" s="319">
        <f>OBJ!B266</f>
        <v>9318184</v>
      </c>
      <c r="BE73" s="21" t="str">
        <f>VLOOKUP(BD73,CENY!$B$11:$G$1054,2,FALSE)</f>
        <v>Actro You(L) 600/SiSy 40kg; EB21; pravý</v>
      </c>
      <c r="BF73" s="22">
        <f>VLOOKUP(BD73,CENY!$B$11:$G$1054,3,FALSE)</f>
        <v>10</v>
      </c>
      <c r="BG73" s="22"/>
      <c r="BH73" s="23">
        <f>AY42</f>
        <v>0</v>
      </c>
      <c r="BI73" s="326">
        <f t="shared" si="2"/>
        <v>0</v>
      </c>
      <c r="BJ73" s="95">
        <f>VLOOKUP(BD73,CENY!$B$11:$M$2025,12,FALSE)</f>
        <v>326.21229</v>
      </c>
      <c r="BK73" s="95">
        <f t="shared" si="3"/>
        <v>0</v>
      </c>
    </row>
    <row r="74" spans="1:63" ht="14.4" customHeight="1">
      <c r="A74" s="577"/>
      <c r="AU74" s="319">
        <f>OBJ!B334</f>
        <v>9256929</v>
      </c>
      <c r="AV74" s="21" t="str">
        <f>VLOOKUP(AU74,CENY!$B$11:$G$1054,2,FALSE)</f>
        <v>Quadro You(M) 300/P2O 20kg; EB21</v>
      </c>
      <c r="AW74" s="22">
        <f>VLOOKUP(AU74,CENY!$B$11:$G$1054,3,FALSE)</f>
        <v>1</v>
      </c>
      <c r="AX74" s="362">
        <v>8</v>
      </c>
      <c r="AY74" s="68"/>
      <c r="AZ74" s="326" t="str">
        <f t="shared" si="1"/>
        <v/>
      </c>
      <c r="BA74" s="95">
        <f>VLOOKUP(AU74,CENY!$B$11:$M$2025,12,FALSE)</f>
        <v>537.79395</v>
      </c>
      <c r="BB74" s="95">
        <f t="shared" si="0"/>
        <v>0</v>
      </c>
      <c r="BD74" s="319"/>
      <c r="BE74" s="21"/>
      <c r="BF74" s="22"/>
      <c r="BG74" s="22"/>
      <c r="BH74" s="23"/>
      <c r="BI74" s="326" t="str">
        <f t="shared" si="2"/>
        <v/>
      </c>
      <c r="BJ74" s="95"/>
      <c r="BK74" s="95" t="str">
        <f t="shared" si="3"/>
        <v/>
      </c>
    </row>
    <row r="75" spans="1:63" ht="14.4" customHeight="1">
      <c r="A75" s="577"/>
      <c r="AU75" s="319">
        <f>OBJ!B335</f>
        <v>9256931</v>
      </c>
      <c r="AV75" s="21" t="str">
        <f>VLOOKUP(AU75,CENY!$B$11:$G$1054,2,FALSE)</f>
        <v>Quadro You(M) 350/P2O 25kg; EB21</v>
      </c>
      <c r="AW75" s="22">
        <f>VLOOKUP(AU75,CENY!$B$11:$G$1054,3,FALSE)</f>
        <v>1</v>
      </c>
      <c r="AX75" s="362">
        <v>8</v>
      </c>
      <c r="AY75" s="68"/>
      <c r="AZ75" s="326" t="str">
        <f t="shared" si="1"/>
        <v/>
      </c>
      <c r="BA75" s="95">
        <f>VLOOKUP(AU75,CENY!$B$11:$M$2025,12,FALSE)</f>
        <v>547.49897999999996</v>
      </c>
      <c r="BB75" s="95">
        <f t="shared" ref="BB75:BB146" si="7">IF(BA75="","",BA75*AY75)</f>
        <v>0</v>
      </c>
      <c r="BD75" s="319">
        <f>OBJ!B273</f>
        <v>9318198</v>
      </c>
      <c r="BE75" s="21" t="str">
        <f>VLOOKUP(BD75,CENY!$B$11:$G$1054,2,FALSE)</f>
        <v>Actro You(XL) 450/SiSy 70kg; EB21; ľavý</v>
      </c>
      <c r="BF75" s="22">
        <f>VLOOKUP(BD75,CENY!$B$11:$G$1054,3,FALSE)</f>
        <v>10</v>
      </c>
      <c r="BG75" s="22"/>
      <c r="BH75" s="23">
        <f>AY44</f>
        <v>0</v>
      </c>
      <c r="BI75" s="326">
        <f t="shared" si="2"/>
        <v>0</v>
      </c>
      <c r="BJ75" s="95">
        <f>VLOOKUP(BD75,CENY!$B$11:$M$2025,12,FALSE)</f>
        <v>368.62277</v>
      </c>
      <c r="BK75" s="95">
        <f t="shared" si="3"/>
        <v>0</v>
      </c>
    </row>
    <row r="76" spans="1:63" ht="14.4" customHeight="1">
      <c r="A76" s="577"/>
      <c r="AU76" s="319">
        <f>OBJ!B336</f>
        <v>9256933</v>
      </c>
      <c r="AV76" s="21" t="str">
        <f>VLOOKUP(AU76,CENY!$B$11:$G$1054,2,FALSE)</f>
        <v>Quadro You(M) 400/P2O 30kg; EB21</v>
      </c>
      <c r="AW76" s="22">
        <f>VLOOKUP(AU76,CENY!$B$11:$G$1054,3,FALSE)</f>
        <v>1</v>
      </c>
      <c r="AX76" s="362">
        <v>8</v>
      </c>
      <c r="AY76" s="68"/>
      <c r="AZ76" s="326" t="str">
        <f t="shared" ref="AZ76:AZ147" si="8">IF(AY76="","",IF($AW$4=1,AY76,0))</f>
        <v/>
      </c>
      <c r="BA76" s="95">
        <f>VLOOKUP(AU76,CENY!$B$11:$M$2025,12,FALSE)</f>
        <v>557.20162000000005</v>
      </c>
      <c r="BB76" s="95">
        <f t="shared" si="7"/>
        <v>0</v>
      </c>
      <c r="BD76" s="319">
        <f>OBJ!B274</f>
        <v>9318199</v>
      </c>
      <c r="BE76" s="21" t="str">
        <f>VLOOKUP(BD76,CENY!$B$11:$G$1054,2,FALSE)</f>
        <v>Actro You(XL) 450/SiSy 70kg; EB21; pravý</v>
      </c>
      <c r="BF76" s="22">
        <f>VLOOKUP(BD76,CENY!$B$11:$G$1054,3,FALSE)</f>
        <v>10</v>
      </c>
      <c r="BG76" s="22"/>
      <c r="BH76" s="23">
        <f>AY44</f>
        <v>0</v>
      </c>
      <c r="BI76" s="326">
        <f t="shared" si="2"/>
        <v>0</v>
      </c>
      <c r="BJ76" s="95">
        <f>VLOOKUP(BD76,CENY!$B$11:$M$2025,12,FALSE)</f>
        <v>368.62277</v>
      </c>
      <c r="BK76" s="95">
        <f t="shared" si="3"/>
        <v>0</v>
      </c>
    </row>
    <row r="77" spans="1:63" ht="14.4" customHeight="1">
      <c r="A77" s="577"/>
      <c r="AU77" s="319">
        <f>OBJ!B337</f>
        <v>9256935</v>
      </c>
      <c r="AV77" s="21" t="str">
        <f>VLOOKUP(AU77,CENY!$B$11:$G$1054,2,FALSE)</f>
        <v>Quadro You(M) 450/P2O 30kg; EB21</v>
      </c>
      <c r="AW77" s="22">
        <f>VLOOKUP(AU77,CENY!$B$11:$G$1054,3,FALSE)</f>
        <v>1</v>
      </c>
      <c r="AX77" s="362">
        <v>8</v>
      </c>
      <c r="AY77" s="68"/>
      <c r="AZ77" s="326" t="str">
        <f t="shared" si="8"/>
        <v/>
      </c>
      <c r="BA77" s="95">
        <f>VLOOKUP(AU77,CENY!$B$11:$M$2025,12,FALSE)</f>
        <v>566.90911000000006</v>
      </c>
      <c r="BB77" s="95">
        <f t="shared" si="7"/>
        <v>0</v>
      </c>
      <c r="BD77" s="319">
        <f>OBJ!B275</f>
        <v>9318201</v>
      </c>
      <c r="BE77" s="21" t="str">
        <f>VLOOKUP(BD77,CENY!$B$11:$G$1054,2,FALSE)</f>
        <v>Actro You(XL) 500/SiSy 70kg; EB21; ľavý</v>
      </c>
      <c r="BF77" s="22">
        <f>VLOOKUP(BD77,CENY!$B$11:$G$1054,3,FALSE)</f>
        <v>10</v>
      </c>
      <c r="BG77" s="22"/>
      <c r="BH77" s="23">
        <f>AY45</f>
        <v>0</v>
      </c>
      <c r="BI77" s="326">
        <f t="shared" si="2"/>
        <v>0</v>
      </c>
      <c r="BJ77" s="95">
        <f>VLOOKUP(BD77,CENY!$B$11:$M$2025,12,FALSE)</f>
        <v>372.33726999999999</v>
      </c>
      <c r="BK77" s="95">
        <f t="shared" si="3"/>
        <v>0</v>
      </c>
    </row>
    <row r="78" spans="1:63" ht="14.4" customHeight="1">
      <c r="A78" s="577"/>
      <c r="AU78" s="319">
        <f>OBJ!B338</f>
        <v>9256937</v>
      </c>
      <c r="AV78" s="21" t="str">
        <f>VLOOKUP(AU78,CENY!$B$11:$G$1054,2,FALSE)</f>
        <v>Quadro You(M) 500/P2O 30kg; EB21</v>
      </c>
      <c r="AW78" s="22">
        <f>VLOOKUP(AU78,CENY!$B$11:$G$1054,3,FALSE)</f>
        <v>1</v>
      </c>
      <c r="AX78" s="362">
        <v>8</v>
      </c>
      <c r="AY78" s="68"/>
      <c r="AZ78" s="326" t="str">
        <f t="shared" si="8"/>
        <v/>
      </c>
      <c r="BA78" s="95">
        <f>VLOOKUP(AU78,CENY!$B$11:$M$2025,12,FALSE)</f>
        <v>139.41228000000001</v>
      </c>
      <c r="BB78" s="95">
        <f t="shared" si="7"/>
        <v>0</v>
      </c>
      <c r="BD78" s="319">
        <f>OBJ!B276</f>
        <v>9318203</v>
      </c>
      <c r="BE78" s="21" t="str">
        <f>VLOOKUP(BD78,CENY!$B$11:$G$1054,2,FALSE)</f>
        <v>Actro You(XL) 500/SiSy 70kg; EB21; pravý</v>
      </c>
      <c r="BF78" s="22">
        <f>VLOOKUP(BD78,CENY!$B$11:$G$1054,3,FALSE)</f>
        <v>10</v>
      </c>
      <c r="BG78" s="22"/>
      <c r="BH78" s="23">
        <f>AY45</f>
        <v>0</v>
      </c>
      <c r="BI78" s="326">
        <f t="shared" si="2"/>
        <v>0</v>
      </c>
      <c r="BJ78" s="95">
        <f>VLOOKUP(BD78,CENY!$B$11:$M$2025,12,FALSE)</f>
        <v>372.33726999999999</v>
      </c>
      <c r="BK78" s="95">
        <f t="shared" si="3"/>
        <v>0</v>
      </c>
    </row>
    <row r="79" spans="1:63" ht="14.4" customHeight="1">
      <c r="A79" s="577"/>
      <c r="AU79" s="319">
        <f>OBJ!B339</f>
        <v>9256939</v>
      </c>
      <c r="AV79" s="21" t="str">
        <f>VLOOKUP(AU79,CENY!$B$11:$G$1054,2,FALSE)</f>
        <v>Quadro You(M) 550/P2O 30kg; EB21</v>
      </c>
      <c r="AW79" s="22">
        <f>VLOOKUP(AU79,CENY!$B$11:$G$1054,3,FALSE)</f>
        <v>1</v>
      </c>
      <c r="AX79" s="362">
        <v>8</v>
      </c>
      <c r="AY79" s="68"/>
      <c r="AZ79" s="326" t="str">
        <f t="shared" si="8"/>
        <v/>
      </c>
      <c r="BA79" s="95">
        <f>VLOOKUP(AU79,CENY!$B$11:$M$2025,12,FALSE)</f>
        <v>586.3143</v>
      </c>
      <c r="BB79" s="95">
        <f t="shared" si="7"/>
        <v>0</v>
      </c>
      <c r="BD79" s="319">
        <f>OBJ!B277</f>
        <v>9318208</v>
      </c>
      <c r="BE79" s="21" t="str">
        <f>VLOOKUP(BD79,CENY!$B$11:$G$1054,2,FALSE)</f>
        <v>Actro You(XL) 550/SiSy 70kg; EB21; ľavý</v>
      </c>
      <c r="BF79" s="22">
        <f>VLOOKUP(BD79,CENY!$B$11:$G$1054,3,FALSE)</f>
        <v>10</v>
      </c>
      <c r="BG79" s="22"/>
      <c r="BH79" s="23">
        <f>AY46</f>
        <v>0</v>
      </c>
      <c r="BI79" s="326">
        <f t="shared" si="2"/>
        <v>0</v>
      </c>
      <c r="BJ79" s="95">
        <f>VLOOKUP(BD79,CENY!$B$11:$M$2025,12,FALSE)</f>
        <v>392.11943000000002</v>
      </c>
      <c r="BK79" s="95">
        <f t="shared" si="3"/>
        <v>0</v>
      </c>
    </row>
    <row r="80" spans="1:63" ht="14.4" customHeight="1">
      <c r="A80" s="577"/>
      <c r="AU80" s="319">
        <f>OBJ!B340</f>
        <v>9256941</v>
      </c>
      <c r="AV80" s="21" t="str">
        <f>VLOOKUP(AU80,CENY!$B$11:$G$1054,2,FALSE)</f>
        <v>Quadro You(M) 600/P2O 25kg; EB21</v>
      </c>
      <c r="AW80" s="22">
        <f>VLOOKUP(AU80,CENY!$B$11:$G$1054,3,FALSE)</f>
        <v>1</v>
      </c>
      <c r="AX80" s="362">
        <v>8</v>
      </c>
      <c r="AY80" s="68"/>
      <c r="AZ80" s="326" t="str">
        <f t="shared" si="8"/>
        <v/>
      </c>
      <c r="BA80" s="95">
        <f>VLOOKUP(AU80,CENY!$B$11:$M$2025,12,FALSE)</f>
        <v>596.01683000000003</v>
      </c>
      <c r="BB80" s="95">
        <f t="shared" si="7"/>
        <v>0</v>
      </c>
      <c r="BD80" s="319">
        <f>OBJ!B278</f>
        <v>9318209</v>
      </c>
      <c r="BE80" s="21" t="str">
        <f>VLOOKUP(BD80,CENY!$B$11:$G$1054,2,FALSE)</f>
        <v>Actro You(XL) 550/SiSy 70kg; EB21; pravý</v>
      </c>
      <c r="BF80" s="22">
        <f>VLOOKUP(BD80,CENY!$B$11:$G$1054,3,FALSE)</f>
        <v>10</v>
      </c>
      <c r="BG80" s="22"/>
      <c r="BH80" s="23">
        <f>AY46</f>
        <v>0</v>
      </c>
      <c r="BI80" s="326">
        <f t="shared" si="2"/>
        <v>0</v>
      </c>
      <c r="BJ80" s="95">
        <f>VLOOKUP(BD80,CENY!$B$11:$M$2025,12,FALSE)</f>
        <v>392.11943000000002</v>
      </c>
      <c r="BK80" s="95">
        <f t="shared" si="3"/>
        <v>0</v>
      </c>
    </row>
    <row r="81" spans="1:63" ht="14.4" customHeight="1">
      <c r="A81" s="577"/>
      <c r="O81" s="576">
        <f>CEILING(O86/FLOOR(2000/O87,1),1)</f>
        <v>0</v>
      </c>
      <c r="P81" s="576"/>
      <c r="Q81" s="576">
        <f>CEILING(Q86/FLOOR(2000/Q87,1),1)</f>
        <v>0</v>
      </c>
      <c r="R81" s="576"/>
      <c r="S81" s="576">
        <f>CEILING(S86/FLOOR(2000/S87,1),1)</f>
        <v>0</v>
      </c>
      <c r="T81" s="576"/>
      <c r="U81" s="576">
        <f>CEILING(U86/FLOOR(2000/U87,1),1)</f>
        <v>0</v>
      </c>
      <c r="V81" s="576"/>
      <c r="W81" s="576"/>
      <c r="X81" s="576"/>
      <c r="Y81" s="576"/>
      <c r="Z81" s="576"/>
      <c r="AA81" s="576"/>
      <c r="AB81" s="576"/>
      <c r="AC81" s="576">
        <f>CEILING(AC86/FLOOR(2000/AC87,1),1)</f>
        <v>0</v>
      </c>
      <c r="AD81" s="576"/>
      <c r="AE81" s="576">
        <f>CEILING(AE86/FLOOR(2000/AE87,1),1)</f>
        <v>0</v>
      </c>
      <c r="AF81" s="576"/>
      <c r="AG81" s="576">
        <f>CEILING(AG86/FLOOR(2000/AG87,1),1)</f>
        <v>0</v>
      </c>
      <c r="AH81" s="576"/>
      <c r="AI81" s="576">
        <f>CEILING(AI86/FLOOR(2000/AI87,1),1)</f>
        <v>0</v>
      </c>
      <c r="AJ81" s="576"/>
      <c r="AU81" s="319"/>
      <c r="AV81" s="21"/>
      <c r="AW81" s="22"/>
      <c r="AX81" s="22"/>
      <c r="AY81" s="23"/>
      <c r="AZ81" s="326" t="str">
        <f t="shared" si="8"/>
        <v/>
      </c>
      <c r="BA81" s="95"/>
      <c r="BB81" s="95" t="str">
        <f t="shared" si="7"/>
        <v/>
      </c>
      <c r="BD81" s="319">
        <f>OBJ!B279</f>
        <v>9318211</v>
      </c>
      <c r="BE81" s="21" t="str">
        <f>VLOOKUP(BD81,CENY!$B$11:$G$1054,2,FALSE)</f>
        <v>Actro You(XL) 600/SiSy 70kg; EB21; ľavý</v>
      </c>
      <c r="BF81" s="22">
        <f>VLOOKUP(BD81,CENY!$B$11:$G$1054,3,FALSE)</f>
        <v>10</v>
      </c>
      <c r="BG81" s="22"/>
      <c r="BH81" s="23">
        <f>AY47</f>
        <v>0</v>
      </c>
      <c r="BI81" s="326">
        <f t="shared" si="2"/>
        <v>0</v>
      </c>
      <c r="BJ81" s="95">
        <f>VLOOKUP(BD81,CENY!$B$11:$M$2025,12,FALSE)</f>
        <v>443.89010999999999</v>
      </c>
      <c r="BK81" s="95">
        <f t="shared" si="3"/>
        <v>0</v>
      </c>
    </row>
    <row r="82" spans="1:63" ht="14.4" customHeight="1">
      <c r="A82" s="577"/>
      <c r="O82" s="575">
        <f>O87*O86</f>
        <v>0</v>
      </c>
      <c r="P82" s="575"/>
      <c r="Q82" s="575">
        <f>Q87*Q86</f>
        <v>0</v>
      </c>
      <c r="R82" s="575"/>
      <c r="S82" s="575">
        <f>S87*S86</f>
        <v>0</v>
      </c>
      <c r="T82" s="575"/>
      <c r="U82" s="575">
        <f>U87*U86</f>
        <v>0</v>
      </c>
      <c r="V82" s="575"/>
      <c r="W82" s="575"/>
      <c r="X82" s="575"/>
      <c r="Y82" s="575"/>
      <c r="Z82" s="575"/>
      <c r="AA82" s="575"/>
      <c r="AB82" s="575"/>
      <c r="AC82" s="575">
        <f>AC87*AC86</f>
        <v>0</v>
      </c>
      <c r="AD82" s="575"/>
      <c r="AE82" s="575">
        <f>AE87*AE86</f>
        <v>0</v>
      </c>
      <c r="AF82" s="575"/>
      <c r="AG82" s="575">
        <f>AG87*AG86</f>
        <v>0</v>
      </c>
      <c r="AH82" s="575"/>
      <c r="AI82" s="575">
        <f>AI87*AI86</f>
        <v>0</v>
      </c>
      <c r="AJ82" s="575"/>
      <c r="AK82" s="577"/>
      <c r="AL82" s="577"/>
      <c r="AU82" s="319">
        <f>OBJ!B358</f>
        <v>9219966</v>
      </c>
      <c r="AV82" s="21" t="str">
        <f>VLOOKUP(AU82,CENY!$B$11:$G$1054,2,FALSE)</f>
        <v>Push to open Synchro / adaptér typ A</v>
      </c>
      <c r="AW82" s="22">
        <f>VLOOKUP(AU82,CENY!$B$11:$G$1054,3,FALSE)</f>
        <v>200</v>
      </c>
      <c r="AX82" s="22"/>
      <c r="AY82" s="68"/>
      <c r="AZ82" s="326" t="str">
        <f t="shared" si="8"/>
        <v/>
      </c>
      <c r="BA82" s="95">
        <f>VLOOKUP(AU82,CENY!$B$11:$M$2025,12,FALSE)</f>
        <v>16.488900000000001</v>
      </c>
      <c r="BB82" s="95">
        <f t="shared" si="7"/>
        <v>0</v>
      </c>
      <c r="BD82" s="319">
        <f>OBJ!B280</f>
        <v>9318212</v>
      </c>
      <c r="BE82" s="21" t="str">
        <f>VLOOKUP(BD82,CENY!$B$11:$G$1054,2,FALSE)</f>
        <v>Actro You(XL) 600/SiSy 70kg; EB21; pravý</v>
      </c>
      <c r="BF82" s="22">
        <f>VLOOKUP(BD82,CENY!$B$11:$G$1054,3,FALSE)</f>
        <v>10</v>
      </c>
      <c r="BG82" s="22"/>
      <c r="BH82" s="23">
        <f>AY47</f>
        <v>0</v>
      </c>
      <c r="BI82" s="326">
        <f t="shared" si="2"/>
        <v>0</v>
      </c>
      <c r="BJ82" s="95">
        <f>VLOOKUP(BD82,CENY!$B$11:$M$2025,12,FALSE)</f>
        <v>443.89010999999999</v>
      </c>
      <c r="BK82" s="95">
        <f t="shared" si="3"/>
        <v>0</v>
      </c>
    </row>
    <row r="83" spans="1:63" ht="14.4" customHeight="1" thickBot="1">
      <c r="A83" s="577"/>
      <c r="B83" s="1" t="str">
        <f>verze!E162</f>
        <v>Čelo na vnitřní zásuvku</v>
      </c>
      <c r="O83" s="581" t="str">
        <f>verze!E163</f>
        <v>vnější rozměry zásuvkové skřínky [mm]</v>
      </c>
      <c r="P83" s="582"/>
      <c r="Q83" s="582"/>
      <c r="R83" s="582"/>
      <c r="S83" s="582"/>
      <c r="T83" s="582"/>
      <c r="U83" s="582"/>
      <c r="V83" s="582"/>
      <c r="W83" s="582"/>
      <c r="X83" s="582"/>
      <c r="Y83" s="582"/>
      <c r="Z83" s="582"/>
      <c r="AA83" s="582"/>
      <c r="AB83" s="582"/>
      <c r="AC83" s="582"/>
      <c r="AD83" s="582"/>
      <c r="AE83" s="582"/>
      <c r="AF83" s="582"/>
      <c r="AG83" s="582"/>
      <c r="AH83" s="582"/>
      <c r="AI83" s="582"/>
      <c r="AJ83" s="582"/>
      <c r="AU83" s="319"/>
      <c r="AV83" s="21"/>
      <c r="AW83" s="22"/>
      <c r="AX83" s="22"/>
      <c r="AY83" s="23"/>
      <c r="AZ83" s="326" t="str">
        <f t="shared" si="8"/>
        <v/>
      </c>
      <c r="BA83" s="95"/>
      <c r="BB83" s="95" t="str">
        <f t="shared" si="7"/>
        <v/>
      </c>
      <c r="BD83" s="319">
        <f>OBJ!B281</f>
        <v>9318213</v>
      </c>
      <c r="BE83" s="21" t="str">
        <f>VLOOKUP(BD83,CENY!$B$11:$G$1054,2,FALSE)</f>
        <v>Actro You(XL) 650/SiSy 70kg; EB21; ľavý</v>
      </c>
      <c r="BF83" s="22">
        <f>VLOOKUP(BD83,CENY!$B$11:$G$1054,3,FALSE)</f>
        <v>5</v>
      </c>
      <c r="BG83" s="22"/>
      <c r="BH83" s="23">
        <f>AY48</f>
        <v>0</v>
      </c>
      <c r="BI83" s="326">
        <f t="shared" si="2"/>
        <v>0</v>
      </c>
      <c r="BJ83" s="95">
        <f>VLOOKUP(BD83,CENY!$B$11:$M$2025,12,FALSE)</f>
        <v>462.41142000000002</v>
      </c>
      <c r="BK83" s="95">
        <f t="shared" si="3"/>
        <v>0</v>
      </c>
    </row>
    <row r="84" spans="1:63" ht="14.4" customHeight="1" thickBot="1">
      <c r="A84" s="577"/>
      <c r="B84" s="96"/>
      <c r="C84" s="96"/>
      <c r="D84" s="96"/>
      <c r="E84" s="96"/>
      <c r="F84" s="96"/>
      <c r="G84" s="96"/>
      <c r="H84" s="72"/>
      <c r="I84" s="72"/>
      <c r="J84" s="72"/>
      <c r="K84" s="72"/>
      <c r="L84" s="72"/>
      <c r="M84" s="72"/>
      <c r="N84" s="72" t="str">
        <f>verze!E166&amp;" "</f>
        <v xml:space="preserve">Šířka korpusu: </v>
      </c>
      <c r="O84" s="595" t="str">
        <f>verze!E164</f>
        <v>nízke čelo = 66 mm</v>
      </c>
      <c r="P84" s="596"/>
      <c r="Q84" s="596"/>
      <c r="R84" s="596"/>
      <c r="S84" s="596"/>
      <c r="T84" s="596"/>
      <c r="U84" s="596"/>
      <c r="V84" s="596"/>
      <c r="W84" s="334"/>
      <c r="X84" s="334"/>
      <c r="Y84" s="334"/>
      <c r="Z84" s="334"/>
      <c r="AA84" s="594"/>
      <c r="AB84" s="594"/>
      <c r="AC84" s="596" t="str">
        <f>verze!E165</f>
        <v>vysoké čelo = 130 mm</v>
      </c>
      <c r="AD84" s="596"/>
      <c r="AE84" s="596"/>
      <c r="AF84" s="596"/>
      <c r="AG84" s="596"/>
      <c r="AH84" s="596"/>
      <c r="AI84" s="596"/>
      <c r="AJ84" s="596"/>
      <c r="AU84" s="320">
        <v>9255836</v>
      </c>
      <c r="AV84" s="321" t="str">
        <f>VLOOKUP(AU84,CENY!$B$11:$G$1054,2,FALSE)</f>
        <v>AvanY-príchytka čela s rozp.púzdrom/ v101</v>
      </c>
      <c r="AW84" s="22">
        <f>VLOOKUP(AU84,CENY!$B$11:$G$1054,3,FALSE)</f>
        <v>200</v>
      </c>
      <c r="AX84" s="22"/>
      <c r="AY84" s="68">
        <f>IF(FORM!AM8=FORM!AU11,(2*(AY2)*(SUM(W20:AD20)+SUM(W22:AF22)+SUM(W28:AD28))),0)</f>
        <v>0</v>
      </c>
      <c r="AZ84" s="326">
        <f t="shared" si="8"/>
        <v>0</v>
      </c>
      <c r="BA84" s="95">
        <f>VLOOKUP(AU84,CENY!$B$11:$M$2025,12,FALSE)</f>
        <v>25.299289999999999</v>
      </c>
      <c r="BB84" s="95">
        <f t="shared" si="7"/>
        <v>0</v>
      </c>
      <c r="BD84" s="319">
        <f>OBJ!B282</f>
        <v>9318214</v>
      </c>
      <c r="BE84" s="21" t="str">
        <f>VLOOKUP(BD84,CENY!$B$11:$G$1054,2,FALSE)</f>
        <v>Actro You(XL) 650/SiSy 70kg; EB21; pravý</v>
      </c>
      <c r="BF84" s="22">
        <f>VLOOKUP(BD84,CENY!$B$11:$G$1054,3,FALSE)</f>
        <v>5</v>
      </c>
      <c r="BG84" s="22"/>
      <c r="BH84" s="23">
        <f>AY48</f>
        <v>0</v>
      </c>
      <c r="BI84" s="326">
        <f t="shared" ref="BI84:BI151" si="9">IF(BH84="","",IF($AW$4=0,BH84,0))</f>
        <v>0</v>
      </c>
      <c r="BJ84" s="95">
        <f>VLOOKUP(BD84,CENY!$B$11:$M$2025,12,FALSE)</f>
        <v>462.41142000000002</v>
      </c>
      <c r="BK84" s="95">
        <f t="shared" ref="BK84:BK156" si="10">IF(BJ84="","",BJ84*BH84)</f>
        <v>0</v>
      </c>
    </row>
    <row r="85" spans="1:63" ht="14.4" customHeight="1" thickBot="1">
      <c r="A85" s="577"/>
      <c r="B85" s="158" t="str">
        <f>" "&amp;verze!E167</f>
        <v xml:space="preserve"> ALU čelo</v>
      </c>
      <c r="C85" s="158"/>
      <c r="D85" s="158"/>
      <c r="E85" s="158"/>
      <c r="F85" s="158"/>
      <c r="G85" s="158"/>
      <c r="H85" s="158"/>
      <c r="I85" s="158"/>
      <c r="J85" s="158"/>
      <c r="K85" s="158"/>
      <c r="L85" s="158"/>
      <c r="M85" s="523"/>
      <c r="N85" s="546"/>
      <c r="O85" s="598">
        <v>450</v>
      </c>
      <c r="P85" s="599"/>
      <c r="Q85" s="601">
        <v>600</v>
      </c>
      <c r="R85" s="601"/>
      <c r="S85" s="601">
        <v>900</v>
      </c>
      <c r="T85" s="601"/>
      <c r="U85" s="601">
        <v>1200</v>
      </c>
      <c r="V85" s="598"/>
      <c r="W85" s="334"/>
      <c r="X85" s="334"/>
      <c r="Y85" s="334"/>
      <c r="Z85" s="334"/>
      <c r="AA85" s="594"/>
      <c r="AB85" s="594"/>
      <c r="AC85" s="600">
        <v>450</v>
      </c>
      <c r="AD85" s="601"/>
      <c r="AE85" s="600">
        <v>600</v>
      </c>
      <c r="AF85" s="601"/>
      <c r="AG85" s="598">
        <v>900</v>
      </c>
      <c r="AH85" s="599"/>
      <c r="AI85" s="598">
        <v>1200</v>
      </c>
      <c r="AJ85" s="599"/>
      <c r="AU85" s="320">
        <v>9257258</v>
      </c>
      <c r="AV85" s="321" t="str">
        <f>VLOOKUP(AU85,CENY!$B$11:$G$1054,2,FALSE)</f>
        <v>AvanY-prích.čela Inlay s rozp.púzdrom/ v187</v>
      </c>
      <c r="AW85" s="22">
        <f>VLOOKUP(AU85,CENY!$B$11:$G$1054,3,FALSE)</f>
        <v>100</v>
      </c>
      <c r="AX85" s="22"/>
      <c r="AY85" s="68">
        <f>IF(FORM!AM8=FORM!AU11,(2*(AY4)*(SUM(W20:AD20)+SUM(W22:AF22)+SUM(W28:AD28))),0)</f>
        <v>0</v>
      </c>
      <c r="AZ85" s="326">
        <f t="shared" si="8"/>
        <v>0</v>
      </c>
      <c r="BA85" s="95">
        <f>VLOOKUP(AU85,CENY!$B$11:$M$2025,12,FALSE)</f>
        <v>51.356920000000002</v>
      </c>
      <c r="BB85" s="95">
        <f t="shared" si="7"/>
        <v>0</v>
      </c>
      <c r="BD85" s="319"/>
      <c r="BE85" s="21"/>
      <c r="BF85" s="22"/>
      <c r="BG85" s="22"/>
      <c r="BH85" s="23"/>
      <c r="BI85" s="326" t="str">
        <f t="shared" si="9"/>
        <v/>
      </c>
      <c r="BJ85" s="95"/>
      <c r="BK85" s="95" t="str">
        <f t="shared" si="10"/>
        <v/>
      </c>
    </row>
    <row r="86" spans="1:63" ht="14.4" customHeight="1" thickBot="1">
      <c r="A86" s="577"/>
      <c r="O86" s="578"/>
      <c r="P86" s="579"/>
      <c r="Q86" s="597"/>
      <c r="R86" s="597"/>
      <c r="S86" s="597"/>
      <c r="T86" s="597"/>
      <c r="U86" s="597"/>
      <c r="V86" s="578"/>
      <c r="W86" s="336"/>
      <c r="X86" s="336"/>
      <c r="Y86" s="336"/>
      <c r="Z86" s="336"/>
      <c r="AA86" s="336"/>
      <c r="AB86" s="336"/>
      <c r="AC86" s="579"/>
      <c r="AD86" s="597"/>
      <c r="AE86" s="579"/>
      <c r="AF86" s="597"/>
      <c r="AG86" s="583"/>
      <c r="AH86" s="579"/>
      <c r="AI86" s="578"/>
      <c r="AJ86" s="583"/>
      <c r="AU86" s="319"/>
      <c r="AV86" s="21"/>
      <c r="AW86" s="22"/>
      <c r="AX86" s="22"/>
      <c r="AY86" s="23"/>
      <c r="AZ86" s="326" t="str">
        <f t="shared" si="8"/>
        <v/>
      </c>
      <c r="BA86" s="95"/>
      <c r="BB86" s="95" t="str">
        <f t="shared" si="7"/>
        <v/>
      </c>
      <c r="BD86" s="319">
        <f>OBJ!B284</f>
        <v>9257890</v>
      </c>
      <c r="BE86" s="21" t="str">
        <f>VLOOKUP(BD86,CENY!$B$11:$G$1054,2,FALSE)</f>
        <v>Actro You - Push to open Silent; &lt;10kg</v>
      </c>
      <c r="BF86" s="22">
        <f>VLOOKUP(BD86,CENY!$B$11:$G$1054,3,FALSE)</f>
        <v>1</v>
      </c>
      <c r="BG86" s="22"/>
      <c r="BH86" s="68"/>
      <c r="BI86" s="326" t="str">
        <f t="shared" si="9"/>
        <v/>
      </c>
      <c r="BJ86" s="95">
        <f>VLOOKUP(BD86,CENY!$B$11:$M$2025,12,FALSE)</f>
        <v>481.81412999999998</v>
      </c>
      <c r="BK86" s="95">
        <f t="shared" si="10"/>
        <v>0</v>
      </c>
    </row>
    <row r="87" spans="1:63" ht="14.4" customHeight="1">
      <c r="A87" s="577"/>
      <c r="O87" s="580">
        <f>O85-2*FORM!$AM$24-66</f>
        <v>348</v>
      </c>
      <c r="P87" s="580"/>
      <c r="Q87" s="580">
        <f>Q85-2*FORM!$AM$24-66</f>
        <v>498</v>
      </c>
      <c r="R87" s="580"/>
      <c r="S87" s="580">
        <f>S85-2*FORM!$AM$24-66</f>
        <v>798</v>
      </c>
      <c r="T87" s="580"/>
      <c r="U87" s="580">
        <f>U85-2*FORM!$AM$24-66</f>
        <v>1098</v>
      </c>
      <c r="V87" s="580"/>
      <c r="W87" s="575"/>
      <c r="X87" s="575"/>
      <c r="Y87" s="575"/>
      <c r="Z87" s="575"/>
      <c r="AA87" s="575"/>
      <c r="AB87" s="575"/>
      <c r="AC87" s="580">
        <f>AC85-2*FORM!$AM$24-66</f>
        <v>348</v>
      </c>
      <c r="AD87" s="580"/>
      <c r="AE87" s="580">
        <f>AE85-2*FORM!$AM$24-66</f>
        <v>498</v>
      </c>
      <c r="AF87" s="580"/>
      <c r="AG87" s="580">
        <f>AG85-2*FORM!$AM$24-66</f>
        <v>798</v>
      </c>
      <c r="AH87" s="580"/>
      <c r="AI87" s="580">
        <f>AI85-2*FORM!$AM$24-66</f>
        <v>1098</v>
      </c>
      <c r="AJ87" s="580"/>
      <c r="AR87" s="157"/>
      <c r="AU87" s="319">
        <f>OBJ!B214</f>
        <v>0</v>
      </c>
      <c r="AV87" s="21" t="e">
        <f>VLOOKUP(AU87,CENY!$B$11:$G$1054,2,FALSE)</f>
        <v>#N/A</v>
      </c>
      <c r="AW87" s="22" t="e">
        <f>VLOOKUP(AU87,CENY!$B$11:$G$1054,3,FALSE)</f>
        <v>#N/A</v>
      </c>
      <c r="AX87" s="22"/>
      <c r="AY87" s="68">
        <f>IF(FORM!AM21&lt;&gt;FORM!AW16,(2*SUM(AY1:AY4)*(SUM(W20:AD20)+SUM(W22:AF22)+SUM(W28:AD28))),0)</f>
        <v>0</v>
      </c>
      <c r="AZ87" s="326">
        <f t="shared" si="8"/>
        <v>0</v>
      </c>
      <c r="BA87" s="324" t="str">
        <f>IF(AU87=0,"",VLOOKUP(AU87,CENY!$B$11:$M$2025,12,FALSE))</f>
        <v/>
      </c>
      <c r="BB87" s="95" t="str">
        <f>IF(BA87="","",BA87*AY87)</f>
        <v/>
      </c>
      <c r="BD87" s="319">
        <f>OBJ!B285</f>
        <v>9257891</v>
      </c>
      <c r="BE87" s="21" t="str">
        <f>VLOOKUP(BD87,CENY!$B$11:$G$1054,2,FALSE)</f>
        <v>Actro You - Push to open Silent; 8-20kg</v>
      </c>
      <c r="BF87" s="22">
        <f>VLOOKUP(BD87,CENY!$B$11:$G$1054,3,FALSE)</f>
        <v>1</v>
      </c>
      <c r="BG87" s="22"/>
      <c r="BH87" s="68"/>
      <c r="BI87" s="326" t="str">
        <f t="shared" si="9"/>
        <v/>
      </c>
      <c r="BJ87" s="95">
        <f>VLOOKUP(BD87,CENY!$B$11:$M$2025,12,FALSE)</f>
        <v>481.81412999999998</v>
      </c>
      <c r="BK87" s="95">
        <f t="shared" si="10"/>
        <v>0</v>
      </c>
    </row>
    <row r="88" spans="1:63" ht="14.4" customHeight="1">
      <c r="A88" s="577"/>
      <c r="AR88" s="332" t="str">
        <f>IF(AU103=0,"",IF(AU101=AU103,verze!E174,IF(AU104&gt;0,verze!E171&amp;" "&amp;AU104&amp;" "&amp;verze!E170,verze!E172&amp;" "&amp;AU105&amp;" "&amp;verze!E173)))</f>
        <v/>
      </c>
      <c r="AU88" s="319"/>
      <c r="AV88" s="21"/>
      <c r="AW88" s="22"/>
      <c r="AX88" s="22"/>
      <c r="AY88" s="23"/>
      <c r="AZ88" s="326" t="str">
        <f t="shared" si="8"/>
        <v/>
      </c>
      <c r="BA88" s="95"/>
      <c r="BB88" s="95" t="str">
        <f t="shared" si="7"/>
        <v/>
      </c>
      <c r="BD88" s="319">
        <f>OBJ!B286</f>
        <v>9257892</v>
      </c>
      <c r="BE88" s="21" t="str">
        <f>VLOOKUP(BD88,CENY!$B$11:$G$1054,2,FALSE)</f>
        <v>Actro You - Push to open Silent; 10-40kg</v>
      </c>
      <c r="BF88" s="22">
        <f>VLOOKUP(BD88,CENY!$B$11:$G$1054,3,FALSE)</f>
        <v>1</v>
      </c>
      <c r="BG88" s="22"/>
      <c r="BH88" s="68"/>
      <c r="BI88" s="326" t="str">
        <f t="shared" si="9"/>
        <v/>
      </c>
      <c r="BJ88" s="95">
        <f>VLOOKUP(BD88,CENY!$B$11:$M$2025,12,FALSE)</f>
        <v>481.81412999999998</v>
      </c>
      <c r="BK88" s="95">
        <f t="shared" si="10"/>
        <v>0</v>
      </c>
    </row>
    <row r="89" spans="1:63" ht="14.4" customHeight="1">
      <c r="A89" s="577"/>
      <c r="V89" s="593" t="str">
        <f>IF(AW103=0,AU109,AU110)</f>
        <v>Je potřebné vybrat 0 ks vnitřních čel.</v>
      </c>
      <c r="W89" s="593"/>
      <c r="X89" s="593"/>
      <c r="Y89" s="593"/>
      <c r="Z89" s="593"/>
      <c r="AA89" s="593"/>
      <c r="AB89" s="593"/>
      <c r="AC89" s="593"/>
      <c r="AU89" s="319">
        <f>OBJ!B210</f>
        <v>9257663</v>
      </c>
      <c r="AV89" s="21" t="str">
        <f>VLOOKUP(AU89,CENY!$B$11:$G$1054,2,FALSE)</f>
        <v>AvanY-indiv.čelo vnút.zásuv./d2000/strieb.</v>
      </c>
      <c r="AW89" s="22">
        <f>VLOOKUP(AU89,CENY!$B$11:$G$1054,3,FALSE)</f>
        <v>1</v>
      </c>
      <c r="AX89" s="22"/>
      <c r="AY89" s="23">
        <f>IF(AW101=0,0,IF(AW107&lt;2000,1,SUM(O81:AJ81)))</f>
        <v>0</v>
      </c>
      <c r="AZ89" s="326">
        <f t="shared" si="8"/>
        <v>0</v>
      </c>
      <c r="BA89" s="95">
        <f>VLOOKUP(AU89,CENY!$B$11:$M$2025,12,FALSE)</f>
        <v>741.56732999999997</v>
      </c>
      <c r="BB89" s="95">
        <f t="shared" si="7"/>
        <v>0</v>
      </c>
      <c r="BD89" s="319">
        <f>OBJ!B287</f>
        <v>9257893</v>
      </c>
      <c r="BE89" s="21" t="str">
        <f>VLOOKUP(BD89,CENY!$B$11:$G$1054,2,FALSE)</f>
        <v>Actro You - Push to open Silent; 20-70kg</v>
      </c>
      <c r="BF89" s="22">
        <f>VLOOKUP(BD89,CENY!$B$11:$G$1054,3,FALSE)</f>
        <v>1</v>
      </c>
      <c r="BG89" s="22"/>
      <c r="BH89" s="68"/>
      <c r="BI89" s="326" t="str">
        <f t="shared" si="9"/>
        <v/>
      </c>
      <c r="BJ89" s="95">
        <f>VLOOKUP(BD89,CENY!$B$11:$M$2025,12,FALSE)</f>
        <v>481.81412999999998</v>
      </c>
      <c r="BK89" s="95">
        <f t="shared" si="10"/>
        <v>0</v>
      </c>
    </row>
    <row r="90" spans="1:63" ht="14.4" customHeight="1">
      <c r="A90" s="577"/>
      <c r="V90" s="593"/>
      <c r="W90" s="593"/>
      <c r="X90" s="593"/>
      <c r="Y90" s="593"/>
      <c r="Z90" s="593"/>
      <c r="AA90" s="593"/>
      <c r="AB90" s="593"/>
      <c r="AC90" s="593"/>
      <c r="AU90" s="319">
        <f>OBJ!B212</f>
        <v>9257657</v>
      </c>
      <c r="AV90" s="21" t="str">
        <f>VLOOKUP(AU90,CENY!$B$11:$G$1054,2,FALSE)</f>
        <v>AvanY-spojky indiv.čela vn.Inlay/v187/strieb.</v>
      </c>
      <c r="AW90" s="22">
        <f>VLOOKUP(AU90,CENY!$B$11:$G$1054,3,FALSE)</f>
        <v>1</v>
      </c>
      <c r="AX90" s="22"/>
      <c r="AY90" s="23">
        <f>AY3*(SUM(W20:AD20)+SUM(W22:AF22)+SUM(W28:AD28))</f>
        <v>0</v>
      </c>
      <c r="AZ90" s="326">
        <f t="shared" si="8"/>
        <v>0</v>
      </c>
      <c r="BA90" s="95">
        <f>VLOOKUP(AU90,CENY!$B$11:$M$2025,12,FALSE)</f>
        <v>557.04454999999996</v>
      </c>
      <c r="BB90" s="95">
        <f t="shared" si="7"/>
        <v>0</v>
      </c>
      <c r="BD90" s="319">
        <f>OBJ!B288</f>
        <v>9236718</v>
      </c>
      <c r="BE90" s="21" t="str">
        <f>VLOOKUP(BD90,CENY!$B$11:$G$1054,2,FALSE)</f>
        <v>Push to open Synchro / tyč 2.000 mm</v>
      </c>
      <c r="BF90" s="22">
        <f>VLOOKUP(BD90,CENY!$B$11:$G$1054,3,FALSE)</f>
        <v>100</v>
      </c>
      <c r="BG90" s="22"/>
      <c r="BH90" s="68"/>
      <c r="BI90" s="326" t="str">
        <f t="shared" si="9"/>
        <v/>
      </c>
      <c r="BJ90" s="95">
        <f>VLOOKUP(BD90,CENY!$B$11:$M$2025,12,FALSE)</f>
        <v>182.03933000000001</v>
      </c>
      <c r="BK90" s="95">
        <f t="shared" si="10"/>
        <v>0</v>
      </c>
    </row>
    <row r="91" spans="1:63" ht="14.4" customHeight="1">
      <c r="A91" s="577"/>
      <c r="V91" s="593"/>
      <c r="W91" s="593"/>
      <c r="X91" s="593"/>
      <c r="Y91" s="593"/>
      <c r="Z91" s="593"/>
      <c r="AA91" s="593"/>
      <c r="AB91" s="593"/>
      <c r="AC91" s="593"/>
      <c r="AU91" s="319">
        <f>OBJ!B224</f>
        <v>9283228</v>
      </c>
      <c r="AV91" s="21" t="str">
        <f>VLOOKUP(AU91,CENY!$B$11:$G$1054,2,FALSE)</f>
        <v>AvanY-sklo pre vnút.čelo /v66/s450/hr18</v>
      </c>
      <c r="AW91" s="22">
        <f>VLOOKUP(AU91,CENY!$B$11:$G$1054,3,FALSE)</f>
        <v>1</v>
      </c>
      <c r="AX91" s="22"/>
      <c r="AY91" s="23">
        <f>O86</f>
        <v>0</v>
      </c>
      <c r="AZ91" s="326">
        <f t="shared" si="8"/>
        <v>0</v>
      </c>
      <c r="BA91" s="95">
        <f>VLOOKUP(AU91,CENY!$B$11:$M$2025,12,FALSE)</f>
        <v>0</v>
      </c>
      <c r="BB91" s="95">
        <f t="shared" si="7"/>
        <v>0</v>
      </c>
      <c r="BD91" s="319"/>
      <c r="BE91" s="21"/>
      <c r="BF91" s="22"/>
      <c r="BG91" s="22"/>
      <c r="BH91" s="23"/>
      <c r="BI91" s="326" t="str">
        <f t="shared" si="9"/>
        <v/>
      </c>
      <c r="BJ91" s="95"/>
      <c r="BK91" s="95" t="str">
        <f t="shared" si="10"/>
        <v/>
      </c>
    </row>
    <row r="92" spans="1:63" ht="14.4" customHeight="1">
      <c r="A92" s="577"/>
      <c r="V92" s="593"/>
      <c r="W92" s="593"/>
      <c r="X92" s="593"/>
      <c r="Y92" s="593"/>
      <c r="Z92" s="593"/>
      <c r="AA92" s="593"/>
      <c r="AB92" s="593"/>
      <c r="AC92" s="593"/>
      <c r="AU92" s="319">
        <f>OBJ!B225</f>
        <v>9283229</v>
      </c>
      <c r="AV92" s="21" t="str">
        <f>VLOOKUP(AU92,CENY!$B$11:$G$1054,2,FALSE)</f>
        <v>AvanY-sklo pre vnút.čelo /v66/s600/hr18</v>
      </c>
      <c r="AW92" s="22">
        <f>VLOOKUP(AU92,CENY!$B$11:$G$1054,3,FALSE)</f>
        <v>1</v>
      </c>
      <c r="AX92" s="22"/>
      <c r="AY92" s="23">
        <f>Q86</f>
        <v>0</v>
      </c>
      <c r="AZ92" s="326">
        <f t="shared" si="8"/>
        <v>0</v>
      </c>
      <c r="BA92" s="95">
        <f>VLOOKUP(AU92,CENY!$B$11:$M$2025,12,FALSE)</f>
        <v>409.12</v>
      </c>
      <c r="BB92" s="95">
        <f t="shared" si="7"/>
        <v>0</v>
      </c>
      <c r="BD92" s="319">
        <f>OBJ!B297</f>
        <v>9256944</v>
      </c>
      <c r="BE92" s="21" t="str">
        <f>VLOOKUP(BD92,CENY!$B$11:$G$1054,2,FALSE)</f>
        <v>Quadro You(S) 270/SiSy 10kg; EB21; ľavý</v>
      </c>
      <c r="BF92" s="22">
        <f>VLOOKUP(BD92,CENY!$B$11:$G$1054,3,FALSE)</f>
        <v>20</v>
      </c>
      <c r="BG92" s="22"/>
      <c r="BH92" s="68"/>
      <c r="BI92" s="326" t="str">
        <f t="shared" si="9"/>
        <v/>
      </c>
      <c r="BJ92" s="95">
        <f>VLOOKUP(BD92,CENY!$B$11:$M$2025,12,FALSE)</f>
        <v>223.77942999999999</v>
      </c>
      <c r="BK92" s="95">
        <f t="shared" si="10"/>
        <v>0</v>
      </c>
    </row>
    <row r="93" spans="1:63" ht="14.4" customHeight="1">
      <c r="A93" s="577"/>
      <c r="V93" s="593"/>
      <c r="W93" s="593"/>
      <c r="X93" s="593"/>
      <c r="Y93" s="593"/>
      <c r="Z93" s="593"/>
      <c r="AA93" s="593"/>
      <c r="AB93" s="593"/>
      <c r="AC93" s="593"/>
      <c r="AU93" s="319">
        <f>OBJ!B226</f>
        <v>9283231</v>
      </c>
      <c r="AV93" s="21" t="str">
        <f>VLOOKUP(AU93,CENY!$B$11:$G$1054,2,FALSE)</f>
        <v>AvanY-sklo pre vnút.čelo /v66/s900/hr18</v>
      </c>
      <c r="AW93" s="22">
        <f>VLOOKUP(AU93,CENY!$B$11:$G$1054,3,FALSE)</f>
        <v>1</v>
      </c>
      <c r="AX93" s="22"/>
      <c r="AY93" s="23">
        <f>S86</f>
        <v>0</v>
      </c>
      <c r="AZ93" s="326">
        <f>IF(AY93="","",IF($AW$4=1,AY93,0))</f>
        <v>0</v>
      </c>
      <c r="BA93" s="95">
        <f>VLOOKUP(AU93,CENY!$B$11:$M$2025,12,FALSE)</f>
        <v>722.48258999999996</v>
      </c>
      <c r="BB93" s="95">
        <f>IF(BA93="","",BA93*AY93)</f>
        <v>0</v>
      </c>
      <c r="BD93" s="319">
        <f>OBJ!B298</f>
        <v>9256945</v>
      </c>
      <c r="BE93" s="21" t="str">
        <f>VLOOKUP(BD93,CENY!$B$11:$G$1054,2,FALSE)</f>
        <v>Quadro You(S) 270/SiSy 10kg; EB21; pravý</v>
      </c>
      <c r="BF93" s="22">
        <f>VLOOKUP(BD93,CENY!$B$11:$G$1054,3,FALSE)</f>
        <v>20</v>
      </c>
      <c r="BG93" s="22"/>
      <c r="BH93" s="68"/>
      <c r="BI93" s="326" t="str">
        <f t="shared" si="9"/>
        <v/>
      </c>
      <c r="BJ93" s="95">
        <f>VLOOKUP(BD93,CENY!$B$11:$M$2025,12,FALSE)</f>
        <v>223.77942999999999</v>
      </c>
      <c r="BK93" s="95">
        <f t="shared" si="10"/>
        <v>0</v>
      </c>
    </row>
    <row r="94" spans="1:63" ht="14.4" customHeight="1">
      <c r="A94" s="577"/>
      <c r="V94" s="593"/>
      <c r="W94" s="593"/>
      <c r="X94" s="593"/>
      <c r="Y94" s="593"/>
      <c r="Z94" s="593"/>
      <c r="AA94" s="593"/>
      <c r="AB94" s="593"/>
      <c r="AC94" s="593"/>
      <c r="AU94" s="319">
        <f>OBJ!B227</f>
        <v>9283232</v>
      </c>
      <c r="AV94" s="21" t="str">
        <f>VLOOKUP(AU94,CENY!$B$11:$G$1054,2,FALSE)</f>
        <v>AvanY-sklo pre vnút.čelo /v66/s1200/hr18</v>
      </c>
      <c r="AW94" s="22">
        <f>VLOOKUP(AU94,CENY!$B$11:$G$1054,3,FALSE)</f>
        <v>1</v>
      </c>
      <c r="AX94" s="22"/>
      <c r="AY94" s="23">
        <f>U86</f>
        <v>0</v>
      </c>
      <c r="AZ94" s="326">
        <f>IF(AY94="","",IF($AW$4=1,AY94,0))</f>
        <v>0</v>
      </c>
      <c r="BA94" s="95">
        <f>VLOOKUP(AU94,CENY!$B$11:$M$2025,12,FALSE)</f>
        <v>931.38562999999999</v>
      </c>
      <c r="BB94" s="95">
        <f>IF(BA94="","",BA94*AY94)</f>
        <v>0</v>
      </c>
      <c r="BD94" s="319">
        <f>OBJ!B299</f>
        <v>9256946</v>
      </c>
      <c r="BE94" s="21" t="str">
        <f>VLOOKUP(BD94,CENY!$B$11:$G$1054,2,FALSE)</f>
        <v>Quadro You(S) 300/SiSy 10kg; EB21; ľavý</v>
      </c>
      <c r="BF94" s="22">
        <f>VLOOKUP(BD94,CENY!$B$11:$G$1054,3,FALSE)</f>
        <v>20</v>
      </c>
      <c r="BG94" s="22"/>
      <c r="BH94" s="68"/>
      <c r="BI94" s="326" t="str">
        <f t="shared" si="9"/>
        <v/>
      </c>
      <c r="BJ94" s="95">
        <f>VLOOKUP(BD94,CENY!$B$11:$M$2025,12,FALSE)</f>
        <v>224.26065</v>
      </c>
      <c r="BK94" s="95">
        <f t="shared" si="10"/>
        <v>0</v>
      </c>
    </row>
    <row r="95" spans="1:63" ht="14.4" customHeight="1">
      <c r="A95" s="577"/>
      <c r="AU95" s="319">
        <f>OBJ!B228</f>
        <v>9283233</v>
      </c>
      <c r="AV95" s="21" t="str">
        <f>VLOOKUP(AU95,CENY!$B$11:$G$1054,2,FALSE)</f>
        <v>AvanY-sklo pre vnút.čelo /v130/s450/hr18</v>
      </c>
      <c r="AW95" s="22">
        <f>VLOOKUP(AU95,CENY!$B$11:$G$1054,3,FALSE)</f>
        <v>1</v>
      </c>
      <c r="AX95" s="22"/>
      <c r="AY95" s="23">
        <f>AC86</f>
        <v>0</v>
      </c>
      <c r="AZ95" s="326">
        <f>IF(AY95="","",IF($AW$4=1,AY95,0))</f>
        <v>0</v>
      </c>
      <c r="BA95" s="95">
        <f>VLOOKUP(AU95,CENY!$B$11:$M$2025,12,FALSE)</f>
        <v>564.20789000000002</v>
      </c>
      <c r="BB95" s="95">
        <f>IF(BA95="","",BA95*AY95)</f>
        <v>0</v>
      </c>
      <c r="BD95" s="319">
        <f>OBJ!B300</f>
        <v>9256947</v>
      </c>
      <c r="BE95" s="21" t="str">
        <f>VLOOKUP(BD95,CENY!$B$11:$G$1054,2,FALSE)</f>
        <v>Quadro You(S) 300/SiSy 10kg; EB21; pravý</v>
      </c>
      <c r="BF95" s="22">
        <f>VLOOKUP(BD95,CENY!$B$11:$G$1054,3,FALSE)</f>
        <v>20</v>
      </c>
      <c r="BG95" s="22"/>
      <c r="BH95" s="68"/>
      <c r="BI95" s="326" t="str">
        <f t="shared" si="9"/>
        <v/>
      </c>
      <c r="BJ95" s="95">
        <f>VLOOKUP(BD95,CENY!$B$11:$M$2025,12,FALSE)</f>
        <v>224.26065</v>
      </c>
      <c r="BK95" s="95">
        <f t="shared" si="10"/>
        <v>0</v>
      </c>
    </row>
    <row r="96" spans="1:63" ht="14.4" customHeight="1">
      <c r="A96" s="577"/>
      <c r="AU96" s="319">
        <f>OBJ!B229</f>
        <v>9283235</v>
      </c>
      <c r="AV96" s="21" t="str">
        <f>VLOOKUP(AU96,CENY!$B$11:$G$1054,2,FALSE)</f>
        <v>AvanY-sklo pre vnút.čelo /v130/s600/hr18</v>
      </c>
      <c r="AW96" s="22">
        <f>VLOOKUP(AU96,CENY!$B$11:$G$1054,3,FALSE)</f>
        <v>1</v>
      </c>
      <c r="AX96" s="22"/>
      <c r="AY96" s="23">
        <f>AE86</f>
        <v>0</v>
      </c>
      <c r="AZ96" s="326">
        <f t="shared" ref="AZ96:AZ98" si="11">IF(AY96="","",IF($AW$4=1,AY96,0))</f>
        <v>0</v>
      </c>
      <c r="BA96" s="95">
        <f>VLOOKUP(AU96,CENY!$B$11:$M$2025,12,FALSE)</f>
        <v>641.17699000000005</v>
      </c>
      <c r="BB96" s="95">
        <f t="shared" ref="BB96:BB98" si="12">IF(BA96="","",BA96*AY96)</f>
        <v>0</v>
      </c>
      <c r="BD96" s="319">
        <f>OBJ!B301</f>
        <v>9256950</v>
      </c>
      <c r="BE96" s="21" t="str">
        <f>VLOOKUP(BD96,CENY!$B$11:$G$1054,2,FALSE)</f>
        <v>Quadro You(S) 350/SiSy 10kg; EB21; ľavý</v>
      </c>
      <c r="BF96" s="22">
        <f>VLOOKUP(BD96,CENY!$B$11:$G$1054,3,FALSE)</f>
        <v>20</v>
      </c>
      <c r="BG96" s="22"/>
      <c r="BH96" s="68"/>
      <c r="BI96" s="326" t="str">
        <f t="shared" si="9"/>
        <v/>
      </c>
      <c r="BJ96" s="95">
        <f>VLOOKUP(BD96,CENY!$B$11:$M$2025,12,FALSE)</f>
        <v>229.11434</v>
      </c>
      <c r="BK96" s="95">
        <f t="shared" si="10"/>
        <v>0</v>
      </c>
    </row>
    <row r="97" spans="1:63" ht="14.4" customHeight="1">
      <c r="A97" s="577"/>
      <c r="AU97" s="319">
        <f>OBJ!B230</f>
        <v>9283237</v>
      </c>
      <c r="AV97" s="21" t="str">
        <f>VLOOKUP(AU97,CENY!$B$11:$G$1054,2,FALSE)</f>
        <v>AvanY-sklo pre vnút.čelo /v130/s900/hr18</v>
      </c>
      <c r="AW97" s="22">
        <f>VLOOKUP(AU97,CENY!$B$11:$G$1054,3,FALSE)</f>
        <v>1</v>
      </c>
      <c r="AX97" s="22"/>
      <c r="AY97" s="23">
        <f>AG86</f>
        <v>0</v>
      </c>
      <c r="AZ97" s="326">
        <f t="shared" si="11"/>
        <v>0</v>
      </c>
      <c r="BA97" s="95">
        <f>VLOOKUP(AU97,CENY!$B$11:$M$2025,12,FALSE)</f>
        <v>1068.6239</v>
      </c>
      <c r="BB97" s="95">
        <f t="shared" si="12"/>
        <v>0</v>
      </c>
      <c r="BD97" s="319">
        <f>OBJ!B302</f>
        <v>9256951</v>
      </c>
      <c r="BE97" s="21" t="str">
        <f>VLOOKUP(BD97,CENY!$B$11:$G$1054,2,FALSE)</f>
        <v>Quadro You(S) 350/SiSy 10kg; EB21; pravý</v>
      </c>
      <c r="BF97" s="22">
        <f>VLOOKUP(BD97,CENY!$B$11:$G$1054,3,FALSE)</f>
        <v>20</v>
      </c>
      <c r="BG97" s="22"/>
      <c r="BH97" s="68"/>
      <c r="BI97" s="326" t="str">
        <f t="shared" si="9"/>
        <v/>
      </c>
      <c r="BJ97" s="95">
        <f>VLOOKUP(BD97,CENY!$B$11:$M$2025,12,FALSE)</f>
        <v>229.11434</v>
      </c>
      <c r="BK97" s="95">
        <f t="shared" si="10"/>
        <v>0</v>
      </c>
    </row>
    <row r="98" spans="1:63" ht="14.4" customHeight="1">
      <c r="A98" s="577"/>
      <c r="AU98" s="319">
        <f>OBJ!B231</f>
        <v>9283238</v>
      </c>
      <c r="AV98" s="21" t="str">
        <f>VLOOKUP(AU98,CENY!$B$11:$G$1054,2,FALSE)</f>
        <v>AvanY-sklo pre vnút.čelo /v130/s1200/hr18</v>
      </c>
      <c r="AW98" s="22">
        <f>VLOOKUP(AU98,CENY!$B$11:$G$1054,3,FALSE)</f>
        <v>1</v>
      </c>
      <c r="AX98" s="22"/>
      <c r="AY98" s="23">
        <f>AI86</f>
        <v>0</v>
      </c>
      <c r="AZ98" s="326">
        <f t="shared" si="11"/>
        <v>0</v>
      </c>
      <c r="BA98" s="95">
        <f>VLOOKUP(AU98,CENY!$B$11:$M$2025,12,FALSE)</f>
        <v>1376.3860500000001</v>
      </c>
      <c r="BB98" s="95">
        <f t="shared" si="12"/>
        <v>0</v>
      </c>
      <c r="BD98" s="319"/>
      <c r="BE98" s="21"/>
      <c r="BF98" s="22"/>
      <c r="BG98" s="22"/>
      <c r="BH98" s="23"/>
      <c r="BI98" s="326" t="str">
        <f t="shared" si="9"/>
        <v/>
      </c>
      <c r="BJ98" s="95"/>
      <c r="BK98" s="95" t="str">
        <f t="shared" si="10"/>
        <v/>
      </c>
    </row>
    <row r="99" spans="1:63" ht="14.4" customHeight="1">
      <c r="A99" s="577"/>
      <c r="AU99" s="319"/>
      <c r="AV99" s="21"/>
      <c r="AW99" s="368"/>
      <c r="AX99" s="368"/>
      <c r="AY99" s="369"/>
      <c r="AZ99" s="326" t="str">
        <f t="shared" si="8"/>
        <v/>
      </c>
      <c r="BA99" s="95"/>
      <c r="BB99" s="95" t="str">
        <f t="shared" si="7"/>
        <v/>
      </c>
      <c r="BD99" s="319">
        <f>OBJ!B312</f>
        <v>9256854</v>
      </c>
      <c r="BE99" s="21" t="str">
        <f>VLOOKUP(BD99,CENY!$B$11:$G$1054,2,FALSE)</f>
        <v>Quadro You(M) 270/SiSy 20kg; EB21; ľavý</v>
      </c>
      <c r="BF99" s="22">
        <f>VLOOKUP(BD99,CENY!$B$11:$G$1054,3,FALSE)</f>
        <v>20</v>
      </c>
      <c r="BG99" s="22"/>
      <c r="BH99" s="68"/>
      <c r="BI99" s="326" t="str">
        <f t="shared" si="9"/>
        <v/>
      </c>
      <c r="BJ99" s="95">
        <f>VLOOKUP(BD99,CENY!$B$11:$M$2025,12,FALSE)</f>
        <v>223.77942999999999</v>
      </c>
      <c r="BK99" s="95">
        <f t="shared" si="10"/>
        <v>0</v>
      </c>
    </row>
    <row r="100" spans="1:63" ht="14.4" customHeight="1">
      <c r="A100" s="577"/>
      <c r="AU100" s="372" t="s">
        <v>595</v>
      </c>
      <c r="AV100" s="21"/>
      <c r="AW100" s="611" t="s">
        <v>596</v>
      </c>
      <c r="AX100" s="611"/>
      <c r="AY100" s="611"/>
      <c r="AZ100" s="326" t="str">
        <f t="shared" si="8"/>
        <v/>
      </c>
      <c r="BA100" s="95"/>
      <c r="BB100" s="95" t="str">
        <f t="shared" si="7"/>
        <v/>
      </c>
      <c r="BD100" s="319">
        <f>OBJ!B313</f>
        <v>9256855</v>
      </c>
      <c r="BE100" s="21" t="str">
        <f>VLOOKUP(BD100,CENY!$B$11:$G$1054,2,FALSE)</f>
        <v>Quadro You(M) 270/SiSy 20kg; EB21; pravý</v>
      </c>
      <c r="BF100" s="22">
        <f>VLOOKUP(BD100,CENY!$B$11:$G$1054,3,FALSE)</f>
        <v>20</v>
      </c>
      <c r="BG100" s="22"/>
      <c r="BH100" s="68"/>
      <c r="BI100" s="326" t="str">
        <f t="shared" si="9"/>
        <v/>
      </c>
      <c r="BJ100" s="95">
        <f>VLOOKUP(BD100,CENY!$B$11:$M$2025,12,FALSE)</f>
        <v>223.77942999999999</v>
      </c>
      <c r="BK100" s="95">
        <f t="shared" si="10"/>
        <v>0</v>
      </c>
    </row>
    <row r="101" spans="1:63">
      <c r="A101" s="577"/>
      <c r="AU101" s="381">
        <f>1*(AY1)*(SUM(W20:AD20)+SUM(W22:AF22)+SUM(W28:AD28))</f>
        <v>0</v>
      </c>
      <c r="AV101" s="329" t="s">
        <v>356</v>
      </c>
      <c r="AW101" s="610">
        <f>1*(AY3)*(SUM(W20:AD20)+SUM(W22:AF22)+SUM(W28:AD28))</f>
        <v>0</v>
      </c>
      <c r="AX101" s="610"/>
      <c r="AY101" s="610"/>
      <c r="AZ101" s="326" t="str">
        <f t="shared" si="8"/>
        <v/>
      </c>
      <c r="BA101" s="95"/>
      <c r="BB101" s="95" t="str">
        <f t="shared" si="7"/>
        <v/>
      </c>
      <c r="BD101" s="319">
        <f>OBJ!B314</f>
        <v>9256856</v>
      </c>
      <c r="BE101" s="21" t="str">
        <f>VLOOKUP(BD101,CENY!$B$11:$G$1054,2,FALSE)</f>
        <v>Quadro You(M) 300/SiSy 20kg; EB21; ľavý</v>
      </c>
      <c r="BF101" s="22">
        <f>VLOOKUP(BD101,CENY!$B$11:$G$1054,3,FALSE)</f>
        <v>20</v>
      </c>
      <c r="BG101" s="22"/>
      <c r="BH101" s="68"/>
      <c r="BI101" s="326" t="str">
        <f t="shared" si="9"/>
        <v/>
      </c>
      <c r="BJ101" s="95">
        <f>VLOOKUP(BD101,CENY!$B$11:$M$2025,12,FALSE)</f>
        <v>224.26065</v>
      </c>
      <c r="BK101" s="95">
        <f t="shared" si="10"/>
        <v>0</v>
      </c>
    </row>
    <row r="102" spans="1:63">
      <c r="A102" s="577"/>
      <c r="AU102" s="20"/>
      <c r="AV102" s="21"/>
      <c r="AW102" s="610"/>
      <c r="AX102" s="610"/>
      <c r="AY102" s="610"/>
      <c r="AZ102" s="326" t="str">
        <f t="shared" si="8"/>
        <v/>
      </c>
      <c r="BA102" s="95"/>
      <c r="BB102" s="95" t="str">
        <f t="shared" si="7"/>
        <v/>
      </c>
      <c r="BD102" s="319">
        <f>OBJ!B315</f>
        <v>9256857</v>
      </c>
      <c r="BE102" s="21" t="str">
        <f>VLOOKUP(BD102,CENY!$B$11:$G$1054,2,FALSE)</f>
        <v>Quadro You(M) 300/SiSy 20kg; EB21; pravý</v>
      </c>
      <c r="BF102" s="22">
        <f>VLOOKUP(BD102,CENY!$B$11:$G$1054,3,FALSE)</f>
        <v>20</v>
      </c>
      <c r="BG102" s="22"/>
      <c r="BH102" s="68"/>
      <c r="BI102" s="326" t="str">
        <f t="shared" si="9"/>
        <v/>
      </c>
      <c r="BJ102" s="95">
        <f>VLOOKUP(BD102,CENY!$B$11:$M$2025,12,FALSE)</f>
        <v>224.26065</v>
      </c>
      <c r="BK102" s="95">
        <f t="shared" si="10"/>
        <v>0</v>
      </c>
    </row>
    <row r="103" spans="1:63">
      <c r="A103" s="577"/>
      <c r="AU103" s="382">
        <f>SUM(O85:AJ85)*AY1</f>
        <v>0</v>
      </c>
      <c r="AV103" s="21" t="s">
        <v>357</v>
      </c>
      <c r="AW103" s="610">
        <f>SUM(O86:AJ86)</f>
        <v>0</v>
      </c>
      <c r="AX103" s="610"/>
      <c r="AY103" s="610"/>
      <c r="AZ103" s="326" t="str">
        <f t="shared" si="8"/>
        <v/>
      </c>
      <c r="BA103" s="95"/>
      <c r="BB103" s="95" t="str">
        <f t="shared" si="7"/>
        <v/>
      </c>
      <c r="BD103" s="319">
        <f>OBJ!B316</f>
        <v>9256860</v>
      </c>
      <c r="BE103" s="21" t="str">
        <f>VLOOKUP(BD103,CENY!$B$11:$G$1054,2,FALSE)</f>
        <v>Quadro You(M) 350/SiSy 25kg; EB21; ľavý</v>
      </c>
      <c r="BF103" s="22">
        <f>VLOOKUP(BD103,CENY!$B$11:$G$1054,3,FALSE)</f>
        <v>20</v>
      </c>
      <c r="BG103" s="22"/>
      <c r="BH103" s="68"/>
      <c r="BI103" s="326" t="str">
        <f t="shared" si="9"/>
        <v/>
      </c>
      <c r="BJ103" s="95">
        <f>VLOOKUP(BD103,CENY!$B$11:$M$2025,12,FALSE)</f>
        <v>229.11434</v>
      </c>
      <c r="BK103" s="95">
        <f t="shared" si="10"/>
        <v>0</v>
      </c>
    </row>
    <row r="104" spans="1:63">
      <c r="A104" s="577"/>
      <c r="AU104" s="383">
        <f>AU101-AU103</f>
        <v>0</v>
      </c>
      <c r="AV104" s="21"/>
      <c r="AW104" s="610">
        <f>AW101-AW103</f>
        <v>0</v>
      </c>
      <c r="AX104" s="610"/>
      <c r="AY104" s="610"/>
      <c r="AZ104" s="326" t="str">
        <f t="shared" si="8"/>
        <v/>
      </c>
      <c r="BA104" s="95"/>
      <c r="BB104" s="95" t="str">
        <f t="shared" si="7"/>
        <v/>
      </c>
      <c r="BD104" s="319">
        <f>OBJ!B317</f>
        <v>9256861</v>
      </c>
      <c r="BE104" s="21" t="str">
        <f>VLOOKUP(BD104,CENY!$B$11:$G$1054,2,FALSE)</f>
        <v>Quadro You(M) 350/SiSy 25kg; EB21; pravý</v>
      </c>
      <c r="BF104" s="22">
        <f>VLOOKUP(BD104,CENY!$B$11:$G$1054,3,FALSE)</f>
        <v>20</v>
      </c>
      <c r="BG104" s="22"/>
      <c r="BH104" s="68"/>
      <c r="BI104" s="326" t="str">
        <f t="shared" si="9"/>
        <v/>
      </c>
      <c r="BJ104" s="95">
        <f>VLOOKUP(BD104,CENY!$B$11:$M$2025,12,FALSE)</f>
        <v>229.11434</v>
      </c>
      <c r="BK104" s="95">
        <f t="shared" si="10"/>
        <v>0</v>
      </c>
    </row>
    <row r="105" spans="1:63">
      <c r="A105" s="577"/>
      <c r="AU105" s="383">
        <f>ABS(AU104)</f>
        <v>0</v>
      </c>
      <c r="AV105" s="21"/>
      <c r="AW105" s="610">
        <f>ABS(AW104)</f>
        <v>0</v>
      </c>
      <c r="AX105" s="610"/>
      <c r="AY105" s="610"/>
      <c r="AZ105" s="326" t="str">
        <f t="shared" si="8"/>
        <v/>
      </c>
      <c r="BA105" s="95"/>
      <c r="BB105" s="95" t="str">
        <f t="shared" si="7"/>
        <v/>
      </c>
      <c r="BD105" s="319">
        <f>OBJ!B318</f>
        <v>9256864</v>
      </c>
      <c r="BE105" s="21" t="str">
        <f>VLOOKUP(BD105,CENY!$B$11:$G$1054,2,FALSE)</f>
        <v>Quadro You(M) 400/SiSy 30kg; EB21; ľavý</v>
      </c>
      <c r="BF105" s="22">
        <f>VLOOKUP(BD105,CENY!$B$11:$G$1054,3,FALSE)</f>
        <v>20</v>
      </c>
      <c r="BG105" s="22"/>
      <c r="BH105" s="68"/>
      <c r="BI105" s="326" t="str">
        <f t="shared" si="9"/>
        <v/>
      </c>
      <c r="BJ105" s="95">
        <f>VLOOKUP(BD105,CENY!$B$11:$M$2025,12,FALSE)</f>
        <v>233.96566000000001</v>
      </c>
      <c r="BK105" s="95">
        <f t="shared" si="10"/>
        <v>0</v>
      </c>
    </row>
    <row r="106" spans="1:63">
      <c r="AU106" s="20"/>
      <c r="AV106" s="21"/>
      <c r="AW106" s="610"/>
      <c r="AX106" s="610"/>
      <c r="AY106" s="610"/>
      <c r="AZ106" s="326" t="str">
        <f t="shared" si="8"/>
        <v/>
      </c>
      <c r="BA106" s="95"/>
      <c r="BB106" s="95" t="str">
        <f t="shared" si="7"/>
        <v/>
      </c>
      <c r="BD106" s="319">
        <f>OBJ!B319</f>
        <v>9256865</v>
      </c>
      <c r="BE106" s="21" t="str">
        <f>VLOOKUP(BD106,CENY!$B$11:$G$1054,2,FALSE)</f>
        <v>Quadro You(M) 400/SiSy 30kg; EB21; pravý</v>
      </c>
      <c r="BF106" s="22">
        <f>VLOOKUP(BD106,CENY!$B$11:$G$1054,3,FALSE)</f>
        <v>20</v>
      </c>
      <c r="BG106" s="22"/>
      <c r="BH106" s="68"/>
      <c r="BI106" s="326" t="str">
        <f t="shared" si="9"/>
        <v/>
      </c>
      <c r="BJ106" s="95">
        <f>VLOOKUP(BD106,CENY!$B$11:$M$2025,12,FALSE)</f>
        <v>233.96566000000001</v>
      </c>
      <c r="BK106" s="95">
        <f t="shared" si="10"/>
        <v>0</v>
      </c>
    </row>
    <row r="107" spans="1:63">
      <c r="AU107" s="383">
        <f>(AU103-1)*4+SUM(O81:AJ81)</f>
        <v>-4</v>
      </c>
      <c r="AV107" s="21" t="s">
        <v>358</v>
      </c>
      <c r="AW107" s="610">
        <f>(AW103-1)*4+SUM(O82:AJ82)</f>
        <v>-4</v>
      </c>
      <c r="AX107" s="610"/>
      <c r="AY107" s="610"/>
      <c r="AZ107" s="326" t="str">
        <f t="shared" si="8"/>
        <v/>
      </c>
      <c r="BA107" s="95"/>
      <c r="BB107" s="95" t="str">
        <f t="shared" si="7"/>
        <v/>
      </c>
      <c r="BD107" s="319">
        <f>OBJ!B320</f>
        <v>9256868</v>
      </c>
      <c r="BE107" s="21" t="str">
        <f>VLOOKUP(BD107,CENY!$B$11:$G$1054,2,FALSE)</f>
        <v>Quadro You(M) 450/SiSy 30kg; EB21; ľavý</v>
      </c>
      <c r="BF107" s="22">
        <f>VLOOKUP(BD107,CENY!$B$11:$G$1054,3,FALSE)</f>
        <v>20</v>
      </c>
      <c r="BG107" s="22"/>
      <c r="BH107" s="23">
        <f>AY64</f>
        <v>0</v>
      </c>
      <c r="BI107" s="326">
        <f t="shared" si="9"/>
        <v>0</v>
      </c>
      <c r="BJ107" s="95">
        <f>VLOOKUP(BD107,CENY!$B$11:$M$2025,12,FALSE)</f>
        <v>238.81201999999999</v>
      </c>
      <c r="BK107" s="95">
        <f t="shared" si="10"/>
        <v>0</v>
      </c>
    </row>
    <row r="108" spans="1:63">
      <c r="AU108" s="22"/>
      <c r="AV108" s="21"/>
      <c r="AW108" s="370"/>
      <c r="AX108" s="370"/>
      <c r="AY108" s="371"/>
      <c r="AZ108" s="326" t="str">
        <f t="shared" si="8"/>
        <v/>
      </c>
      <c r="BA108" s="95"/>
      <c r="BB108" s="95" t="str">
        <f t="shared" si="7"/>
        <v/>
      </c>
      <c r="BD108" s="319">
        <f>OBJ!B321</f>
        <v>9256869</v>
      </c>
      <c r="BE108" s="21" t="str">
        <f>VLOOKUP(BD108,CENY!$B$11:$G$1054,2,FALSE)</f>
        <v>Quadro You(M) 450/SiSy 30kg; EB21; pravý</v>
      </c>
      <c r="BF108" s="22">
        <f>VLOOKUP(BD108,CENY!$B$11:$G$1054,3,FALSE)</f>
        <v>20</v>
      </c>
      <c r="BG108" s="22"/>
      <c r="BH108" s="23">
        <f>AY64</f>
        <v>0</v>
      </c>
      <c r="BI108" s="326">
        <f t="shared" si="9"/>
        <v>0</v>
      </c>
      <c r="BJ108" s="95">
        <f>VLOOKUP(BD108,CENY!$B$11:$M$2025,12,FALSE)</f>
        <v>238.81201999999999</v>
      </c>
      <c r="BK108" s="95">
        <f t="shared" si="10"/>
        <v>0</v>
      </c>
    </row>
    <row r="109" spans="1:63">
      <c r="AU109" s="335" t="str">
        <f>IF(AW103=0,verze!E169&amp;" "&amp;AW101&amp;" "&amp;verze!E170,"")</f>
        <v>Je potřebné vybrat 0 ks vnitřních čel.</v>
      </c>
      <c r="AV109" s="21"/>
      <c r="AW109" s="22"/>
      <c r="AX109" s="22"/>
      <c r="AY109" s="23"/>
      <c r="AZ109" s="326" t="str">
        <f t="shared" si="8"/>
        <v/>
      </c>
      <c r="BA109" s="95"/>
      <c r="BB109" s="95" t="str">
        <f t="shared" si="7"/>
        <v/>
      </c>
      <c r="BD109" s="319">
        <f>OBJ!B322</f>
        <v>9256872</v>
      </c>
      <c r="BE109" s="21" t="str">
        <f>VLOOKUP(BD109,CENY!$B$11:$G$1054,2,FALSE)</f>
        <v>Quadro You(M) 500/SiSy 30kg; EB21; ľavý</v>
      </c>
      <c r="BF109" s="22">
        <f>VLOOKUP(BD109,CENY!$B$11:$G$1054,3,FALSE)</f>
        <v>20</v>
      </c>
      <c r="BG109" s="22"/>
      <c r="BH109" s="23">
        <f>AY65</f>
        <v>0</v>
      </c>
      <c r="BI109" s="326">
        <f t="shared" si="9"/>
        <v>0</v>
      </c>
      <c r="BJ109" s="95">
        <f>VLOOKUP(BD109,CENY!$B$11:$M$2025,12,FALSE)</f>
        <v>237.18776</v>
      </c>
      <c r="BK109" s="95">
        <f t="shared" si="10"/>
        <v>0</v>
      </c>
    </row>
    <row r="110" spans="1:63">
      <c r="AU110" s="335" t="str">
        <f>IF(AW103=0,"",IF(AW101=AW103,verze!E174,IF(AW104&gt;0,verze!E171&amp;" "&amp;AW104&amp;" "&amp;verze!E170,verze!E172&amp;" "&amp;AW105&amp;" "&amp;verze!E173)))</f>
        <v/>
      </c>
      <c r="AV110" s="21"/>
      <c r="AW110" s="22"/>
      <c r="AX110" s="22"/>
      <c r="AY110" s="23"/>
      <c r="AZ110" s="326" t="str">
        <f t="shared" si="8"/>
        <v/>
      </c>
      <c r="BA110" s="95"/>
      <c r="BB110" s="95" t="str">
        <f t="shared" si="7"/>
        <v/>
      </c>
      <c r="BD110" s="319">
        <f>OBJ!B323</f>
        <v>9256873</v>
      </c>
      <c r="BE110" s="21" t="str">
        <f>VLOOKUP(BD110,CENY!$B$11:$G$1054,2,FALSE)</f>
        <v>Quadro You(M) 500/SiSy 30kg; EB21; pravý</v>
      </c>
      <c r="BF110" s="22">
        <f>VLOOKUP(BD110,CENY!$B$11:$G$1054,3,FALSE)</f>
        <v>20</v>
      </c>
      <c r="BG110" s="22"/>
      <c r="BH110" s="23">
        <f>AY65</f>
        <v>0</v>
      </c>
      <c r="BI110" s="326">
        <f t="shared" si="9"/>
        <v>0</v>
      </c>
      <c r="BJ110" s="95">
        <f>VLOOKUP(BD110,CENY!$B$11:$M$2025,12,FALSE)</f>
        <v>237.18776</v>
      </c>
      <c r="BK110" s="95">
        <f t="shared" si="10"/>
        <v>0</v>
      </c>
    </row>
    <row r="111" spans="1:63">
      <c r="AU111" s="20"/>
      <c r="AV111" s="21"/>
      <c r="AW111" s="22"/>
      <c r="AX111" s="22"/>
      <c r="AY111" s="23"/>
      <c r="AZ111" s="326" t="str">
        <f t="shared" si="8"/>
        <v/>
      </c>
      <c r="BA111" s="95"/>
      <c r="BB111" s="95" t="str">
        <f t="shared" si="7"/>
        <v/>
      </c>
      <c r="BD111" s="319">
        <f>OBJ!B324</f>
        <v>9256876</v>
      </c>
      <c r="BE111" s="21" t="str">
        <f>VLOOKUP(BD111,CENY!$B$11:$G$1054,2,FALSE)</f>
        <v>Quadro You(M) 550/SiSy 30kg; EB21; ľavý</v>
      </c>
      <c r="BF111" s="22">
        <f>VLOOKUP(BD111,CENY!$B$11:$G$1054,3,FALSE)</f>
        <v>20</v>
      </c>
      <c r="BG111" s="22"/>
      <c r="BH111" s="23">
        <f>AY66</f>
        <v>0</v>
      </c>
      <c r="BI111" s="326">
        <f t="shared" si="9"/>
        <v>0</v>
      </c>
      <c r="BJ111" s="95">
        <f>VLOOKUP(BD111,CENY!$B$11:$M$2025,12,FALSE)</f>
        <v>241.90996999999999</v>
      </c>
      <c r="BK111" s="95">
        <f t="shared" si="10"/>
        <v>0</v>
      </c>
    </row>
    <row r="112" spans="1:63">
      <c r="AU112" s="374">
        <f>OBJ!B367</f>
        <v>9099540</v>
      </c>
      <c r="AV112" s="375" t="str">
        <f>VLOOKUP(AU112,CENY!$B$11:$G$1054,2,FALSE)</f>
        <v>SENSYS 8657i 165st. B12,5/TH52</v>
      </c>
      <c r="AW112" s="22">
        <f>VLOOKUP(AU112,CENY!$B$11:$G$1054,3,FALSE)</f>
        <v>50</v>
      </c>
      <c r="AX112" s="22"/>
      <c r="AY112" s="23">
        <f>VLOOKUP(SUM(AY1:AY4),AY159:AZ166,2,FALSE)*(SUM(W20:AD20)+SUM(W22:AF22)+SUM(W28:AD28))*IF(AND(SUM(AG86:AJ86)=0,SUM(S86:V86)=0),1,2)</f>
        <v>0</v>
      </c>
      <c r="AZ112" s="326">
        <f t="shared" si="8"/>
        <v>0</v>
      </c>
      <c r="BA112" s="95">
        <f>VLOOKUP(AU112,CENY!$B$11:$M$2025,12,FALSE)</f>
        <v>141.95956000000001</v>
      </c>
      <c r="BB112" s="95">
        <f t="shared" si="7"/>
        <v>0</v>
      </c>
      <c r="BD112" s="319">
        <f>OBJ!B325</f>
        <v>9256877</v>
      </c>
      <c r="BE112" s="21" t="str">
        <f>VLOOKUP(BD112,CENY!$B$11:$G$1054,2,FALSE)</f>
        <v>Quadro You(M) 550/SiSy 30kg; EB21; pravý</v>
      </c>
      <c r="BF112" s="22">
        <f>VLOOKUP(BD112,CENY!$B$11:$G$1054,3,FALSE)</f>
        <v>20</v>
      </c>
      <c r="BG112" s="22"/>
      <c r="BH112" s="23">
        <f>AY66</f>
        <v>0</v>
      </c>
      <c r="BI112" s="326">
        <f t="shared" si="9"/>
        <v>0</v>
      </c>
      <c r="BJ112" s="95">
        <f>VLOOKUP(BD112,CENY!$B$11:$M$2025,12,FALSE)</f>
        <v>248.51953</v>
      </c>
      <c r="BK112" s="95">
        <f t="shared" si="10"/>
        <v>0</v>
      </c>
    </row>
    <row r="113" spans="47:63">
      <c r="AU113" s="374">
        <f>OBJ!B368</f>
        <v>9099600</v>
      </c>
      <c r="AV113" s="375" t="str">
        <f>VLOOKUP(AU113,CENY!$B$11:$G$1054,2,FALSE)</f>
        <v>SENSYS 8657 165st. B12,5/TH52 (bez SiSy)</v>
      </c>
      <c r="AW113" s="22">
        <f>VLOOKUP(AU113,CENY!$B$11:$G$1054,3,FALSE)</f>
        <v>50</v>
      </c>
      <c r="AX113" s="22"/>
      <c r="AY113" s="68"/>
      <c r="AZ113" s="326" t="str">
        <f t="shared" si="8"/>
        <v/>
      </c>
      <c r="BA113" s="95">
        <f>VLOOKUP(AU113,CENY!$B$11:$M$2025,12,FALSE)</f>
        <v>129.61077</v>
      </c>
      <c r="BB113" s="95">
        <f t="shared" si="7"/>
        <v>0</v>
      </c>
      <c r="BD113" s="319">
        <f>OBJ!B326</f>
        <v>9256880</v>
      </c>
      <c r="BE113" s="21" t="str">
        <f>VLOOKUP(BD113,CENY!$B$11:$G$1054,2,FALSE)</f>
        <v>Quadro You(M) 600/SiSy 25kg; EB21; ľavý</v>
      </c>
      <c r="BF113" s="22">
        <f>VLOOKUP(BD113,CENY!$B$11:$G$1054,3,FALSE)</f>
        <v>20</v>
      </c>
      <c r="BG113" s="22"/>
      <c r="BH113" s="23">
        <f>AY67</f>
        <v>0</v>
      </c>
      <c r="BI113" s="326">
        <f t="shared" si="9"/>
        <v>0</v>
      </c>
      <c r="BJ113" s="95">
        <f>VLOOKUP(BD113,CENY!$B$11:$M$2025,12,FALSE)</f>
        <v>253.36837</v>
      </c>
      <c r="BK113" s="95">
        <f t="shared" si="10"/>
        <v>0</v>
      </c>
    </row>
    <row r="114" spans="47:63">
      <c r="AU114" s="374">
        <f>OBJ!B369</f>
        <v>9099660</v>
      </c>
      <c r="AV114" s="375" t="str">
        <f>VLOOKUP(AU114,CENY!$B$11:$G$1054,2,FALSE)</f>
        <v>SENSYS 8687 165st. B12,5/TH52 (pre P2O)</v>
      </c>
      <c r="AW114" s="22">
        <f>VLOOKUP(AU114,CENY!$B$11:$G$1054,3,FALSE)</f>
        <v>50</v>
      </c>
      <c r="AX114" s="22"/>
      <c r="AY114" s="68"/>
      <c r="AZ114" s="326" t="str">
        <f t="shared" si="8"/>
        <v/>
      </c>
      <c r="BA114" s="95">
        <f>VLOOKUP(AU114,CENY!$B$11:$M$2025,12,FALSE)</f>
        <v>134.40997999999999</v>
      </c>
      <c r="BB114" s="95">
        <f t="shared" si="7"/>
        <v>0</v>
      </c>
      <c r="BD114" s="319">
        <f>OBJ!B327</f>
        <v>9256881</v>
      </c>
      <c r="BE114" s="21" t="str">
        <f>VLOOKUP(BD114,CENY!$B$11:$G$1054,2,FALSE)</f>
        <v>Quadro You(M) 600/SiSy 25kg; EB21; pravý</v>
      </c>
      <c r="BF114" s="22">
        <f>VLOOKUP(BD114,CENY!$B$11:$G$1054,3,FALSE)</f>
        <v>20</v>
      </c>
      <c r="BG114" s="22"/>
      <c r="BH114" s="23">
        <f>AY67</f>
        <v>0</v>
      </c>
      <c r="BI114" s="326">
        <f t="shared" si="9"/>
        <v>0</v>
      </c>
      <c r="BJ114" s="95">
        <f>VLOOKUP(BD114,CENY!$B$11:$M$2025,12,FALSE)</f>
        <v>253.36837</v>
      </c>
      <c r="BK114" s="95">
        <f t="shared" si="10"/>
        <v>0</v>
      </c>
    </row>
    <row r="115" spans="47:63">
      <c r="AU115" s="374">
        <f>OBJ!B370</f>
        <v>9071576</v>
      </c>
      <c r="AV115" s="375" t="str">
        <f>VLOOKUP(AU115,CENY!$B$11:$G$1054,2,FALSE)</f>
        <v>Podložka SENSYS k naskrut./D=1,5 mm</v>
      </c>
      <c r="AW115" s="22">
        <f>VLOOKUP(AU115,CENY!$B$11:$G$1054,3,FALSE)</f>
        <v>200</v>
      </c>
      <c r="AX115" s="22"/>
      <c r="AY115" s="23">
        <f>AY112</f>
        <v>0</v>
      </c>
      <c r="AZ115" s="326">
        <f t="shared" si="8"/>
        <v>0</v>
      </c>
      <c r="BA115" s="95">
        <f>VLOOKUP(AU115,CENY!$B$11:$M$2025,12,FALSE)</f>
        <v>8.1449099999999994</v>
      </c>
      <c r="BB115" s="95">
        <f t="shared" si="7"/>
        <v>0</v>
      </c>
      <c r="BD115" s="319"/>
      <c r="BE115" s="21"/>
      <c r="BF115" s="22"/>
      <c r="BG115" s="22"/>
      <c r="BH115" s="23"/>
      <c r="BI115" s="326" t="str">
        <f t="shared" si="9"/>
        <v/>
      </c>
      <c r="BJ115" s="95"/>
      <c r="BK115" s="95" t="str">
        <f t="shared" si="10"/>
        <v/>
      </c>
    </row>
    <row r="116" spans="47:63">
      <c r="AU116" s="374">
        <f>OBJ!B371</f>
        <v>9071671</v>
      </c>
      <c r="AV116" s="375" t="str">
        <f>VLOOKUP(AU116,CENY!$B$11:$G$1054,2,FALSE)</f>
        <v>Podlož.SENSYS s predm.skr.D=1,5(exc.)</v>
      </c>
      <c r="AW116" s="22">
        <f>VLOOKUP(AU116,CENY!$B$11:$G$1054,3,FALSE)</f>
        <v>200</v>
      </c>
      <c r="AX116" s="22"/>
      <c r="AY116" s="68"/>
      <c r="AZ116" s="326" t="str">
        <f t="shared" si="8"/>
        <v/>
      </c>
      <c r="BA116" s="95">
        <f>VLOOKUP(AU116,CENY!$B$11:$M$2025,12,FALSE)</f>
        <v>17.145990000000001</v>
      </c>
      <c r="BB116" s="95">
        <f t="shared" si="7"/>
        <v>0</v>
      </c>
      <c r="BD116" s="319">
        <f>OBJ!B329</f>
        <v>9257894</v>
      </c>
      <c r="BE116" s="21" t="str">
        <f>VLOOKUP(BD116,CENY!$B$11:$G$1054,2,FALSE)</f>
        <v>Quadro You - Push to open Silent; &lt;10kg</v>
      </c>
      <c r="BF116" s="22">
        <f>VLOOKUP(BD116,CENY!$B$11:$G$1054,3,FALSE)</f>
        <v>1</v>
      </c>
      <c r="BG116" s="22"/>
      <c r="BH116" s="68"/>
      <c r="BI116" s="326" t="str">
        <f t="shared" si="9"/>
        <v/>
      </c>
      <c r="BJ116" s="95">
        <f>VLOOKUP(BD116,CENY!$B$11:$M$2025,12,FALSE)</f>
        <v>480.50922000000003</v>
      </c>
      <c r="BK116" s="95">
        <f t="shared" si="10"/>
        <v>0</v>
      </c>
    </row>
    <row r="117" spans="47:63">
      <c r="AU117" s="20"/>
      <c r="AV117" s="21"/>
      <c r="AW117" s="22"/>
      <c r="AX117" s="22"/>
      <c r="AY117" s="23"/>
      <c r="AZ117" s="326" t="str">
        <f t="shared" si="8"/>
        <v/>
      </c>
      <c r="BA117" s="95"/>
      <c r="BB117" s="95" t="str">
        <f t="shared" si="7"/>
        <v/>
      </c>
      <c r="BD117" s="319">
        <f>OBJ!B330</f>
        <v>9257895</v>
      </c>
      <c r="BE117" s="21" t="str">
        <f>VLOOKUP(BD117,CENY!$B$11:$G$1054,2,FALSE)</f>
        <v>Quadro You - Push to open Silent; 8-20kg</v>
      </c>
      <c r="BF117" s="22">
        <f>VLOOKUP(BD117,CENY!$B$11:$G$1054,3,FALSE)</f>
        <v>1</v>
      </c>
      <c r="BG117" s="22"/>
      <c r="BH117" s="68"/>
      <c r="BI117" s="326" t="str">
        <f t="shared" si="9"/>
        <v/>
      </c>
      <c r="BJ117" s="95">
        <f>VLOOKUP(BD117,CENY!$B$11:$M$2025,12,FALSE)</f>
        <v>480.50922000000003</v>
      </c>
      <c r="BK117" s="95">
        <f t="shared" si="10"/>
        <v>0</v>
      </c>
    </row>
    <row r="118" spans="47:63">
      <c r="AU118" s="20"/>
      <c r="AV118" s="21"/>
      <c r="AW118" s="22"/>
      <c r="AX118" s="22"/>
      <c r="AY118" s="23"/>
      <c r="AZ118" s="326" t="str">
        <f t="shared" si="8"/>
        <v/>
      </c>
      <c r="BA118" s="95"/>
      <c r="BB118" s="95" t="str">
        <f t="shared" si="7"/>
        <v/>
      </c>
      <c r="BD118" s="319">
        <f>OBJ!B331</f>
        <v>9257896</v>
      </c>
      <c r="BE118" s="21" t="str">
        <f>VLOOKUP(BD118,CENY!$B$11:$G$1054,2,FALSE)</f>
        <v>Quadro You - Push to open Silent; 10-30kg</v>
      </c>
      <c r="BF118" s="22">
        <f>VLOOKUP(BD118,CENY!$B$11:$G$1054,3,FALSE)</f>
        <v>1</v>
      </c>
      <c r="BG118" s="22"/>
      <c r="BH118" s="68"/>
      <c r="BI118" s="326" t="str">
        <f t="shared" si="9"/>
        <v/>
      </c>
      <c r="BJ118" s="95">
        <f>VLOOKUP(BD118,CENY!$B$11:$M$2025,12,FALSE)</f>
        <v>480.50922000000003</v>
      </c>
      <c r="BK118" s="95">
        <f t="shared" si="10"/>
        <v>0</v>
      </c>
    </row>
    <row r="119" spans="47:63">
      <c r="AU119" s="20"/>
      <c r="AV119" s="21"/>
      <c r="AW119" s="22"/>
      <c r="AX119" s="22"/>
      <c r="AY119" s="23"/>
      <c r="AZ119" s="326" t="str">
        <f t="shared" si="8"/>
        <v/>
      </c>
      <c r="BA119" s="95"/>
      <c r="BB119" s="95" t="str">
        <f t="shared" si="7"/>
        <v/>
      </c>
      <c r="BD119" s="319"/>
      <c r="BE119" s="21"/>
      <c r="BF119" s="22"/>
      <c r="BG119" s="22"/>
      <c r="BH119" s="23"/>
      <c r="BI119" s="326" t="str">
        <f t="shared" si="9"/>
        <v/>
      </c>
      <c r="BJ119" s="95"/>
      <c r="BK119" s="95" t="str">
        <f t="shared" si="10"/>
        <v/>
      </c>
    </row>
    <row r="120" spans="47:63">
      <c r="AU120" s="20"/>
      <c r="AV120" s="21"/>
      <c r="AW120" s="22"/>
      <c r="AX120" s="22"/>
      <c r="AY120" s="23"/>
      <c r="AZ120" s="326" t="str">
        <f t="shared" si="8"/>
        <v/>
      </c>
      <c r="BA120" s="95"/>
      <c r="BB120" s="95" t="str">
        <f t="shared" si="7"/>
        <v/>
      </c>
      <c r="BD120" s="319">
        <f>OBJ!B341</f>
        <v>9256899</v>
      </c>
      <c r="BE120" s="21" t="str">
        <f>VLOOKUP(BD120,CENY!$B$11:$G$1054,2,FALSE)</f>
        <v>Quadro You(M) 270/P2O 20kg; EB21; ľavý</v>
      </c>
      <c r="BF120" s="22">
        <f>VLOOKUP(BD120,CENY!$B$11:$G$1054,3,FALSE)</f>
        <v>20</v>
      </c>
      <c r="BG120" s="22"/>
      <c r="BH120" s="68"/>
      <c r="BI120" s="326" t="str">
        <f t="shared" si="9"/>
        <v/>
      </c>
      <c r="BJ120" s="95">
        <f>VLOOKUP(BD120,CENY!$B$11:$M$2025,12,FALSE)</f>
        <v>252.8922</v>
      </c>
      <c r="BK120" s="95">
        <f t="shared" si="10"/>
        <v>0</v>
      </c>
    </row>
    <row r="121" spans="47:63">
      <c r="AU121" s="20"/>
      <c r="AV121" s="21"/>
      <c r="AW121" s="22"/>
      <c r="AX121" s="22"/>
      <c r="AY121" s="23"/>
      <c r="AZ121" s="326" t="str">
        <f t="shared" si="8"/>
        <v/>
      </c>
      <c r="BA121" s="95"/>
      <c r="BB121" s="95" t="str">
        <f t="shared" si="7"/>
        <v/>
      </c>
      <c r="BD121" s="319">
        <f>OBJ!B342</f>
        <v>9256900</v>
      </c>
      <c r="BE121" s="21" t="str">
        <f>VLOOKUP(BD121,CENY!$B$11:$G$1054,2,FALSE)</f>
        <v>Quadro You(M) 270/P2O 20kg; EB21; pravý</v>
      </c>
      <c r="BF121" s="22">
        <f>VLOOKUP(BD121,CENY!$B$11:$G$1054,3,FALSE)</f>
        <v>20</v>
      </c>
      <c r="BG121" s="22"/>
      <c r="BH121" s="68"/>
      <c r="BI121" s="326" t="str">
        <f t="shared" si="9"/>
        <v/>
      </c>
      <c r="BJ121" s="95">
        <f>VLOOKUP(BD121,CENY!$B$11:$M$2025,12,FALSE)</f>
        <v>252.8922</v>
      </c>
      <c r="BK121" s="95">
        <f t="shared" si="10"/>
        <v>0</v>
      </c>
    </row>
    <row r="122" spans="47:63">
      <c r="AU122" s="20"/>
      <c r="AV122" s="21"/>
      <c r="AW122" s="22"/>
      <c r="AX122" s="22"/>
      <c r="AY122" s="23"/>
      <c r="AZ122" s="326" t="str">
        <f t="shared" si="8"/>
        <v/>
      </c>
      <c r="BA122" s="95"/>
      <c r="BB122" s="95" t="str">
        <f t="shared" si="7"/>
        <v/>
      </c>
      <c r="BD122" s="319">
        <f>OBJ!B343</f>
        <v>9256901</v>
      </c>
      <c r="BE122" s="21" t="str">
        <f>VLOOKUP(BD122,CENY!$B$11:$G$1054,2,FALSE)</f>
        <v>Quadro You(M) 300/P2O 20kg; EB21; ľavý</v>
      </c>
      <c r="BF122" s="22">
        <f>VLOOKUP(BD122,CENY!$B$11:$G$1054,3,FALSE)</f>
        <v>20</v>
      </c>
      <c r="BG122" s="22"/>
      <c r="BH122" s="68"/>
      <c r="BI122" s="326" t="str">
        <f t="shared" si="9"/>
        <v/>
      </c>
      <c r="BJ122" s="95">
        <f>VLOOKUP(BD122,CENY!$B$11:$M$2025,12,FALSE)</f>
        <v>253.36837</v>
      </c>
      <c r="BK122" s="95">
        <f t="shared" si="10"/>
        <v>0</v>
      </c>
    </row>
    <row r="123" spans="47:63">
      <c r="AU123" s="20"/>
      <c r="AV123" s="21"/>
      <c r="AW123" s="22"/>
      <c r="AX123" s="22"/>
      <c r="AY123" s="23"/>
      <c r="AZ123" s="326" t="str">
        <f t="shared" si="8"/>
        <v/>
      </c>
      <c r="BA123" s="95"/>
      <c r="BB123" s="95" t="str">
        <f t="shared" si="7"/>
        <v/>
      </c>
      <c r="BD123" s="319">
        <f>OBJ!B344</f>
        <v>9256902</v>
      </c>
      <c r="BE123" s="21" t="str">
        <f>VLOOKUP(BD123,CENY!$B$11:$G$1054,2,FALSE)</f>
        <v>Quadro You(M) 300/P2O 20kg; EB21; pravý</v>
      </c>
      <c r="BF123" s="22">
        <f>VLOOKUP(BD123,CENY!$B$11:$G$1054,3,FALSE)</f>
        <v>20</v>
      </c>
      <c r="BG123" s="22"/>
      <c r="BH123" s="68"/>
      <c r="BI123" s="326" t="str">
        <f t="shared" si="9"/>
        <v/>
      </c>
      <c r="BJ123" s="95">
        <f>VLOOKUP(BD123,CENY!$B$11:$M$2025,12,FALSE)</f>
        <v>253.36837</v>
      </c>
      <c r="BK123" s="95">
        <f t="shared" si="10"/>
        <v>0</v>
      </c>
    </row>
    <row r="124" spans="47:63">
      <c r="AU124" s="20"/>
      <c r="AV124" s="21"/>
      <c r="AW124" s="22"/>
      <c r="AX124" s="22"/>
      <c r="AY124" s="23"/>
      <c r="AZ124" s="326" t="str">
        <f t="shared" si="8"/>
        <v/>
      </c>
      <c r="BA124" s="95"/>
      <c r="BB124" s="95" t="str">
        <f t="shared" si="7"/>
        <v/>
      </c>
      <c r="BD124" s="319">
        <f>OBJ!B345</f>
        <v>9256905</v>
      </c>
      <c r="BE124" s="21" t="str">
        <f>VLOOKUP(BD124,CENY!$B$11:$G$1054,2,FALSE)</f>
        <v>Quadro You(M) 350/P2O 25kg; EB21; ľavý</v>
      </c>
      <c r="BF124" s="22">
        <f>VLOOKUP(BD124,CENY!$B$11:$G$1054,3,FALSE)</f>
        <v>20</v>
      </c>
      <c r="BG124" s="22"/>
      <c r="BH124" s="68"/>
      <c r="BI124" s="326" t="str">
        <f t="shared" si="9"/>
        <v/>
      </c>
      <c r="BJ124" s="95">
        <f>VLOOKUP(BD124,CENY!$B$11:$M$2025,12,FALSE)</f>
        <v>258.22465999999997</v>
      </c>
      <c r="BK124" s="95">
        <f t="shared" si="10"/>
        <v>0</v>
      </c>
    </row>
    <row r="125" spans="47:63">
      <c r="AU125" s="20"/>
      <c r="AV125" s="21"/>
      <c r="AW125" s="22"/>
      <c r="AX125" s="22"/>
      <c r="AY125" s="23"/>
      <c r="AZ125" s="326" t="str">
        <f t="shared" si="8"/>
        <v/>
      </c>
      <c r="BA125" s="95"/>
      <c r="BB125" s="95" t="str">
        <f t="shared" si="7"/>
        <v/>
      </c>
      <c r="BD125" s="319">
        <f>OBJ!B346</f>
        <v>9256906</v>
      </c>
      <c r="BE125" s="21" t="str">
        <f>VLOOKUP(BD125,CENY!$B$11:$G$1054,2,FALSE)</f>
        <v>Quadro You(M) 350/P2O 25kg; EB21; pravý</v>
      </c>
      <c r="BF125" s="22">
        <f>VLOOKUP(BD125,CENY!$B$11:$G$1054,3,FALSE)</f>
        <v>20</v>
      </c>
      <c r="BG125" s="22"/>
      <c r="BH125" s="68"/>
      <c r="BI125" s="326" t="str">
        <f t="shared" si="9"/>
        <v/>
      </c>
      <c r="BJ125" s="95">
        <f>VLOOKUP(BD125,CENY!$B$11:$M$2025,12,FALSE)</f>
        <v>258.22465999999997</v>
      </c>
      <c r="BK125" s="95">
        <f t="shared" si="10"/>
        <v>0</v>
      </c>
    </row>
    <row r="126" spans="47:63">
      <c r="AU126" s="20"/>
      <c r="AV126" s="21"/>
      <c r="AW126" s="22"/>
      <c r="AX126" s="22"/>
      <c r="AY126" s="23"/>
      <c r="AZ126" s="326" t="str">
        <f t="shared" si="8"/>
        <v/>
      </c>
      <c r="BA126" s="95"/>
      <c r="BB126" s="95" t="str">
        <f t="shared" si="7"/>
        <v/>
      </c>
      <c r="BD126" s="319">
        <f>OBJ!B347</f>
        <v>9256909</v>
      </c>
      <c r="BE126" s="21" t="str">
        <f>VLOOKUP(BD126,CENY!$B$11:$G$1054,2,FALSE)</f>
        <v>Quadro You(M) 400/P2O 30kg; EB21; ľavý</v>
      </c>
      <c r="BF126" s="22">
        <f>VLOOKUP(BD126,CENY!$B$11:$G$1054,3,FALSE)</f>
        <v>20</v>
      </c>
      <c r="BG126" s="22"/>
      <c r="BH126" s="68"/>
      <c r="BI126" s="326" t="str">
        <f t="shared" si="9"/>
        <v/>
      </c>
      <c r="BJ126" s="95">
        <f>VLOOKUP(BD126,CENY!$B$11:$M$2025,12,FALSE)</f>
        <v>263.07337999999999</v>
      </c>
      <c r="BK126" s="95">
        <f t="shared" si="10"/>
        <v>0</v>
      </c>
    </row>
    <row r="127" spans="47:63">
      <c r="AU127" s="20"/>
      <c r="AV127" s="21"/>
      <c r="AW127" s="22"/>
      <c r="AX127" s="22"/>
      <c r="AY127" s="23"/>
      <c r="AZ127" s="326" t="str">
        <f t="shared" si="8"/>
        <v/>
      </c>
      <c r="BA127" s="95"/>
      <c r="BB127" s="95" t="str">
        <f t="shared" si="7"/>
        <v/>
      </c>
      <c r="BD127" s="319">
        <f>OBJ!B348</f>
        <v>9256910</v>
      </c>
      <c r="BE127" s="21" t="str">
        <f>VLOOKUP(BD127,CENY!$B$11:$G$1054,2,FALSE)</f>
        <v>Quadro You(M) 400/P2O 30kg; EB21; pravý</v>
      </c>
      <c r="BF127" s="22">
        <f>VLOOKUP(BD127,CENY!$B$11:$G$1054,3,FALSE)</f>
        <v>20</v>
      </c>
      <c r="BG127" s="22"/>
      <c r="BH127" s="68"/>
      <c r="BI127" s="326" t="str">
        <f t="shared" si="9"/>
        <v/>
      </c>
      <c r="BJ127" s="95">
        <f>VLOOKUP(BD127,CENY!$B$11:$M$2025,12,FALSE)</f>
        <v>263.07337999999999</v>
      </c>
      <c r="BK127" s="95">
        <f t="shared" si="10"/>
        <v>0</v>
      </c>
    </row>
    <row r="128" spans="47:63">
      <c r="AU128" s="20"/>
      <c r="AV128" s="21"/>
      <c r="AW128" s="22"/>
      <c r="AX128" s="22"/>
      <c r="AY128" s="23"/>
      <c r="AZ128" s="326" t="str">
        <f t="shared" si="8"/>
        <v/>
      </c>
      <c r="BA128" s="95"/>
      <c r="BB128" s="95" t="str">
        <f t="shared" si="7"/>
        <v/>
      </c>
      <c r="BD128" s="319">
        <f>OBJ!B349</f>
        <v>9256913</v>
      </c>
      <c r="BE128" s="21" t="str">
        <f>VLOOKUP(BD128,CENY!$B$11:$G$1054,2,FALSE)</f>
        <v>Quadro You(M) 450/P2O 30kg; EB21; ľavý</v>
      </c>
      <c r="BF128" s="22">
        <f>VLOOKUP(BD128,CENY!$B$11:$G$1054,3,FALSE)</f>
        <v>20</v>
      </c>
      <c r="BG128" s="22"/>
      <c r="BH128" s="68"/>
      <c r="BI128" s="326" t="str">
        <f t="shared" si="9"/>
        <v/>
      </c>
      <c r="BJ128" s="95">
        <f>VLOOKUP(BD128,CENY!$B$11:$M$2025,12,FALSE)</f>
        <v>267.92221999999998</v>
      </c>
      <c r="BK128" s="95">
        <f t="shared" si="10"/>
        <v>0</v>
      </c>
    </row>
    <row r="129" spans="47:63">
      <c r="AU129" s="20"/>
      <c r="AV129" s="21"/>
      <c r="AW129" s="22"/>
      <c r="AX129" s="22"/>
      <c r="AY129" s="23"/>
      <c r="AZ129" s="326" t="str">
        <f t="shared" si="8"/>
        <v/>
      </c>
      <c r="BA129" s="95"/>
      <c r="BB129" s="95" t="str">
        <f t="shared" si="7"/>
        <v/>
      </c>
      <c r="BD129" s="319">
        <f>OBJ!B350</f>
        <v>9256914</v>
      </c>
      <c r="BE129" s="21" t="str">
        <f>VLOOKUP(BD129,CENY!$B$11:$G$1054,2,FALSE)</f>
        <v>Quadro You(M) 450/P2O 30kg; EB21; pravý</v>
      </c>
      <c r="BF129" s="22">
        <f>VLOOKUP(BD129,CENY!$B$11:$G$1054,3,FALSE)</f>
        <v>20</v>
      </c>
      <c r="BG129" s="22"/>
      <c r="BH129" s="68"/>
      <c r="BI129" s="326" t="str">
        <f t="shared" si="9"/>
        <v/>
      </c>
      <c r="BJ129" s="95">
        <f>VLOOKUP(BD129,CENY!$B$11:$M$2025,12,FALSE)</f>
        <v>267.92221999999998</v>
      </c>
      <c r="BK129" s="95">
        <f t="shared" si="10"/>
        <v>0</v>
      </c>
    </row>
    <row r="130" spans="47:63">
      <c r="AU130" s="20"/>
      <c r="AV130" s="21"/>
      <c r="AW130" s="22"/>
      <c r="AX130" s="22"/>
      <c r="AY130" s="23"/>
      <c r="AZ130" s="326" t="str">
        <f t="shared" si="8"/>
        <v/>
      </c>
      <c r="BA130" s="95"/>
      <c r="BB130" s="95" t="str">
        <f t="shared" si="7"/>
        <v/>
      </c>
      <c r="BD130" s="319">
        <f>OBJ!B351</f>
        <v>9256917</v>
      </c>
      <c r="BE130" s="21" t="str">
        <f>VLOOKUP(BD130,CENY!$B$11:$G$1054,2,FALSE)</f>
        <v>Quadro You(M) 500/P2O 30kg; EB21; ľavý</v>
      </c>
      <c r="BF130" s="22">
        <f>VLOOKUP(BD130,CENY!$B$11:$G$1054,3,FALSE)</f>
        <v>20</v>
      </c>
      <c r="BG130" s="22"/>
      <c r="BH130" s="68"/>
      <c r="BI130" s="326" t="str">
        <f t="shared" si="9"/>
        <v/>
      </c>
      <c r="BJ130" s="95">
        <f>VLOOKUP(BD130,CENY!$B$11:$M$2025,12,FALSE)</f>
        <v>265.52375999999998</v>
      </c>
      <c r="BK130" s="95">
        <f t="shared" si="10"/>
        <v>0</v>
      </c>
    </row>
    <row r="131" spans="47:63">
      <c r="AU131" s="20"/>
      <c r="AV131" s="21"/>
      <c r="AW131" s="22"/>
      <c r="AX131" s="22"/>
      <c r="AY131" s="23"/>
      <c r="AZ131" s="326" t="str">
        <f t="shared" si="8"/>
        <v/>
      </c>
      <c r="BA131" s="95"/>
      <c r="BB131" s="95" t="str">
        <f t="shared" si="7"/>
        <v/>
      </c>
      <c r="BD131" s="319">
        <f>OBJ!B352</f>
        <v>9256918</v>
      </c>
      <c r="BE131" s="21" t="str">
        <f>VLOOKUP(BD131,CENY!$B$11:$G$1054,2,FALSE)</f>
        <v>Quadro You(M) 500/P2O 30kg; EB21; pravý</v>
      </c>
      <c r="BF131" s="22">
        <f>VLOOKUP(BD131,CENY!$B$11:$G$1054,3,FALSE)</f>
        <v>20</v>
      </c>
      <c r="BG131" s="22"/>
      <c r="BH131" s="68"/>
      <c r="BI131" s="326" t="str">
        <f t="shared" si="9"/>
        <v/>
      </c>
      <c r="BJ131" s="95">
        <f>VLOOKUP(BD131,CENY!$B$11:$M$2025,12,FALSE)</f>
        <v>265.52375999999998</v>
      </c>
      <c r="BK131" s="95">
        <f t="shared" si="10"/>
        <v>0</v>
      </c>
    </row>
    <row r="132" spans="47:63">
      <c r="AU132" s="20"/>
      <c r="AV132" s="21"/>
      <c r="AW132" s="22"/>
      <c r="AX132" s="22"/>
      <c r="AY132" s="23"/>
      <c r="AZ132" s="326" t="str">
        <f t="shared" si="8"/>
        <v/>
      </c>
      <c r="BA132" s="95"/>
      <c r="BB132" s="95" t="str">
        <f t="shared" si="7"/>
        <v/>
      </c>
      <c r="BD132" s="319">
        <f>OBJ!B353</f>
        <v>9256921</v>
      </c>
      <c r="BE132" s="21" t="str">
        <f>VLOOKUP(BD132,CENY!$B$11:$G$1054,2,FALSE)</f>
        <v>Quadro You(M) 550/P2O 30kg; EB21; ľavý</v>
      </c>
      <c r="BF132" s="22">
        <f>VLOOKUP(BD132,CENY!$B$11:$G$1054,3,FALSE)</f>
        <v>20</v>
      </c>
      <c r="BG132" s="22"/>
      <c r="BH132" s="68"/>
      <c r="BI132" s="326" t="str">
        <f t="shared" si="9"/>
        <v/>
      </c>
      <c r="BJ132" s="95">
        <f>VLOOKUP(BD132,CENY!$B$11:$M$2025,12,FALSE)</f>
        <v>270.22431</v>
      </c>
      <c r="BK132" s="95">
        <f t="shared" si="10"/>
        <v>0</v>
      </c>
    </row>
    <row r="133" spans="47:63">
      <c r="AU133" s="20"/>
      <c r="AV133" s="21"/>
      <c r="AW133" s="22"/>
      <c r="AX133" s="22"/>
      <c r="AY133" s="23"/>
      <c r="AZ133" s="326" t="str">
        <f t="shared" si="8"/>
        <v/>
      </c>
      <c r="BA133" s="95"/>
      <c r="BB133" s="95" t="str">
        <f t="shared" si="7"/>
        <v/>
      </c>
      <c r="BD133" s="319">
        <f>OBJ!B354</f>
        <v>9256922</v>
      </c>
      <c r="BE133" s="21" t="str">
        <f>VLOOKUP(BD133,CENY!$B$11:$G$1054,2,FALSE)</f>
        <v>Quadro You(M) 550/P2O 30kg; EB21; pravý</v>
      </c>
      <c r="BF133" s="22">
        <f>VLOOKUP(BD133,CENY!$B$11:$G$1054,3,FALSE)</f>
        <v>20</v>
      </c>
      <c r="BG133" s="22"/>
      <c r="BH133" s="68"/>
      <c r="BI133" s="326" t="str">
        <f t="shared" si="9"/>
        <v/>
      </c>
      <c r="BJ133" s="95">
        <f>VLOOKUP(BD133,CENY!$B$11:$M$2025,12,FALSE)</f>
        <v>277.60748999999998</v>
      </c>
      <c r="BK133" s="95">
        <f t="shared" si="10"/>
        <v>0</v>
      </c>
    </row>
    <row r="134" spans="47:63">
      <c r="AU134" s="20"/>
      <c r="AV134" s="21"/>
      <c r="AW134" s="22"/>
      <c r="AX134" s="22"/>
      <c r="AY134" s="23"/>
      <c r="AZ134" s="326" t="str">
        <f t="shared" si="8"/>
        <v/>
      </c>
      <c r="BA134" s="95"/>
      <c r="BB134" s="95" t="str">
        <f t="shared" si="7"/>
        <v/>
      </c>
      <c r="BD134" s="319">
        <f>OBJ!B355</f>
        <v>9256925</v>
      </c>
      <c r="BE134" s="21" t="str">
        <f>VLOOKUP(BD134,CENY!$B$11:$G$1054,2,FALSE)</f>
        <v>Quadro You(M) 600/P2O 25kg; EB21; ľavý</v>
      </c>
      <c r="BF134" s="22">
        <f>VLOOKUP(BD134,CENY!$B$11:$G$1054,3,FALSE)</f>
        <v>20</v>
      </c>
      <c r="BG134" s="22"/>
      <c r="BH134" s="68"/>
      <c r="BI134" s="326" t="str">
        <f t="shared" si="9"/>
        <v/>
      </c>
      <c r="BJ134" s="95">
        <f>VLOOKUP(BD134,CENY!$B$11:$M$2025,12,FALSE)</f>
        <v>282.45375999999999</v>
      </c>
      <c r="BK134" s="95">
        <f t="shared" si="10"/>
        <v>0</v>
      </c>
    </row>
    <row r="135" spans="47:63">
      <c r="AU135" s="20"/>
      <c r="AV135" s="21"/>
      <c r="AW135" s="22"/>
      <c r="AX135" s="22"/>
      <c r="AY135" s="23"/>
      <c r="AZ135" s="326" t="str">
        <f t="shared" si="8"/>
        <v/>
      </c>
      <c r="BA135" s="95"/>
      <c r="BB135" s="95" t="str">
        <f t="shared" si="7"/>
        <v/>
      </c>
      <c r="BD135" s="319">
        <f>OBJ!B356</f>
        <v>9256926</v>
      </c>
      <c r="BE135" s="21" t="str">
        <f>VLOOKUP(BD135,CENY!$B$11:$G$1054,2,FALSE)</f>
        <v>Quadro You(M) 600/P2O 25kg; EB21; pravý</v>
      </c>
      <c r="BF135" s="22">
        <f>VLOOKUP(BD135,CENY!$B$11:$G$1054,3,FALSE)</f>
        <v>20</v>
      </c>
      <c r="BG135" s="22"/>
      <c r="BH135" s="68"/>
      <c r="BI135" s="326" t="str">
        <f t="shared" si="9"/>
        <v/>
      </c>
      <c r="BJ135" s="95">
        <f>VLOOKUP(BD135,CENY!$B$11:$M$2025,12,FALSE)</f>
        <v>282.45375999999999</v>
      </c>
      <c r="BK135" s="95">
        <f t="shared" si="10"/>
        <v>0</v>
      </c>
    </row>
    <row r="136" spans="47:63">
      <c r="AU136" s="20"/>
      <c r="AV136" s="21"/>
      <c r="AW136" s="22"/>
      <c r="AX136" s="22"/>
      <c r="AY136" s="23"/>
      <c r="AZ136" s="326" t="str">
        <f t="shared" si="8"/>
        <v/>
      </c>
      <c r="BA136" s="95"/>
      <c r="BB136" s="95" t="str">
        <f t="shared" si="7"/>
        <v/>
      </c>
      <c r="BD136" s="319"/>
      <c r="BE136" s="21"/>
      <c r="BF136" s="22"/>
      <c r="BG136" s="22"/>
      <c r="BH136" s="23"/>
      <c r="BI136" s="326" t="str">
        <f t="shared" si="9"/>
        <v/>
      </c>
      <c r="BJ136" s="95"/>
      <c r="BK136" s="95" t="str">
        <f t="shared" si="10"/>
        <v/>
      </c>
    </row>
    <row r="137" spans="47:63">
      <c r="AU137" s="20"/>
      <c r="AV137" s="21"/>
      <c r="AW137" s="22"/>
      <c r="AX137" s="22"/>
      <c r="AY137" s="23"/>
      <c r="AZ137" s="326" t="str">
        <f t="shared" si="8"/>
        <v/>
      </c>
      <c r="BA137" s="95"/>
      <c r="BB137" s="95" t="str">
        <f t="shared" si="7"/>
        <v/>
      </c>
      <c r="BD137" s="319">
        <f>OBJ!B358</f>
        <v>9219966</v>
      </c>
      <c r="BE137" s="21" t="str">
        <f>VLOOKUP(BD137,CENY!$B$11:$G$1054,2,FALSE)</f>
        <v>Push to open Synchro / adaptér typ A</v>
      </c>
      <c r="BF137" s="22">
        <f>VLOOKUP(BD137,CENY!$B$11:$G$1054,3,FALSE)</f>
        <v>200</v>
      </c>
      <c r="BG137" s="22"/>
      <c r="BH137" s="68"/>
      <c r="BI137" s="326" t="str">
        <f t="shared" si="9"/>
        <v/>
      </c>
      <c r="BJ137" s="95">
        <f>VLOOKUP(BD137,CENY!$B$11:$M$2025,12,FALSE)</f>
        <v>16.488900000000001</v>
      </c>
      <c r="BK137" s="95">
        <f t="shared" si="10"/>
        <v>0</v>
      </c>
    </row>
    <row r="138" spans="47:63">
      <c r="AU138" s="20"/>
      <c r="AV138" s="21"/>
      <c r="AW138" s="22"/>
      <c r="AX138" s="22"/>
      <c r="AY138" s="23"/>
      <c r="AZ138" s="326" t="str">
        <f t="shared" si="8"/>
        <v/>
      </c>
      <c r="BA138" s="95"/>
      <c r="BB138" s="95" t="str">
        <f t="shared" si="7"/>
        <v/>
      </c>
      <c r="BD138" s="319"/>
      <c r="BE138" s="21"/>
      <c r="BF138" s="22"/>
      <c r="BG138" s="22"/>
      <c r="BH138" s="23"/>
      <c r="BI138" s="326" t="str">
        <f t="shared" si="9"/>
        <v/>
      </c>
      <c r="BJ138" s="95"/>
      <c r="BK138" s="95" t="str">
        <f t="shared" si="10"/>
        <v/>
      </c>
    </row>
    <row r="139" spans="47:63">
      <c r="AU139" s="20"/>
      <c r="AV139" s="21"/>
      <c r="AW139" s="22"/>
      <c r="AX139" s="22"/>
      <c r="AY139" s="23"/>
      <c r="AZ139" s="326" t="str">
        <f t="shared" si="8"/>
        <v/>
      </c>
      <c r="BA139" s="95"/>
      <c r="BB139" s="95" t="str">
        <f t="shared" si="7"/>
        <v/>
      </c>
      <c r="BD139" s="319">
        <f>OBJ!B214</f>
        <v>0</v>
      </c>
      <c r="BE139" s="21" t="e">
        <f>VLOOKUP(BD139,CENY!$B$11:$G$1054,2,FALSE)</f>
        <v>#N/A</v>
      </c>
      <c r="BF139" s="22" t="e">
        <f>VLOOKUP(BD139,CENY!$B$11:$G$1054,3,FALSE)</f>
        <v>#N/A</v>
      </c>
      <c r="BG139" s="22"/>
      <c r="BH139" s="23">
        <f>AY87</f>
        <v>0</v>
      </c>
      <c r="BI139" s="326">
        <f t="shared" si="9"/>
        <v>0</v>
      </c>
      <c r="BJ139" s="324" t="str">
        <f>IF(BD139=0,"",VLOOKUP(BD139,CENY!$B$11:$M$2025,12,FALSE))</f>
        <v/>
      </c>
      <c r="BK139" s="95" t="str">
        <f t="shared" si="10"/>
        <v/>
      </c>
    </row>
    <row r="140" spans="47:63">
      <c r="AU140" s="20"/>
      <c r="AV140" s="21"/>
      <c r="AW140" s="22"/>
      <c r="AX140" s="22"/>
      <c r="AY140" s="23"/>
      <c r="AZ140" s="326" t="str">
        <f t="shared" si="8"/>
        <v/>
      </c>
      <c r="BA140" s="95"/>
      <c r="BB140" s="95" t="str">
        <f t="shared" si="7"/>
        <v/>
      </c>
      <c r="BD140" s="319"/>
      <c r="BE140" s="21"/>
      <c r="BF140" s="22"/>
      <c r="BG140" s="22"/>
      <c r="BH140" s="23"/>
      <c r="BI140" s="326" t="str">
        <f t="shared" si="9"/>
        <v/>
      </c>
      <c r="BJ140" s="95"/>
      <c r="BK140" s="95" t="str">
        <f t="shared" si="10"/>
        <v/>
      </c>
    </row>
    <row r="141" spans="47:63">
      <c r="AU141" s="20"/>
      <c r="AV141" s="21"/>
      <c r="AW141" s="22"/>
      <c r="AX141" s="22"/>
      <c r="AY141" s="23"/>
      <c r="AZ141" s="326" t="str">
        <f t="shared" si="8"/>
        <v/>
      </c>
      <c r="BA141" s="95"/>
      <c r="BB141" s="95" t="str">
        <f t="shared" si="7"/>
        <v/>
      </c>
      <c r="BD141" s="319"/>
      <c r="BE141" s="21"/>
      <c r="BF141" s="22"/>
      <c r="BG141" s="22"/>
      <c r="BH141" s="23"/>
      <c r="BI141" s="326" t="str">
        <f t="shared" si="9"/>
        <v/>
      </c>
      <c r="BJ141" s="95"/>
      <c r="BK141" s="95" t="str">
        <f t="shared" si="10"/>
        <v/>
      </c>
    </row>
    <row r="142" spans="47:63">
      <c r="AU142" s="20"/>
      <c r="AV142" s="21"/>
      <c r="AW142" s="22"/>
      <c r="AX142" s="22"/>
      <c r="AY142" s="23"/>
      <c r="AZ142" s="326" t="str">
        <f t="shared" si="8"/>
        <v/>
      </c>
      <c r="BA142" s="95"/>
      <c r="BB142" s="95" t="str">
        <f t="shared" si="7"/>
        <v/>
      </c>
      <c r="BC142" s="373" t="s">
        <v>396</v>
      </c>
      <c r="BD142" s="319">
        <f>OBJ!B210</f>
        <v>9257663</v>
      </c>
      <c r="BE142" s="21" t="str">
        <f>VLOOKUP(BD142,CENY!$B$11:$G$1054,2,FALSE)</f>
        <v>AvanY-indiv.čelo vnút.zásuv./d2000/strieb.</v>
      </c>
      <c r="BF142" s="22">
        <f>VLOOKUP(BD142,CENY!$B$11:$G$1054,3,FALSE)</f>
        <v>1</v>
      </c>
      <c r="BG142" s="22"/>
      <c r="BH142" s="23">
        <f>AY89</f>
        <v>0</v>
      </c>
      <c r="BI142" s="326">
        <f t="shared" si="9"/>
        <v>0</v>
      </c>
      <c r="BJ142" s="95">
        <f>VLOOKUP(BD142,CENY!$B$11:$M$2025,12,FALSE)</f>
        <v>741.56732999999997</v>
      </c>
      <c r="BK142" s="95">
        <f t="shared" si="10"/>
        <v>0</v>
      </c>
    </row>
    <row r="143" spans="47:63">
      <c r="AU143" s="20"/>
      <c r="AV143" s="21"/>
      <c r="AW143" s="22"/>
      <c r="AX143" s="22"/>
      <c r="AY143" s="23"/>
      <c r="AZ143" s="326" t="str">
        <f t="shared" si="8"/>
        <v/>
      </c>
      <c r="BA143" s="95"/>
      <c r="BB143" s="95" t="str">
        <f t="shared" si="7"/>
        <v/>
      </c>
      <c r="BC143" s="373" t="s">
        <v>397</v>
      </c>
      <c r="BD143" s="319">
        <f>OBJ!B212</f>
        <v>9257657</v>
      </c>
      <c r="BE143" s="21" t="str">
        <f>VLOOKUP(BD143,CENY!$B$11:$G$1054,2,FALSE)</f>
        <v>AvanY-spojky indiv.čela vn.Inlay/v187/strieb.</v>
      </c>
      <c r="BF143" s="22">
        <f>VLOOKUP(BD143,CENY!$B$11:$G$1054,3,FALSE)</f>
        <v>1</v>
      </c>
      <c r="BG143" s="22"/>
      <c r="BH143" s="23">
        <f t="shared" ref="BH143:BH150" si="13">AY90</f>
        <v>0</v>
      </c>
      <c r="BI143" s="326">
        <f t="shared" ref="BI143:BI150" si="14">IF(BH143="","",IF($AW$4=0,BH143,0))</f>
        <v>0</v>
      </c>
      <c r="BJ143" s="95">
        <f>VLOOKUP(BD143,CENY!$B$11:$M$2025,12,FALSE)</f>
        <v>557.04454999999996</v>
      </c>
      <c r="BK143" s="95">
        <f t="shared" ref="BK143:BK150" si="15">IF(BJ143="","",BJ143*BH143)</f>
        <v>0</v>
      </c>
    </row>
    <row r="144" spans="47:63">
      <c r="AU144" s="20"/>
      <c r="AV144" s="21"/>
      <c r="AW144" s="22"/>
      <c r="AX144" s="22"/>
      <c r="AY144" s="23"/>
      <c r="AZ144" s="326" t="str">
        <f t="shared" si="8"/>
        <v/>
      </c>
      <c r="BA144" s="95"/>
      <c r="BB144" s="95" t="str">
        <f t="shared" si="7"/>
        <v/>
      </c>
      <c r="BC144" s="373" t="s">
        <v>398</v>
      </c>
      <c r="BD144" s="319">
        <f>OBJ!B224</f>
        <v>9283228</v>
      </c>
      <c r="BE144" s="21" t="str">
        <f>VLOOKUP(BD144,CENY!$B$11:$G$1054,2,FALSE)</f>
        <v>AvanY-sklo pre vnút.čelo /v66/s450/hr18</v>
      </c>
      <c r="BF144" s="22">
        <f>VLOOKUP(BD144,CENY!$B$11:$G$1054,3,FALSE)</f>
        <v>1</v>
      </c>
      <c r="BG144" s="22"/>
      <c r="BH144" s="23">
        <f t="shared" si="13"/>
        <v>0</v>
      </c>
      <c r="BI144" s="326">
        <f t="shared" si="14"/>
        <v>0</v>
      </c>
      <c r="BJ144" s="95">
        <f>VLOOKUP(BD144,CENY!$B$11:$M$2025,12,FALSE)</f>
        <v>0</v>
      </c>
      <c r="BK144" s="95">
        <f t="shared" si="15"/>
        <v>0</v>
      </c>
    </row>
    <row r="145" spans="47:63">
      <c r="AU145" s="20"/>
      <c r="AV145" s="21"/>
      <c r="AW145" s="22"/>
      <c r="AX145" s="22"/>
      <c r="AY145" s="23"/>
      <c r="AZ145" s="326" t="str">
        <f t="shared" si="8"/>
        <v/>
      </c>
      <c r="BA145" s="95"/>
      <c r="BB145" s="95" t="str">
        <f t="shared" si="7"/>
        <v/>
      </c>
      <c r="BC145" s="373" t="s">
        <v>399</v>
      </c>
      <c r="BD145" s="319">
        <f>OBJ!B225</f>
        <v>9283229</v>
      </c>
      <c r="BE145" s="21" t="str">
        <f>VLOOKUP(BD145,CENY!$B$11:$G$1054,2,FALSE)</f>
        <v>AvanY-sklo pre vnút.čelo /v66/s600/hr18</v>
      </c>
      <c r="BF145" s="22">
        <f>VLOOKUP(BD145,CENY!$B$11:$G$1054,3,FALSE)</f>
        <v>1</v>
      </c>
      <c r="BG145" s="22"/>
      <c r="BH145" s="23">
        <f t="shared" si="13"/>
        <v>0</v>
      </c>
      <c r="BI145" s="326">
        <f t="shared" si="14"/>
        <v>0</v>
      </c>
      <c r="BJ145" s="95">
        <f>VLOOKUP(BD145,CENY!$B$11:$M$2025,12,FALSE)</f>
        <v>409.12</v>
      </c>
      <c r="BK145" s="95">
        <f t="shared" si="15"/>
        <v>0</v>
      </c>
    </row>
    <row r="146" spans="47:63">
      <c r="AU146" s="20"/>
      <c r="AV146" s="21"/>
      <c r="AW146" s="22"/>
      <c r="AX146" s="22"/>
      <c r="AY146" s="23"/>
      <c r="AZ146" s="326" t="str">
        <f t="shared" si="8"/>
        <v/>
      </c>
      <c r="BA146" s="95"/>
      <c r="BB146" s="95" t="str">
        <f t="shared" si="7"/>
        <v/>
      </c>
      <c r="BC146" s="373" t="s">
        <v>400</v>
      </c>
      <c r="BD146" s="319">
        <f>OBJ!B226</f>
        <v>9283231</v>
      </c>
      <c r="BE146" s="21" t="str">
        <f>VLOOKUP(BD146,CENY!$B$11:$G$1054,2,FALSE)</f>
        <v>AvanY-sklo pre vnút.čelo /v66/s900/hr18</v>
      </c>
      <c r="BF146" s="22">
        <f>VLOOKUP(BD146,CENY!$B$11:$G$1054,3,FALSE)</f>
        <v>1</v>
      </c>
      <c r="BG146" s="22"/>
      <c r="BH146" s="23">
        <f t="shared" si="13"/>
        <v>0</v>
      </c>
      <c r="BI146" s="326">
        <f t="shared" si="14"/>
        <v>0</v>
      </c>
      <c r="BJ146" s="95">
        <f>VLOOKUP(BD146,CENY!$B$11:$M$2025,12,FALSE)</f>
        <v>722.48258999999996</v>
      </c>
      <c r="BK146" s="95">
        <f t="shared" si="15"/>
        <v>0</v>
      </c>
    </row>
    <row r="147" spans="47:63">
      <c r="AU147" s="319">
        <f>OBJ!B361</f>
        <v>45167</v>
      </c>
      <c r="AV147" s="21" t="str">
        <f>VLOOKUP(AU147,CENY!$B$11:$G$1054,2,FALSE)</f>
        <v>Skrutka s polgul.hlavou 3,5x12mm</v>
      </c>
      <c r="AW147" s="22">
        <f>VLOOKUP(AU147,CENY!$B$11:$G$1054,3,FALSE)</f>
        <v>200</v>
      </c>
      <c r="AX147" s="22"/>
      <c r="AY147" s="23">
        <f>SUMPRODUCT(AX9:AX19,AY9:AY19)</f>
        <v>0</v>
      </c>
      <c r="AZ147" s="326">
        <f t="shared" si="8"/>
        <v>0</v>
      </c>
      <c r="BA147" s="95">
        <f>VLOOKUP(AU147,CENY!$B$11:$M$2025,12,FALSE)</f>
        <v>0.84719999999999995</v>
      </c>
      <c r="BB147" s="95">
        <f>IF(BA147="","",BA147*AY147)</f>
        <v>0</v>
      </c>
      <c r="BD147" s="319">
        <f>OBJ!B227</f>
        <v>9283232</v>
      </c>
      <c r="BE147" s="21" t="str">
        <f>VLOOKUP(BD147,CENY!$B$11:$G$1054,2,FALSE)</f>
        <v>AvanY-sklo pre vnút.čelo /v66/s1200/hr18</v>
      </c>
      <c r="BF147" s="22">
        <f>VLOOKUP(BD147,CENY!$B$11:$G$1054,3,FALSE)</f>
        <v>1</v>
      </c>
      <c r="BG147" s="22"/>
      <c r="BH147" s="23">
        <f t="shared" si="13"/>
        <v>0</v>
      </c>
      <c r="BI147" s="326">
        <f t="shared" si="14"/>
        <v>0</v>
      </c>
      <c r="BJ147" s="95">
        <f>VLOOKUP(BD147,CENY!$B$11:$M$2025,12,FALSE)</f>
        <v>931.38562999999999</v>
      </c>
      <c r="BK147" s="95">
        <f t="shared" si="15"/>
        <v>0</v>
      </c>
    </row>
    <row r="148" spans="47:63">
      <c r="AU148" s="319">
        <f>OBJ!B362</f>
        <v>45168</v>
      </c>
      <c r="AV148" s="21" t="str">
        <f>VLOOKUP(AU148,CENY!$B$11:$G$1054,2,FALSE)</f>
        <v>Skrutka s polgul.hlavou 3,5x20mm</v>
      </c>
      <c r="AW148" s="22">
        <f>VLOOKUP(AU148,CENY!$B$11:$G$1054,3,FALSE)</f>
        <v>200</v>
      </c>
      <c r="AX148" s="22"/>
      <c r="AY148" s="360">
        <v>0</v>
      </c>
      <c r="AZ148" s="326">
        <f t="shared" ref="AZ148:AZ151" si="16">IF(AY148="","",IF($AW$4=1,AY148,0))</f>
        <v>0</v>
      </c>
      <c r="BA148" s="95">
        <f>VLOOKUP(AU148,CENY!$B$11:$M$2025,12,FALSE)</f>
        <v>1.2154199999999999</v>
      </c>
      <c r="BB148" s="95">
        <f>IF(BA148="","",BA148*AY148)</f>
        <v>0</v>
      </c>
      <c r="BD148" s="319">
        <f>OBJ!B228</f>
        <v>9283233</v>
      </c>
      <c r="BE148" s="21" t="str">
        <f>VLOOKUP(BD148,CENY!$B$11:$G$1054,2,FALSE)</f>
        <v>AvanY-sklo pre vnút.čelo /v130/s450/hr18</v>
      </c>
      <c r="BF148" s="22">
        <f>VLOOKUP(BD148,CENY!$B$11:$G$1054,3,FALSE)</f>
        <v>1</v>
      </c>
      <c r="BG148" s="22"/>
      <c r="BH148" s="23">
        <f t="shared" si="13"/>
        <v>0</v>
      </c>
      <c r="BI148" s="326">
        <f t="shared" si="14"/>
        <v>0</v>
      </c>
      <c r="BJ148" s="95">
        <f>VLOOKUP(BD148,CENY!$B$11:$M$2025,12,FALSE)</f>
        <v>564.20789000000002</v>
      </c>
      <c r="BK148" s="95">
        <f t="shared" si="15"/>
        <v>0</v>
      </c>
    </row>
    <row r="149" spans="47:63">
      <c r="AU149" s="319">
        <f>OBJ!B363</f>
        <v>9278224</v>
      </c>
      <c r="AV149" s="21" t="str">
        <f>VLOOKUP(AU149,CENY!$B$11:$G$1054,2,FALSE)</f>
        <v>Skrutka s polgul.hlavou 3,5x30mm</v>
      </c>
      <c r="AW149" s="22">
        <f>VLOOKUP(AU149,CENY!$B$11:$G$1054,3,FALSE)</f>
        <v>200</v>
      </c>
      <c r="AX149" s="22"/>
      <c r="AY149" s="360">
        <v>0</v>
      </c>
      <c r="AZ149" s="326">
        <f t="shared" si="16"/>
        <v>0</v>
      </c>
      <c r="BA149" s="95">
        <f>VLOOKUP(AU149,CENY!$B$11:$M$2025,12,FALSE)</f>
        <v>0.89337999999999995</v>
      </c>
      <c r="BB149" s="95">
        <f>IF(BA149="","",BA149*AY149)</f>
        <v>0</v>
      </c>
      <c r="BD149" s="319">
        <f>OBJ!B229</f>
        <v>9283235</v>
      </c>
      <c r="BE149" s="21" t="str">
        <f>VLOOKUP(BD149,CENY!$B$11:$G$1054,2,FALSE)</f>
        <v>AvanY-sklo pre vnút.čelo /v130/s600/hr18</v>
      </c>
      <c r="BF149" s="22">
        <f>VLOOKUP(BD149,CENY!$B$11:$G$1054,3,FALSE)</f>
        <v>1</v>
      </c>
      <c r="BG149" s="22"/>
      <c r="BH149" s="23">
        <f t="shared" si="13"/>
        <v>0</v>
      </c>
      <c r="BI149" s="326">
        <f t="shared" si="14"/>
        <v>0</v>
      </c>
      <c r="BJ149" s="95">
        <f>VLOOKUP(BD149,CENY!$B$11:$M$2025,12,FALSE)</f>
        <v>641.17699000000005</v>
      </c>
      <c r="BK149" s="95">
        <f t="shared" si="15"/>
        <v>0</v>
      </c>
    </row>
    <row r="150" spans="47:63">
      <c r="AU150" s="319">
        <f>OBJ!B364</f>
        <v>9279197</v>
      </c>
      <c r="AV150" s="21" t="str">
        <f>VLOOKUP(AU150,CENY!$B$11:$G$1054,2,FALSE)</f>
        <v>Skrutka s polgul.hlavou M3,5x12mm</v>
      </c>
      <c r="AW150" s="22">
        <f>VLOOKUP(AU150,CENY!$B$11:$G$1054,3,FALSE)</f>
        <v>1000</v>
      </c>
      <c r="AX150" s="22"/>
      <c r="AY150" s="68">
        <v>0</v>
      </c>
      <c r="AZ150" s="326">
        <f t="shared" si="16"/>
        <v>0</v>
      </c>
      <c r="BA150" s="95">
        <f>VLOOKUP(AU150,CENY!$B$11:$M$2025,12,FALSE)</f>
        <v>0</v>
      </c>
      <c r="BB150" s="95">
        <f>IF(BA150="","",BA150*AY150)</f>
        <v>0</v>
      </c>
      <c r="BD150" s="319">
        <f>OBJ!B230</f>
        <v>9283237</v>
      </c>
      <c r="BE150" s="21" t="str">
        <f>VLOOKUP(BD150,CENY!$B$11:$G$1054,2,FALSE)</f>
        <v>AvanY-sklo pre vnút.čelo /v130/s900/hr18</v>
      </c>
      <c r="BF150" s="22">
        <f>VLOOKUP(BD150,CENY!$B$11:$G$1054,3,FALSE)</f>
        <v>1</v>
      </c>
      <c r="BG150" s="22"/>
      <c r="BH150" s="23">
        <f t="shared" si="13"/>
        <v>0</v>
      </c>
      <c r="BI150" s="326">
        <f t="shared" si="14"/>
        <v>0</v>
      </c>
      <c r="BJ150" s="95">
        <f>VLOOKUP(BD150,CENY!$B$11:$M$2025,12,FALSE)</f>
        <v>1068.6239</v>
      </c>
      <c r="BK150" s="95">
        <f t="shared" si="15"/>
        <v>0</v>
      </c>
    </row>
    <row r="151" spans="47:63">
      <c r="AU151" s="319">
        <f>OBJ!B365</f>
        <v>9137114</v>
      </c>
      <c r="AV151" s="21" t="str">
        <f>VLOOKUP(AU151,CENY!$B$11:$G$1054,2,FALSE)</f>
        <v>EURO-skrutka  6,0x14mm / niklovaná</v>
      </c>
      <c r="AW151" s="22">
        <f>VLOOKUP(AU151,CENY!$B$11:$G$1054,3,FALSE)</f>
        <v>200</v>
      </c>
      <c r="AX151" s="22"/>
      <c r="AY151" s="23">
        <f>SUMPRODUCT(AX31:AX80,AY31:AY80)</f>
        <v>0</v>
      </c>
      <c r="AZ151" s="326">
        <f t="shared" si="16"/>
        <v>0</v>
      </c>
      <c r="BA151" s="95">
        <f>VLOOKUP(AU151,CENY!$B$11:$M$2025,12,FALSE)</f>
        <v>1.8839300000000001</v>
      </c>
      <c r="BB151" s="95">
        <f>IF(BA151="","",BA151*AY151)</f>
        <v>0</v>
      </c>
      <c r="BD151" s="319"/>
      <c r="BE151" s="21"/>
      <c r="BF151" s="22"/>
      <c r="BG151" s="22"/>
      <c r="BH151" s="23"/>
      <c r="BI151" s="326" t="str">
        <f t="shared" si="9"/>
        <v/>
      </c>
      <c r="BJ151" s="95"/>
      <c r="BK151" s="95" t="str">
        <f t="shared" si="10"/>
        <v/>
      </c>
    </row>
    <row r="152" spans="47:63">
      <c r="AU152" s="20"/>
      <c r="AV152" s="21"/>
      <c r="AW152" s="22"/>
      <c r="AX152" s="22"/>
      <c r="AY152" s="23"/>
      <c r="AZ152" s="326"/>
      <c r="BA152" s="95"/>
      <c r="BB152" s="95"/>
      <c r="BD152" s="319">
        <f>OBJ!B361</f>
        <v>45167</v>
      </c>
      <c r="BE152" s="21" t="str">
        <f>VLOOKUP(BD152,CENY!$B$11:$G$1054,2,FALSE)</f>
        <v>Skrutka s polgul.hlavou 3,5x12mm</v>
      </c>
      <c r="BF152" s="22">
        <f>VLOOKUP(BD152,CENY!$B$11:$G$1054,3,FALSE)</f>
        <v>200</v>
      </c>
      <c r="BG152" s="22"/>
      <c r="BH152" s="23">
        <f>AY147+BH39*2+BH148</f>
        <v>0</v>
      </c>
      <c r="BI152" s="326">
        <f>IF(BH152="","",IF($AW$4=0,BH152,0))</f>
        <v>0</v>
      </c>
      <c r="BJ152" s="95">
        <f>VLOOKUP(BD152,CENY!$B$11:$M$2025,12,FALSE)</f>
        <v>0.84719999999999995</v>
      </c>
      <c r="BK152" s="95">
        <f t="shared" si="10"/>
        <v>0</v>
      </c>
    </row>
    <row r="153" spans="47:63">
      <c r="AU153" s="20"/>
      <c r="AV153" s="21"/>
      <c r="AW153" s="22"/>
      <c r="AX153" s="22"/>
      <c r="AY153" s="23"/>
      <c r="AZ153" s="326"/>
      <c r="BA153" s="95"/>
      <c r="BB153" s="95"/>
      <c r="BD153" s="319">
        <f>OBJ!B362</f>
        <v>45168</v>
      </c>
      <c r="BE153" s="21" t="str">
        <f>VLOOKUP(BD153,CENY!$B$11:$G$1054,2,FALSE)</f>
        <v>Skrutka s polgul.hlavou 3,5x20mm</v>
      </c>
      <c r="BF153" s="22">
        <f>VLOOKUP(BD153,CENY!$B$11:$G$1054,3,FALSE)</f>
        <v>200</v>
      </c>
      <c r="BG153" s="22"/>
      <c r="BH153" s="360">
        <f>IF(FORM!$AM$8=FORM!$AU$10,BH35*2+BH36*3,0)</f>
        <v>0</v>
      </c>
      <c r="BI153" s="326">
        <f>IF(BH153="","",IF($AW$4=0,BH153,0))</f>
        <v>0</v>
      </c>
      <c r="BJ153" s="95">
        <f>VLOOKUP(BD153,CENY!$B$11:$M$2025,12,FALSE)</f>
        <v>1.2154199999999999</v>
      </c>
      <c r="BK153" s="95">
        <f t="shared" si="10"/>
        <v>0</v>
      </c>
    </row>
    <row r="154" spans="47:63">
      <c r="AU154" s="20"/>
      <c r="AV154" s="21"/>
      <c r="AW154" s="22"/>
      <c r="AX154" s="22"/>
      <c r="AY154" s="23"/>
      <c r="AZ154" s="326"/>
      <c r="BA154" s="95"/>
      <c r="BB154" s="95"/>
      <c r="BD154" s="319">
        <f>OBJ!B363</f>
        <v>9278224</v>
      </c>
      <c r="BE154" s="21" t="str">
        <f>VLOOKUP(BD154,CENY!$B$11:$G$1054,2,FALSE)</f>
        <v>Skrutka s polgul.hlavou 3,5x30mm</v>
      </c>
      <c r="BF154" s="22">
        <f>VLOOKUP(BD154,CENY!$B$11:$G$1054,3,FALSE)</f>
        <v>200</v>
      </c>
      <c r="BG154" s="22"/>
      <c r="BH154" s="360">
        <f>SUM(BH5:BH22)+2*SUM(BH24:BH33)</f>
        <v>0</v>
      </c>
      <c r="BI154" s="326">
        <f>IF(BH154="","",IF($AW$4=0,BH154,0))</f>
        <v>0</v>
      </c>
      <c r="BJ154" s="95">
        <f>VLOOKUP(BD154,CENY!$B$11:$M$2025,12,FALSE)</f>
        <v>0.89337999999999995</v>
      </c>
      <c r="BK154" s="95">
        <f t="shared" si="10"/>
        <v>0</v>
      </c>
    </row>
    <row r="155" spans="47:63">
      <c r="AU155" s="20"/>
      <c r="AV155" s="21"/>
      <c r="AW155" s="22"/>
      <c r="AX155" s="22"/>
      <c r="AY155" s="23"/>
      <c r="AZ155" s="326" t="str">
        <f>IF(AY155="","",IF($AW$4=1,AY155,0))</f>
        <v/>
      </c>
      <c r="BA155" s="95"/>
      <c r="BB155" s="95" t="str">
        <f>IF(BA155="","",BA155*AY155)</f>
        <v/>
      </c>
      <c r="BD155" s="319">
        <f>OBJ!B364</f>
        <v>9279197</v>
      </c>
      <c r="BE155" s="21" t="str">
        <f>VLOOKUP(BD155,CENY!$B$11:$G$1054,2,FALSE)</f>
        <v>Skrutka s polgul.hlavou M3,5x12mm</v>
      </c>
      <c r="BF155" s="22">
        <f>VLOOKUP(BD155,CENY!$B$11:$G$1054,3,FALSE)</f>
        <v>1000</v>
      </c>
      <c r="BG155" s="22"/>
      <c r="BH155" s="68">
        <f>2*BH37+3*BH38</f>
        <v>0</v>
      </c>
      <c r="BI155" s="326">
        <f>IF(BH155="","",IF($AW$4=0,BH155,0))</f>
        <v>0</v>
      </c>
      <c r="BJ155" s="95">
        <f>VLOOKUP(BD155,CENY!$B$11:$M$2025,12,FALSE)</f>
        <v>0</v>
      </c>
      <c r="BK155" s="95">
        <f t="shared" si="10"/>
        <v>0</v>
      </c>
    </row>
    <row r="156" spans="47:63">
      <c r="BD156" s="319">
        <f>OBJ!B365</f>
        <v>9137114</v>
      </c>
      <c r="BE156" s="21" t="str">
        <f>VLOOKUP(BD156,CENY!$B$11:$G$1054,2,FALSE)</f>
        <v>EURO-skrutka  6,0x14mm / niklovaná</v>
      </c>
      <c r="BF156" s="22">
        <f>VLOOKUP(BD156,CENY!$B$11:$G$1054,3,FALSE)</f>
        <v>200</v>
      </c>
      <c r="BG156" s="22"/>
      <c r="BH156" s="23">
        <f>AY151</f>
        <v>0</v>
      </c>
      <c r="BI156" s="326">
        <f>IF(BH156="","",IF($AW$4=0,BH156,0))</f>
        <v>0</v>
      </c>
      <c r="BJ156" s="95">
        <f>VLOOKUP(BD156,CENY!$B$11:$M$2025,12,FALSE)</f>
        <v>1.8839300000000001</v>
      </c>
      <c r="BK156" s="95">
        <f t="shared" si="10"/>
        <v>0</v>
      </c>
    </row>
    <row r="157" spans="47:63">
      <c r="BD157" s="319"/>
      <c r="BE157" s="21"/>
      <c r="BF157" s="22"/>
      <c r="BG157" s="22"/>
      <c r="BH157" s="23"/>
      <c r="BI157" s="326"/>
      <c r="BJ157" s="95"/>
      <c r="BK157" s="95"/>
    </row>
    <row r="158" spans="47:63">
      <c r="AW158" s="376"/>
      <c r="AX158" s="377"/>
      <c r="AY158" s="379" t="s">
        <v>261</v>
      </c>
      <c r="AZ158" s="380" t="s">
        <v>262</v>
      </c>
      <c r="BD158" s="374">
        <f>OBJ!B367</f>
        <v>9099540</v>
      </c>
      <c r="BE158" s="375" t="str">
        <f>VLOOKUP(BD158,CENY!$B$11:$G$1054,2,FALSE)</f>
        <v>SENSYS 8657i 165st. B12,5/TH52</v>
      </c>
      <c r="BF158" s="22">
        <f>VLOOKUP(BD158,CENY!$B$11:$G$1054,3,FALSE)</f>
        <v>50</v>
      </c>
      <c r="BG158" s="22"/>
      <c r="BH158" s="23">
        <f>AY112</f>
        <v>0</v>
      </c>
      <c r="BI158" s="326">
        <f t="shared" ref="BI158:BI162" si="17">IF(BH158="","",IF($AW$4=0,BH158,0))</f>
        <v>0</v>
      </c>
      <c r="BJ158" s="95">
        <f>VLOOKUP(BD158,CENY!$B$11:$M$2025,12,FALSE)</f>
        <v>141.95956000000001</v>
      </c>
      <c r="BK158" s="95">
        <f t="shared" ref="BK158:BK162" si="18">IF(BJ158="","",BJ158*BH158)</f>
        <v>0</v>
      </c>
    </row>
    <row r="159" spans="47:63">
      <c r="AW159" s="376">
        <v>350</v>
      </c>
      <c r="AX159" s="377"/>
      <c r="AY159" s="378">
        <v>1</v>
      </c>
      <c r="AZ159" s="378">
        <v>2</v>
      </c>
      <c r="BD159" s="374">
        <f>OBJ!B368</f>
        <v>9099600</v>
      </c>
      <c r="BE159" s="375" t="str">
        <f>VLOOKUP(BD159,CENY!$B$11:$G$1054,2,FALSE)</f>
        <v>SENSYS 8657 165st. B12,5/TH52 (bez SiSy)</v>
      </c>
      <c r="BF159" s="22">
        <f>VLOOKUP(BD159,CENY!$B$11:$G$1054,3,FALSE)</f>
        <v>50</v>
      </c>
      <c r="BG159" s="22"/>
      <c r="BH159" s="68"/>
      <c r="BI159" s="326" t="str">
        <f t="shared" si="17"/>
        <v/>
      </c>
      <c r="BJ159" s="95">
        <f>VLOOKUP(BD159,CENY!$B$11:$M$2025,12,FALSE)</f>
        <v>129.61077</v>
      </c>
      <c r="BK159" s="95">
        <f t="shared" si="18"/>
        <v>0</v>
      </c>
    </row>
    <row r="160" spans="47:63">
      <c r="AW160" s="376">
        <v>700</v>
      </c>
      <c r="AX160" s="377"/>
      <c r="AY160" s="378">
        <v>2</v>
      </c>
      <c r="AZ160" s="378">
        <v>2</v>
      </c>
      <c r="BD160" s="374">
        <f>OBJ!B369</f>
        <v>9099660</v>
      </c>
      <c r="BE160" s="375" t="str">
        <f>VLOOKUP(BD160,CENY!$B$11:$G$1054,2,FALSE)</f>
        <v>SENSYS 8687 165st. B12,5/TH52 (pre P2O)</v>
      </c>
      <c r="BF160" s="22">
        <f>VLOOKUP(BD160,CENY!$B$11:$G$1054,3,FALSE)</f>
        <v>50</v>
      </c>
      <c r="BG160" s="22"/>
      <c r="BH160" s="68"/>
      <c r="BI160" s="326" t="str">
        <f t="shared" si="17"/>
        <v/>
      </c>
      <c r="BJ160" s="95">
        <f>VLOOKUP(BD160,CENY!$B$11:$M$2025,12,FALSE)</f>
        <v>134.40997999999999</v>
      </c>
      <c r="BK160" s="95">
        <f t="shared" si="18"/>
        <v>0</v>
      </c>
    </row>
    <row r="161" spans="49:63">
      <c r="AW161" s="376">
        <v>1050</v>
      </c>
      <c r="AX161" s="377"/>
      <c r="AY161" s="378">
        <v>3</v>
      </c>
      <c r="AZ161" s="378">
        <v>3</v>
      </c>
      <c r="BD161" s="374">
        <f>OBJ!B370</f>
        <v>9071576</v>
      </c>
      <c r="BE161" s="375" t="str">
        <f>VLOOKUP(BD161,CENY!$B$11:$G$1054,2,FALSE)</f>
        <v>Podložka SENSYS k naskrut./D=1,5 mm</v>
      </c>
      <c r="BF161" s="22">
        <f>VLOOKUP(BD161,CENY!$B$11:$G$1054,3,FALSE)</f>
        <v>200</v>
      </c>
      <c r="BG161" s="22"/>
      <c r="BH161" s="23">
        <f>AY115</f>
        <v>0</v>
      </c>
      <c r="BI161" s="326">
        <f t="shared" si="17"/>
        <v>0</v>
      </c>
      <c r="BJ161" s="95">
        <f>VLOOKUP(BD161,CENY!$B$11:$M$2025,12,FALSE)</f>
        <v>8.1449099999999994</v>
      </c>
      <c r="BK161" s="95">
        <f t="shared" si="18"/>
        <v>0</v>
      </c>
    </row>
    <row r="162" spans="49:63">
      <c r="AW162" s="376">
        <v>1400</v>
      </c>
      <c r="AX162" s="377"/>
      <c r="AY162" s="378">
        <v>4</v>
      </c>
      <c r="AZ162" s="378">
        <v>3</v>
      </c>
      <c r="BD162" s="374">
        <f>OBJ!B371</f>
        <v>9071671</v>
      </c>
      <c r="BE162" s="375" t="str">
        <f>VLOOKUP(BD162,CENY!$B$11:$G$1054,2,FALSE)</f>
        <v>Podlož.SENSYS s predm.skr.D=1,5(exc.)</v>
      </c>
      <c r="BF162" s="22">
        <f>VLOOKUP(BD162,CENY!$B$11:$G$1054,3,FALSE)</f>
        <v>200</v>
      </c>
      <c r="BG162" s="22"/>
      <c r="BH162" s="68"/>
      <c r="BI162" s="326" t="str">
        <f t="shared" si="17"/>
        <v/>
      </c>
      <c r="BJ162" s="95">
        <f>VLOOKUP(BD162,CENY!$B$11:$M$2025,12,FALSE)</f>
        <v>17.145990000000001</v>
      </c>
      <c r="BK162" s="95">
        <f t="shared" si="18"/>
        <v>0</v>
      </c>
    </row>
    <row r="163" spans="49:63">
      <c r="AW163" s="376">
        <v>1750</v>
      </c>
      <c r="AX163" s="377"/>
      <c r="AY163" s="378">
        <v>5</v>
      </c>
      <c r="AZ163" s="378">
        <v>4</v>
      </c>
    </row>
    <row r="164" spans="49:63">
      <c r="AW164" s="376">
        <v>2100</v>
      </c>
      <c r="AX164" s="377"/>
      <c r="AY164" s="378">
        <v>6</v>
      </c>
      <c r="AZ164" s="378">
        <v>4</v>
      </c>
    </row>
    <row r="165" spans="49:63">
      <c r="AW165" s="376">
        <v>2450</v>
      </c>
      <c r="AX165" s="377"/>
      <c r="AY165" s="378">
        <v>7</v>
      </c>
      <c r="AZ165" s="378">
        <v>5</v>
      </c>
    </row>
    <row r="166" spans="49:63">
      <c r="AW166" s="376">
        <v>2800</v>
      </c>
      <c r="AX166" s="377"/>
      <c r="AY166" s="378">
        <v>8</v>
      </c>
      <c r="AZ166" s="378">
        <v>5</v>
      </c>
    </row>
  </sheetData>
  <sheetProtection algorithmName="SHA-512" hashValue="tjPAnuHcJd/Yq3iLeDVRiNVUaOj8YOv+/qJAM+ZYR32BE5zkammUN+KmsaigRogXFxlpLSFUMlcn7FQk87ImEg==" saltValue="PfQxIvb5TEKpQBNJbH+7Ww==" spinCount="100000" sheet="1" objects="1" scenarios="1"/>
  <mergeCells count="165">
    <mergeCell ref="V89:AC94"/>
    <mergeCell ref="AW107:AY107"/>
    <mergeCell ref="O84:V84"/>
    <mergeCell ref="AC84:AJ84"/>
    <mergeCell ref="O87:P87"/>
    <mergeCell ref="Q87:R87"/>
    <mergeCell ref="S87:T87"/>
    <mergeCell ref="U87:V87"/>
    <mergeCell ref="W87:X87"/>
    <mergeCell ref="Y87:Z87"/>
    <mergeCell ref="AA87:AB87"/>
    <mergeCell ref="AW101:AY101"/>
    <mergeCell ref="AW102:AY102"/>
    <mergeCell ref="AW103:AY103"/>
    <mergeCell ref="AW104:AY104"/>
    <mergeCell ref="AW105:AY105"/>
    <mergeCell ref="AW106:AY106"/>
    <mergeCell ref="AC86:AD86"/>
    <mergeCell ref="AE86:AF86"/>
    <mergeCell ref="AG86:AH86"/>
    <mergeCell ref="AI86:AJ86"/>
    <mergeCell ref="AW100:AY100"/>
    <mergeCell ref="AC87:AD87"/>
    <mergeCell ref="AE87:AF87"/>
    <mergeCell ref="AG87:AH87"/>
    <mergeCell ref="AI87:AJ87"/>
    <mergeCell ref="AC85:AD85"/>
    <mergeCell ref="AE85:AF85"/>
    <mergeCell ref="AG85:AH85"/>
    <mergeCell ref="AI85:AJ85"/>
    <mergeCell ref="O86:P86"/>
    <mergeCell ref="Q86:R86"/>
    <mergeCell ref="S86:T86"/>
    <mergeCell ref="U86:V86"/>
    <mergeCell ref="M85:N85"/>
    <mergeCell ref="O85:P85"/>
    <mergeCell ref="Q85:R85"/>
    <mergeCell ref="S85:T85"/>
    <mergeCell ref="U85:V85"/>
    <mergeCell ref="AA85:AB85"/>
    <mergeCell ref="O83:AJ83"/>
    <mergeCell ref="AA84:AB84"/>
    <mergeCell ref="AA82:AB82"/>
    <mergeCell ref="AC82:AD82"/>
    <mergeCell ref="AE82:AF82"/>
    <mergeCell ref="AG82:AH82"/>
    <mergeCell ref="AI82:AJ82"/>
    <mergeCell ref="W82:X82"/>
    <mergeCell ref="Y82:Z82"/>
    <mergeCell ref="Y81:Z81"/>
    <mergeCell ref="AA81:AB81"/>
    <mergeCell ref="AC81:AD81"/>
    <mergeCell ref="AE81:AF81"/>
    <mergeCell ref="AG81:AH81"/>
    <mergeCell ref="AI81:AJ81"/>
    <mergeCell ref="O81:P81"/>
    <mergeCell ref="Q81:R81"/>
    <mergeCell ref="S81:T81"/>
    <mergeCell ref="U81:V81"/>
    <mergeCell ref="W81:X81"/>
    <mergeCell ref="AA67:AE67"/>
    <mergeCell ref="AI67:AM67"/>
    <mergeCell ref="AO67:AR67"/>
    <mergeCell ref="U28:V28"/>
    <mergeCell ref="W28:X28"/>
    <mergeCell ref="Y28:Z28"/>
    <mergeCell ref="AA28:AB28"/>
    <mergeCell ref="AC28:AD28"/>
    <mergeCell ref="A66:A105"/>
    <mergeCell ref="B67:E67"/>
    <mergeCell ref="G67:K67"/>
    <mergeCell ref="O67:S67"/>
    <mergeCell ref="U67:Y67"/>
    <mergeCell ref="B28:G28"/>
    <mergeCell ref="H28:L28"/>
    <mergeCell ref="M28:N28"/>
    <mergeCell ref="O28:P28"/>
    <mergeCell ref="Q28:R28"/>
    <mergeCell ref="S28:T28"/>
    <mergeCell ref="AK82:AL82"/>
    <mergeCell ref="O82:P82"/>
    <mergeCell ref="Q82:R82"/>
    <mergeCell ref="S82:T82"/>
    <mergeCell ref="U82:V82"/>
    <mergeCell ref="B27:G27"/>
    <mergeCell ref="H27:L27"/>
    <mergeCell ref="M27:N27"/>
    <mergeCell ref="O27:P27"/>
    <mergeCell ref="Q27:R27"/>
    <mergeCell ref="S27:T27"/>
    <mergeCell ref="AQ24:AR24"/>
    <mergeCell ref="O26:P26"/>
    <mergeCell ref="Q26:R26"/>
    <mergeCell ref="S26:T26"/>
    <mergeCell ref="U26:V26"/>
    <mergeCell ref="W26:X26"/>
    <mergeCell ref="Y26:Z26"/>
    <mergeCell ref="AA26:AB26"/>
    <mergeCell ref="AC26:AD26"/>
    <mergeCell ref="U22:V22"/>
    <mergeCell ref="W22:X22"/>
    <mergeCell ref="Y22:Z22"/>
    <mergeCell ref="AA22:AB22"/>
    <mergeCell ref="AC22:AD22"/>
    <mergeCell ref="AE22:AF22"/>
    <mergeCell ref="B22:G22"/>
    <mergeCell ref="H22:L22"/>
    <mergeCell ref="M22:N22"/>
    <mergeCell ref="O22:P22"/>
    <mergeCell ref="Q22:R22"/>
    <mergeCell ref="S22:T22"/>
    <mergeCell ref="U20:V20"/>
    <mergeCell ref="W20:X20"/>
    <mergeCell ref="Y20:Z20"/>
    <mergeCell ref="AA20:AB20"/>
    <mergeCell ref="AC20:AD20"/>
    <mergeCell ref="AE20:AF20"/>
    <mergeCell ref="B20:G20"/>
    <mergeCell ref="H20:L20"/>
    <mergeCell ref="M20:N20"/>
    <mergeCell ref="O20:P20"/>
    <mergeCell ref="Q20:R20"/>
    <mergeCell ref="S20:T20"/>
    <mergeCell ref="B19:G19"/>
    <mergeCell ref="H19:L19"/>
    <mergeCell ref="M19:N19"/>
    <mergeCell ref="O19:P19"/>
    <mergeCell ref="Q19:R19"/>
    <mergeCell ref="S19:T19"/>
    <mergeCell ref="O17:AF17"/>
    <mergeCell ref="O18:P18"/>
    <mergeCell ref="Q18:R18"/>
    <mergeCell ref="S18:T18"/>
    <mergeCell ref="U18:V18"/>
    <mergeCell ref="W18:X18"/>
    <mergeCell ref="Y18:Z18"/>
    <mergeCell ref="AA18:AB18"/>
    <mergeCell ref="AC18:AD18"/>
    <mergeCell ref="AE18:AF18"/>
    <mergeCell ref="B12:E12"/>
    <mergeCell ref="F12:I12"/>
    <mergeCell ref="J12:K12"/>
    <mergeCell ref="B13:E13"/>
    <mergeCell ref="F13:I13"/>
    <mergeCell ref="J13:K13"/>
    <mergeCell ref="B9:E9"/>
    <mergeCell ref="F9:K9"/>
    <mergeCell ref="AK9:AP10"/>
    <mergeCell ref="B10:E10"/>
    <mergeCell ref="F10:K10"/>
    <mergeCell ref="B11:E11"/>
    <mergeCell ref="F11:K11"/>
    <mergeCell ref="AO2:AR2"/>
    <mergeCell ref="B6:E6"/>
    <mergeCell ref="F6:K6"/>
    <mergeCell ref="B7:E7"/>
    <mergeCell ref="F7:K7"/>
    <mergeCell ref="B8:E8"/>
    <mergeCell ref="F8:K8"/>
    <mergeCell ref="B2:E2"/>
    <mergeCell ref="G2:K2"/>
    <mergeCell ref="O2:S2"/>
    <mergeCell ref="U2:Y2"/>
    <mergeCell ref="AA2:AE2"/>
    <mergeCell ref="AI2:AM2"/>
  </mergeCells>
  <conditionalFormatting sqref="AZ99:AZ111 AZ152:AZ155 BI5:BI21 AZ20:AZ84 AZ86:AZ88 BI39:BI141 BH25:BI34 BH23:BH24 AZ117:AZ146 AY5:AZ19 AY20:AY48 AY95:AZ95 BH142:BI142 BH40:BH98">
    <cfRule type="cellIs" dxfId="59" priority="64" stopIfTrue="1" operator="equal">
      <formula>0</formula>
    </cfRule>
  </conditionalFormatting>
  <conditionalFormatting sqref="AY59 AY72 AY49 AY55">
    <cfRule type="cellIs" dxfId="58" priority="62" stopIfTrue="1" operator="equal">
      <formula>0</formula>
    </cfRule>
  </conditionalFormatting>
  <conditionalFormatting sqref="O17:AF17 W20:AD20 W22:AF22 W28:AD28">
    <cfRule type="expression" dxfId="57" priority="63" stopIfTrue="1">
      <formula>$AW$4=0</formula>
    </cfRule>
  </conditionalFormatting>
  <conditionalFormatting sqref="AY83 AY86 AY88">
    <cfRule type="cellIs" dxfId="56" priority="61" stopIfTrue="1" operator="equal">
      <formula>0</formula>
    </cfRule>
  </conditionalFormatting>
  <conditionalFormatting sqref="AY108:AY111">
    <cfRule type="cellIs" dxfId="55" priority="60" stopIfTrue="1" operator="equal">
      <formula>0</formula>
    </cfRule>
  </conditionalFormatting>
  <conditionalFormatting sqref="BH39">
    <cfRule type="cellIs" dxfId="54" priority="59" stopIfTrue="1" operator="equal">
      <formula>0</formula>
    </cfRule>
  </conditionalFormatting>
  <conditionalFormatting sqref="AY64:AY68">
    <cfRule type="cellIs" dxfId="53" priority="58" stopIfTrue="1" operator="equal">
      <formula>0</formula>
    </cfRule>
  </conditionalFormatting>
  <conditionalFormatting sqref="AY117:AY146 AY152:AY155">
    <cfRule type="cellIs" dxfId="52" priority="52" stopIfTrue="1" operator="equal">
      <formula>0</formula>
    </cfRule>
  </conditionalFormatting>
  <conditionalFormatting sqref="AY81">
    <cfRule type="cellIs" dxfId="51" priority="57" stopIfTrue="1" operator="equal">
      <formula>0</formula>
    </cfRule>
  </conditionalFormatting>
  <conditionalFormatting sqref="AY84">
    <cfRule type="cellIs" dxfId="50" priority="56" stopIfTrue="1" operator="equal">
      <formula>0</formula>
    </cfRule>
  </conditionalFormatting>
  <conditionalFormatting sqref="AY99">
    <cfRule type="cellIs" dxfId="49" priority="55" stopIfTrue="1" operator="equal">
      <formula>0</formula>
    </cfRule>
  </conditionalFormatting>
  <conditionalFormatting sqref="BH115 BH119">
    <cfRule type="cellIs" dxfId="48" priority="54" stopIfTrue="1" operator="equal">
      <formula>0</formula>
    </cfRule>
  </conditionalFormatting>
  <conditionalFormatting sqref="BH136 BH140:BH141 BH151 BH157 BH138">
    <cfRule type="cellIs" dxfId="47" priority="53" stopIfTrue="1" operator="equal">
      <formula>0</formula>
    </cfRule>
  </conditionalFormatting>
  <conditionalFormatting sqref="BH105:BH114">
    <cfRule type="cellIs" dxfId="46" priority="51" stopIfTrue="1" operator="equal">
      <formula>0</formula>
    </cfRule>
  </conditionalFormatting>
  <conditionalFormatting sqref="BH139">
    <cfRule type="cellIs" dxfId="45" priority="49" stopIfTrue="1" operator="equal">
      <formula>0</formula>
    </cfRule>
  </conditionalFormatting>
  <conditionalFormatting sqref="AY87">
    <cfRule type="cellIs" dxfId="44" priority="50" stopIfTrue="1" operator="equal">
      <formula>0</formula>
    </cfRule>
  </conditionalFormatting>
  <conditionalFormatting sqref="F13:K13">
    <cfRule type="expression" dxfId="43" priority="48" stopIfTrue="1">
      <formula>$AW$4=1</formula>
    </cfRule>
  </conditionalFormatting>
  <conditionalFormatting sqref="BI151 BI157">
    <cfRule type="cellIs" dxfId="42" priority="47" stopIfTrue="1" operator="equal">
      <formula>0</formula>
    </cfRule>
  </conditionalFormatting>
  <conditionalFormatting sqref="AZ93:AZ94">
    <cfRule type="cellIs" dxfId="41" priority="46" stopIfTrue="1" operator="equal">
      <formula>0</formula>
    </cfRule>
  </conditionalFormatting>
  <conditionalFormatting sqref="AY93:AY94">
    <cfRule type="cellIs" dxfId="40" priority="45" stopIfTrue="1" operator="equal">
      <formula>0</formula>
    </cfRule>
  </conditionalFormatting>
  <conditionalFormatting sqref="AR88">
    <cfRule type="expression" dxfId="39" priority="42" stopIfTrue="1">
      <formula>$AU$101=AU103</formula>
    </cfRule>
  </conditionalFormatting>
  <conditionalFormatting sqref="AZ147:AZ151">
    <cfRule type="cellIs" dxfId="38" priority="41" stopIfTrue="1" operator="equal">
      <formula>0</formula>
    </cfRule>
  </conditionalFormatting>
  <conditionalFormatting sqref="AY147:AY151">
    <cfRule type="cellIs" dxfId="37" priority="40" stopIfTrue="1" operator="equal">
      <formula>0</formula>
    </cfRule>
  </conditionalFormatting>
  <conditionalFormatting sqref="BH152 BH155:BH156">
    <cfRule type="cellIs" dxfId="36" priority="39" stopIfTrue="1" operator="equal">
      <formula>0</formula>
    </cfRule>
  </conditionalFormatting>
  <conditionalFormatting sqref="BI152:BI156">
    <cfRule type="cellIs" dxfId="35" priority="38" stopIfTrue="1" operator="equal">
      <formula>0</formula>
    </cfRule>
  </conditionalFormatting>
  <conditionalFormatting sqref="BH153:BH154">
    <cfRule type="cellIs" dxfId="34" priority="37" stopIfTrue="1" operator="equal">
      <formula>0</formula>
    </cfRule>
  </conditionalFormatting>
  <conditionalFormatting sqref="AY50:AY54">
    <cfRule type="cellIs" dxfId="33" priority="36" stopIfTrue="1" operator="equal">
      <formula>0</formula>
    </cfRule>
  </conditionalFormatting>
  <conditionalFormatting sqref="AY56:AY58">
    <cfRule type="cellIs" dxfId="32" priority="35" stopIfTrue="1" operator="equal">
      <formula>0</formula>
    </cfRule>
  </conditionalFormatting>
  <conditionalFormatting sqref="AY60:AY62">
    <cfRule type="cellIs" dxfId="31" priority="34" stopIfTrue="1" operator="equal">
      <formula>0</formula>
    </cfRule>
  </conditionalFormatting>
  <conditionalFormatting sqref="AY69:AY71">
    <cfRule type="cellIs" dxfId="30" priority="33" stopIfTrue="1" operator="equal">
      <formula>0</formula>
    </cfRule>
  </conditionalFormatting>
  <conditionalFormatting sqref="AY73:AY74">
    <cfRule type="cellIs" dxfId="29" priority="32" stopIfTrue="1" operator="equal">
      <formula>0</formula>
    </cfRule>
  </conditionalFormatting>
  <conditionalFormatting sqref="AY75">
    <cfRule type="cellIs" dxfId="28" priority="31" stopIfTrue="1" operator="equal">
      <formula>0</formula>
    </cfRule>
  </conditionalFormatting>
  <conditionalFormatting sqref="AY76:AY80">
    <cfRule type="cellIs" dxfId="27" priority="30" stopIfTrue="1" operator="equal">
      <formula>0</formula>
    </cfRule>
  </conditionalFormatting>
  <conditionalFormatting sqref="AY82">
    <cfRule type="cellIs" dxfId="26" priority="29" stopIfTrue="1" operator="equal">
      <formula>0</formula>
    </cfRule>
  </conditionalFormatting>
  <conditionalFormatting sqref="BH5:BH10">
    <cfRule type="cellIs" dxfId="25" priority="28" stopIfTrue="1" operator="equal">
      <formula>0</formula>
    </cfRule>
  </conditionalFormatting>
  <conditionalFormatting sqref="BH99:BH106">
    <cfRule type="cellIs" dxfId="24" priority="27" stopIfTrue="1" operator="equal">
      <formula>0</formula>
    </cfRule>
  </conditionalFormatting>
  <conditionalFormatting sqref="BH116:BH118">
    <cfRule type="cellIs" dxfId="23" priority="26" stopIfTrue="1" operator="equal">
      <formula>0</formula>
    </cfRule>
  </conditionalFormatting>
  <conditionalFormatting sqref="BH120:BH135">
    <cfRule type="cellIs" dxfId="22" priority="25" stopIfTrue="1" operator="equal">
      <formula>0</formula>
    </cfRule>
  </conditionalFormatting>
  <conditionalFormatting sqref="BH137">
    <cfRule type="cellIs" dxfId="21" priority="24" stopIfTrue="1" operator="equal">
      <formula>0</formula>
    </cfRule>
  </conditionalFormatting>
  <conditionalFormatting sqref="AZ85">
    <cfRule type="cellIs" dxfId="20" priority="23" stopIfTrue="1" operator="equal">
      <formula>0</formula>
    </cfRule>
  </conditionalFormatting>
  <conditionalFormatting sqref="AY85">
    <cfRule type="cellIs" dxfId="19" priority="22" stopIfTrue="1" operator="equal">
      <formula>0</formula>
    </cfRule>
  </conditionalFormatting>
  <conditionalFormatting sqref="BH37:BI38">
    <cfRule type="cellIs" dxfId="18" priority="21" stopIfTrue="1" operator="equal">
      <formula>0</formula>
    </cfRule>
  </conditionalFormatting>
  <conditionalFormatting sqref="BH35:BI36">
    <cfRule type="cellIs" dxfId="17" priority="20" stopIfTrue="1" operator="equal">
      <formula>0</formula>
    </cfRule>
  </conditionalFormatting>
  <conditionalFormatting sqref="AY63">
    <cfRule type="cellIs" dxfId="16" priority="19" stopIfTrue="1" operator="equal">
      <formula>0</formula>
    </cfRule>
  </conditionalFormatting>
  <conditionalFormatting sqref="BH11:BH12">
    <cfRule type="cellIs" dxfId="15" priority="18" stopIfTrue="1" operator="equal">
      <formula>0</formula>
    </cfRule>
  </conditionalFormatting>
  <conditionalFormatting sqref="BI22:BI24">
    <cfRule type="cellIs" dxfId="14" priority="15" stopIfTrue="1" operator="equal">
      <formula>0</formula>
    </cfRule>
  </conditionalFormatting>
  <conditionalFormatting sqref="AY112:AZ116">
    <cfRule type="cellIs" dxfId="13" priority="12" stopIfTrue="1" operator="equal">
      <formula>0</formula>
    </cfRule>
  </conditionalFormatting>
  <conditionalFormatting sqref="BI158:BI162">
    <cfRule type="cellIs" dxfId="12" priority="11" stopIfTrue="1" operator="equal">
      <formula>0</formula>
    </cfRule>
  </conditionalFormatting>
  <conditionalFormatting sqref="BH158:BH162">
    <cfRule type="cellIs" dxfId="11" priority="10" stopIfTrue="1" operator="equal">
      <formula>0</formula>
    </cfRule>
  </conditionalFormatting>
  <conditionalFormatting sqref="V89:AC94">
    <cfRule type="expression" dxfId="10" priority="9" stopIfTrue="1">
      <formula>OR($AW$103=0,$AW$103=$AW$101)</formula>
    </cfRule>
  </conditionalFormatting>
  <conditionalFormatting sqref="AZ89:AZ92">
    <cfRule type="cellIs" dxfId="9" priority="6" stopIfTrue="1" operator="equal">
      <formula>0</formula>
    </cfRule>
  </conditionalFormatting>
  <conditionalFormatting sqref="AY89:AY92">
    <cfRule type="cellIs" dxfId="8" priority="5" stopIfTrue="1" operator="equal">
      <formula>0</formula>
    </cfRule>
  </conditionalFormatting>
  <conditionalFormatting sqref="AY96:AZ98">
    <cfRule type="cellIs" dxfId="7" priority="4" stopIfTrue="1" operator="equal">
      <formula>0</formula>
    </cfRule>
  </conditionalFormatting>
  <conditionalFormatting sqref="BI143:BI150">
    <cfRule type="cellIs" dxfId="6" priority="3" stopIfTrue="1" operator="equal">
      <formula>0</formula>
    </cfRule>
  </conditionalFormatting>
  <conditionalFormatting sqref="BH143:BH150">
    <cfRule type="cellIs" dxfId="5" priority="2" stopIfTrue="1" operator="equal">
      <formula>0</formula>
    </cfRule>
  </conditionalFormatting>
  <conditionalFormatting sqref="BH13:BH22">
    <cfRule type="cellIs" dxfId="4" priority="1" stopIfTrue="1" operator="equal">
      <formula>0</formula>
    </cfRule>
  </conditionalFormatting>
  <hyperlinks>
    <hyperlink ref="M4" location="MENU!A1" display="MENU!A1" xr:uid="{00000000-0004-0000-1800-000000000000}"/>
    <hyperlink ref="M10" location="OBJ!A1" display="OBJ!A1" xr:uid="{00000000-0004-0000-1800-000001000000}"/>
    <hyperlink ref="M9" location="suhrn!A1" display="suhrn!A1" xr:uid="{00000000-0004-0000-1800-000002000000}"/>
    <hyperlink ref="O2:S2" location="MENU!A5" display="MENU!A5" xr:uid="{00000000-0004-0000-1800-000003000000}"/>
    <hyperlink ref="M69" location="MENU!A1" display="MENU!A1" xr:uid="{00000000-0004-0000-1800-000004000000}"/>
    <hyperlink ref="B67:E67" location="'potr-o187-IL'!A1" display="'potr-o187-IL'!A1" xr:uid="{00000000-0004-0000-1800-000005000000}"/>
    <hyperlink ref="AK9:AO10" location="'IT70(vn100)'!A66" display="'IT70(vn100)'!A66" xr:uid="{00000000-0004-0000-1800-000006000000}"/>
    <hyperlink ref="AK9:AP10" location="'potr-o187-IL'!A66" display="'potr-o187-IL'!A66" xr:uid="{00000000-0004-0000-1800-000007000000}"/>
  </hyperlinks>
  <printOptions horizontalCentered="1"/>
  <pageMargins left="0.19685039370078741" right="0.19685039370078741" top="0.19685039370078741" bottom="0.19685039370078741" header="0.31496062992125984" footer="0.31496062992125984"/>
  <pageSetup paperSize="9" orientation="landscape" r:id="rId1"/>
  <headerFooter>
    <oddHeader>&amp;R&amp;"Aptos"&amp;10&amp;K000000 Restricted&amp;1#_x000D_</oddHeader>
  </headerFooter>
  <drawing r:id="rId2"/>
  <legacyDrawing r:id="rId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List30"/>
  <dimension ref="A1"/>
  <sheetViews>
    <sheetView showGridLines="0" showRowColHeaders="0" workbookViewId="0">
      <selection activeCell="L22" sqref="L22"/>
    </sheetView>
  </sheetViews>
  <sheetFormatPr defaultRowHeight="13.8"/>
  <sheetData/>
  <sheetProtection password="DD97" sheet="1"/>
  <pageMargins left="0.7" right="0.7" top="0.78740157499999996" bottom="0.78740157499999996" header="0.3" footer="0.3"/>
  <headerFooter>
    <oddHeader>&amp;R&amp;"Aptos"&amp;10&amp;K000000 Restricted&amp;1#_x000D_</oddHead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List32">
    <pageSetUpPr fitToPage="1"/>
  </sheetPr>
  <dimension ref="A3:CE426"/>
  <sheetViews>
    <sheetView showGridLines="0" showRowColHeaders="0" zoomScaleNormal="100" workbookViewId="0">
      <selection activeCell="CE19" sqref="CE19"/>
    </sheetView>
  </sheetViews>
  <sheetFormatPr defaultColWidth="9" defaultRowHeight="13.8"/>
  <cols>
    <col min="1" max="1" width="1.59765625" style="3" customWidth="1"/>
    <col min="2" max="2" width="11.69921875" style="3" customWidth="1"/>
    <col min="3" max="3" width="35.5" style="3" customWidth="1"/>
    <col min="4" max="4" width="5.09765625" style="3" customWidth="1"/>
    <col min="5" max="5" width="2.59765625" style="3" customWidth="1"/>
    <col min="6" max="6" width="4.3984375" style="3" customWidth="1"/>
    <col min="7" max="7" width="9" style="3"/>
    <col min="8" max="8" width="4.09765625" style="3" bestFit="1" customWidth="1"/>
    <col min="9" max="9" width="9" style="3"/>
    <col min="10" max="10" width="4.3984375" style="3" bestFit="1" customWidth="1"/>
    <col min="11" max="11" width="9" style="3"/>
    <col min="12" max="12" width="8.8984375" style="3" customWidth="1"/>
    <col min="13" max="13" width="1.59765625" style="3" customWidth="1"/>
    <col min="14" max="15" width="9" style="3" hidden="1" customWidth="1"/>
    <col min="16" max="75" width="4.59765625" style="3" hidden="1" customWidth="1"/>
    <col min="76" max="76" width="3" style="3" hidden="1" customWidth="1"/>
    <col min="77" max="77" width="3.09765625" style="3" hidden="1" customWidth="1"/>
    <col min="78" max="78" width="10.59765625" style="3" customWidth="1"/>
    <col min="79" max="16384" width="9" style="3"/>
  </cols>
  <sheetData>
    <row r="3" spans="1:77" ht="15" customHeight="1">
      <c r="A3" s="76"/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86"/>
      <c r="Q3" s="86"/>
      <c r="R3" s="86"/>
      <c r="S3" s="86"/>
      <c r="T3" s="86"/>
      <c r="U3" s="86"/>
      <c r="V3" s="86"/>
    </row>
    <row r="4" spans="1:77" ht="15" customHeight="1">
      <c r="A4" s="76"/>
      <c r="B4" s="98" t="str">
        <f>verze!E30</f>
        <v>Odběratel</v>
      </c>
      <c r="C4" s="100"/>
      <c r="D4" s="100"/>
      <c r="E4" s="100"/>
      <c r="F4" s="100"/>
      <c r="G4" s="100"/>
      <c r="H4" s="100"/>
      <c r="I4" s="100"/>
      <c r="J4" s="100"/>
      <c r="K4" s="100"/>
      <c r="L4" s="76"/>
      <c r="M4" s="76"/>
      <c r="N4" s="154"/>
      <c r="O4" s="154"/>
      <c r="P4" s="140"/>
      <c r="Q4" s="140"/>
      <c r="R4" s="140"/>
      <c r="S4" s="140"/>
      <c r="T4" s="140"/>
      <c r="U4" s="140"/>
      <c r="V4" s="140"/>
      <c r="W4" s="155"/>
      <c r="X4" s="155"/>
      <c r="Y4" s="155"/>
      <c r="Z4" s="155"/>
      <c r="AA4" s="155"/>
      <c r="AB4" s="155"/>
      <c r="AC4" s="155"/>
      <c r="AD4" s="155"/>
      <c r="AE4" s="155"/>
      <c r="AF4" s="155"/>
      <c r="AG4" s="155"/>
      <c r="AH4" s="155"/>
      <c r="AI4" s="155"/>
      <c r="AJ4" s="155"/>
      <c r="AK4" s="155"/>
      <c r="AL4" s="155"/>
      <c r="AM4" s="155"/>
      <c r="AN4" s="155"/>
      <c r="AO4" s="155"/>
      <c r="AP4" s="155"/>
      <c r="AQ4" s="155"/>
      <c r="AR4" s="155"/>
      <c r="AS4" s="155"/>
      <c r="AT4" s="155"/>
      <c r="AU4" s="155"/>
      <c r="AV4" s="155"/>
      <c r="AW4" s="155"/>
      <c r="AX4" s="155"/>
      <c r="AY4" s="155"/>
      <c r="AZ4" s="155"/>
      <c r="BA4" s="155"/>
      <c r="BB4" s="155"/>
      <c r="BC4" s="155"/>
      <c r="BD4" s="155"/>
      <c r="BE4" s="155"/>
      <c r="BF4" s="155"/>
      <c r="BG4" s="155"/>
      <c r="BH4" s="155"/>
      <c r="BI4" s="155"/>
      <c r="BJ4" s="155"/>
      <c r="BK4" s="155"/>
      <c r="BL4" s="155"/>
      <c r="BM4" s="155"/>
      <c r="BN4" s="155"/>
      <c r="BO4" s="155"/>
      <c r="BP4" s="155"/>
      <c r="BQ4" s="155"/>
      <c r="BR4" s="155"/>
      <c r="BS4" s="155"/>
      <c r="BT4" s="155"/>
      <c r="BU4" s="155"/>
      <c r="BV4" s="155"/>
      <c r="BW4" s="155"/>
      <c r="BX4" s="155"/>
      <c r="BY4" s="155"/>
    </row>
    <row r="5" spans="1:77" ht="15" customHeight="1">
      <c r="A5" s="76"/>
      <c r="B5" s="99" t="str">
        <f>verze!E32&amp;" :"</f>
        <v>Fakturační adresa :</v>
      </c>
      <c r="C5" s="100"/>
      <c r="D5" s="100"/>
      <c r="E5" s="100"/>
      <c r="F5" s="99" t="str">
        <f>verze!E33&amp;" :"</f>
        <v>Dodací adresa :</v>
      </c>
      <c r="G5" s="100"/>
      <c r="H5" s="100"/>
      <c r="I5" s="100"/>
      <c r="J5" s="100"/>
      <c r="K5" s="100"/>
      <c r="L5" s="76"/>
      <c r="M5" s="76"/>
      <c r="N5" s="76"/>
      <c r="O5" s="76"/>
      <c r="P5" s="86"/>
      <c r="Q5" s="86"/>
      <c r="R5" s="86"/>
      <c r="S5" s="86"/>
      <c r="T5" s="86"/>
      <c r="U5" s="86"/>
      <c r="V5" s="86"/>
    </row>
    <row r="6" spans="1:77" ht="6.75" customHeight="1" thickBot="1">
      <c r="A6" s="76"/>
      <c r="B6" s="100"/>
      <c r="C6" s="100"/>
      <c r="D6" s="100"/>
      <c r="E6" s="100"/>
      <c r="F6" s="100"/>
      <c r="G6" s="100"/>
      <c r="H6" s="100"/>
      <c r="I6" s="100"/>
      <c r="J6" s="100"/>
      <c r="K6" s="100"/>
      <c r="L6" s="76"/>
      <c r="M6" s="76"/>
      <c r="N6" s="76"/>
      <c r="O6" s="76"/>
      <c r="P6" s="86"/>
      <c r="Q6" s="86"/>
      <c r="R6" s="86"/>
      <c r="S6" s="86"/>
      <c r="T6" s="86"/>
      <c r="U6" s="86"/>
      <c r="V6" s="86"/>
      <c r="AA6" s="24" t="str">
        <f>FORM!AU16</f>
        <v>v barvě bočnice</v>
      </c>
    </row>
    <row r="7" spans="1:77" ht="15" customHeight="1">
      <c r="A7" s="76"/>
      <c r="B7" s="101" t="str">
        <f>IF(Napoveda!B9="","",Napoveda!B9)</f>
        <v/>
      </c>
      <c r="C7" s="102"/>
      <c r="D7" s="100"/>
      <c r="E7" s="100"/>
      <c r="F7" s="103"/>
      <c r="G7" s="104"/>
      <c r="H7" s="104"/>
      <c r="I7" s="104"/>
      <c r="J7" s="104"/>
      <c r="K7" s="105"/>
      <c r="L7" s="76"/>
      <c r="M7" s="76"/>
      <c r="N7" s="76"/>
      <c r="O7" s="76"/>
      <c r="P7" s="86"/>
      <c r="Q7" s="69" t="str">
        <f>FORM!U8</f>
        <v>stříbrná</v>
      </c>
      <c r="R7" s="86"/>
      <c r="S7" s="69"/>
      <c r="T7" s="69" t="str">
        <f>FORM!AM8</f>
        <v>na vruty</v>
      </c>
      <c r="U7" s="86"/>
      <c r="V7" s="86"/>
      <c r="Y7" s="69">
        <f>FORM!AM24</f>
        <v>18</v>
      </c>
      <c r="AA7" s="69" t="str">
        <f>IF(FORM!AM18=AA6,Q7,FORM!AM18)</f>
        <v>stříbrná</v>
      </c>
    </row>
    <row r="8" spans="1:77" ht="15" customHeight="1">
      <c r="A8" s="76"/>
      <c r="B8" s="106" t="str">
        <f>IF(Napoveda!B11="","",Napoveda!B11)</f>
        <v/>
      </c>
      <c r="C8" s="107"/>
      <c r="D8" s="100"/>
      <c r="E8" s="100"/>
      <c r="F8" s="108" t="str">
        <f>IF(Napoveda!B15="","",Napoveda!B15)</f>
        <v/>
      </c>
      <c r="G8" s="100"/>
      <c r="H8" s="100"/>
      <c r="I8" s="100"/>
      <c r="J8" s="100"/>
      <c r="K8" s="109"/>
      <c r="L8" s="76"/>
      <c r="M8" s="76"/>
      <c r="N8" s="76"/>
      <c r="O8" s="76"/>
      <c r="P8" s="86"/>
      <c r="Q8" s="24" t="str">
        <f>FORM!AU6</f>
        <v>stříbrná</v>
      </c>
      <c r="R8" s="86"/>
      <c r="S8" s="86"/>
      <c r="T8" s="24" t="str">
        <f>FORM!AU10</f>
        <v>na vruty</v>
      </c>
      <c r="U8" s="86"/>
      <c r="V8" s="86"/>
      <c r="Y8" s="24">
        <f>FORM!AU24</f>
        <v>16</v>
      </c>
      <c r="AA8" s="24" t="str">
        <f>FORM!AU6</f>
        <v>stříbrná</v>
      </c>
    </row>
    <row r="9" spans="1:77" ht="15" customHeight="1">
      <c r="A9" s="76"/>
      <c r="B9" s="106" t="str">
        <f>IF(Napoveda!B12="","",Napoveda!B12)</f>
        <v/>
      </c>
      <c r="C9" s="107"/>
      <c r="D9" s="100"/>
      <c r="E9" s="100"/>
      <c r="F9" s="108" t="str">
        <f>IF(Napoveda!B16="","",Napoveda!B16)</f>
        <v/>
      </c>
      <c r="G9" s="100"/>
      <c r="H9" s="100"/>
      <c r="I9" s="100"/>
      <c r="J9" s="100"/>
      <c r="K9" s="109"/>
      <c r="L9" s="76"/>
      <c r="M9" s="76"/>
      <c r="N9" s="76"/>
      <c r="O9" s="76"/>
      <c r="P9" s="86"/>
      <c r="Q9" s="24" t="str">
        <f>FORM!AU7</f>
        <v>bílá</v>
      </c>
      <c r="R9" s="24"/>
      <c r="S9" s="24"/>
      <c r="T9" s="24" t="str">
        <f>FORM!AU11</f>
        <v>s rozpěrnými pouzdry</v>
      </c>
      <c r="U9" s="86"/>
      <c r="V9" s="86"/>
      <c r="Y9" s="24">
        <f>FORM!AU25</f>
        <v>18</v>
      </c>
      <c r="AA9" s="24" t="str">
        <f>FORM!AU7</f>
        <v>bílá</v>
      </c>
    </row>
    <row r="10" spans="1:77" ht="15" customHeight="1" thickBot="1">
      <c r="A10" s="76"/>
      <c r="B10" s="110" t="str">
        <f>IF(Napoveda!B13="","",Napoveda!B13)</f>
        <v/>
      </c>
      <c r="C10" s="111"/>
      <c r="D10" s="100"/>
      <c r="E10" s="100"/>
      <c r="F10" s="112" t="str">
        <f>IF(Napoveda!B17="","",Napoveda!B17)</f>
        <v/>
      </c>
      <c r="G10" s="113"/>
      <c r="H10" s="113"/>
      <c r="I10" s="113"/>
      <c r="J10" s="113"/>
      <c r="K10" s="114"/>
      <c r="L10" s="76"/>
      <c r="M10" s="76"/>
      <c r="N10" s="76"/>
      <c r="O10" s="76"/>
      <c r="P10" s="86"/>
      <c r="Q10" s="24" t="str">
        <f>FORM!AU8</f>
        <v>antracit</v>
      </c>
      <c r="R10" s="24"/>
      <c r="S10" s="24"/>
      <c r="T10" s="86"/>
      <c r="U10" s="86"/>
      <c r="V10" s="86"/>
      <c r="Y10" s="24">
        <f>FORM!AU26</f>
        <v>19</v>
      </c>
      <c r="AA10" s="24" t="str">
        <f>FORM!AU8</f>
        <v>antracit</v>
      </c>
    </row>
    <row r="11" spans="1:77" ht="8.1" customHeight="1">
      <c r="A11" s="76"/>
      <c r="B11" s="100"/>
      <c r="C11" s="100"/>
      <c r="D11" s="100"/>
      <c r="E11" s="100"/>
      <c r="F11" s="100"/>
      <c r="G11" s="100"/>
      <c r="H11" s="100"/>
      <c r="I11" s="100"/>
      <c r="J11" s="100"/>
      <c r="K11" s="100"/>
      <c r="L11" s="76"/>
      <c r="M11" s="76"/>
      <c r="N11" s="76"/>
      <c r="O11" s="76"/>
      <c r="P11" s="86"/>
      <c r="Q11" s="24"/>
      <c r="R11" s="24"/>
      <c r="S11" s="24"/>
      <c r="T11" s="86"/>
      <c r="U11" s="86"/>
      <c r="V11" s="86"/>
      <c r="AA11" s="24" t="str">
        <f>FORM!AU17</f>
        <v>nerez</v>
      </c>
    </row>
    <row r="12" spans="1:77" ht="15" customHeight="1">
      <c r="A12" s="76"/>
      <c r="B12" s="115" t="str">
        <f>verze!E34&amp;": "&amp;Napoveda!B19</f>
        <v xml:space="preserve">IČO: </v>
      </c>
      <c r="C12" s="105"/>
      <c r="D12" s="100"/>
      <c r="E12" s="100"/>
      <c r="F12" s="100"/>
      <c r="G12" s="100"/>
      <c r="H12" s="100"/>
      <c r="I12" s="100"/>
      <c r="J12" s="100"/>
      <c r="K12" s="100"/>
      <c r="L12" s="76"/>
      <c r="M12" s="76"/>
      <c r="N12" s="76"/>
      <c r="O12" s="76"/>
      <c r="P12" s="86"/>
      <c r="Q12" s="86"/>
      <c r="R12" s="86"/>
      <c r="S12" s="86"/>
      <c r="T12" s="86"/>
      <c r="U12" s="86"/>
      <c r="V12" s="86"/>
      <c r="AA12" s="24" t="str">
        <f>FORM!AU18</f>
        <v>hliník</v>
      </c>
    </row>
    <row r="13" spans="1:77" ht="15" customHeight="1">
      <c r="A13" s="76"/>
      <c r="B13" s="116" t="str">
        <f>verze!E35&amp;": "&amp;Napoveda!B21</f>
        <v xml:space="preserve">DIČ: </v>
      </c>
      <c r="C13" s="114"/>
      <c r="D13" s="100"/>
      <c r="E13" s="100"/>
      <c r="F13" s="100"/>
      <c r="G13" s="100"/>
      <c r="H13" s="100"/>
      <c r="I13" s="100"/>
      <c r="J13" s="100"/>
      <c r="K13" s="100"/>
      <c r="L13" s="76"/>
      <c r="M13" s="76"/>
      <c r="N13" s="76"/>
      <c r="O13" s="76"/>
      <c r="P13" s="86"/>
      <c r="Q13" s="86"/>
      <c r="R13" s="86"/>
      <c r="S13" s="86"/>
      <c r="T13" s="86"/>
      <c r="U13" s="86"/>
      <c r="V13" s="86"/>
      <c r="AA13" s="24" t="str">
        <f>FORM!AU19</f>
        <v>chrom</v>
      </c>
    </row>
    <row r="14" spans="1:77" ht="8.1" customHeight="1">
      <c r="A14" s="76"/>
      <c r="B14" s="100"/>
      <c r="C14" s="100"/>
      <c r="D14" s="100"/>
      <c r="E14" s="100"/>
      <c r="F14" s="100"/>
      <c r="G14" s="100"/>
      <c r="H14" s="100"/>
      <c r="I14" s="100"/>
      <c r="J14" s="100"/>
      <c r="K14" s="100"/>
      <c r="L14" s="76"/>
      <c r="M14" s="76"/>
      <c r="N14" s="76"/>
      <c r="O14" s="76"/>
      <c r="P14" s="86"/>
      <c r="Q14" s="86"/>
      <c r="R14" s="86"/>
      <c r="S14" s="86"/>
      <c r="T14" s="86"/>
      <c r="U14" s="86"/>
      <c r="V14" s="86"/>
      <c r="AA14" s="24" t="str">
        <f>FORM!AU20</f>
        <v>dub</v>
      </c>
    </row>
    <row r="15" spans="1:77" ht="15" customHeight="1">
      <c r="A15" s="76"/>
      <c r="B15" s="252" t="str">
        <f>IF(Napoveda!B23="","",Napoveda!B23)</f>
        <v/>
      </c>
      <c r="C15" s="105"/>
      <c r="D15" s="100"/>
      <c r="E15" s="100"/>
      <c r="F15" s="100" t="str">
        <f>verze!E39</f>
        <v>Číslo objednávky</v>
      </c>
      <c r="G15" s="100"/>
      <c r="H15" s="100"/>
      <c r="I15" s="100"/>
      <c r="J15" s="100"/>
      <c r="K15" s="100"/>
      <c r="L15" s="76"/>
      <c r="M15" s="76"/>
      <c r="N15" s="76"/>
      <c r="O15" s="76"/>
      <c r="P15" s="86"/>
      <c r="Q15" s="86"/>
      <c r="R15" s="86"/>
      <c r="S15" s="86"/>
      <c r="T15" s="86"/>
      <c r="U15" s="86"/>
      <c r="V15" s="86"/>
      <c r="AA15" s="24" t="str">
        <f>FORM!AU21</f>
        <v>ořech</v>
      </c>
    </row>
    <row r="16" spans="1:77" ht="15" customHeight="1">
      <c r="A16" s="76"/>
      <c r="B16" s="253" t="str">
        <f>IF(Napoveda!B24="","",Napoveda!B24)</f>
        <v/>
      </c>
      <c r="C16" s="109"/>
      <c r="D16" s="100"/>
      <c r="E16" s="100"/>
      <c r="F16" s="621"/>
      <c r="G16" s="621"/>
      <c r="H16" s="621"/>
      <c r="I16" s="621"/>
      <c r="J16" s="621"/>
      <c r="K16" s="621"/>
      <c r="L16" s="76"/>
      <c r="M16" s="76"/>
      <c r="N16" s="76"/>
      <c r="O16" s="76"/>
      <c r="P16" s="86"/>
      <c r="Q16" s="86"/>
      <c r="R16" s="86"/>
      <c r="S16" s="86"/>
      <c r="T16" s="86"/>
      <c r="U16" s="86"/>
      <c r="V16" s="86"/>
      <c r="AA16" s="24"/>
    </row>
    <row r="17" spans="1:83" ht="15" customHeight="1">
      <c r="A17" s="76"/>
      <c r="B17" s="253" t="str">
        <f>IF(Napoveda!B25="","",Napoveda!B25)</f>
        <v/>
      </c>
      <c r="C17" s="109"/>
      <c r="D17" s="100"/>
      <c r="E17" s="100"/>
      <c r="F17" s="100" t="str">
        <f>verze!E40</f>
        <v>Zakázka</v>
      </c>
      <c r="G17" s="100"/>
      <c r="H17" s="100"/>
      <c r="I17" s="100"/>
      <c r="J17" s="100"/>
      <c r="K17" s="100"/>
      <c r="L17" s="76"/>
      <c r="M17" s="76"/>
      <c r="N17" s="76"/>
      <c r="O17" s="76"/>
      <c r="P17" s="86"/>
      <c r="Q17" s="86"/>
      <c r="R17" s="86"/>
      <c r="S17" s="86"/>
      <c r="T17" s="86"/>
      <c r="U17" s="86"/>
      <c r="V17" s="86"/>
    </row>
    <row r="18" spans="1:83" ht="15" customHeight="1">
      <c r="A18" s="76"/>
      <c r="B18" s="254"/>
      <c r="C18" s="114"/>
      <c r="D18" s="100"/>
      <c r="E18" s="100"/>
      <c r="F18" s="621"/>
      <c r="G18" s="621"/>
      <c r="H18" s="621"/>
      <c r="I18" s="621"/>
      <c r="J18" s="621"/>
      <c r="K18" s="621"/>
      <c r="L18" s="76"/>
      <c r="M18" s="76"/>
      <c r="N18" s="76"/>
      <c r="O18" s="76"/>
      <c r="P18" s="86"/>
      <c r="Q18" s="86"/>
      <c r="R18" s="86"/>
      <c r="S18" s="86"/>
      <c r="T18" s="86"/>
      <c r="U18" s="86"/>
      <c r="V18" s="86"/>
    </row>
    <row r="19" spans="1:83" ht="15" customHeight="1">
      <c r="A19" s="76"/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86"/>
      <c r="Q19" s="86"/>
      <c r="R19" s="86"/>
      <c r="S19" s="86"/>
      <c r="T19" s="86"/>
      <c r="U19" s="86"/>
      <c r="V19" s="86"/>
    </row>
    <row r="20" spans="1:83" ht="24.6">
      <c r="A20" s="76"/>
      <c r="B20" s="117" t="str">
        <f>verze!E38</f>
        <v>Objednávka</v>
      </c>
      <c r="C20" s="118"/>
      <c r="D20" s="118"/>
      <c r="E20" s="118"/>
      <c r="F20" s="119" t="s">
        <v>395</v>
      </c>
      <c r="G20" s="118"/>
      <c r="H20" s="118"/>
      <c r="I20" s="118"/>
      <c r="J20" s="118"/>
      <c r="K20" s="120" t="str">
        <f>verze!E51&amp;": "&amp;verze!E52</f>
        <v>Verze : 2.0.0</v>
      </c>
      <c r="L20" s="118"/>
      <c r="M20" s="76"/>
      <c r="N20" s="76"/>
      <c r="O20" s="76"/>
      <c r="P20" s="86"/>
      <c r="Q20" s="86"/>
      <c r="R20" s="86"/>
      <c r="S20" s="86"/>
      <c r="T20" s="86"/>
      <c r="U20" s="86"/>
      <c r="V20" s="86"/>
      <c r="Z20" s="622" t="s">
        <v>359</v>
      </c>
      <c r="AA20" s="622"/>
      <c r="AB20" s="622"/>
      <c r="AC20" s="622"/>
      <c r="AD20" s="622"/>
      <c r="AE20" s="622"/>
      <c r="AF20" s="338"/>
      <c r="AG20" s="338"/>
      <c r="AH20" s="616" t="s">
        <v>366</v>
      </c>
      <c r="AI20" s="616"/>
      <c r="AJ20" s="616"/>
      <c r="AK20" s="616"/>
      <c r="AZ20" s="3" t="s">
        <v>590</v>
      </c>
      <c r="BA20" s="3" t="s">
        <v>590</v>
      </c>
      <c r="BB20" s="3" t="s">
        <v>590</v>
      </c>
      <c r="BC20" s="3" t="s">
        <v>590</v>
      </c>
      <c r="BD20" s="3" t="s">
        <v>590</v>
      </c>
      <c r="BE20" s="3" t="s">
        <v>590</v>
      </c>
    </row>
    <row r="21" spans="1:83" ht="15" customHeight="1">
      <c r="A21" s="4"/>
      <c r="B21" s="76"/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617" t="s">
        <v>331</v>
      </c>
      <c r="Q21" s="619" t="s">
        <v>331</v>
      </c>
      <c r="R21" s="617" t="s">
        <v>329</v>
      </c>
      <c r="S21" s="619" t="s">
        <v>329</v>
      </c>
      <c r="T21" s="617" t="s">
        <v>330</v>
      </c>
      <c r="U21" s="619" t="s">
        <v>330</v>
      </c>
      <c r="V21" s="617" t="s">
        <v>332</v>
      </c>
      <c r="W21" s="619" t="s">
        <v>332</v>
      </c>
      <c r="X21" s="617" t="s">
        <v>344</v>
      </c>
      <c r="Y21" s="619" t="s">
        <v>344</v>
      </c>
      <c r="Z21" s="617" t="s">
        <v>369</v>
      </c>
      <c r="AA21" s="619" t="s">
        <v>369</v>
      </c>
      <c r="AB21" s="617" t="s">
        <v>370</v>
      </c>
      <c r="AC21" s="619" t="s">
        <v>370</v>
      </c>
      <c r="AD21" s="617" t="s">
        <v>371</v>
      </c>
      <c r="AE21" s="619" t="s">
        <v>371</v>
      </c>
      <c r="AF21" s="617" t="s">
        <v>378</v>
      </c>
      <c r="AG21" s="619" t="s">
        <v>378</v>
      </c>
      <c r="AH21" s="617" t="s">
        <v>368</v>
      </c>
      <c r="AI21" s="619" t="s">
        <v>368</v>
      </c>
      <c r="AJ21" s="617" t="s">
        <v>367</v>
      </c>
      <c r="AK21" s="619" t="s">
        <v>367</v>
      </c>
      <c r="AL21" s="617" t="s">
        <v>377</v>
      </c>
      <c r="AM21" s="619" t="s">
        <v>377</v>
      </c>
      <c r="AN21" s="617" t="s">
        <v>391</v>
      </c>
      <c r="AO21" s="619" t="s">
        <v>391</v>
      </c>
      <c r="AP21" s="617" t="s">
        <v>392</v>
      </c>
      <c r="AQ21" s="619" t="s">
        <v>392</v>
      </c>
      <c r="AR21" s="617" t="s">
        <v>393</v>
      </c>
      <c r="AS21" s="619" t="s">
        <v>393</v>
      </c>
      <c r="AT21" s="617" t="s">
        <v>394</v>
      </c>
      <c r="AU21" s="619" t="s">
        <v>394</v>
      </c>
      <c r="AV21" s="617" t="s">
        <v>597</v>
      </c>
      <c r="AW21" s="619" t="s">
        <v>597</v>
      </c>
      <c r="AX21" s="617" t="s">
        <v>599</v>
      </c>
      <c r="AY21" s="619" t="s">
        <v>599</v>
      </c>
      <c r="AZ21" s="617" t="s">
        <v>600</v>
      </c>
      <c r="BA21" s="619" t="s">
        <v>600</v>
      </c>
      <c r="BB21" s="617" t="s">
        <v>601</v>
      </c>
      <c r="BC21" s="619" t="s">
        <v>601</v>
      </c>
      <c r="BD21" s="617" t="s">
        <v>602</v>
      </c>
      <c r="BE21" s="619" t="s">
        <v>602</v>
      </c>
      <c r="BF21" s="230"/>
      <c r="BG21" s="230"/>
      <c r="BH21" s="230"/>
      <c r="BI21" s="230"/>
      <c r="BJ21" s="230"/>
      <c r="BK21" s="230"/>
      <c r="BL21" s="230"/>
      <c r="BM21" s="230"/>
      <c r="BN21" s="230"/>
      <c r="BO21" s="165"/>
      <c r="BP21" s="165"/>
      <c r="BQ21" s="165"/>
      <c r="BR21" s="165"/>
      <c r="BS21" s="165"/>
      <c r="BT21" s="165"/>
      <c r="BU21" s="165"/>
      <c r="BV21" s="55"/>
      <c r="BW21" s="623"/>
      <c r="BX21" s="24"/>
      <c r="BY21" s="24"/>
      <c r="BZ21" s="4"/>
      <c r="CA21" s="24"/>
      <c r="CB21" s="24"/>
      <c r="CC21" s="24"/>
      <c r="CD21" s="24"/>
      <c r="CE21" s="24"/>
    </row>
    <row r="22" spans="1:83" ht="33.75" customHeight="1">
      <c r="A22" s="4"/>
      <c r="B22" s="27" t="str">
        <f>verze!E41</f>
        <v>Číslo artiklu</v>
      </c>
      <c r="C22" s="27" t="str">
        <f>verze!E42</f>
        <v>Název</v>
      </c>
      <c r="D22" s="27" t="str">
        <f>verze!E43</f>
        <v>balení</v>
      </c>
      <c r="E22" s="28" t="str">
        <f>verze!E44</f>
        <v>Sklad</v>
      </c>
      <c r="F22" s="152" t="str">
        <f>verze!E45</f>
        <v>Počet</v>
      </c>
      <c r="G22" s="29" t="str">
        <f>verze!E46</f>
        <v>Jednotková cena</v>
      </c>
      <c r="H22" s="29" t="str">
        <f>IF(verze!E1="CZK"," CZK"," EUR")</f>
        <v xml:space="preserve"> CZK</v>
      </c>
      <c r="I22" s="30" t="str">
        <f>verze!E47</f>
        <v>Celkem</v>
      </c>
      <c r="J22" s="31" t="str">
        <f>verze!E48</f>
        <v>Změna</v>
      </c>
      <c r="K22" s="29" t="str">
        <f>verze!E49</f>
        <v>Volné pole</v>
      </c>
      <c r="L22" s="29" t="str">
        <f>verze!E50</f>
        <v>Kód prodejce</v>
      </c>
      <c r="M22" s="4"/>
      <c r="N22" s="32" t="s">
        <v>44</v>
      </c>
      <c r="O22" s="25" t="s">
        <v>45</v>
      </c>
      <c r="P22" s="617"/>
      <c r="Q22" s="619"/>
      <c r="R22" s="617"/>
      <c r="S22" s="619"/>
      <c r="T22" s="617"/>
      <c r="U22" s="619"/>
      <c r="V22" s="617"/>
      <c r="W22" s="619"/>
      <c r="X22" s="617"/>
      <c r="Y22" s="619"/>
      <c r="Z22" s="617"/>
      <c r="AA22" s="619"/>
      <c r="AB22" s="617"/>
      <c r="AC22" s="619"/>
      <c r="AD22" s="617"/>
      <c r="AE22" s="619"/>
      <c r="AF22" s="617"/>
      <c r="AG22" s="619"/>
      <c r="AH22" s="617"/>
      <c r="AI22" s="619"/>
      <c r="AJ22" s="617"/>
      <c r="AK22" s="619"/>
      <c r="AL22" s="617"/>
      <c r="AM22" s="619"/>
      <c r="AN22" s="617"/>
      <c r="AO22" s="619"/>
      <c r="AP22" s="617"/>
      <c r="AQ22" s="619"/>
      <c r="AR22" s="617"/>
      <c r="AS22" s="619"/>
      <c r="AT22" s="617"/>
      <c r="AU22" s="619"/>
      <c r="AV22" s="617"/>
      <c r="AW22" s="619"/>
      <c r="AX22" s="617"/>
      <c r="AY22" s="619"/>
      <c r="AZ22" s="617"/>
      <c r="BA22" s="619"/>
      <c r="BB22" s="617"/>
      <c r="BC22" s="619"/>
      <c r="BD22" s="617"/>
      <c r="BE22" s="619"/>
      <c r="BF22" s="230"/>
      <c r="BG22" s="230"/>
      <c r="BH22" s="230"/>
      <c r="BI22" s="230"/>
      <c r="BJ22" s="230"/>
      <c r="BK22" s="230"/>
      <c r="BL22" s="230"/>
      <c r="BM22" s="230"/>
      <c r="BN22" s="230"/>
      <c r="BO22" s="165"/>
      <c r="BP22" s="165"/>
      <c r="BQ22" s="165"/>
      <c r="BR22" s="165"/>
      <c r="BS22" s="165"/>
      <c r="BT22" s="165"/>
      <c r="BU22" s="165"/>
      <c r="BV22" s="55"/>
      <c r="BW22" s="623"/>
      <c r="BX22" s="24"/>
      <c r="BY22" s="24"/>
      <c r="BZ22" s="4"/>
      <c r="CA22" s="24"/>
      <c r="CB22" s="24"/>
      <c r="CC22" s="24"/>
      <c r="CD22" s="24"/>
      <c r="CE22" s="24"/>
    </row>
    <row r="23" spans="1:83" ht="15" customHeight="1">
      <c r="A23" s="4"/>
      <c r="B23" s="317">
        <f>IF($Q$8=$Q$7,CENY!B11,IF($Q$7=$Q$9,CENY!B15,CENY!B19))</f>
        <v>9353331</v>
      </c>
      <c r="C23" s="33" t="str">
        <f>VLOOKUP(B23,CENY!$B$11:$G$1054,2,FALSE)</f>
        <v>AvanY-sólo oceľ.boky-NW 77/400mm/strieb.</v>
      </c>
      <c r="D23" s="363">
        <f>VLOOKUP(B23,CENY!$B$11:$G$1054,3,FALSE)</f>
        <v>1</v>
      </c>
      <c r="E23" s="144" t="str">
        <f>IF(VLOOKUP(B23,CENY!$B$11:$G$1054,4,FALSE)=0,"",VLOOKUP(B23,CENY!$B$11:$G$1054,4,FALSE))</f>
        <v/>
      </c>
      <c r="F23" s="40" t="str">
        <f>IF(J23&lt;&gt;"",J23,IF(N23=0,"",N23))</f>
        <v/>
      </c>
      <c r="G23" s="51">
        <f>VLOOKUP(B23,CENY!$B$11:$M$1054,12,FALSE)</f>
        <v>565.42399</v>
      </c>
      <c r="H23" s="53" t="str">
        <f>IF(G23="","",$H$22)</f>
        <v xml:space="preserve"> CZK</v>
      </c>
      <c r="I23" s="41" t="str">
        <f>IF(F23="","",G23*F23)</f>
        <v/>
      </c>
      <c r="J23" s="121"/>
      <c r="K23" s="34" t="str">
        <f>VLOOKUP(B23,CENY!$B$11:$M$1054,8,FALSE)</f>
        <v xml:space="preserve"> </v>
      </c>
      <c r="L23" s="34" t="str">
        <f>VLOOKUP(B23,CENY!$B$11:$M$1054,9,FALSE)</f>
        <v>529995</v>
      </c>
      <c r="M23" s="4"/>
      <c r="N23" s="35">
        <f>SUM(P23:BW23)</f>
        <v>0</v>
      </c>
      <c r="O23" s="36">
        <v>0</v>
      </c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5">
        <f>'AVT77'!AZ5</f>
        <v>0</v>
      </c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165"/>
      <c r="BP23" s="165"/>
      <c r="BQ23" s="165"/>
      <c r="BR23" s="165"/>
      <c r="BS23" s="165"/>
      <c r="BT23" s="165"/>
      <c r="BU23" s="165"/>
      <c r="BV23" s="55"/>
      <c r="BW23" s="160"/>
      <c r="BX23" s="24"/>
      <c r="BY23" s="24"/>
      <c r="BZ23" s="4"/>
      <c r="CA23" s="24"/>
      <c r="CB23" s="24"/>
      <c r="CC23" s="24"/>
      <c r="CD23" s="24"/>
      <c r="CE23" s="24"/>
    </row>
    <row r="24" spans="1:83" ht="15" customHeight="1">
      <c r="A24" s="4"/>
      <c r="B24" s="317">
        <f>IF($Q$8=$Q$7,CENY!B12,IF($Q$7=$Q$9,CENY!B16,CENY!B20))</f>
        <v>9353332</v>
      </c>
      <c r="C24" s="203" t="str">
        <f>VLOOKUP(B24,CENY!$B$11:$G$1054,2,FALSE)</f>
        <v>AvanY-sólo oceľ.boky-NW 77/450mm/strieb.</v>
      </c>
      <c r="D24" s="364">
        <f>VLOOKUP(B24,CENY!$B$11:$G$1054,3,FALSE)</f>
        <v>1</v>
      </c>
      <c r="E24" s="204" t="str">
        <f>IF(VLOOKUP(B24,CENY!$B$11:$G$1054,4,FALSE)=0,"",VLOOKUP(B24,CENY!$B$11:$G$1054,4,FALSE))</f>
        <v/>
      </c>
      <c r="F24" s="205" t="str">
        <f>IF(J24&lt;&gt;"",J24,IF(N24=0,"",N24))</f>
        <v/>
      </c>
      <c r="G24" s="206">
        <f>VLOOKUP(B24,CENY!$B$11:$M$1054,12,FALSE)</f>
        <v>557.79456000000005</v>
      </c>
      <c r="H24" s="207" t="str">
        <f>IF(G24="","",$H$22)</f>
        <v xml:space="preserve"> CZK</v>
      </c>
      <c r="I24" s="208" t="str">
        <f>IF(F24="","",G24*F24)</f>
        <v/>
      </c>
      <c r="J24" s="209"/>
      <c r="K24" s="210" t="str">
        <f>VLOOKUP(B24,CENY!$B$11:$M$1054,8,FALSE)</f>
        <v xml:space="preserve"> </v>
      </c>
      <c r="L24" s="210" t="str">
        <f>VLOOKUP(B24,CENY!$B$11:$M$1054,9,FALSE)</f>
        <v>529996</v>
      </c>
      <c r="M24" s="4"/>
      <c r="N24" s="35">
        <f>SUM(P24:BW24)</f>
        <v>0</v>
      </c>
      <c r="O24" s="36">
        <v>0</v>
      </c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5">
        <f>'AVT77'!AZ6</f>
        <v>0</v>
      </c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/>
      <c r="BH24" s="32"/>
      <c r="BI24" s="32"/>
      <c r="BJ24" s="32"/>
      <c r="BK24" s="32"/>
      <c r="BL24" s="32"/>
      <c r="BM24" s="32"/>
      <c r="BN24" s="32"/>
      <c r="BO24" s="165"/>
      <c r="BP24" s="165"/>
      <c r="BQ24" s="165"/>
      <c r="BR24" s="165"/>
      <c r="BS24" s="165"/>
      <c r="BT24" s="165"/>
      <c r="BU24" s="165"/>
      <c r="BV24" s="55"/>
      <c r="BW24" s="160"/>
      <c r="BX24" s="32"/>
      <c r="BY24" s="24"/>
      <c r="BZ24" s="24"/>
      <c r="CA24" s="24"/>
      <c r="CB24" s="24"/>
      <c r="CC24" s="24"/>
      <c r="CD24" s="24"/>
      <c r="CE24" s="24"/>
    </row>
    <row r="25" spans="1:83" ht="15" customHeight="1">
      <c r="A25" s="4"/>
      <c r="B25" s="317">
        <f>IF($Q$8=$Q$7,CENY!B13,IF($Q$7=$Q$9,CENY!B17,CENY!B21))</f>
        <v>9353333</v>
      </c>
      <c r="C25" s="203" t="str">
        <f>VLOOKUP(B25,CENY!$B$11:$G$1054,2,FALSE)</f>
        <v>AvanY-sólo oceľ.boky-NW 77/500mm/strieb.</v>
      </c>
      <c r="D25" s="364">
        <f>VLOOKUP(B25,CENY!$B$11:$G$1054,3,FALSE)</f>
        <v>1</v>
      </c>
      <c r="E25" s="204" t="str">
        <f>IF(VLOOKUP(B25,CENY!$B$11:$G$1054,4,FALSE)=0,"",VLOOKUP(B25,CENY!$B$11:$G$1054,4,FALSE))</f>
        <v/>
      </c>
      <c r="F25" s="205" t="str">
        <f>IF(J25&lt;&gt;"",J25,IF(N25=0,"",N25))</f>
        <v/>
      </c>
      <c r="G25" s="206">
        <f>VLOOKUP(B25,CENY!$B$11:$M$1054,12,FALSE)</f>
        <v>565.18799999999999</v>
      </c>
      <c r="H25" s="207" t="str">
        <f t="shared" ref="H25:H88" si="0">IF(G25="","",$H$22)</f>
        <v xml:space="preserve"> CZK</v>
      </c>
      <c r="I25" s="208" t="str">
        <f t="shared" ref="I25:I88" si="1">IF(F25="","",G25*F25)</f>
        <v/>
      </c>
      <c r="J25" s="209"/>
      <c r="K25" s="210" t="str">
        <f>VLOOKUP(B25,CENY!$B$11:$M$1054,8,FALSE)</f>
        <v xml:space="preserve"> </v>
      </c>
      <c r="L25" s="210" t="str">
        <f>VLOOKUP(B25,CENY!$B$11:$M$1054,9,FALSE)</f>
        <v>529997</v>
      </c>
      <c r="M25" s="4"/>
      <c r="N25" s="35">
        <f>SUM(P25:BW25)</f>
        <v>0</v>
      </c>
      <c r="O25" s="36">
        <v>0</v>
      </c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5">
        <f>'AVT77'!AZ7</f>
        <v>0</v>
      </c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/>
      <c r="BH25" s="32"/>
      <c r="BI25" s="32"/>
      <c r="BJ25" s="32"/>
      <c r="BK25" s="32"/>
      <c r="BL25" s="32"/>
      <c r="BM25" s="32"/>
      <c r="BN25" s="32"/>
      <c r="BO25" s="165"/>
      <c r="BP25" s="165"/>
      <c r="BQ25" s="165"/>
      <c r="BR25" s="165"/>
      <c r="BS25" s="165"/>
      <c r="BT25" s="165"/>
      <c r="BU25" s="165"/>
      <c r="BV25" s="55"/>
      <c r="BW25" s="160"/>
      <c r="BX25" s="32"/>
      <c r="BY25" s="24"/>
      <c r="BZ25" s="24"/>
      <c r="CA25" s="24"/>
      <c r="CB25" s="24"/>
      <c r="CC25" s="24"/>
      <c r="CD25" s="24"/>
      <c r="CE25" s="24"/>
    </row>
    <row r="26" spans="1:83" ht="15" customHeight="1">
      <c r="A26" s="4"/>
      <c r="B26" s="317">
        <f>IF($Q$8=$Q$7,CENY!B14,IF($Q$7=$Q$9,CENY!B18,CENY!B22))</f>
        <v>9353334</v>
      </c>
      <c r="C26" s="39" t="str">
        <f>VLOOKUP(B26,CENY!$B$11:$G$1054,2,FALSE)</f>
        <v>AvanY-sólo oceľ.boky-NW 77/550mm/strieb.</v>
      </c>
      <c r="D26" s="364">
        <f>VLOOKUP(B26,CENY!$B$11:$G$1054,3,FALSE)</f>
        <v>1</v>
      </c>
      <c r="E26" s="56" t="str">
        <f>IF(VLOOKUP(B26,CENY!$B$11:$G$1054,4,FALSE)=0,"",VLOOKUP(B26,CENY!$B$11:$G$1054,4,FALSE))</f>
        <v/>
      </c>
      <c r="F26" s="40" t="str">
        <f>IF(J26&lt;&gt;"",J26,IF(N26=0,"",N26))</f>
        <v/>
      </c>
      <c r="G26" s="52">
        <f>VLOOKUP(B26,CENY!$B$11:$M$1054,12,FALSE)</f>
        <v>588.23680999999999</v>
      </c>
      <c r="H26" s="54" t="str">
        <f t="shared" si="0"/>
        <v xml:space="preserve"> CZK</v>
      </c>
      <c r="I26" s="41" t="str">
        <f t="shared" si="1"/>
        <v/>
      </c>
      <c r="J26" s="122"/>
      <c r="K26" s="42" t="str">
        <f>VLOOKUP(B26,CENY!$B$11:$M$1054,8,FALSE)</f>
        <v xml:space="preserve"> </v>
      </c>
      <c r="L26" s="42" t="str">
        <f>VLOOKUP(B26,CENY!$B$11:$M$1054,9,FALSE)</f>
        <v>529998</v>
      </c>
      <c r="M26" s="4"/>
      <c r="N26" s="35">
        <f>SUM(P26:BW26)</f>
        <v>0</v>
      </c>
      <c r="O26" s="36">
        <v>0</v>
      </c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5">
        <f>'AVT77'!AZ8</f>
        <v>0</v>
      </c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/>
      <c r="BH26" s="32"/>
      <c r="BI26" s="32"/>
      <c r="BJ26" s="32"/>
      <c r="BK26" s="32"/>
      <c r="BL26" s="32"/>
      <c r="BM26" s="32"/>
      <c r="BN26" s="32"/>
      <c r="BO26" s="165"/>
      <c r="BP26" s="165"/>
      <c r="BQ26" s="165"/>
      <c r="BR26" s="165"/>
      <c r="BS26" s="165"/>
      <c r="BT26" s="165"/>
      <c r="BU26" s="165"/>
      <c r="BV26" s="55"/>
      <c r="BW26" s="160"/>
      <c r="BX26" s="32"/>
      <c r="BY26" s="24"/>
      <c r="BZ26" s="24"/>
      <c r="CA26" s="24"/>
      <c r="CB26" s="24"/>
      <c r="CC26" s="24"/>
      <c r="CD26" s="24"/>
      <c r="CE26" s="24"/>
    </row>
    <row r="27" spans="1:83" ht="15" customHeight="1">
      <c r="A27" s="4"/>
      <c r="B27" s="317">
        <f>CENY!B23</f>
        <v>79665</v>
      </c>
      <c r="C27" s="39" t="str">
        <f>VLOOKUP(B27,CENY!$B$11:$G$1054,2,FALSE)</f>
        <v>Univerzálny uholník  31x31mm</v>
      </c>
      <c r="D27" s="353">
        <f>VLOOKUP(B27,CENY!$B$11:$G$1054,3,FALSE)</f>
        <v>100</v>
      </c>
      <c r="E27" s="56" t="str">
        <f>IF(VLOOKUP(B27,CENY!$B$11:$G$1054,4,FALSE)=0,"",VLOOKUP(B27,CENY!$B$11:$G$1054,4,FALSE))</f>
        <v/>
      </c>
      <c r="F27" s="40" t="str">
        <f>IF(J27&lt;&gt;"",J27,IF(N27=0,"",N27))</f>
        <v/>
      </c>
      <c r="G27" s="52">
        <f>VLOOKUP(B27,CENY!$B$11:$M$1054,12,FALSE)</f>
        <v>9.3302200000000006</v>
      </c>
      <c r="H27" s="54" t="str">
        <f t="shared" si="0"/>
        <v xml:space="preserve"> CZK</v>
      </c>
      <c r="I27" s="41" t="str">
        <f t="shared" si="1"/>
        <v/>
      </c>
      <c r="J27" s="122"/>
      <c r="K27" s="42" t="str">
        <f>VLOOKUP(B27,CENY!$B$11:$M$1054,8,FALSE)</f>
        <v xml:space="preserve"> </v>
      </c>
      <c r="L27" s="42" t="str">
        <f>VLOOKUP(B27,CENY!$B$11:$M$1054,9,FALSE)</f>
        <v>178288</v>
      </c>
      <c r="M27" s="4"/>
      <c r="N27" s="35">
        <f>SUM(P27:BW27)</f>
        <v>0</v>
      </c>
      <c r="O27" s="36">
        <v>0</v>
      </c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5">
        <f>'AVT77'!BI15</f>
        <v>0</v>
      </c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/>
      <c r="BH27" s="32"/>
      <c r="BI27" s="32"/>
      <c r="BJ27" s="32"/>
      <c r="BK27" s="32"/>
      <c r="BL27" s="32"/>
      <c r="BM27" s="32"/>
      <c r="BN27" s="32"/>
      <c r="BO27" s="165"/>
      <c r="BP27" s="165"/>
      <c r="BQ27" s="165"/>
      <c r="BR27" s="165"/>
      <c r="BS27" s="165"/>
      <c r="BT27" s="165"/>
      <c r="BU27" s="165"/>
      <c r="BV27" s="55"/>
      <c r="BW27" s="160"/>
      <c r="BX27" s="32"/>
      <c r="BY27" s="24"/>
      <c r="BZ27" s="24"/>
      <c r="CA27" s="24"/>
      <c r="CB27" s="24"/>
      <c r="CC27" s="24"/>
      <c r="CD27" s="24"/>
      <c r="CE27" s="24"/>
    </row>
    <row r="28" spans="1:83" ht="8.1" customHeight="1">
      <c r="A28" s="4"/>
      <c r="B28" s="317"/>
      <c r="C28" s="39"/>
      <c r="D28" s="39"/>
      <c r="E28" s="57"/>
      <c r="F28" s="40"/>
      <c r="G28" s="52"/>
      <c r="H28" s="54"/>
      <c r="I28" s="41"/>
      <c r="J28" s="122"/>
      <c r="K28" s="42"/>
      <c r="L28" s="42"/>
      <c r="M28" s="32"/>
      <c r="N28" s="35"/>
      <c r="O28" s="36">
        <v>0</v>
      </c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32"/>
      <c r="BO28" s="165"/>
      <c r="BP28" s="165"/>
      <c r="BQ28" s="165"/>
      <c r="BR28" s="165"/>
      <c r="BS28" s="165"/>
      <c r="BT28" s="165"/>
      <c r="BU28" s="165"/>
      <c r="BV28" s="55"/>
      <c r="BW28" s="160"/>
      <c r="BX28" s="32"/>
      <c r="BY28" s="24"/>
      <c r="BZ28" s="24"/>
      <c r="CA28" s="24"/>
      <c r="CB28" s="24"/>
      <c r="CC28" s="24"/>
      <c r="CD28" s="24"/>
      <c r="CE28" s="24"/>
    </row>
    <row r="29" spans="1:83" ht="15" customHeight="1">
      <c r="A29" s="4"/>
      <c r="B29" s="317">
        <f>IF($Q$8=$Q$7,CENY!B24,IF($Q$7=$Q$9,CENY!B32,CENY!B40))</f>
        <v>9255000</v>
      </c>
      <c r="C29" s="39" t="str">
        <f>VLOOKUP(B29,CENY!$B$11:$G$1054,2,FALSE)</f>
        <v>AvanY-bok ľavý /v77/h400/ strieborná</v>
      </c>
      <c r="D29" s="353">
        <f>VLOOKUP(B29,CENY!$B$11:$G$1054,3,FALSE)</f>
        <v>10</v>
      </c>
      <c r="E29" s="56" t="str">
        <f>IF(VLOOKUP(B29,CENY!$B$11:$G$1054,4,FALSE)=0,"",VLOOKUP(B29,CENY!$B$11:$G$1054,4,FALSE))</f>
        <v/>
      </c>
      <c r="F29" s="40" t="str">
        <f t="shared" ref="F29:F37" si="2">IF(J29&lt;&gt;"",J29,IF(N29=0,"",N29))</f>
        <v/>
      </c>
      <c r="G29" s="52">
        <f>VLOOKUP(B29,CENY!$B$11:$M$1054,12,FALSE)</f>
        <v>218.14608000000001</v>
      </c>
      <c r="H29" s="54" t="str">
        <f t="shared" si="0"/>
        <v xml:space="preserve"> CZK</v>
      </c>
      <c r="I29" s="41" t="str">
        <f t="shared" si="1"/>
        <v/>
      </c>
      <c r="J29" s="122"/>
      <c r="K29" s="42" t="str">
        <f>VLOOKUP(B29,CENY!$B$11:$M$1054,8,FALSE)</f>
        <v xml:space="preserve"> </v>
      </c>
      <c r="L29" s="42" t="str">
        <f>VLOOKUP(B29,CENY!$B$11:$M$1054,9,FALSE)</f>
        <v>396535</v>
      </c>
      <c r="M29" s="4"/>
      <c r="N29" s="35">
        <f t="shared" ref="N29:N37" si="3">SUM(P29:BW29)</f>
        <v>0</v>
      </c>
      <c r="O29" s="36">
        <v>0</v>
      </c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5">
        <f>'AVT77'!BI5</f>
        <v>0</v>
      </c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165"/>
      <c r="BP29" s="165"/>
      <c r="BQ29" s="165"/>
      <c r="BR29" s="165"/>
      <c r="BS29" s="165"/>
      <c r="BT29" s="165"/>
      <c r="BU29" s="165"/>
      <c r="BV29" s="55"/>
      <c r="BW29" s="160"/>
      <c r="BX29" s="32"/>
      <c r="BY29" s="24"/>
      <c r="BZ29" s="24"/>
      <c r="CA29" s="24"/>
      <c r="CB29" s="24"/>
      <c r="CC29" s="24"/>
      <c r="CD29" s="24"/>
      <c r="CE29" s="24"/>
    </row>
    <row r="30" spans="1:83" ht="15" customHeight="1">
      <c r="A30" s="4"/>
      <c r="B30" s="317">
        <f>IF($Q$8=$Q$7,CENY!B25,IF($Q$7=$Q$9,CENY!B33,CENY!B41))</f>
        <v>9255001</v>
      </c>
      <c r="C30" s="39" t="str">
        <f>VLOOKUP(B30,CENY!$B$11:$G$1054,2,FALSE)</f>
        <v>AvanY-bok pravý /v77/h400/ strieborná</v>
      </c>
      <c r="D30" s="353">
        <f>VLOOKUP(B30,CENY!$B$11:$G$1054,3,FALSE)</f>
        <v>10</v>
      </c>
      <c r="E30" s="56" t="str">
        <f>IF(VLOOKUP(B30,CENY!$B$11:$G$1054,4,FALSE)=0,"",VLOOKUP(B30,CENY!$B$11:$G$1054,4,FALSE))</f>
        <v/>
      </c>
      <c r="F30" s="40" t="str">
        <f t="shared" si="2"/>
        <v/>
      </c>
      <c r="G30" s="52">
        <f>VLOOKUP(B30,CENY!$B$11:$M$1054,12,FALSE)</f>
        <v>218.14608000000001</v>
      </c>
      <c r="H30" s="54" t="str">
        <f t="shared" si="0"/>
        <v xml:space="preserve"> CZK</v>
      </c>
      <c r="I30" s="41" t="str">
        <f t="shared" si="1"/>
        <v/>
      </c>
      <c r="J30" s="122"/>
      <c r="K30" s="42" t="str">
        <f>VLOOKUP(B30,CENY!$B$11:$M$1054,8,FALSE)</f>
        <v xml:space="preserve"> </v>
      </c>
      <c r="L30" s="42" t="str">
        <f>VLOOKUP(B30,CENY!$B$11:$M$1054,9,FALSE)</f>
        <v>396536</v>
      </c>
      <c r="M30" s="4"/>
      <c r="N30" s="35">
        <f t="shared" si="3"/>
        <v>0</v>
      </c>
      <c r="O30" s="36">
        <v>0</v>
      </c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5">
        <f>'AVT77'!BI6</f>
        <v>0</v>
      </c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2"/>
      <c r="BJ30" s="32"/>
      <c r="BK30" s="32"/>
      <c r="BL30" s="32"/>
      <c r="BM30" s="32"/>
      <c r="BN30" s="32"/>
      <c r="BO30" s="165"/>
      <c r="BP30" s="165"/>
      <c r="BQ30" s="165"/>
      <c r="BR30" s="165"/>
      <c r="BS30" s="165"/>
      <c r="BT30" s="165"/>
      <c r="BU30" s="165"/>
      <c r="BV30" s="55"/>
      <c r="BW30" s="160"/>
      <c r="BX30" s="32"/>
      <c r="BY30" s="24"/>
      <c r="BZ30" s="24"/>
      <c r="CA30" s="24"/>
      <c r="CB30" s="24"/>
      <c r="CC30" s="24"/>
      <c r="CD30" s="24"/>
      <c r="CE30" s="24"/>
    </row>
    <row r="31" spans="1:83" ht="15" customHeight="1">
      <c r="A31" s="4"/>
      <c r="B31" s="317">
        <f>IF($Q$8=$Q$7,CENY!B26,IF($Q$7=$Q$9,CENY!B34,CENY!B42))</f>
        <v>9255002</v>
      </c>
      <c r="C31" s="39" t="str">
        <f>VLOOKUP(B31,CENY!$B$11:$G$1054,2,FALSE)</f>
        <v>AvanY-bok ľavý /v77/h450/ strieborná</v>
      </c>
      <c r="D31" s="353">
        <f>VLOOKUP(B31,CENY!$B$11:$G$1054,3,FALSE)</f>
        <v>10</v>
      </c>
      <c r="E31" s="56" t="str">
        <f>IF(VLOOKUP(B31,CENY!$B$11:$G$1054,4,FALSE)=0,"",VLOOKUP(B31,CENY!$B$11:$G$1054,4,FALSE))</f>
        <v/>
      </c>
      <c r="F31" s="40" t="str">
        <f t="shared" si="2"/>
        <v/>
      </c>
      <c r="G31" s="52">
        <f>VLOOKUP(B31,CENY!$B$11:$M$1054,12,FALSE)</f>
        <v>222.02244999999999</v>
      </c>
      <c r="H31" s="54" t="str">
        <f t="shared" si="0"/>
        <v xml:space="preserve"> CZK</v>
      </c>
      <c r="I31" s="41" t="str">
        <f t="shared" si="1"/>
        <v/>
      </c>
      <c r="J31" s="122"/>
      <c r="K31" s="42" t="str">
        <f>VLOOKUP(B31,CENY!$B$11:$M$1054,8,FALSE)</f>
        <v xml:space="preserve"> </v>
      </c>
      <c r="L31" s="42" t="str">
        <f>VLOOKUP(B31,CENY!$B$11:$M$1054,9,FALSE)</f>
        <v>396537</v>
      </c>
      <c r="M31" s="32"/>
      <c r="N31" s="35">
        <f t="shared" si="3"/>
        <v>0</v>
      </c>
      <c r="O31" s="36">
        <v>0</v>
      </c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5">
        <f>'AVT77'!BI7</f>
        <v>0</v>
      </c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  <c r="BM31" s="32"/>
      <c r="BN31" s="32"/>
      <c r="BO31" s="165"/>
      <c r="BP31" s="165"/>
      <c r="BQ31" s="165"/>
      <c r="BR31" s="165"/>
      <c r="BS31" s="165"/>
      <c r="BT31" s="165"/>
      <c r="BU31" s="165"/>
      <c r="BV31" s="55"/>
      <c r="BW31" s="160"/>
      <c r="BX31" s="32"/>
      <c r="BY31" s="24"/>
      <c r="BZ31" s="24"/>
      <c r="CA31" s="24"/>
      <c r="CB31" s="24"/>
      <c r="CC31" s="24"/>
      <c r="CD31" s="24"/>
      <c r="CE31" s="24"/>
    </row>
    <row r="32" spans="1:83" ht="15" customHeight="1">
      <c r="A32" s="4"/>
      <c r="B32" s="317">
        <f>IF($Q$8=$Q$7,CENY!B27,IF($Q$7=$Q$9,CENY!B35,CENY!B43))</f>
        <v>9255003</v>
      </c>
      <c r="C32" s="39" t="str">
        <f>VLOOKUP(B32,CENY!$B$11:$G$1054,2,FALSE)</f>
        <v>AvanY-bok pravý /v77/h450/ strieborná</v>
      </c>
      <c r="D32" s="353">
        <f>VLOOKUP(B32,CENY!$B$11:$G$1054,3,FALSE)</f>
        <v>10</v>
      </c>
      <c r="E32" s="56" t="str">
        <f>IF(VLOOKUP(B32,CENY!$B$11:$G$1054,4,FALSE)=0,"",VLOOKUP(B32,CENY!$B$11:$G$1054,4,FALSE))</f>
        <v/>
      </c>
      <c r="F32" s="40" t="str">
        <f t="shared" si="2"/>
        <v/>
      </c>
      <c r="G32" s="52">
        <f>VLOOKUP(B32,CENY!$B$11:$M$1054,12,FALSE)</f>
        <v>222.02244999999999</v>
      </c>
      <c r="H32" s="54" t="str">
        <f t="shared" si="0"/>
        <v xml:space="preserve"> CZK</v>
      </c>
      <c r="I32" s="41" t="str">
        <f t="shared" si="1"/>
        <v/>
      </c>
      <c r="J32" s="122"/>
      <c r="K32" s="42" t="str">
        <f>VLOOKUP(B32,CENY!$B$11:$M$1054,8,FALSE)</f>
        <v xml:space="preserve"> </v>
      </c>
      <c r="L32" s="42" t="str">
        <f>VLOOKUP(B32,CENY!$B$11:$M$1054,9,FALSE)</f>
        <v>396538</v>
      </c>
      <c r="M32" s="32"/>
      <c r="N32" s="35">
        <f t="shared" si="3"/>
        <v>0</v>
      </c>
      <c r="O32" s="36">
        <v>0</v>
      </c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5">
        <f>'AVT77'!BI8</f>
        <v>0</v>
      </c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/>
      <c r="BH32" s="32"/>
      <c r="BI32" s="32"/>
      <c r="BJ32" s="32"/>
      <c r="BK32" s="32"/>
      <c r="BL32" s="32"/>
      <c r="BM32" s="32"/>
      <c r="BN32" s="32"/>
      <c r="BO32" s="165"/>
      <c r="BP32" s="165"/>
      <c r="BQ32" s="165"/>
      <c r="BR32" s="165"/>
      <c r="BS32" s="165"/>
      <c r="BT32" s="165"/>
      <c r="BU32" s="165"/>
      <c r="BV32" s="55"/>
      <c r="BW32" s="160"/>
      <c r="BX32" s="32"/>
      <c r="BY32" s="24"/>
      <c r="BZ32" s="24"/>
      <c r="CA32" s="24"/>
      <c r="CB32" s="24"/>
      <c r="CC32" s="24"/>
      <c r="CD32" s="24"/>
      <c r="CE32" s="24"/>
    </row>
    <row r="33" spans="1:83" ht="15" customHeight="1">
      <c r="A33" s="4"/>
      <c r="B33" s="317">
        <f>IF($Q$8=$Q$7,CENY!B28,IF($Q$7=$Q$9,CENY!B36,CENY!B44))</f>
        <v>9255004</v>
      </c>
      <c r="C33" s="39" t="str">
        <f>VLOOKUP(B33,CENY!$B$11:$G$1054,2,FALSE)</f>
        <v>AvanY-bok ľavý /v77/h500/ strieborná</v>
      </c>
      <c r="D33" s="353">
        <f>VLOOKUP(B33,CENY!$B$11:$G$1054,3,FALSE)</f>
        <v>10</v>
      </c>
      <c r="E33" s="56" t="str">
        <f>IF(VLOOKUP(B33,CENY!$B$11:$G$1054,4,FALSE)=0,"",VLOOKUP(B33,CENY!$B$11:$G$1054,4,FALSE))</f>
        <v/>
      </c>
      <c r="F33" s="40" t="str">
        <f t="shared" si="2"/>
        <v/>
      </c>
      <c r="G33" s="52">
        <f>VLOOKUP(B33,CENY!$B$11:$M$1054,12,FALSE)</f>
        <v>225.89116000000001</v>
      </c>
      <c r="H33" s="54" t="str">
        <f t="shared" si="0"/>
        <v xml:space="preserve"> CZK</v>
      </c>
      <c r="I33" s="41" t="str">
        <f t="shared" si="1"/>
        <v/>
      </c>
      <c r="J33" s="122"/>
      <c r="K33" s="42" t="str">
        <f>VLOOKUP(B33,CENY!$B$11:$M$1054,8,FALSE)</f>
        <v xml:space="preserve"> </v>
      </c>
      <c r="L33" s="42" t="str">
        <f>VLOOKUP(B33,CENY!$B$11:$M$1054,9,FALSE)</f>
        <v>396539</v>
      </c>
      <c r="M33" s="32"/>
      <c r="N33" s="35">
        <f t="shared" si="3"/>
        <v>0</v>
      </c>
      <c r="O33" s="36">
        <v>0</v>
      </c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5">
        <f>'AVT77'!BI9</f>
        <v>0</v>
      </c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/>
      <c r="BH33" s="32"/>
      <c r="BI33" s="32"/>
      <c r="BJ33" s="32"/>
      <c r="BK33" s="32"/>
      <c r="BL33" s="32"/>
      <c r="BM33" s="32"/>
      <c r="BN33" s="32"/>
      <c r="BO33" s="165"/>
      <c r="BP33" s="165"/>
      <c r="BQ33" s="165"/>
      <c r="BR33" s="165"/>
      <c r="BS33" s="165"/>
      <c r="BT33" s="165"/>
      <c r="BU33" s="165"/>
      <c r="BV33" s="55"/>
      <c r="BW33" s="160"/>
      <c r="BX33" s="32"/>
      <c r="BY33" s="24"/>
      <c r="BZ33" s="24"/>
      <c r="CA33" s="24"/>
      <c r="CB33" s="24"/>
      <c r="CC33" s="24"/>
      <c r="CD33" s="24"/>
      <c r="CE33" s="24"/>
    </row>
    <row r="34" spans="1:83" ht="15" customHeight="1">
      <c r="A34" s="4"/>
      <c r="B34" s="317">
        <f>IF($Q$8=$Q$7,CENY!B29,IF($Q$7=$Q$9,CENY!B37,CENY!B45))</f>
        <v>9255005</v>
      </c>
      <c r="C34" s="39" t="str">
        <f>VLOOKUP(B34,CENY!$B$11:$G$1054,2,FALSE)</f>
        <v>AvanY-bok pravý /v77/h500/ strieborná</v>
      </c>
      <c r="D34" s="353">
        <f>VLOOKUP(B34,CENY!$B$11:$G$1054,3,FALSE)</f>
        <v>10</v>
      </c>
      <c r="E34" s="56" t="str">
        <f>IF(VLOOKUP(B34,CENY!$B$11:$G$1054,4,FALSE)=0,"",VLOOKUP(B34,CENY!$B$11:$G$1054,4,FALSE))</f>
        <v/>
      </c>
      <c r="F34" s="40" t="str">
        <f t="shared" si="2"/>
        <v/>
      </c>
      <c r="G34" s="52">
        <f>VLOOKUP(B34,CENY!$B$11:$M$1054,12,FALSE)</f>
        <v>225.89116000000001</v>
      </c>
      <c r="H34" s="54" t="str">
        <f t="shared" si="0"/>
        <v xml:space="preserve"> CZK</v>
      </c>
      <c r="I34" s="41" t="str">
        <f t="shared" si="1"/>
        <v/>
      </c>
      <c r="J34" s="122"/>
      <c r="K34" s="42" t="str">
        <f>VLOOKUP(B34,CENY!$B$11:$M$1054,8,FALSE)</f>
        <v xml:space="preserve"> </v>
      </c>
      <c r="L34" s="42" t="str">
        <f>VLOOKUP(B34,CENY!$B$11:$M$1054,9,FALSE)</f>
        <v>396540</v>
      </c>
      <c r="M34" s="32"/>
      <c r="N34" s="35">
        <f t="shared" si="3"/>
        <v>0</v>
      </c>
      <c r="O34" s="36">
        <v>0</v>
      </c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5">
        <f>'AVT77'!BI10</f>
        <v>0</v>
      </c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/>
      <c r="BH34" s="32"/>
      <c r="BI34" s="32"/>
      <c r="BJ34" s="32"/>
      <c r="BK34" s="32"/>
      <c r="BL34" s="32"/>
      <c r="BM34" s="32"/>
      <c r="BN34" s="32"/>
      <c r="BO34" s="165"/>
      <c r="BP34" s="165"/>
      <c r="BQ34" s="165"/>
      <c r="BR34" s="165"/>
      <c r="BS34" s="165"/>
      <c r="BT34" s="165"/>
      <c r="BU34" s="165"/>
      <c r="BV34" s="55"/>
      <c r="BW34" s="160"/>
      <c r="BX34" s="32"/>
      <c r="BY34" s="24"/>
      <c r="BZ34" s="24"/>
      <c r="CA34" s="24"/>
      <c r="CB34" s="24"/>
      <c r="CC34" s="24"/>
      <c r="CD34" s="24"/>
      <c r="CE34" s="24"/>
    </row>
    <row r="35" spans="1:83" ht="15" customHeight="1">
      <c r="A35" s="4"/>
      <c r="B35" s="317">
        <f>IF($Q$8=$Q$7,CENY!B30,IF($Q$7=$Q$9,CENY!B38,CENY!B46))</f>
        <v>9255006</v>
      </c>
      <c r="C35" s="39" t="str">
        <f>VLOOKUP(B35,CENY!$B$11:$G$1054,2,FALSE)</f>
        <v>AvanY-bok ľavý /v77/h550/ strieborná</v>
      </c>
      <c r="D35" s="353">
        <f>VLOOKUP(B35,CENY!$B$11:$G$1054,3,FALSE)</f>
        <v>10</v>
      </c>
      <c r="E35" s="56" t="str">
        <f>IF(VLOOKUP(B35,CENY!$B$11:$G$1054,4,FALSE)=0,"",VLOOKUP(B35,CENY!$B$11:$G$1054,4,FALSE))</f>
        <v/>
      </c>
      <c r="F35" s="40" t="str">
        <f t="shared" si="2"/>
        <v/>
      </c>
      <c r="G35" s="52">
        <f>VLOOKUP(B35,CENY!$B$11:$M$1054,12,FALSE)</f>
        <v>229.76492999999999</v>
      </c>
      <c r="H35" s="54" t="str">
        <f t="shared" si="0"/>
        <v xml:space="preserve"> CZK</v>
      </c>
      <c r="I35" s="41" t="str">
        <f t="shared" si="1"/>
        <v/>
      </c>
      <c r="J35" s="122"/>
      <c r="K35" s="42" t="str">
        <f>VLOOKUP(B35,CENY!$B$11:$M$1054,8,FALSE)</f>
        <v xml:space="preserve"> </v>
      </c>
      <c r="L35" s="42" t="str">
        <f>VLOOKUP(B35,CENY!$B$11:$M$1054,9,FALSE)</f>
        <v>396541</v>
      </c>
      <c r="M35" s="32"/>
      <c r="N35" s="35">
        <f t="shared" si="3"/>
        <v>0</v>
      </c>
      <c r="O35" s="36">
        <v>0</v>
      </c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5">
        <f>'AVT77'!BI11</f>
        <v>0</v>
      </c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32"/>
      <c r="BO35" s="165"/>
      <c r="BP35" s="165"/>
      <c r="BQ35" s="165"/>
      <c r="BR35" s="165"/>
      <c r="BS35" s="165"/>
      <c r="BT35" s="165"/>
      <c r="BU35" s="165"/>
      <c r="BV35" s="55"/>
      <c r="BW35" s="160"/>
      <c r="BX35" s="32"/>
      <c r="BY35" s="24"/>
      <c r="BZ35" s="24"/>
      <c r="CA35" s="24"/>
      <c r="CB35" s="24"/>
      <c r="CC35" s="24"/>
      <c r="CD35" s="24"/>
      <c r="CE35" s="24"/>
    </row>
    <row r="36" spans="1:83" ht="15" customHeight="1">
      <c r="A36" s="4"/>
      <c r="B36" s="317">
        <f>IF($Q$8=$Q$7,CENY!B31,IF($Q$7=$Q$9,CENY!B39,CENY!B47))</f>
        <v>9255007</v>
      </c>
      <c r="C36" s="39" t="str">
        <f>VLOOKUP(B36,CENY!$B$11:$G$1054,2,FALSE)</f>
        <v>AvanY-bok pravý /v77/h550/ strieborná</v>
      </c>
      <c r="D36" s="353">
        <f>VLOOKUP(B36,CENY!$B$11:$G$1054,3,FALSE)</f>
        <v>10</v>
      </c>
      <c r="E36" s="56" t="str">
        <f>IF(VLOOKUP(B36,CENY!$B$11:$G$1054,4,FALSE)=0,"",VLOOKUP(B36,CENY!$B$11:$G$1054,4,FALSE))</f>
        <v/>
      </c>
      <c r="F36" s="40" t="str">
        <f t="shared" si="2"/>
        <v/>
      </c>
      <c r="G36" s="52">
        <f>VLOOKUP(B36,CENY!$B$11:$M$1054,12,FALSE)</f>
        <v>229.76492999999999</v>
      </c>
      <c r="H36" s="54" t="str">
        <f t="shared" si="0"/>
        <v xml:space="preserve"> CZK</v>
      </c>
      <c r="I36" s="41" t="str">
        <f t="shared" si="1"/>
        <v/>
      </c>
      <c r="J36" s="122"/>
      <c r="K36" s="42" t="str">
        <f>VLOOKUP(B36,CENY!$B$11:$M$1054,8,FALSE)</f>
        <v xml:space="preserve"> </v>
      </c>
      <c r="L36" s="42" t="str">
        <f>VLOOKUP(B36,CENY!$B$11:$M$1054,9,FALSE)</f>
        <v>396542</v>
      </c>
      <c r="M36" s="32"/>
      <c r="N36" s="35">
        <f t="shared" si="3"/>
        <v>0</v>
      </c>
      <c r="O36" s="36">
        <v>0</v>
      </c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5">
        <f>'AVT77'!BI12</f>
        <v>0</v>
      </c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  <c r="BJ36" s="32"/>
      <c r="BK36" s="32"/>
      <c r="BL36" s="32"/>
      <c r="BM36" s="32"/>
      <c r="BN36" s="32"/>
      <c r="BO36" s="165"/>
      <c r="BP36" s="165"/>
      <c r="BQ36" s="165"/>
      <c r="BR36" s="165"/>
      <c r="BS36" s="165"/>
      <c r="BT36" s="165"/>
      <c r="BU36" s="165"/>
      <c r="BV36" s="55"/>
      <c r="BW36" s="160"/>
      <c r="BX36" s="32"/>
      <c r="BY36" s="24"/>
      <c r="BZ36" s="24"/>
      <c r="CA36" s="24"/>
      <c r="CB36" s="24"/>
      <c r="CC36" s="24"/>
      <c r="CD36" s="24"/>
      <c r="CE36" s="24"/>
    </row>
    <row r="37" spans="1:83" ht="15" customHeight="1">
      <c r="A37" s="4"/>
      <c r="B37" s="317">
        <f>IF($T$7=$T$8,CENY!B48,CENY!B49)</f>
        <v>9255832</v>
      </c>
      <c r="C37" s="39" t="str">
        <f>VLOOKUP(B37,CENY!$B$11:$G$1054,2,FALSE)</f>
        <v>AvanY-príchytka čela k naskrutk./ v77</v>
      </c>
      <c r="D37" s="353">
        <f>VLOOKUP(B37,CENY!$B$11:$G$1054,3,FALSE)</f>
        <v>100</v>
      </c>
      <c r="E37" s="56" t="str">
        <f>IF(VLOOKUP(B37,CENY!$B$11:$G$1054,4,FALSE)=0,"",VLOOKUP(B37,CENY!$B$11:$G$1054,4,FALSE))</f>
        <v/>
      </c>
      <c r="F37" s="40" t="str">
        <f t="shared" si="2"/>
        <v/>
      </c>
      <c r="G37" s="52">
        <f>VLOOKUP(B37,CENY!$B$11:$M$1054,12,FALSE)</f>
        <v>16.912929999999999</v>
      </c>
      <c r="H37" s="54" t="str">
        <f t="shared" si="0"/>
        <v xml:space="preserve"> CZK</v>
      </c>
      <c r="I37" s="41" t="str">
        <f t="shared" si="1"/>
        <v/>
      </c>
      <c r="J37" s="122"/>
      <c r="K37" s="42" t="str">
        <f>VLOOKUP(B37,CENY!$B$11:$M$1054,8,FALSE)</f>
        <v xml:space="preserve"> </v>
      </c>
      <c r="L37" s="42" t="str">
        <f>VLOOKUP(B37,CENY!$B$11:$M$1054,9,FALSE)</f>
        <v>396631</v>
      </c>
      <c r="M37" s="32"/>
      <c r="N37" s="35">
        <f t="shared" si="3"/>
        <v>0</v>
      </c>
      <c r="O37" s="36">
        <v>0</v>
      </c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5">
        <f>'AVT77'!AZ46</f>
        <v>0</v>
      </c>
      <c r="AM37" s="325">
        <f>'AVT77'!BI14</f>
        <v>0</v>
      </c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/>
      <c r="BH37" s="32"/>
      <c r="BI37" s="32"/>
      <c r="BJ37" s="32"/>
      <c r="BK37" s="32"/>
      <c r="BL37" s="32"/>
      <c r="BM37" s="32"/>
      <c r="BN37" s="32"/>
      <c r="BO37" s="165"/>
      <c r="BP37" s="165"/>
      <c r="BQ37" s="165"/>
      <c r="BR37" s="165"/>
      <c r="BS37" s="165"/>
      <c r="BT37" s="165"/>
      <c r="BU37" s="165"/>
      <c r="BV37" s="55"/>
      <c r="BW37" s="160"/>
      <c r="BX37" s="32"/>
      <c r="BY37" s="24"/>
      <c r="BZ37" s="24"/>
      <c r="CA37" s="24"/>
      <c r="CB37" s="24"/>
      <c r="CC37" s="24"/>
      <c r="CD37" s="24"/>
      <c r="CE37" s="24"/>
    </row>
    <row r="38" spans="1:83" ht="8.1" customHeight="1">
      <c r="A38" s="4"/>
      <c r="B38" s="317"/>
      <c r="C38" s="39"/>
      <c r="D38" s="39"/>
      <c r="E38" s="57"/>
      <c r="F38" s="40"/>
      <c r="G38" s="52"/>
      <c r="H38" s="54"/>
      <c r="I38" s="41"/>
      <c r="J38" s="122"/>
      <c r="K38" s="42"/>
      <c r="L38" s="42"/>
      <c r="M38" s="32"/>
      <c r="N38" s="35"/>
      <c r="O38" s="36">
        <v>0</v>
      </c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/>
      <c r="BH38" s="32"/>
      <c r="BI38" s="32"/>
      <c r="BJ38" s="32"/>
      <c r="BK38" s="32"/>
      <c r="BL38" s="32"/>
      <c r="BM38" s="32"/>
      <c r="BN38" s="32"/>
      <c r="BO38" s="165"/>
      <c r="BP38" s="165"/>
      <c r="BQ38" s="165"/>
      <c r="BR38" s="165"/>
      <c r="BS38" s="165"/>
      <c r="BT38" s="165"/>
      <c r="BU38" s="165"/>
      <c r="BV38" s="55"/>
      <c r="BW38" s="160"/>
      <c r="BX38" s="32"/>
      <c r="BY38" s="24"/>
      <c r="BZ38" s="24"/>
      <c r="CA38" s="24"/>
      <c r="CB38" s="24"/>
      <c r="CC38" s="24"/>
      <c r="CD38" s="24"/>
      <c r="CE38" s="24"/>
    </row>
    <row r="39" spans="1:83" ht="15" customHeight="1">
      <c r="A39" s="4"/>
      <c r="B39" s="317">
        <f>IF($Q$8=$Q$7,CENY!B51,IF($Q$7=$Q$9,CENY!B60,CENY!B69))</f>
        <v>9353335</v>
      </c>
      <c r="C39" s="39" t="str">
        <f>VLOOKUP(B39,CENY!$B$11:$G$1054,2,FALSE)</f>
        <v>AvanY-sólo oceľ.boky-NW 101/400mm/strieb.</v>
      </c>
      <c r="D39" s="364">
        <f>VLOOKUP(B39,CENY!$B$11:$G$1054,3,FALSE)</f>
        <v>1</v>
      </c>
      <c r="E39" s="56" t="str">
        <f>IF(VLOOKUP(B39,CENY!$B$11:$G$1054,4,FALSE)=0,"",VLOOKUP(B39,CENY!$B$11:$G$1054,4,FALSE))</f>
        <v/>
      </c>
      <c r="F39" s="40" t="str">
        <f t="shared" ref="F39:F48" si="4">IF(J39&lt;&gt;"",J39,IF(N39=0,"",N39))</f>
        <v/>
      </c>
      <c r="G39" s="52">
        <f>VLOOKUP(B39,CENY!$B$11:$M$1054,12,FALSE)</f>
        <v>545.66444999999999</v>
      </c>
      <c r="H39" s="54" t="str">
        <f t="shared" si="0"/>
        <v xml:space="preserve"> CZK</v>
      </c>
      <c r="I39" s="41" t="str">
        <f t="shared" si="1"/>
        <v/>
      </c>
      <c r="J39" s="122"/>
      <c r="K39" s="42" t="str">
        <f>VLOOKUP(B39,CENY!$B$11:$M$1054,8,FALSE)</f>
        <v xml:space="preserve"> </v>
      </c>
      <c r="L39" s="42" t="str">
        <f>VLOOKUP(B39,CENY!$B$11:$M$1054,9,FALSE)</f>
        <v>530007</v>
      </c>
      <c r="M39" s="32"/>
      <c r="N39" s="35">
        <f t="shared" ref="N39:N48" si="5">SUM(P39:BW39)</f>
        <v>0</v>
      </c>
      <c r="O39" s="36">
        <v>0</v>
      </c>
      <c r="P39" s="325">
        <f>'AVT101'!AZ5</f>
        <v>0</v>
      </c>
      <c r="Q39" s="32"/>
      <c r="R39" s="32"/>
      <c r="S39" s="32"/>
      <c r="T39" s="32"/>
      <c r="U39" s="32"/>
      <c r="V39" s="32"/>
      <c r="W39" s="32"/>
      <c r="X39" s="32"/>
      <c r="Y39" s="32"/>
      <c r="Z39" s="325">
        <f>'AVT101(vn-A)'!AZ5</f>
        <v>0</v>
      </c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5">
        <f>'AVT-celny-101+187'!AZ5</f>
        <v>0</v>
      </c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  <c r="BD39" s="32"/>
      <c r="BE39" s="32"/>
      <c r="BF39" s="32"/>
      <c r="BG39" s="32"/>
      <c r="BH39" s="32"/>
      <c r="BI39" s="32"/>
      <c r="BJ39" s="32"/>
      <c r="BK39" s="32"/>
      <c r="BL39" s="32"/>
      <c r="BM39" s="32"/>
      <c r="BN39" s="32"/>
      <c r="BO39" s="165"/>
      <c r="BP39" s="165"/>
      <c r="BQ39" s="165"/>
      <c r="BR39" s="165"/>
      <c r="BS39" s="165"/>
      <c r="BT39" s="165"/>
      <c r="BU39" s="165"/>
      <c r="BV39" s="55"/>
      <c r="BW39" s="160"/>
      <c r="BX39" s="32"/>
      <c r="BY39" s="24"/>
      <c r="BZ39" s="24"/>
      <c r="CA39" s="24"/>
      <c r="CB39" s="24"/>
      <c r="CC39" s="24"/>
      <c r="CD39" s="24"/>
      <c r="CE39" s="24"/>
    </row>
    <row r="40" spans="1:83" ht="15" customHeight="1">
      <c r="A40" s="4"/>
      <c r="B40" s="317">
        <f>IF($Q$8=$Q$7,CENY!B52,IF($Q$7=$Q$9,CENY!B61,CENY!B70))</f>
        <v>9353336</v>
      </c>
      <c r="C40" s="39" t="str">
        <f>VLOOKUP(B40,CENY!$B$11:$G$1054,2,FALSE)</f>
        <v>AvanY-sólo oceľ.boky-NW 101/450mm/strieb.</v>
      </c>
      <c r="D40" s="364">
        <f>VLOOKUP(B40,CENY!$B$11:$G$1054,3,FALSE)</f>
        <v>1</v>
      </c>
      <c r="E40" s="56" t="str">
        <f>IF(VLOOKUP(B40,CENY!$B$11:$G$1054,4,FALSE)=0,"",VLOOKUP(B40,CENY!$B$11:$G$1054,4,FALSE))</f>
        <v/>
      </c>
      <c r="F40" s="40" t="str">
        <f t="shared" si="4"/>
        <v/>
      </c>
      <c r="G40" s="52">
        <f>VLOOKUP(B40,CENY!$B$11:$M$1054,12,FALSE)</f>
        <v>550.21777999999995</v>
      </c>
      <c r="H40" s="54" t="str">
        <f t="shared" si="0"/>
        <v xml:space="preserve"> CZK</v>
      </c>
      <c r="I40" s="41" t="str">
        <f t="shared" si="1"/>
        <v/>
      </c>
      <c r="J40" s="122"/>
      <c r="K40" s="42" t="str">
        <f>VLOOKUP(B40,CENY!$B$11:$M$1054,8,FALSE)</f>
        <v xml:space="preserve"> </v>
      </c>
      <c r="L40" s="42" t="str">
        <f>VLOOKUP(B40,CENY!$B$11:$M$1054,9,FALSE)</f>
        <v>530008</v>
      </c>
      <c r="M40" s="32"/>
      <c r="N40" s="35">
        <f t="shared" si="5"/>
        <v>0</v>
      </c>
      <c r="O40" s="36">
        <v>0</v>
      </c>
      <c r="P40" s="325">
        <f>'AVT101'!AZ6</f>
        <v>0</v>
      </c>
      <c r="Q40" s="32"/>
      <c r="R40" s="32"/>
      <c r="S40" s="32"/>
      <c r="T40" s="32"/>
      <c r="U40" s="32"/>
      <c r="V40" s="32"/>
      <c r="W40" s="32"/>
      <c r="X40" s="32"/>
      <c r="Y40" s="32"/>
      <c r="Z40" s="325">
        <f>'AVT101(vn-A)'!AZ6</f>
        <v>0</v>
      </c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5">
        <f>'AVT-celny-101+187'!AZ6</f>
        <v>0</v>
      </c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  <c r="BF40" s="32"/>
      <c r="BG40" s="32"/>
      <c r="BH40" s="32"/>
      <c r="BI40" s="32"/>
      <c r="BJ40" s="32"/>
      <c r="BK40" s="32"/>
      <c r="BL40" s="32"/>
      <c r="BM40" s="32"/>
      <c r="BN40" s="32"/>
      <c r="BO40" s="165"/>
      <c r="BP40" s="165"/>
      <c r="BQ40" s="165"/>
      <c r="BR40" s="165"/>
      <c r="BS40" s="165"/>
      <c r="BT40" s="165"/>
      <c r="BU40" s="165"/>
      <c r="BV40" s="55"/>
      <c r="BW40" s="160"/>
      <c r="BX40" s="32"/>
      <c r="BY40" s="24"/>
      <c r="BZ40" s="24"/>
      <c r="CA40" s="24"/>
      <c r="CB40" s="24"/>
      <c r="CC40" s="24"/>
      <c r="CD40" s="24"/>
      <c r="CE40" s="24"/>
    </row>
    <row r="41" spans="1:83" ht="15" customHeight="1">
      <c r="A41" s="4"/>
      <c r="B41" s="317">
        <f>IF($Q$8=$Q$7,CENY!B53,IF($Q$7=$Q$9,CENY!B62,CENY!B71))</f>
        <v>9353337</v>
      </c>
      <c r="C41" s="39" t="str">
        <f>VLOOKUP(B41,CENY!$B$11:$G$1054,2,FALSE)</f>
        <v>AvanY-sólo oceľ.boky-NW 101/500mm/strieb.</v>
      </c>
      <c r="D41" s="364">
        <f>VLOOKUP(B41,CENY!$B$11:$G$1054,3,FALSE)</f>
        <v>1</v>
      </c>
      <c r="E41" s="56" t="str">
        <f>IF(VLOOKUP(B41,CENY!$B$11:$G$1054,4,FALSE)=0,"",VLOOKUP(B41,CENY!$B$11:$G$1054,4,FALSE))</f>
        <v/>
      </c>
      <c r="F41" s="40" t="str">
        <f t="shared" si="4"/>
        <v/>
      </c>
      <c r="G41" s="52">
        <f>VLOOKUP(B41,CENY!$B$11:$M$1054,12,FALSE)</f>
        <v>557.82863999999995</v>
      </c>
      <c r="H41" s="54" t="str">
        <f t="shared" si="0"/>
        <v xml:space="preserve"> CZK</v>
      </c>
      <c r="I41" s="41" t="str">
        <f t="shared" si="1"/>
        <v/>
      </c>
      <c r="J41" s="122"/>
      <c r="K41" s="42" t="str">
        <f>VLOOKUP(B41,CENY!$B$11:$M$1054,8,FALSE)</f>
        <v xml:space="preserve"> </v>
      </c>
      <c r="L41" s="42" t="str">
        <f>VLOOKUP(B41,CENY!$B$11:$M$1054,9,FALSE)</f>
        <v>530009</v>
      </c>
      <c r="M41" s="32"/>
      <c r="N41" s="35">
        <f t="shared" si="5"/>
        <v>0</v>
      </c>
      <c r="O41" s="36">
        <v>0</v>
      </c>
      <c r="P41" s="325">
        <f>'AVT101'!AZ7</f>
        <v>0</v>
      </c>
      <c r="Q41" s="32"/>
      <c r="R41" s="32"/>
      <c r="S41" s="32"/>
      <c r="T41" s="32"/>
      <c r="U41" s="32"/>
      <c r="V41" s="32"/>
      <c r="W41" s="32"/>
      <c r="X41" s="32"/>
      <c r="Y41" s="32"/>
      <c r="Z41" s="325">
        <f>'AVT101(vn-A)'!AZ7</f>
        <v>0</v>
      </c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5">
        <f>'AVT-celny-101+187'!AZ7</f>
        <v>0</v>
      </c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  <c r="BF41" s="32"/>
      <c r="BG41" s="32"/>
      <c r="BH41" s="32"/>
      <c r="BI41" s="32"/>
      <c r="BJ41" s="32"/>
      <c r="BK41" s="32"/>
      <c r="BL41" s="32"/>
      <c r="BM41" s="32"/>
      <c r="BN41" s="32"/>
      <c r="BO41" s="165"/>
      <c r="BP41" s="165"/>
      <c r="BQ41" s="165"/>
      <c r="BR41" s="165"/>
      <c r="BS41" s="165"/>
      <c r="BT41" s="165"/>
      <c r="BU41" s="165"/>
      <c r="BV41" s="55"/>
      <c r="BW41" s="160"/>
      <c r="BX41" s="32"/>
      <c r="BY41" s="24"/>
      <c r="BZ41" s="24"/>
      <c r="CA41" s="24"/>
      <c r="CB41" s="24"/>
      <c r="CC41" s="24"/>
      <c r="CD41" s="24"/>
      <c r="CE41" s="24"/>
    </row>
    <row r="42" spans="1:83" ht="15" customHeight="1">
      <c r="A42" s="4"/>
      <c r="B42" s="317">
        <f>IF($Q$8=$Q$7,CENY!B54,IF($Q$7=$Q$9,CENY!B63,CENY!B72))</f>
        <v>9353338</v>
      </c>
      <c r="C42" s="39" t="str">
        <f>VLOOKUP(B42,CENY!$B$11:$G$1054,2,FALSE)</f>
        <v>AvanY-sólo oceľ.boky-NW 101/550mm/strieb.</v>
      </c>
      <c r="D42" s="364">
        <f>VLOOKUP(B42,CENY!$B$11:$G$1054,3,FALSE)</f>
        <v>1</v>
      </c>
      <c r="E42" s="56" t="str">
        <f>IF(VLOOKUP(B42,CENY!$B$11:$G$1054,4,FALSE)=0,"",VLOOKUP(B42,CENY!$B$11:$G$1054,4,FALSE))</f>
        <v/>
      </c>
      <c r="F42" s="40" t="str">
        <f t="shared" si="4"/>
        <v/>
      </c>
      <c r="G42" s="52">
        <f>VLOOKUP(B42,CENY!$B$11:$M$1054,12,FALSE)</f>
        <v>565.42625999999996</v>
      </c>
      <c r="H42" s="54" t="str">
        <f t="shared" si="0"/>
        <v xml:space="preserve"> CZK</v>
      </c>
      <c r="I42" s="41" t="str">
        <f t="shared" si="1"/>
        <v/>
      </c>
      <c r="J42" s="122"/>
      <c r="K42" s="42" t="str">
        <f>VLOOKUP(B42,CENY!$B$11:$M$1054,8,FALSE)</f>
        <v xml:space="preserve"> </v>
      </c>
      <c r="L42" s="42" t="str">
        <f>VLOOKUP(B42,CENY!$B$11:$M$1054,9,FALSE)</f>
        <v>530010</v>
      </c>
      <c r="M42" s="32"/>
      <c r="N42" s="35">
        <f t="shared" si="5"/>
        <v>0</v>
      </c>
      <c r="O42" s="36">
        <v>0</v>
      </c>
      <c r="P42" s="325">
        <f>'AVT101'!AZ8</f>
        <v>0</v>
      </c>
      <c r="Q42" s="32"/>
      <c r="R42" s="32"/>
      <c r="S42" s="32"/>
      <c r="T42" s="32"/>
      <c r="U42" s="32"/>
      <c r="V42" s="32"/>
      <c r="W42" s="32"/>
      <c r="X42" s="32"/>
      <c r="Y42" s="32"/>
      <c r="Z42" s="325">
        <f>'AVT101(vn-A)'!AZ8</f>
        <v>0</v>
      </c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5">
        <f>'AVT-celny-101+187'!AZ8</f>
        <v>0</v>
      </c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  <c r="BD42" s="32"/>
      <c r="BE42" s="32"/>
      <c r="BF42" s="32"/>
      <c r="BG42" s="32"/>
      <c r="BH42" s="32"/>
      <c r="BI42" s="32"/>
      <c r="BJ42" s="32"/>
      <c r="BK42" s="32"/>
      <c r="BL42" s="32"/>
      <c r="BM42" s="32"/>
      <c r="BN42" s="32"/>
      <c r="BO42" s="165"/>
      <c r="BP42" s="165"/>
      <c r="BQ42" s="165"/>
      <c r="BR42" s="165"/>
      <c r="BS42" s="165"/>
      <c r="BT42" s="165"/>
      <c r="BU42" s="165"/>
      <c r="BV42" s="55"/>
      <c r="BW42" s="160"/>
      <c r="BX42" s="32"/>
      <c r="BY42" s="24"/>
      <c r="BZ42" s="24"/>
      <c r="CA42" s="24"/>
      <c r="CB42" s="24"/>
      <c r="CC42" s="24"/>
      <c r="CD42" s="24"/>
      <c r="CE42" s="24"/>
    </row>
    <row r="43" spans="1:83" ht="15" customHeight="1">
      <c r="A43" s="4"/>
      <c r="B43" s="317">
        <f>IF($Q$8=$Q$7,CENY!B55,IF($Q$7=$Q$9,CENY!B64,CENY!B73))</f>
        <v>9353339</v>
      </c>
      <c r="C43" s="39" t="str">
        <f>VLOOKUP(B43,CENY!$B$11:$G$1054,2,FALSE)</f>
        <v>AvanY-sólo oceľ.boky-NW 101/600mm/strieb.</v>
      </c>
      <c r="D43" s="364">
        <f>VLOOKUP(B43,CENY!$B$11:$G$1054,3,FALSE)</f>
        <v>1</v>
      </c>
      <c r="E43" s="57" t="str">
        <f>IF(VLOOKUP(B43,CENY!$B$11:$G$1054,4,FALSE)=0,"",VLOOKUP(B43,CENY!$B$11:$G$1054,4,FALSE))</f>
        <v/>
      </c>
      <c r="F43" s="40" t="str">
        <f t="shared" si="4"/>
        <v/>
      </c>
      <c r="G43" s="52">
        <f>VLOOKUP(B43,CENY!$B$11:$M$1054,12,FALSE)</f>
        <v>557.79244000000006</v>
      </c>
      <c r="H43" s="54" t="str">
        <f t="shared" si="0"/>
        <v xml:space="preserve"> CZK</v>
      </c>
      <c r="I43" s="41" t="str">
        <f t="shared" si="1"/>
        <v/>
      </c>
      <c r="J43" s="122"/>
      <c r="K43" s="42" t="str">
        <f>VLOOKUP(B43,CENY!$B$11:$M$1054,8,FALSE)</f>
        <v xml:space="preserve"> </v>
      </c>
      <c r="L43" s="42" t="str">
        <f>VLOOKUP(B43,CENY!$B$11:$M$1054,9,FALSE)</f>
        <v>530011</v>
      </c>
      <c r="M43" s="32"/>
      <c r="N43" s="35">
        <f t="shared" si="5"/>
        <v>0</v>
      </c>
      <c r="O43" s="36">
        <v>0</v>
      </c>
      <c r="P43" s="325">
        <f>'AVT101'!AZ9</f>
        <v>0</v>
      </c>
      <c r="Q43" s="32"/>
      <c r="R43" s="32"/>
      <c r="S43" s="32"/>
      <c r="T43" s="32"/>
      <c r="U43" s="32"/>
      <c r="V43" s="32"/>
      <c r="W43" s="32"/>
      <c r="X43" s="32"/>
      <c r="Y43" s="32"/>
      <c r="Z43" s="325">
        <f>'AVT101(vn-A)'!AZ9</f>
        <v>0</v>
      </c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5">
        <f>'AVT-celny-101+187'!AZ9</f>
        <v>0</v>
      </c>
      <c r="AO43" s="32"/>
      <c r="AP43" s="32"/>
      <c r="AQ43" s="32"/>
      <c r="AR43" s="32"/>
      <c r="AS43" s="32"/>
      <c r="AT43" s="32"/>
      <c r="AU43" s="32"/>
      <c r="AV43" s="325">
        <f>'potr-v101+187'!AZ9</f>
        <v>0</v>
      </c>
      <c r="AW43" s="32"/>
      <c r="AX43" s="325">
        <f>'potr-v101+187-IL'!AZ9</f>
        <v>0</v>
      </c>
      <c r="AY43" s="32"/>
      <c r="AZ43" s="32"/>
      <c r="BA43" s="32"/>
      <c r="BB43" s="32"/>
      <c r="BC43" s="32"/>
      <c r="BD43" s="32"/>
      <c r="BE43" s="32"/>
      <c r="BF43" s="32"/>
      <c r="BG43" s="32"/>
      <c r="BH43" s="32"/>
      <c r="BI43" s="32"/>
      <c r="BJ43" s="32"/>
      <c r="BK43" s="32"/>
      <c r="BL43" s="32"/>
      <c r="BM43" s="32"/>
      <c r="BN43" s="32"/>
      <c r="BO43" s="165"/>
      <c r="BP43" s="165"/>
      <c r="BQ43" s="165"/>
      <c r="BR43" s="165"/>
      <c r="BS43" s="165"/>
      <c r="BT43" s="165"/>
      <c r="BU43" s="165"/>
      <c r="BV43" s="55"/>
      <c r="BW43" s="160"/>
      <c r="BX43" s="32"/>
      <c r="BY43" s="24"/>
      <c r="BZ43" s="24"/>
      <c r="CA43" s="24"/>
      <c r="CB43" s="24"/>
      <c r="CC43" s="24"/>
      <c r="CD43" s="24"/>
      <c r="CE43" s="24"/>
    </row>
    <row r="44" spans="1:83" ht="15" customHeight="1">
      <c r="A44" s="4"/>
      <c r="B44" s="317">
        <f>IF($Q$8=$Q$7,CENY!B56,IF($Q$7=$Q$9,CENY!B65,CENY!B74))</f>
        <v>9353340</v>
      </c>
      <c r="C44" s="39" t="str">
        <f>VLOOKUP(B44,CENY!$B$11:$G$1054,2,FALSE)</f>
        <v>AvanY-sólo oceľ.boky-NW 101/650mm/strieb.</v>
      </c>
      <c r="D44" s="364">
        <f>VLOOKUP(B44,CENY!$B$11:$G$1054,3,FALSE)</f>
        <v>1</v>
      </c>
      <c r="E44" s="57" t="str">
        <f>IF(VLOOKUP(B44,CENY!$B$11:$G$1054,4,FALSE)=0,"",VLOOKUP(B44,CENY!$B$11:$G$1054,4,FALSE))</f>
        <v/>
      </c>
      <c r="F44" s="40" t="str">
        <f t="shared" si="4"/>
        <v/>
      </c>
      <c r="G44" s="52">
        <f>VLOOKUP(B44,CENY!$B$11:$M$1054,12,FALSE)</f>
        <v>565.19020999999998</v>
      </c>
      <c r="H44" s="54" t="str">
        <f t="shared" si="0"/>
        <v xml:space="preserve"> CZK</v>
      </c>
      <c r="I44" s="41" t="str">
        <f t="shared" si="1"/>
        <v/>
      </c>
      <c r="J44" s="122"/>
      <c r="K44" s="42" t="str">
        <f>VLOOKUP(B44,CENY!$B$11:$M$1054,8,FALSE)</f>
        <v xml:space="preserve"> </v>
      </c>
      <c r="L44" s="42" t="str">
        <f>VLOOKUP(B44,CENY!$B$11:$M$1054,9,FALSE)</f>
        <v>530012</v>
      </c>
      <c r="M44" s="32"/>
      <c r="N44" s="35">
        <f t="shared" si="5"/>
        <v>0</v>
      </c>
      <c r="O44" s="36">
        <v>0</v>
      </c>
      <c r="P44" s="325">
        <f>'AVT101'!AZ10</f>
        <v>0</v>
      </c>
      <c r="Q44" s="32"/>
      <c r="R44" s="32"/>
      <c r="S44" s="32"/>
      <c r="T44" s="32"/>
      <c r="U44" s="32"/>
      <c r="V44" s="32"/>
      <c r="W44" s="32"/>
      <c r="X44" s="32"/>
      <c r="Y44" s="32"/>
      <c r="Z44" s="325">
        <f>'AVT101(vn-A)'!AZ10</f>
        <v>0</v>
      </c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32"/>
      <c r="AM44" s="32"/>
      <c r="AN44" s="325">
        <f>'AVT-celny-101+187'!AZ10</f>
        <v>0</v>
      </c>
      <c r="AO44" s="32"/>
      <c r="AP44" s="32"/>
      <c r="AQ44" s="32"/>
      <c r="AR44" s="32"/>
      <c r="AS44" s="32"/>
      <c r="AT44" s="32"/>
      <c r="AU44" s="32"/>
      <c r="AV44" s="325">
        <f>'potr-v101+187'!AZ10</f>
        <v>0</v>
      </c>
      <c r="AW44" s="32"/>
      <c r="AX44" s="325">
        <f>'potr-v101+187-IL'!AZ10</f>
        <v>0</v>
      </c>
      <c r="AY44" s="32"/>
      <c r="AZ44" s="32"/>
      <c r="BA44" s="32"/>
      <c r="BB44" s="32"/>
      <c r="BC44" s="32"/>
      <c r="BD44" s="32"/>
      <c r="BE44" s="32"/>
      <c r="BF44" s="32"/>
      <c r="BG44" s="32"/>
      <c r="BH44" s="32"/>
      <c r="BI44" s="32"/>
      <c r="BJ44" s="32"/>
      <c r="BK44" s="32"/>
      <c r="BL44" s="32"/>
      <c r="BM44" s="32"/>
      <c r="BN44" s="32"/>
      <c r="BO44" s="165"/>
      <c r="BP44" s="165"/>
      <c r="BQ44" s="165"/>
      <c r="BR44" s="165"/>
      <c r="BS44" s="165"/>
      <c r="BT44" s="165"/>
      <c r="BU44" s="165"/>
      <c r="BV44" s="55"/>
      <c r="BW44" s="160"/>
      <c r="BX44" s="32"/>
      <c r="BY44" s="24"/>
      <c r="BZ44" s="24"/>
      <c r="CA44" s="24"/>
      <c r="CB44" s="24"/>
      <c r="CC44" s="24"/>
      <c r="CD44" s="24"/>
      <c r="CE44" s="24"/>
    </row>
    <row r="45" spans="1:83" ht="15" customHeight="1">
      <c r="A45" s="4"/>
      <c r="B45" s="317">
        <f>IF($Q$8=$Q$7,CENY!B57,IF($Q$7=$Q$9,CENY!B66,CENY!B75))</f>
        <v>9353341</v>
      </c>
      <c r="C45" s="39" t="str">
        <f>VLOOKUP(B45,CENY!$B$11:$G$1054,2,FALSE)</f>
        <v>AvanY-sólo oceľ.boky-NW 101/270mm/biela</v>
      </c>
      <c r="D45" s="364">
        <f>VLOOKUP(B45,CENY!$B$11:$G$1054,3,FALSE)</f>
        <v>1</v>
      </c>
      <c r="E45" s="57" t="str">
        <f>IF(VLOOKUP(B45,CENY!$B$11:$G$1054,4,FALSE)=0,"",VLOOKUP(B45,CENY!$B$11:$G$1054,4,FALSE))</f>
        <v/>
      </c>
      <c r="F45" s="40" t="str">
        <f t="shared" si="4"/>
        <v/>
      </c>
      <c r="G45" s="52">
        <f>VLOOKUP(B45,CENY!$B$11:$M$1054,12,FALSE)</f>
        <v>588.23680999999999</v>
      </c>
      <c r="H45" s="54" t="str">
        <f t="shared" si="0"/>
        <v xml:space="preserve"> CZK</v>
      </c>
      <c r="I45" s="41" t="str">
        <f t="shared" si="1"/>
        <v/>
      </c>
      <c r="J45" s="122"/>
      <c r="K45" s="42" t="str">
        <f>VLOOKUP(B45,CENY!$B$11:$M$1054,8,FALSE)</f>
        <v xml:space="preserve"> </v>
      </c>
      <c r="L45" s="42" t="str">
        <f>VLOOKUP(B45,CENY!$B$11:$M$1054,9,FALSE)</f>
        <v>530013</v>
      </c>
      <c r="M45" s="32"/>
      <c r="N45" s="35">
        <f t="shared" si="5"/>
        <v>0</v>
      </c>
      <c r="O45" s="36">
        <v>0</v>
      </c>
      <c r="P45" s="325">
        <f>'AVT101'!AZ11</f>
        <v>0</v>
      </c>
      <c r="Q45" s="32"/>
      <c r="R45" s="32"/>
      <c r="S45" s="32"/>
      <c r="T45" s="32"/>
      <c r="U45" s="32"/>
      <c r="V45" s="32"/>
      <c r="W45" s="32"/>
      <c r="X45" s="32"/>
      <c r="Y45" s="32"/>
      <c r="Z45" s="325">
        <f>'AVT101(vn-A)'!AZ11</f>
        <v>0</v>
      </c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  <c r="AM45" s="32"/>
      <c r="AN45" s="325">
        <f>'AVT-celny-101+187'!AZ11</f>
        <v>0</v>
      </c>
      <c r="AO45" s="32"/>
      <c r="AP45" s="32"/>
      <c r="AQ45" s="32"/>
      <c r="AR45" s="32"/>
      <c r="AS45" s="32"/>
      <c r="AT45" s="32"/>
      <c r="AU45" s="32"/>
      <c r="AV45" s="325">
        <f>'potr-v101+187'!AZ11</f>
        <v>0</v>
      </c>
      <c r="AW45" s="32"/>
      <c r="AX45" s="325">
        <f>'potr-v101+187-IL'!AZ11</f>
        <v>0</v>
      </c>
      <c r="AY45" s="32"/>
      <c r="AZ45" s="32"/>
      <c r="BA45" s="32"/>
      <c r="BB45" s="32"/>
      <c r="BC45" s="32"/>
      <c r="BD45" s="32"/>
      <c r="BE45" s="32"/>
      <c r="BF45" s="32"/>
      <c r="BG45" s="32"/>
      <c r="BH45" s="32"/>
      <c r="BI45" s="32"/>
      <c r="BJ45" s="32"/>
      <c r="BK45" s="32"/>
      <c r="BL45" s="32"/>
      <c r="BM45" s="32"/>
      <c r="BN45" s="32"/>
      <c r="BO45" s="165"/>
      <c r="BP45" s="165"/>
      <c r="BQ45" s="165"/>
      <c r="BR45" s="165"/>
      <c r="BS45" s="165"/>
      <c r="BT45" s="165"/>
      <c r="BU45" s="165"/>
      <c r="BV45" s="55"/>
      <c r="BW45" s="160"/>
      <c r="BX45" s="32"/>
      <c r="BY45" s="24"/>
      <c r="BZ45" s="24"/>
      <c r="CA45" s="24"/>
      <c r="CB45" s="24"/>
      <c r="CC45" s="24"/>
      <c r="CD45" s="24"/>
      <c r="CE45" s="24"/>
    </row>
    <row r="46" spans="1:83" ht="15" customHeight="1">
      <c r="A46" s="4"/>
      <c r="B46" s="317">
        <f>IF($Q$8=$Q$7,CENY!B58,IF($Q$7=$Q$9,CENY!B67,CENY!B76))</f>
        <v>9353342</v>
      </c>
      <c r="C46" s="39" t="str">
        <f>VLOOKUP(B46,CENY!$B$11:$G$1054,2,FALSE)</f>
        <v>AvanY-sólo oceľ.boky-NW 101/300mm/biela</v>
      </c>
      <c r="D46" s="364">
        <f>VLOOKUP(B46,CENY!$B$11:$G$1054,3,FALSE)</f>
        <v>1</v>
      </c>
      <c r="E46" s="57" t="str">
        <f>IF(VLOOKUP(B46,CENY!$B$11:$G$1054,4,FALSE)=0,"",VLOOKUP(B46,CENY!$B$11:$G$1054,4,FALSE))</f>
        <v/>
      </c>
      <c r="F46" s="40" t="str">
        <f t="shared" si="4"/>
        <v/>
      </c>
      <c r="G46" s="52">
        <f>VLOOKUP(B46,CENY!$B$11:$M$1054,12,FALSE)</f>
        <v>600.62784999999997</v>
      </c>
      <c r="H46" s="54" t="str">
        <f t="shared" si="0"/>
        <v xml:space="preserve"> CZK</v>
      </c>
      <c r="I46" s="41" t="str">
        <f t="shared" si="1"/>
        <v/>
      </c>
      <c r="J46" s="122"/>
      <c r="K46" s="42" t="str">
        <f>VLOOKUP(B46,CENY!$B$11:$M$1054,8,FALSE)</f>
        <v xml:space="preserve"> </v>
      </c>
      <c r="L46" s="42" t="str">
        <f>VLOOKUP(B46,CENY!$B$11:$M$1054,9,FALSE)</f>
        <v>530014</v>
      </c>
      <c r="M46" s="32"/>
      <c r="N46" s="35">
        <f t="shared" si="5"/>
        <v>0</v>
      </c>
      <c r="O46" s="36">
        <v>0</v>
      </c>
      <c r="P46" s="325">
        <f>'AVT101'!AZ12</f>
        <v>0</v>
      </c>
      <c r="Q46" s="32"/>
      <c r="R46" s="32"/>
      <c r="S46" s="32"/>
      <c r="T46" s="32"/>
      <c r="U46" s="32"/>
      <c r="V46" s="32"/>
      <c r="W46" s="32"/>
      <c r="X46" s="32"/>
      <c r="Y46" s="32"/>
      <c r="Z46" s="325">
        <f>'AVT101(vn-A)'!AZ12</f>
        <v>0</v>
      </c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5">
        <f>'AVT-celny-101+187'!AZ12</f>
        <v>0</v>
      </c>
      <c r="AO46" s="32"/>
      <c r="AP46" s="32"/>
      <c r="AQ46" s="32"/>
      <c r="AR46" s="32"/>
      <c r="AS46" s="32"/>
      <c r="AT46" s="32"/>
      <c r="AU46" s="32"/>
      <c r="AV46" s="325">
        <f>'potr-v101+187'!AZ12</f>
        <v>0</v>
      </c>
      <c r="AW46" s="32"/>
      <c r="AX46" s="325">
        <f>'potr-v101+187-IL'!AZ12</f>
        <v>0</v>
      </c>
      <c r="AY46" s="32"/>
      <c r="AZ46" s="32"/>
      <c r="BA46" s="32"/>
      <c r="BB46" s="32"/>
      <c r="BC46" s="32"/>
      <c r="BD46" s="32"/>
      <c r="BE46" s="32"/>
      <c r="BF46" s="32"/>
      <c r="BG46" s="32"/>
      <c r="BH46" s="32"/>
      <c r="BI46" s="32"/>
      <c r="BJ46" s="32"/>
      <c r="BK46" s="32"/>
      <c r="BL46" s="32"/>
      <c r="BM46" s="32"/>
      <c r="BN46" s="32"/>
      <c r="BO46" s="165"/>
      <c r="BP46" s="165"/>
      <c r="BQ46" s="165"/>
      <c r="BR46" s="165"/>
      <c r="BS46" s="165"/>
      <c r="BT46" s="165"/>
      <c r="BU46" s="165"/>
      <c r="BV46" s="55"/>
      <c r="BW46" s="160"/>
      <c r="BX46" s="32"/>
      <c r="BY46" s="24"/>
      <c r="BZ46" s="24"/>
      <c r="CA46" s="24"/>
      <c r="CB46" s="24"/>
      <c r="CC46" s="24"/>
      <c r="CD46" s="24"/>
      <c r="CE46" s="24"/>
    </row>
    <row r="47" spans="1:83" ht="15" customHeight="1">
      <c r="A47" s="4"/>
      <c r="B47" s="317">
        <f>IF($Q$8=$Q$7,CENY!B59,IF($Q$7=$Q$9,CENY!B68,CENY!B77))</f>
        <v>9353343</v>
      </c>
      <c r="C47" s="39" t="str">
        <f>VLOOKUP(B47,CENY!$B$11:$G$1054,2,FALSE)</f>
        <v>AvanY-sólo oceľ.boky-NW 101/350mm/biela</v>
      </c>
      <c r="D47" s="364">
        <f>VLOOKUP(B47,CENY!$B$11:$G$1054,3,FALSE)</f>
        <v>1</v>
      </c>
      <c r="E47" s="57" t="str">
        <f>IF(VLOOKUP(B47,CENY!$B$11:$G$1054,4,FALSE)=0,"",VLOOKUP(B47,CENY!$B$11:$G$1054,4,FALSE))</f>
        <v/>
      </c>
      <c r="F47" s="40" t="str">
        <f t="shared" si="4"/>
        <v/>
      </c>
      <c r="G47" s="52">
        <f>VLOOKUP(B47,CENY!$B$11:$M$1054,12,FALSE)</f>
        <v>618.65596000000005</v>
      </c>
      <c r="H47" s="54" t="str">
        <f t="shared" si="0"/>
        <v xml:space="preserve"> CZK</v>
      </c>
      <c r="I47" s="41" t="str">
        <f t="shared" si="1"/>
        <v/>
      </c>
      <c r="J47" s="122"/>
      <c r="K47" s="42" t="str">
        <f>VLOOKUP(B47,CENY!$B$11:$M$1054,8,FALSE)</f>
        <v xml:space="preserve"> </v>
      </c>
      <c r="L47" s="42" t="str">
        <f>VLOOKUP(B47,CENY!$B$11:$M$1054,9,FALSE)</f>
        <v>530015</v>
      </c>
      <c r="M47" s="32"/>
      <c r="N47" s="35">
        <f t="shared" si="5"/>
        <v>0</v>
      </c>
      <c r="O47" s="36">
        <v>0</v>
      </c>
      <c r="P47" s="325">
        <f>'AVT101'!AZ13</f>
        <v>0</v>
      </c>
      <c r="Q47" s="32"/>
      <c r="R47" s="32"/>
      <c r="S47" s="32"/>
      <c r="T47" s="32"/>
      <c r="U47" s="32"/>
      <c r="V47" s="32"/>
      <c r="W47" s="32"/>
      <c r="X47" s="32"/>
      <c r="Y47" s="32"/>
      <c r="Z47" s="325">
        <f>'AVT101(vn-A)'!AZ13</f>
        <v>0</v>
      </c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5">
        <f>'AVT-celny-101+187'!AZ13</f>
        <v>0</v>
      </c>
      <c r="AO47" s="32"/>
      <c r="AP47" s="32"/>
      <c r="AQ47" s="32"/>
      <c r="AR47" s="32"/>
      <c r="AS47" s="32"/>
      <c r="AT47" s="32"/>
      <c r="AU47" s="32"/>
      <c r="AV47" s="325">
        <f>'potr-v101+187'!AZ13</f>
        <v>0</v>
      </c>
      <c r="AW47" s="32"/>
      <c r="AX47" s="325">
        <f>'potr-v101+187-IL'!AZ13</f>
        <v>0</v>
      </c>
      <c r="AY47" s="32"/>
      <c r="AZ47" s="32"/>
      <c r="BA47" s="32"/>
      <c r="BB47" s="32"/>
      <c r="BC47" s="32"/>
      <c r="BD47" s="32"/>
      <c r="BE47" s="32"/>
      <c r="BF47" s="32"/>
      <c r="BG47" s="32"/>
      <c r="BH47" s="32"/>
      <c r="BI47" s="32"/>
      <c r="BJ47" s="32"/>
      <c r="BK47" s="32"/>
      <c r="BL47" s="32"/>
      <c r="BM47" s="32"/>
      <c r="BN47" s="32"/>
      <c r="BO47" s="165"/>
      <c r="BP47" s="165"/>
      <c r="BQ47" s="165"/>
      <c r="BR47" s="165"/>
      <c r="BS47" s="165"/>
      <c r="BT47" s="165"/>
      <c r="BU47" s="165"/>
      <c r="BV47" s="55"/>
      <c r="BW47" s="160"/>
      <c r="BX47" s="32"/>
      <c r="BY47" s="24"/>
      <c r="BZ47" s="24"/>
      <c r="CA47" s="24"/>
      <c r="CB47" s="24"/>
      <c r="CC47" s="24"/>
      <c r="CD47" s="24"/>
      <c r="CE47" s="24"/>
    </row>
    <row r="48" spans="1:83" ht="15" customHeight="1">
      <c r="A48" s="4"/>
      <c r="B48" s="317">
        <f>CENY!B78</f>
        <v>9257702</v>
      </c>
      <c r="C48" s="39" t="str">
        <f>VLOOKUP(B48,CENY!$B$11:$G$1054,2,FALSE)</f>
        <v>AvanY-stabilizátor chrbáta</v>
      </c>
      <c r="D48" s="353">
        <f>VLOOKUP(B48,CENY!$B$11:$G$1054,3,FALSE)</f>
        <v>200</v>
      </c>
      <c r="E48" s="57" t="str">
        <f>IF(VLOOKUP(B48,CENY!$B$11:$G$1054,4,FALSE)=0,"",VLOOKUP(B48,CENY!$B$11:$G$1054,4,FALSE))</f>
        <v/>
      </c>
      <c r="F48" s="40" t="str">
        <f t="shared" si="4"/>
        <v/>
      </c>
      <c r="G48" s="52">
        <f>VLOOKUP(B48,CENY!$B$11:$M$1054,12,FALSE)</f>
        <v>15.54837</v>
      </c>
      <c r="H48" s="54" t="str">
        <f t="shared" si="0"/>
        <v xml:space="preserve"> CZK</v>
      </c>
      <c r="I48" s="41" t="str">
        <f t="shared" si="1"/>
        <v/>
      </c>
      <c r="J48" s="122"/>
      <c r="K48" s="42" t="str">
        <f>VLOOKUP(B48,CENY!$B$11:$M$1054,8,FALSE)</f>
        <v xml:space="preserve"> </v>
      </c>
      <c r="L48" s="42" t="str">
        <f>VLOOKUP(B48,CENY!$B$11:$M$1054,9,FALSE)</f>
        <v>396633</v>
      </c>
      <c r="M48" s="32"/>
      <c r="N48" s="35">
        <f t="shared" si="5"/>
        <v>0</v>
      </c>
      <c r="O48" s="36">
        <v>0</v>
      </c>
      <c r="P48" s="32"/>
      <c r="Q48" s="325">
        <f>'AVT101'!BI25</f>
        <v>0</v>
      </c>
      <c r="R48" s="32"/>
      <c r="S48" s="325">
        <f>'AVT139'!BI25</f>
        <v>0</v>
      </c>
      <c r="T48" s="32"/>
      <c r="U48" s="325">
        <f>'AVT187'!BI25</f>
        <v>0</v>
      </c>
      <c r="V48" s="32"/>
      <c r="W48" s="325">
        <f>'AVT251'!BI22</f>
        <v>0</v>
      </c>
      <c r="X48" s="32"/>
      <c r="Y48" s="325">
        <f>AVT187In!BI21</f>
        <v>0</v>
      </c>
      <c r="Z48" s="32"/>
      <c r="AA48" s="325">
        <f>'AVT101(vn-A)'!BI25</f>
        <v>0</v>
      </c>
      <c r="AB48" s="32"/>
      <c r="AC48" s="325">
        <f>'AVT139(vn-A)'!BI25</f>
        <v>0</v>
      </c>
      <c r="AD48" s="32"/>
      <c r="AE48" s="325">
        <f>'AVT187(vn-A)'!BI25</f>
        <v>0</v>
      </c>
      <c r="AF48" s="32"/>
      <c r="AG48" s="325">
        <f>'AVT187In(vn-A)'!BI21</f>
        <v>0</v>
      </c>
      <c r="AH48" s="32"/>
      <c r="AI48" s="325">
        <f>'AVT187(vn-S)'!BI25</f>
        <v>0</v>
      </c>
      <c r="AJ48" s="32"/>
      <c r="AK48" s="325">
        <f>'AVT187In(vn-S)'!BI21</f>
        <v>0</v>
      </c>
      <c r="AL48" s="32"/>
      <c r="AM48" s="32"/>
      <c r="AN48" s="32"/>
      <c r="AO48" s="325">
        <f>'AVT-celny-101+187'!BI45</f>
        <v>0</v>
      </c>
      <c r="AP48" s="32"/>
      <c r="AQ48" s="325">
        <f>'AVT-celny-139+187'!BI37</f>
        <v>0</v>
      </c>
      <c r="AR48" s="32"/>
      <c r="AS48" s="325">
        <f>'AVT-celny-2x187'!BI25</f>
        <v>0</v>
      </c>
      <c r="AT48" s="32"/>
      <c r="AU48" s="325">
        <f>'AVT-celny-2x187In'!BI21</f>
        <v>0</v>
      </c>
      <c r="AV48" s="32"/>
      <c r="AW48" s="325">
        <f>'potr-v101+187'!BI39</f>
        <v>0</v>
      </c>
      <c r="AX48" s="32"/>
      <c r="AY48" s="325">
        <f>'potr-v101+187-IL'!BI39</f>
        <v>0</v>
      </c>
      <c r="AZ48" s="32"/>
      <c r="BA48" s="32"/>
      <c r="BB48" s="32"/>
      <c r="BC48" s="32"/>
      <c r="BD48" s="32"/>
      <c r="BE48" s="32"/>
      <c r="BF48" s="32"/>
      <c r="BG48" s="32"/>
      <c r="BH48" s="32"/>
      <c r="BI48" s="32"/>
      <c r="BJ48" s="32"/>
      <c r="BK48" s="32"/>
      <c r="BL48" s="32"/>
      <c r="BM48" s="32"/>
      <c r="BN48" s="32"/>
      <c r="BO48" s="165"/>
      <c r="BP48" s="165"/>
      <c r="BQ48" s="165"/>
      <c r="BR48" s="165"/>
      <c r="BS48" s="165"/>
      <c r="BT48" s="165"/>
      <c r="BU48" s="165"/>
      <c r="BV48" s="55"/>
      <c r="BW48" s="160"/>
      <c r="BX48" s="32"/>
      <c r="BY48" s="24"/>
      <c r="BZ48" s="24"/>
      <c r="CA48" s="24"/>
      <c r="CB48" s="24"/>
      <c r="CC48" s="24"/>
      <c r="CD48" s="24"/>
      <c r="CE48" s="24"/>
    </row>
    <row r="49" spans="1:83" ht="8.1" customHeight="1">
      <c r="A49" s="4"/>
      <c r="B49" s="317"/>
      <c r="C49" s="39"/>
      <c r="D49" s="39"/>
      <c r="E49" s="56"/>
      <c r="F49" s="40"/>
      <c r="G49" s="52"/>
      <c r="H49" s="54"/>
      <c r="I49" s="41"/>
      <c r="J49" s="122"/>
      <c r="K49" s="42"/>
      <c r="L49" s="42"/>
      <c r="M49" s="32"/>
      <c r="N49" s="35"/>
      <c r="O49" s="36">
        <v>0</v>
      </c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32"/>
      <c r="AP49" s="32"/>
      <c r="AQ49" s="32"/>
      <c r="AR49" s="32"/>
      <c r="AS49" s="32"/>
      <c r="AT49" s="32"/>
      <c r="AU49" s="32"/>
      <c r="AV49" s="32"/>
      <c r="AW49" s="32"/>
      <c r="AX49" s="32"/>
      <c r="AY49" s="32"/>
      <c r="AZ49" s="32"/>
      <c r="BA49" s="32"/>
      <c r="BB49" s="32"/>
      <c r="BC49" s="32"/>
      <c r="BD49" s="32"/>
      <c r="BE49" s="32"/>
      <c r="BF49" s="32"/>
      <c r="BG49" s="32"/>
      <c r="BH49" s="32"/>
      <c r="BI49" s="32"/>
      <c r="BJ49" s="32"/>
      <c r="BK49" s="32"/>
      <c r="BL49" s="32"/>
      <c r="BM49" s="32"/>
      <c r="BN49" s="32"/>
      <c r="BO49" s="165"/>
      <c r="BP49" s="165"/>
      <c r="BQ49" s="165"/>
      <c r="BR49" s="165"/>
      <c r="BS49" s="165"/>
      <c r="BT49" s="165"/>
      <c r="BU49" s="165"/>
      <c r="BV49" s="55"/>
      <c r="BW49" s="160"/>
      <c r="BX49" s="32"/>
      <c r="BY49" s="24"/>
      <c r="BZ49" s="24"/>
      <c r="CA49" s="24"/>
      <c r="CB49" s="24"/>
      <c r="CC49" s="24"/>
      <c r="CD49" s="24"/>
      <c r="CE49" s="24"/>
    </row>
    <row r="50" spans="1:83" ht="15" customHeight="1">
      <c r="A50" s="4"/>
      <c r="B50" s="317">
        <f>IF($Q$8=$Q$7,CENY!B79,IF($Q$7=$Q$9,CENY!B97,CENY!B115))</f>
        <v>9255008</v>
      </c>
      <c r="C50" s="39" t="str">
        <f>VLOOKUP(B50,CENY!$B$11:$G$1054,2,FALSE)</f>
        <v>AvanY-bok ľavý /v101/h270/ strieborná</v>
      </c>
      <c r="D50" s="353">
        <f>VLOOKUP(B50,CENY!$B$11:$G$1054,3,FALSE)</f>
        <v>20</v>
      </c>
      <c r="E50" s="57" t="str">
        <f>IF(VLOOKUP(B50,CENY!$B$11:$G$1054,4,FALSE)=0,"",VLOOKUP(B50,CENY!$B$11:$G$1054,4,FALSE))</f>
        <v/>
      </c>
      <c r="F50" s="40" t="str">
        <f t="shared" ref="F50:F67" si="6">IF(J50&lt;&gt;"",J50,IF(N50=0,"",N50))</f>
        <v/>
      </c>
      <c r="G50" s="52">
        <f>VLOOKUP(B50,CENY!$B$11:$M$1054,12,FALSE)</f>
        <v>208.07782</v>
      </c>
      <c r="H50" s="54" t="str">
        <f t="shared" si="0"/>
        <v xml:space="preserve"> CZK</v>
      </c>
      <c r="I50" s="41" t="str">
        <f t="shared" si="1"/>
        <v/>
      </c>
      <c r="J50" s="122"/>
      <c r="K50" s="42" t="str">
        <f>VLOOKUP(B50,CENY!$B$11:$M$1054,8,FALSE)</f>
        <v xml:space="preserve"> </v>
      </c>
      <c r="L50" s="42" t="str">
        <f>VLOOKUP(B50,CENY!$B$11:$M$1054,9,FALSE)</f>
        <v>396661</v>
      </c>
      <c r="M50" s="32"/>
      <c r="N50" s="35">
        <f t="shared" ref="N50:N69" si="7">SUM(P50:BW50)</f>
        <v>0</v>
      </c>
      <c r="O50" s="36">
        <v>0</v>
      </c>
      <c r="P50" s="32"/>
      <c r="Q50" s="325">
        <f>'AVT101'!BI5</f>
        <v>0</v>
      </c>
      <c r="R50" s="32"/>
      <c r="S50" s="32"/>
      <c r="T50" s="32"/>
      <c r="U50" s="32"/>
      <c r="V50" s="32"/>
      <c r="W50" s="32"/>
      <c r="X50" s="32"/>
      <c r="Y50" s="32"/>
      <c r="Z50" s="32"/>
      <c r="AA50" s="325">
        <f>'AVT101(vn-A)'!BI5</f>
        <v>0</v>
      </c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  <c r="AO50" s="325">
        <f>'AVT-celny-101+187'!BI5</f>
        <v>0</v>
      </c>
      <c r="AP50" s="32"/>
      <c r="AQ50" s="32"/>
      <c r="AR50" s="32"/>
      <c r="AS50" s="32"/>
      <c r="AT50" s="32"/>
      <c r="AU50" s="32"/>
      <c r="AV50" s="32"/>
      <c r="AW50" s="32"/>
      <c r="AX50" s="32"/>
      <c r="AY50" s="32"/>
      <c r="AZ50" s="32"/>
      <c r="BA50" s="32"/>
      <c r="BB50" s="32"/>
      <c r="BC50" s="32"/>
      <c r="BD50" s="32"/>
      <c r="BE50" s="32"/>
      <c r="BF50" s="32"/>
      <c r="BG50" s="32"/>
      <c r="BH50" s="32"/>
      <c r="BI50" s="32"/>
      <c r="BJ50" s="32"/>
      <c r="BK50" s="32"/>
      <c r="BL50" s="32"/>
      <c r="BM50" s="32"/>
      <c r="BN50" s="32"/>
      <c r="BO50" s="165"/>
      <c r="BP50" s="165"/>
      <c r="BQ50" s="165"/>
      <c r="BR50" s="165"/>
      <c r="BS50" s="165"/>
      <c r="BT50" s="165"/>
      <c r="BU50" s="165"/>
      <c r="BV50" s="55"/>
      <c r="BW50" s="160"/>
      <c r="BX50" s="32"/>
      <c r="BY50" s="24"/>
      <c r="BZ50" s="24"/>
      <c r="CA50" s="24"/>
      <c r="CB50" s="24"/>
      <c r="CC50" s="24"/>
      <c r="CD50" s="24"/>
      <c r="CE50" s="24"/>
    </row>
    <row r="51" spans="1:83" ht="15" customHeight="1">
      <c r="A51" s="4"/>
      <c r="B51" s="317">
        <f>IF($Q$8=$Q$7,CENY!B80,IF($Q$7=$Q$9,CENY!B98,CENY!B116))</f>
        <v>9255009</v>
      </c>
      <c r="C51" s="39" t="str">
        <f>VLOOKUP(B51,CENY!$B$11:$G$1054,2,FALSE)</f>
        <v>AvanY-bok pravý /v101/h270/ strieborná</v>
      </c>
      <c r="D51" s="353">
        <f>VLOOKUP(B51,CENY!$B$11:$G$1054,3,FALSE)</f>
        <v>20</v>
      </c>
      <c r="E51" s="57" t="str">
        <f>IF(VLOOKUP(B51,CENY!$B$11:$G$1054,4,FALSE)=0,"",VLOOKUP(B51,CENY!$B$11:$G$1054,4,FALSE))</f>
        <v/>
      </c>
      <c r="F51" s="40" t="str">
        <f t="shared" si="6"/>
        <v/>
      </c>
      <c r="G51" s="52">
        <f>VLOOKUP(B51,CENY!$B$11:$M$1054,12,FALSE)</f>
        <v>208.07782</v>
      </c>
      <c r="H51" s="54" t="str">
        <f t="shared" si="0"/>
        <v xml:space="preserve"> CZK</v>
      </c>
      <c r="I51" s="41" t="str">
        <f t="shared" si="1"/>
        <v/>
      </c>
      <c r="J51" s="122"/>
      <c r="K51" s="42" t="str">
        <f>VLOOKUP(B51,CENY!$B$11:$M$1054,8,FALSE)</f>
        <v xml:space="preserve"> </v>
      </c>
      <c r="L51" s="42" t="str">
        <f>VLOOKUP(B51,CENY!$B$11:$M$1054,9,FALSE)</f>
        <v>396662</v>
      </c>
      <c r="M51" s="32"/>
      <c r="N51" s="35">
        <f t="shared" si="7"/>
        <v>0</v>
      </c>
      <c r="O51" s="36">
        <v>0</v>
      </c>
      <c r="P51" s="32"/>
      <c r="Q51" s="325">
        <f>'AVT101'!BI6</f>
        <v>0</v>
      </c>
      <c r="R51" s="32"/>
      <c r="S51" s="32"/>
      <c r="T51" s="32"/>
      <c r="U51" s="32"/>
      <c r="V51" s="32"/>
      <c r="W51" s="32"/>
      <c r="X51" s="32"/>
      <c r="Y51" s="32"/>
      <c r="Z51" s="32"/>
      <c r="AA51" s="325">
        <f>'AVT101(vn-A)'!BI6</f>
        <v>0</v>
      </c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5">
        <f>'AVT-celny-101+187'!BI6</f>
        <v>0</v>
      </c>
      <c r="AP51" s="32"/>
      <c r="AQ51" s="32"/>
      <c r="AR51" s="32"/>
      <c r="AS51" s="32"/>
      <c r="AT51" s="32"/>
      <c r="AU51" s="32"/>
      <c r="AV51" s="32"/>
      <c r="AW51" s="32"/>
      <c r="AX51" s="32"/>
      <c r="AY51" s="32"/>
      <c r="AZ51" s="32"/>
      <c r="BA51" s="32"/>
      <c r="BB51" s="32"/>
      <c r="BC51" s="32"/>
      <c r="BD51" s="32"/>
      <c r="BE51" s="32"/>
      <c r="BF51" s="32"/>
      <c r="BG51" s="32"/>
      <c r="BH51" s="32"/>
      <c r="BI51" s="32"/>
      <c r="BJ51" s="32"/>
      <c r="BK51" s="32"/>
      <c r="BL51" s="32"/>
      <c r="BM51" s="32"/>
      <c r="BN51" s="32"/>
      <c r="BO51" s="165"/>
      <c r="BP51" s="165"/>
      <c r="BQ51" s="165"/>
      <c r="BR51" s="165"/>
      <c r="BS51" s="165"/>
      <c r="BT51" s="165"/>
      <c r="BU51" s="165"/>
      <c r="BV51" s="55"/>
      <c r="BW51" s="160"/>
      <c r="BX51" s="32"/>
      <c r="BY51" s="24"/>
      <c r="BZ51" s="24"/>
      <c r="CA51" s="24"/>
      <c r="CB51" s="24"/>
      <c r="CC51" s="24"/>
      <c r="CD51" s="24"/>
      <c r="CE51" s="24"/>
    </row>
    <row r="52" spans="1:83" ht="15" customHeight="1">
      <c r="A52" s="4"/>
      <c r="B52" s="317">
        <f>IF($Q$8=$Q$7,CENY!B81,IF($Q$7=$Q$9,CENY!B99,CENY!B117))</f>
        <v>9255010</v>
      </c>
      <c r="C52" s="39" t="str">
        <f>VLOOKUP(B52,CENY!$B$11:$G$1054,2,FALSE)</f>
        <v>AvanY-bok ľavý /v101/h300/ strieborná</v>
      </c>
      <c r="D52" s="353">
        <f>VLOOKUP(B52,CENY!$B$11:$G$1054,3,FALSE)</f>
        <v>20</v>
      </c>
      <c r="E52" s="57" t="str">
        <f>IF(VLOOKUP(B52,CENY!$B$11:$G$1054,4,FALSE)=0,"",VLOOKUP(B52,CENY!$B$11:$G$1054,4,FALSE))</f>
        <v/>
      </c>
      <c r="F52" s="40" t="str">
        <f t="shared" si="6"/>
        <v/>
      </c>
      <c r="G52" s="52">
        <f>VLOOKUP(B52,CENY!$B$11:$M$1054,12,FALSE)</f>
        <v>210.40101000000001</v>
      </c>
      <c r="H52" s="54" t="str">
        <f t="shared" si="0"/>
        <v xml:space="preserve"> CZK</v>
      </c>
      <c r="I52" s="41" t="str">
        <f t="shared" si="1"/>
        <v/>
      </c>
      <c r="J52" s="122"/>
      <c r="K52" s="42" t="str">
        <f>VLOOKUP(B52,CENY!$B$11:$M$1054,8,FALSE)</f>
        <v xml:space="preserve"> </v>
      </c>
      <c r="L52" s="42" t="str">
        <f>VLOOKUP(B52,CENY!$B$11:$M$1054,9,FALSE)</f>
        <v>396663</v>
      </c>
      <c r="M52" s="32"/>
      <c r="N52" s="35">
        <f t="shared" si="7"/>
        <v>0</v>
      </c>
      <c r="O52" s="36">
        <v>0</v>
      </c>
      <c r="P52" s="32"/>
      <c r="Q52" s="325">
        <f>'AVT101'!BI7</f>
        <v>0</v>
      </c>
      <c r="R52" s="32"/>
      <c r="S52" s="32"/>
      <c r="T52" s="32"/>
      <c r="U52" s="32"/>
      <c r="V52" s="32"/>
      <c r="W52" s="32"/>
      <c r="X52" s="32"/>
      <c r="Y52" s="32"/>
      <c r="Z52" s="32"/>
      <c r="AA52" s="325">
        <f>'AVT101(vn-A)'!BI7</f>
        <v>0</v>
      </c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O52" s="325">
        <f>'AVT-celny-101+187'!BI7</f>
        <v>0</v>
      </c>
      <c r="AP52" s="32"/>
      <c r="AQ52" s="32"/>
      <c r="AR52" s="32"/>
      <c r="AS52" s="32"/>
      <c r="AT52" s="32"/>
      <c r="AU52" s="32"/>
      <c r="AV52" s="32"/>
      <c r="AW52" s="32"/>
      <c r="AX52" s="32"/>
      <c r="AY52" s="32"/>
      <c r="AZ52" s="32"/>
      <c r="BA52" s="32"/>
      <c r="BB52" s="32"/>
      <c r="BC52" s="32"/>
      <c r="BD52" s="32"/>
      <c r="BE52" s="32"/>
      <c r="BF52" s="32"/>
      <c r="BG52" s="32"/>
      <c r="BH52" s="32"/>
      <c r="BI52" s="32"/>
      <c r="BJ52" s="32"/>
      <c r="BK52" s="32"/>
      <c r="BL52" s="32"/>
      <c r="BM52" s="32"/>
      <c r="BN52" s="32"/>
      <c r="BO52" s="165"/>
      <c r="BP52" s="165"/>
      <c r="BQ52" s="165"/>
      <c r="BR52" s="165"/>
      <c r="BS52" s="165"/>
      <c r="BT52" s="165"/>
      <c r="BU52" s="165"/>
      <c r="BV52" s="55"/>
      <c r="BW52" s="160"/>
      <c r="BX52" s="32"/>
      <c r="BY52" s="24"/>
      <c r="BZ52" s="24"/>
      <c r="CA52" s="24"/>
      <c r="CB52" s="24"/>
      <c r="CC52" s="24"/>
      <c r="CD52" s="24"/>
      <c r="CE52" s="24"/>
    </row>
    <row r="53" spans="1:83" ht="15" customHeight="1">
      <c r="A53" s="4"/>
      <c r="B53" s="317">
        <f>IF($Q$8=$Q$7,CENY!B82,IF($Q$7=$Q$9,CENY!B100,CENY!B118))</f>
        <v>9255011</v>
      </c>
      <c r="C53" s="39" t="str">
        <f>VLOOKUP(B53,CENY!$B$11:$G$1054,2,FALSE)</f>
        <v>AvanY-bok pravý /v101/h300/ strieborná</v>
      </c>
      <c r="D53" s="353">
        <f>VLOOKUP(B53,CENY!$B$11:$G$1054,3,FALSE)</f>
        <v>20</v>
      </c>
      <c r="E53" s="57" t="str">
        <f>IF(VLOOKUP(B53,CENY!$B$11:$G$1054,4,FALSE)=0,"",VLOOKUP(B53,CENY!$B$11:$G$1054,4,FALSE))</f>
        <v/>
      </c>
      <c r="F53" s="40" t="str">
        <f t="shared" si="6"/>
        <v/>
      </c>
      <c r="G53" s="52">
        <f>VLOOKUP(B53,CENY!$B$11:$M$1054,12,FALSE)</f>
        <v>210.40101000000001</v>
      </c>
      <c r="H53" s="54" t="str">
        <f t="shared" si="0"/>
        <v xml:space="preserve"> CZK</v>
      </c>
      <c r="I53" s="41" t="str">
        <f t="shared" si="1"/>
        <v/>
      </c>
      <c r="J53" s="122"/>
      <c r="K53" s="42" t="str">
        <f>VLOOKUP(B53,CENY!$B$11:$M$1054,8,FALSE)</f>
        <v xml:space="preserve"> </v>
      </c>
      <c r="L53" s="42" t="str">
        <f>VLOOKUP(B53,CENY!$B$11:$M$1054,9,FALSE)</f>
        <v>396664</v>
      </c>
      <c r="M53" s="32"/>
      <c r="N53" s="35">
        <f t="shared" si="7"/>
        <v>0</v>
      </c>
      <c r="O53" s="36">
        <v>0</v>
      </c>
      <c r="P53" s="32"/>
      <c r="Q53" s="325">
        <f>'AVT101'!BI8</f>
        <v>0</v>
      </c>
      <c r="R53" s="32"/>
      <c r="S53" s="32"/>
      <c r="T53" s="32"/>
      <c r="U53" s="32"/>
      <c r="V53" s="32"/>
      <c r="W53" s="32"/>
      <c r="X53" s="32"/>
      <c r="Y53" s="32"/>
      <c r="Z53" s="32"/>
      <c r="AA53" s="325">
        <f>'AVT101(vn-A)'!BI8</f>
        <v>0</v>
      </c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O53" s="325">
        <f>'AVT-celny-101+187'!BI8</f>
        <v>0</v>
      </c>
      <c r="AP53" s="32"/>
      <c r="AQ53" s="32"/>
      <c r="AR53" s="32"/>
      <c r="AS53" s="32"/>
      <c r="AT53" s="32"/>
      <c r="AU53" s="32"/>
      <c r="AV53" s="32"/>
      <c r="AW53" s="32"/>
      <c r="AX53" s="32"/>
      <c r="AY53" s="32"/>
      <c r="AZ53" s="32"/>
      <c r="BA53" s="32"/>
      <c r="BB53" s="32"/>
      <c r="BC53" s="32"/>
      <c r="BD53" s="32"/>
      <c r="BE53" s="32"/>
      <c r="BF53" s="32"/>
      <c r="BG53" s="32"/>
      <c r="BH53" s="32"/>
      <c r="BI53" s="32"/>
      <c r="BJ53" s="32"/>
      <c r="BK53" s="32"/>
      <c r="BL53" s="32"/>
      <c r="BM53" s="32"/>
      <c r="BN53" s="32"/>
      <c r="BO53" s="165"/>
      <c r="BP53" s="165"/>
      <c r="BQ53" s="165"/>
      <c r="BR53" s="165"/>
      <c r="BS53" s="165"/>
      <c r="BT53" s="165"/>
      <c r="BU53" s="165"/>
      <c r="BV53" s="55"/>
      <c r="BW53" s="160"/>
      <c r="BX53" s="32"/>
      <c r="BY53" s="24"/>
      <c r="BZ53" s="24"/>
      <c r="CA53" s="24"/>
      <c r="CB53" s="24"/>
      <c r="CC53" s="24"/>
      <c r="CD53" s="24"/>
      <c r="CE53" s="24"/>
    </row>
    <row r="54" spans="1:83" ht="15" customHeight="1">
      <c r="A54" s="4"/>
      <c r="B54" s="317">
        <f>IF($Q$8=$Q$7,CENY!B83,IF($Q$7=$Q$9,CENY!B101,CENY!B119))</f>
        <v>9255012</v>
      </c>
      <c r="C54" s="39" t="str">
        <f>VLOOKUP(B54,CENY!$B$11:$G$1054,2,FALSE)</f>
        <v>AvanY-bok ľavý /v101/h350/ strieborná</v>
      </c>
      <c r="D54" s="353">
        <f>VLOOKUP(B54,CENY!$B$11:$G$1054,3,FALSE)</f>
        <v>20</v>
      </c>
      <c r="E54" s="57" t="str">
        <f>IF(VLOOKUP(B54,CENY!$B$11:$G$1054,4,FALSE)=0,"",VLOOKUP(B54,CENY!$B$11:$G$1054,4,FALSE))</f>
        <v/>
      </c>
      <c r="F54" s="40" t="str">
        <f t="shared" si="6"/>
        <v/>
      </c>
      <c r="G54" s="52">
        <f>VLOOKUP(B54,CENY!$B$11:$M$1054,12,FALSE)</f>
        <v>214.27737999999999</v>
      </c>
      <c r="H54" s="54" t="str">
        <f t="shared" si="0"/>
        <v xml:space="preserve"> CZK</v>
      </c>
      <c r="I54" s="41" t="str">
        <f t="shared" si="1"/>
        <v/>
      </c>
      <c r="J54" s="122"/>
      <c r="K54" s="42" t="str">
        <f>VLOOKUP(B54,CENY!$B$11:$M$1054,8,FALSE)</f>
        <v xml:space="preserve"> </v>
      </c>
      <c r="L54" s="42" t="str">
        <f>VLOOKUP(B54,CENY!$B$11:$M$1054,9,FALSE)</f>
        <v>396665</v>
      </c>
      <c r="M54" s="32"/>
      <c r="N54" s="35">
        <f t="shared" si="7"/>
        <v>0</v>
      </c>
      <c r="O54" s="36">
        <v>0</v>
      </c>
      <c r="P54" s="32"/>
      <c r="Q54" s="325">
        <f>'AVT101'!BI9</f>
        <v>0</v>
      </c>
      <c r="R54" s="32"/>
      <c r="S54" s="32"/>
      <c r="T54" s="32"/>
      <c r="U54" s="32"/>
      <c r="V54" s="32"/>
      <c r="W54" s="32"/>
      <c r="X54" s="32"/>
      <c r="Y54" s="32"/>
      <c r="Z54" s="32"/>
      <c r="AA54" s="325">
        <f>'AVT101(vn-A)'!BI9</f>
        <v>0</v>
      </c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  <c r="AO54" s="325">
        <f>'AVT-celny-101+187'!BI9</f>
        <v>0</v>
      </c>
      <c r="AP54" s="32"/>
      <c r="AQ54" s="32"/>
      <c r="AR54" s="32"/>
      <c r="AS54" s="32"/>
      <c r="AT54" s="32"/>
      <c r="AU54" s="32"/>
      <c r="AV54" s="32"/>
      <c r="AW54" s="32"/>
      <c r="AX54" s="32"/>
      <c r="AY54" s="32"/>
      <c r="AZ54" s="32"/>
      <c r="BA54" s="32"/>
      <c r="BB54" s="32"/>
      <c r="BC54" s="32"/>
      <c r="BD54" s="32"/>
      <c r="BE54" s="32"/>
      <c r="BF54" s="32"/>
      <c r="BG54" s="32"/>
      <c r="BH54" s="32"/>
      <c r="BI54" s="32"/>
      <c r="BJ54" s="32"/>
      <c r="BK54" s="32"/>
      <c r="BL54" s="32"/>
      <c r="BM54" s="32"/>
      <c r="BN54" s="32"/>
      <c r="BO54" s="165"/>
      <c r="BP54" s="165"/>
      <c r="BQ54" s="165"/>
      <c r="BR54" s="165"/>
      <c r="BS54" s="165"/>
      <c r="BT54" s="165"/>
      <c r="BU54" s="165"/>
      <c r="BV54" s="55"/>
      <c r="BW54" s="160"/>
      <c r="BX54" s="32"/>
      <c r="BY54" s="24"/>
      <c r="BZ54" s="24"/>
      <c r="CA54" s="24"/>
      <c r="CB54" s="24"/>
      <c r="CC54" s="24"/>
      <c r="CD54" s="24"/>
      <c r="CE54" s="24"/>
    </row>
    <row r="55" spans="1:83" ht="15" customHeight="1">
      <c r="A55" s="4"/>
      <c r="B55" s="317">
        <f>IF($Q$8=$Q$7,CENY!B84,IF($Q$7=$Q$9,CENY!B102,CENY!B120))</f>
        <v>9255013</v>
      </c>
      <c r="C55" s="39" t="str">
        <f>VLOOKUP(B55,CENY!$B$11:$G$1054,2,FALSE)</f>
        <v>AvanY-bok pravý /v101/h350/ strieborná</v>
      </c>
      <c r="D55" s="353">
        <f>VLOOKUP(B55,CENY!$B$11:$G$1054,3,FALSE)</f>
        <v>20</v>
      </c>
      <c r="E55" s="57" t="str">
        <f>IF(VLOOKUP(B55,CENY!$B$11:$G$1054,4,FALSE)=0,"",VLOOKUP(B55,CENY!$B$11:$G$1054,4,FALSE))</f>
        <v/>
      </c>
      <c r="F55" s="40" t="str">
        <f t="shared" si="6"/>
        <v/>
      </c>
      <c r="G55" s="52">
        <f>VLOOKUP(B55,CENY!$B$11:$M$1054,12,FALSE)</f>
        <v>214.27737999999999</v>
      </c>
      <c r="H55" s="54" t="str">
        <f t="shared" si="0"/>
        <v xml:space="preserve"> CZK</v>
      </c>
      <c r="I55" s="41" t="str">
        <f t="shared" si="1"/>
        <v/>
      </c>
      <c r="J55" s="122"/>
      <c r="K55" s="42" t="str">
        <f>VLOOKUP(B55,CENY!$B$11:$M$1054,8,FALSE)</f>
        <v xml:space="preserve"> </v>
      </c>
      <c r="L55" s="42" t="str">
        <f>VLOOKUP(B55,CENY!$B$11:$M$1054,9,FALSE)</f>
        <v>396666</v>
      </c>
      <c r="M55" s="32"/>
      <c r="N55" s="35">
        <f t="shared" si="7"/>
        <v>0</v>
      </c>
      <c r="O55" s="36">
        <v>0</v>
      </c>
      <c r="P55" s="32"/>
      <c r="Q55" s="325">
        <f>'AVT101'!BI10</f>
        <v>0</v>
      </c>
      <c r="R55" s="32"/>
      <c r="S55" s="32"/>
      <c r="T55" s="32"/>
      <c r="U55" s="32"/>
      <c r="V55" s="32"/>
      <c r="W55" s="32"/>
      <c r="X55" s="32"/>
      <c r="Y55" s="32"/>
      <c r="Z55" s="32"/>
      <c r="AA55" s="325">
        <f>'AVT101(vn-A)'!BI10</f>
        <v>0</v>
      </c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325">
        <f>'AVT-celny-101+187'!BI10</f>
        <v>0</v>
      </c>
      <c r="AP55" s="32"/>
      <c r="AQ55" s="32"/>
      <c r="AR55" s="32"/>
      <c r="AS55" s="32"/>
      <c r="AT55" s="32"/>
      <c r="AU55" s="32"/>
      <c r="AV55" s="32"/>
      <c r="AW55" s="32"/>
      <c r="AX55" s="32"/>
      <c r="AY55" s="32"/>
      <c r="AZ55" s="32"/>
      <c r="BA55" s="32"/>
      <c r="BB55" s="32"/>
      <c r="BC55" s="32"/>
      <c r="BD55" s="32"/>
      <c r="BE55" s="32"/>
      <c r="BF55" s="32"/>
      <c r="BG55" s="32"/>
      <c r="BH55" s="32"/>
      <c r="BI55" s="32"/>
      <c r="BJ55" s="32"/>
      <c r="BK55" s="32"/>
      <c r="BL55" s="32"/>
      <c r="BM55" s="32"/>
      <c r="BN55" s="32"/>
      <c r="BO55" s="165"/>
      <c r="BP55" s="165"/>
      <c r="BQ55" s="165"/>
      <c r="BR55" s="165"/>
      <c r="BS55" s="165"/>
      <c r="BT55" s="165"/>
      <c r="BU55" s="165"/>
      <c r="BV55" s="55"/>
      <c r="BW55" s="160"/>
      <c r="BX55" s="32"/>
      <c r="BY55" s="24"/>
      <c r="BZ55" s="24"/>
      <c r="CA55" s="24"/>
      <c r="CB55" s="24"/>
      <c r="CC55" s="24"/>
      <c r="CD55" s="24"/>
      <c r="CE55" s="24"/>
    </row>
    <row r="56" spans="1:83" ht="15" customHeight="1">
      <c r="A56" s="4"/>
      <c r="B56" s="317">
        <f>IF($Q$8=$Q$7,CENY!B85,IF($Q$7=$Q$9,CENY!B103,CENY!B121))</f>
        <v>9255014</v>
      </c>
      <c r="C56" s="39" t="str">
        <f>VLOOKUP(B56,CENY!$B$11:$G$1054,2,FALSE)</f>
        <v>AvanY-bok ľavý /v101/h400/ strieborná</v>
      </c>
      <c r="D56" s="353">
        <f>VLOOKUP(B56,CENY!$B$11:$G$1054,3,FALSE)</f>
        <v>20</v>
      </c>
      <c r="E56" s="57" t="str">
        <f>IF(VLOOKUP(B56,CENY!$B$11:$G$1054,4,FALSE)=0,"",VLOOKUP(B56,CENY!$B$11:$G$1054,4,FALSE))</f>
        <v/>
      </c>
      <c r="F56" s="40" t="str">
        <f t="shared" si="6"/>
        <v/>
      </c>
      <c r="G56" s="52">
        <f>VLOOKUP(B56,CENY!$B$11:$M$1054,12,FALSE)</f>
        <v>218.14608000000001</v>
      </c>
      <c r="H56" s="54" t="str">
        <f t="shared" si="0"/>
        <v xml:space="preserve"> CZK</v>
      </c>
      <c r="I56" s="41" t="str">
        <f t="shared" si="1"/>
        <v/>
      </c>
      <c r="J56" s="122"/>
      <c r="K56" s="42" t="str">
        <f>VLOOKUP(B56,CENY!$B$11:$M$1054,8,FALSE)</f>
        <v xml:space="preserve"> </v>
      </c>
      <c r="L56" s="42" t="str">
        <f>VLOOKUP(B56,CENY!$B$11:$M$1054,9,FALSE)</f>
        <v>396667</v>
      </c>
      <c r="M56" s="32"/>
      <c r="N56" s="35">
        <f t="shared" si="7"/>
        <v>0</v>
      </c>
      <c r="O56" s="36">
        <v>0</v>
      </c>
      <c r="P56" s="32"/>
      <c r="Q56" s="325">
        <f>'AVT101'!BI11</f>
        <v>0</v>
      </c>
      <c r="R56" s="32"/>
      <c r="S56" s="32"/>
      <c r="T56" s="32"/>
      <c r="U56" s="32"/>
      <c r="V56" s="32"/>
      <c r="W56" s="32"/>
      <c r="X56" s="32"/>
      <c r="Y56" s="32"/>
      <c r="Z56" s="32"/>
      <c r="AA56" s="325">
        <f>'AVT101(vn-A)'!BI11</f>
        <v>0</v>
      </c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5">
        <f>'AVT-celny-101+187'!BI11</f>
        <v>0</v>
      </c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32"/>
      <c r="BA56" s="32"/>
      <c r="BB56" s="32"/>
      <c r="BC56" s="32"/>
      <c r="BD56" s="32"/>
      <c r="BE56" s="32"/>
      <c r="BF56" s="32"/>
      <c r="BG56" s="32"/>
      <c r="BH56" s="32"/>
      <c r="BI56" s="32"/>
      <c r="BJ56" s="32"/>
      <c r="BK56" s="32"/>
      <c r="BL56" s="32"/>
      <c r="BM56" s="32"/>
      <c r="BN56" s="32"/>
      <c r="BO56" s="165"/>
      <c r="BP56" s="165"/>
      <c r="BQ56" s="165"/>
      <c r="BR56" s="165"/>
      <c r="BS56" s="165"/>
      <c r="BT56" s="165"/>
      <c r="BU56" s="165"/>
      <c r="BV56" s="55"/>
      <c r="BW56" s="160"/>
      <c r="BX56" s="32"/>
      <c r="BY56" s="24"/>
      <c r="BZ56" s="24"/>
      <c r="CA56" s="24"/>
      <c r="CB56" s="24"/>
      <c r="CC56" s="24"/>
      <c r="CD56" s="24"/>
      <c r="CE56" s="24"/>
    </row>
    <row r="57" spans="1:83" ht="15" customHeight="1">
      <c r="A57" s="4"/>
      <c r="B57" s="317">
        <f>IF($Q$8=$Q$7,CENY!B86,IF($Q$7=$Q$9,CENY!B104,CENY!B122))</f>
        <v>9255015</v>
      </c>
      <c r="C57" s="39" t="str">
        <f>VLOOKUP(B57,CENY!$B$11:$G$1054,2,FALSE)</f>
        <v>AvanY-bok pravý /v101/h400/ strieborná</v>
      </c>
      <c r="D57" s="353">
        <f>VLOOKUP(B57,CENY!$B$11:$G$1054,3,FALSE)</f>
        <v>20</v>
      </c>
      <c r="E57" s="57" t="str">
        <f>IF(VLOOKUP(B57,CENY!$B$11:$G$1054,4,FALSE)=0,"",VLOOKUP(B57,CENY!$B$11:$G$1054,4,FALSE))</f>
        <v/>
      </c>
      <c r="F57" s="40" t="str">
        <f t="shared" si="6"/>
        <v/>
      </c>
      <c r="G57" s="52">
        <f>VLOOKUP(B57,CENY!$B$11:$M$1054,12,FALSE)</f>
        <v>218.14608000000001</v>
      </c>
      <c r="H57" s="54" t="str">
        <f t="shared" si="0"/>
        <v xml:space="preserve"> CZK</v>
      </c>
      <c r="I57" s="41" t="str">
        <f t="shared" si="1"/>
        <v/>
      </c>
      <c r="J57" s="122"/>
      <c r="K57" s="42" t="str">
        <f>VLOOKUP(B57,CENY!$B$11:$M$1054,8,FALSE)</f>
        <v xml:space="preserve"> </v>
      </c>
      <c r="L57" s="42" t="str">
        <f>VLOOKUP(B57,CENY!$B$11:$M$1054,9,FALSE)</f>
        <v>396668</v>
      </c>
      <c r="M57" s="32"/>
      <c r="N57" s="35">
        <f t="shared" si="7"/>
        <v>0</v>
      </c>
      <c r="O57" s="36">
        <v>0</v>
      </c>
      <c r="P57" s="32"/>
      <c r="Q57" s="325">
        <f>'AVT101'!BI12</f>
        <v>0</v>
      </c>
      <c r="R57" s="32"/>
      <c r="S57" s="32"/>
      <c r="T57" s="32"/>
      <c r="U57" s="32"/>
      <c r="V57" s="32"/>
      <c r="W57" s="32"/>
      <c r="X57" s="32"/>
      <c r="Y57" s="32"/>
      <c r="Z57" s="32"/>
      <c r="AA57" s="325">
        <f>'AVT101(vn-A)'!BI12</f>
        <v>0</v>
      </c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5">
        <f>'AVT-celny-101+187'!BI12</f>
        <v>0</v>
      </c>
      <c r="AP57" s="32"/>
      <c r="AQ57" s="32"/>
      <c r="AR57" s="32"/>
      <c r="AS57" s="32"/>
      <c r="AT57" s="32"/>
      <c r="AU57" s="32"/>
      <c r="AV57" s="32"/>
      <c r="AW57" s="32"/>
      <c r="AX57" s="32"/>
      <c r="AY57" s="32"/>
      <c r="AZ57" s="32"/>
      <c r="BA57" s="32"/>
      <c r="BB57" s="32"/>
      <c r="BC57" s="32"/>
      <c r="BD57" s="32"/>
      <c r="BE57" s="32"/>
      <c r="BF57" s="32"/>
      <c r="BG57" s="32"/>
      <c r="BH57" s="32"/>
      <c r="BI57" s="32"/>
      <c r="BJ57" s="32"/>
      <c r="BK57" s="32"/>
      <c r="BL57" s="32"/>
      <c r="BM57" s="32"/>
      <c r="BN57" s="32"/>
      <c r="BO57" s="165"/>
      <c r="BP57" s="165"/>
      <c r="BQ57" s="165"/>
      <c r="BR57" s="165"/>
      <c r="BS57" s="165"/>
      <c r="BT57" s="165"/>
      <c r="BU57" s="165"/>
      <c r="BV57" s="55"/>
      <c r="BW57" s="160"/>
      <c r="BX57" s="32"/>
      <c r="BY57" s="24"/>
      <c r="BZ57" s="24"/>
      <c r="CA57" s="24"/>
      <c r="CB57" s="24"/>
      <c r="CC57" s="24"/>
      <c r="CD57" s="24"/>
      <c r="CE57" s="24"/>
    </row>
    <row r="58" spans="1:83" ht="15" customHeight="1">
      <c r="A58" s="4"/>
      <c r="B58" s="317">
        <f>IF($Q$8=$Q$7,CENY!B87,IF($Q$7=$Q$9,CENY!B105,CENY!B123))</f>
        <v>9255016</v>
      </c>
      <c r="C58" s="39" t="str">
        <f>VLOOKUP(B58,CENY!$B$11:$G$1054,2,FALSE)</f>
        <v>AvanY-bok ľavý /v101/h450/ strieborná</v>
      </c>
      <c r="D58" s="353">
        <f>VLOOKUP(B58,CENY!$B$11:$G$1054,3,FALSE)</f>
        <v>20</v>
      </c>
      <c r="E58" s="57" t="str">
        <f>IF(VLOOKUP(B58,CENY!$B$11:$G$1054,4,FALSE)=0,"",VLOOKUP(B58,CENY!$B$11:$G$1054,4,FALSE))</f>
        <v/>
      </c>
      <c r="F58" s="40" t="str">
        <f t="shared" si="6"/>
        <v/>
      </c>
      <c r="G58" s="52">
        <f>VLOOKUP(B58,CENY!$B$11:$M$1054,12,FALSE)</f>
        <v>222.02244999999999</v>
      </c>
      <c r="H58" s="54" t="str">
        <f t="shared" si="0"/>
        <v xml:space="preserve"> CZK</v>
      </c>
      <c r="I58" s="41" t="str">
        <f t="shared" si="1"/>
        <v/>
      </c>
      <c r="J58" s="122"/>
      <c r="K58" s="42" t="str">
        <f>VLOOKUP(B58,CENY!$B$11:$M$1054,8,FALSE)</f>
        <v xml:space="preserve"> </v>
      </c>
      <c r="L58" s="42" t="str">
        <f>VLOOKUP(B58,CENY!$B$11:$M$1054,9,FALSE)</f>
        <v>396669</v>
      </c>
      <c r="M58" s="32"/>
      <c r="N58" s="35">
        <f t="shared" si="7"/>
        <v>0</v>
      </c>
      <c r="O58" s="36">
        <v>0</v>
      </c>
      <c r="P58" s="32"/>
      <c r="Q58" s="325">
        <f>'AVT101'!BI13</f>
        <v>0</v>
      </c>
      <c r="R58" s="32"/>
      <c r="S58" s="32"/>
      <c r="T58" s="32"/>
      <c r="U58" s="32"/>
      <c r="V58" s="32"/>
      <c r="W58" s="32"/>
      <c r="X58" s="32"/>
      <c r="Y58" s="32"/>
      <c r="Z58" s="32"/>
      <c r="AA58" s="325">
        <f>'AVT101(vn-A)'!BI13</f>
        <v>0</v>
      </c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5">
        <f>'AVT-celny-101+187'!BI13</f>
        <v>0</v>
      </c>
      <c r="AP58" s="32"/>
      <c r="AQ58" s="32"/>
      <c r="AR58" s="32"/>
      <c r="AS58" s="32"/>
      <c r="AT58" s="32"/>
      <c r="AU58" s="32"/>
      <c r="AV58" s="32"/>
      <c r="AW58" s="325">
        <f>'potr-v101+187'!BI13</f>
        <v>0</v>
      </c>
      <c r="AX58" s="32"/>
      <c r="AY58" s="325">
        <f>'potr-v101+187-IL'!BI13</f>
        <v>0</v>
      </c>
      <c r="AZ58" s="32"/>
      <c r="BA58" s="32"/>
      <c r="BB58" s="32"/>
      <c r="BC58" s="32"/>
      <c r="BD58" s="32"/>
      <c r="BE58" s="32"/>
      <c r="BF58" s="32"/>
      <c r="BG58" s="32"/>
      <c r="BH58" s="32"/>
      <c r="BI58" s="32"/>
      <c r="BJ58" s="32"/>
      <c r="BK58" s="32"/>
      <c r="BL58" s="32"/>
      <c r="BM58" s="32"/>
      <c r="BN58" s="32"/>
      <c r="BO58" s="165"/>
      <c r="BP58" s="165"/>
      <c r="BQ58" s="165"/>
      <c r="BR58" s="165"/>
      <c r="BS58" s="165"/>
      <c r="BT58" s="165"/>
      <c r="BU58" s="165"/>
      <c r="BV58" s="55"/>
      <c r="BW58" s="160"/>
      <c r="BX58" s="32"/>
      <c r="BY58" s="24"/>
      <c r="BZ58" s="24"/>
      <c r="CA58" s="24"/>
      <c r="CB58" s="24"/>
      <c r="CC58" s="24"/>
      <c r="CD58" s="24"/>
      <c r="CE58" s="24"/>
    </row>
    <row r="59" spans="1:83" ht="15" customHeight="1">
      <c r="A59" s="4"/>
      <c r="B59" s="317">
        <f>IF($Q$8=$Q$7,CENY!B88,IF($Q$7=$Q$9,CENY!B106,CENY!B124))</f>
        <v>9255017</v>
      </c>
      <c r="C59" s="43" t="str">
        <f>VLOOKUP(B59,CENY!$B$11:$G$1054,2,FALSE)</f>
        <v>AvanY-bok pravý /v101/h450/ strieborná</v>
      </c>
      <c r="D59" s="353">
        <f>VLOOKUP(B59,CENY!$B$11:$G$1054,3,FALSE)</f>
        <v>20</v>
      </c>
      <c r="E59" s="56" t="str">
        <f>IF(VLOOKUP(B59,CENY!$B$11:$G$1054,4,FALSE)=0,"",VLOOKUP(B59,CENY!$B$11:$G$1054,4,FALSE))</f>
        <v/>
      </c>
      <c r="F59" s="40" t="str">
        <f t="shared" si="6"/>
        <v/>
      </c>
      <c r="G59" s="52">
        <f>VLOOKUP(B59,CENY!$B$11:$M$1054,12,FALSE)</f>
        <v>222.02244999999999</v>
      </c>
      <c r="H59" s="54" t="str">
        <f t="shared" si="0"/>
        <v xml:space="preserve"> CZK</v>
      </c>
      <c r="I59" s="41" t="str">
        <f t="shared" si="1"/>
        <v/>
      </c>
      <c r="J59" s="122"/>
      <c r="K59" s="42" t="str">
        <f>VLOOKUP(B59,CENY!$B$11:$M$1054,8,FALSE)</f>
        <v xml:space="preserve"> </v>
      </c>
      <c r="L59" s="42" t="str">
        <f>VLOOKUP(B59,CENY!$B$11:$M$1054,9,FALSE)</f>
        <v>396670</v>
      </c>
      <c r="M59" s="32"/>
      <c r="N59" s="35">
        <f t="shared" si="7"/>
        <v>0</v>
      </c>
      <c r="O59" s="36">
        <v>0</v>
      </c>
      <c r="P59" s="32"/>
      <c r="Q59" s="325">
        <f>'AVT101'!BI14</f>
        <v>0</v>
      </c>
      <c r="R59" s="32"/>
      <c r="S59" s="32"/>
      <c r="T59" s="32"/>
      <c r="U59" s="32"/>
      <c r="V59" s="32"/>
      <c r="W59" s="32"/>
      <c r="X59" s="32"/>
      <c r="Y59" s="32"/>
      <c r="Z59" s="32"/>
      <c r="AA59" s="325">
        <f>'AVT101(vn-A)'!BI14</f>
        <v>0</v>
      </c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O59" s="325">
        <f>'AVT-celny-101+187'!BI14</f>
        <v>0</v>
      </c>
      <c r="AP59" s="32"/>
      <c r="AQ59" s="32"/>
      <c r="AR59" s="32"/>
      <c r="AS59" s="32"/>
      <c r="AT59" s="32"/>
      <c r="AU59" s="32"/>
      <c r="AV59" s="32"/>
      <c r="AW59" s="325">
        <f>'potr-v101+187'!BI14</f>
        <v>0</v>
      </c>
      <c r="AX59" s="32"/>
      <c r="AY59" s="325">
        <f>'potr-v101+187-IL'!BI14</f>
        <v>0</v>
      </c>
      <c r="AZ59" s="32"/>
      <c r="BA59" s="32"/>
      <c r="BB59" s="32"/>
      <c r="BC59" s="32"/>
      <c r="BD59" s="32"/>
      <c r="BE59" s="32"/>
      <c r="BF59" s="32"/>
      <c r="BG59" s="32"/>
      <c r="BH59" s="32"/>
      <c r="BI59" s="32"/>
      <c r="BJ59" s="32"/>
      <c r="BK59" s="32"/>
      <c r="BL59" s="32"/>
      <c r="BM59" s="32"/>
      <c r="BN59" s="32"/>
      <c r="BO59" s="165"/>
      <c r="BP59" s="165"/>
      <c r="BQ59" s="165"/>
      <c r="BR59" s="165"/>
      <c r="BS59" s="165"/>
      <c r="BT59" s="165"/>
      <c r="BU59" s="165"/>
      <c r="BV59" s="55"/>
      <c r="BW59" s="160"/>
      <c r="BX59" s="32"/>
      <c r="BY59" s="24"/>
      <c r="BZ59" s="24"/>
      <c r="CA59" s="24"/>
      <c r="CB59" s="24"/>
      <c r="CC59" s="24"/>
      <c r="CD59" s="24"/>
      <c r="CE59" s="24"/>
    </row>
    <row r="60" spans="1:83" ht="15" customHeight="1">
      <c r="A60" s="4"/>
      <c r="B60" s="317">
        <f>IF($Q$8=$Q$7,CENY!B89,IF($Q$7=$Q$9,CENY!B107,CENY!B125))</f>
        <v>9255018</v>
      </c>
      <c r="C60" s="43" t="str">
        <f>VLOOKUP(B60,CENY!$B$11:$G$1054,2,FALSE)</f>
        <v>AvanY-bok ľavý /v101/h500/ strieborná</v>
      </c>
      <c r="D60" s="353">
        <f>VLOOKUP(B60,CENY!$B$11:$G$1054,3,FALSE)</f>
        <v>20</v>
      </c>
      <c r="E60" s="56" t="str">
        <f>IF(VLOOKUP(B60,CENY!$B$11:$G$1054,4,FALSE)=0,"",VLOOKUP(B60,CENY!$B$11:$G$1054,4,FALSE))</f>
        <v/>
      </c>
      <c r="F60" s="40" t="str">
        <f t="shared" si="6"/>
        <v/>
      </c>
      <c r="G60" s="52">
        <f>VLOOKUP(B60,CENY!$B$11:$M$1054,12,FALSE)</f>
        <v>219.88341</v>
      </c>
      <c r="H60" s="54" t="str">
        <f t="shared" si="0"/>
        <v xml:space="preserve"> CZK</v>
      </c>
      <c r="I60" s="41" t="str">
        <f t="shared" si="1"/>
        <v/>
      </c>
      <c r="J60" s="122"/>
      <c r="K60" s="42" t="str">
        <f>VLOOKUP(B60,CENY!$B$11:$M$1054,8,FALSE)</f>
        <v xml:space="preserve"> </v>
      </c>
      <c r="L60" s="42" t="str">
        <f>VLOOKUP(B60,CENY!$B$11:$M$1054,9,FALSE)</f>
        <v>396671</v>
      </c>
      <c r="M60" s="32"/>
      <c r="N60" s="35">
        <f t="shared" si="7"/>
        <v>0</v>
      </c>
      <c r="O60" s="36">
        <v>0</v>
      </c>
      <c r="P60" s="32"/>
      <c r="Q60" s="325">
        <f>'AVT101'!BI15</f>
        <v>0</v>
      </c>
      <c r="R60" s="32"/>
      <c r="S60" s="32"/>
      <c r="T60" s="32"/>
      <c r="U60" s="32"/>
      <c r="V60" s="32"/>
      <c r="W60" s="32"/>
      <c r="X60" s="32"/>
      <c r="Y60" s="32"/>
      <c r="Z60" s="32"/>
      <c r="AA60" s="325">
        <f>'AVT101(vn-A)'!BI15</f>
        <v>0</v>
      </c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5">
        <f>'AVT-celny-101+187'!BI15</f>
        <v>0</v>
      </c>
      <c r="AP60" s="32"/>
      <c r="AQ60" s="32"/>
      <c r="AR60" s="32"/>
      <c r="AS60" s="32"/>
      <c r="AT60" s="32"/>
      <c r="AU60" s="32"/>
      <c r="AV60" s="32"/>
      <c r="AW60" s="325">
        <f>'potr-v101+187'!BI15</f>
        <v>0</v>
      </c>
      <c r="AX60" s="32"/>
      <c r="AY60" s="325">
        <f>'potr-v101+187-IL'!BI15</f>
        <v>0</v>
      </c>
      <c r="AZ60" s="32"/>
      <c r="BA60" s="32"/>
      <c r="BB60" s="32"/>
      <c r="BC60" s="32"/>
      <c r="BD60" s="32"/>
      <c r="BE60" s="32"/>
      <c r="BF60" s="32"/>
      <c r="BG60" s="32"/>
      <c r="BH60" s="32"/>
      <c r="BI60" s="32"/>
      <c r="BJ60" s="32"/>
      <c r="BK60" s="32"/>
      <c r="BL60" s="32"/>
      <c r="BM60" s="32"/>
      <c r="BN60" s="32"/>
      <c r="BO60" s="165"/>
      <c r="BP60" s="165"/>
      <c r="BQ60" s="165"/>
      <c r="BR60" s="165"/>
      <c r="BS60" s="165"/>
      <c r="BT60" s="165"/>
      <c r="BU60" s="165"/>
      <c r="BV60" s="55"/>
      <c r="BW60" s="160"/>
      <c r="BX60" s="32"/>
      <c r="BY60" s="24"/>
      <c r="BZ60" s="24"/>
      <c r="CA60" s="24"/>
      <c r="CB60" s="24"/>
      <c r="CC60" s="24"/>
      <c r="CD60" s="24"/>
      <c r="CE60" s="24"/>
    </row>
    <row r="61" spans="1:83" ht="15" customHeight="1">
      <c r="A61" s="4"/>
      <c r="B61" s="317">
        <f>IF($Q$8=$Q$7,CENY!B90,IF($Q$7=$Q$9,CENY!B108,CENY!B126))</f>
        <v>9255019</v>
      </c>
      <c r="C61" s="43" t="str">
        <f>VLOOKUP(B61,CENY!$B$11:$G$1054,2,FALSE)</f>
        <v>AvanY-bok pravý /v101/h500/ strieborná</v>
      </c>
      <c r="D61" s="353">
        <f>VLOOKUP(B61,CENY!$B$11:$G$1054,3,FALSE)</f>
        <v>20</v>
      </c>
      <c r="E61" s="56" t="str">
        <f>IF(VLOOKUP(B61,CENY!$B$11:$G$1054,4,FALSE)=0,"",VLOOKUP(B61,CENY!$B$11:$G$1054,4,FALSE))</f>
        <v/>
      </c>
      <c r="F61" s="40" t="str">
        <f t="shared" si="6"/>
        <v/>
      </c>
      <c r="G61" s="52">
        <f>VLOOKUP(B61,CENY!$B$11:$M$1054,12,FALSE)</f>
        <v>219.88341</v>
      </c>
      <c r="H61" s="54" t="str">
        <f t="shared" si="0"/>
        <v xml:space="preserve"> CZK</v>
      </c>
      <c r="I61" s="41" t="str">
        <f t="shared" si="1"/>
        <v/>
      </c>
      <c r="J61" s="122"/>
      <c r="K61" s="42" t="str">
        <f>VLOOKUP(B61,CENY!$B$11:$M$1054,8,FALSE)</f>
        <v xml:space="preserve"> </v>
      </c>
      <c r="L61" s="42" t="str">
        <f>VLOOKUP(B61,CENY!$B$11:$M$1054,9,FALSE)</f>
        <v>396672</v>
      </c>
      <c r="M61" s="32"/>
      <c r="N61" s="35">
        <f t="shared" si="7"/>
        <v>0</v>
      </c>
      <c r="O61" s="36">
        <v>0</v>
      </c>
      <c r="P61" s="32"/>
      <c r="Q61" s="325">
        <f>'AVT101'!BI16</f>
        <v>0</v>
      </c>
      <c r="R61" s="32"/>
      <c r="S61" s="32"/>
      <c r="T61" s="32"/>
      <c r="U61" s="32"/>
      <c r="V61" s="32"/>
      <c r="W61" s="32"/>
      <c r="X61" s="32"/>
      <c r="Y61" s="32"/>
      <c r="Z61" s="32"/>
      <c r="AA61" s="325">
        <f>'AVT101(vn-A)'!BI16</f>
        <v>0</v>
      </c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5">
        <f>'AVT-celny-101+187'!BI16</f>
        <v>0</v>
      </c>
      <c r="AP61" s="32"/>
      <c r="AQ61" s="32"/>
      <c r="AR61" s="32"/>
      <c r="AS61" s="32"/>
      <c r="AT61" s="32"/>
      <c r="AU61" s="32"/>
      <c r="AV61" s="32"/>
      <c r="AW61" s="325">
        <f>'potr-v101+187'!BI16</f>
        <v>0</v>
      </c>
      <c r="AX61" s="32"/>
      <c r="AY61" s="325">
        <f>'potr-v101+187-IL'!BI16</f>
        <v>0</v>
      </c>
      <c r="AZ61" s="32"/>
      <c r="BA61" s="32"/>
      <c r="BB61" s="32"/>
      <c r="BC61" s="32"/>
      <c r="BD61" s="32"/>
      <c r="BE61" s="32"/>
      <c r="BF61" s="32"/>
      <c r="BG61" s="32"/>
      <c r="BH61" s="32"/>
      <c r="BI61" s="32"/>
      <c r="BJ61" s="32"/>
      <c r="BK61" s="32"/>
      <c r="BL61" s="32"/>
      <c r="BM61" s="32"/>
      <c r="BN61" s="32"/>
      <c r="BO61" s="165"/>
      <c r="BP61" s="165"/>
      <c r="BQ61" s="165"/>
      <c r="BR61" s="165"/>
      <c r="BS61" s="165"/>
      <c r="BT61" s="165"/>
      <c r="BU61" s="165"/>
      <c r="BV61" s="55"/>
      <c r="BW61" s="160"/>
      <c r="BX61" s="32"/>
      <c r="BY61" s="24"/>
      <c r="BZ61" s="24"/>
      <c r="CA61" s="24"/>
      <c r="CB61" s="24"/>
      <c r="CC61" s="24"/>
      <c r="CD61" s="24"/>
      <c r="CE61" s="24"/>
    </row>
    <row r="62" spans="1:83" ht="15" customHeight="1">
      <c r="A62" s="4"/>
      <c r="B62" s="317">
        <f>IF($Q$8=$Q$7,CENY!B91,IF($Q$7=$Q$9,CENY!B109,CENY!B127))</f>
        <v>9255020</v>
      </c>
      <c r="C62" s="43" t="str">
        <f>VLOOKUP(B62,CENY!$B$11:$G$1054,2,FALSE)</f>
        <v>AvanY-bok ľavý /v101/h550/ strieborná</v>
      </c>
      <c r="D62" s="353">
        <f>VLOOKUP(B62,CENY!$B$11:$G$1054,3,FALSE)</f>
        <v>20</v>
      </c>
      <c r="E62" s="56" t="str">
        <f>IF(VLOOKUP(B62,CENY!$B$11:$G$1054,4,FALSE)=0,"",VLOOKUP(B62,CENY!$B$11:$G$1054,4,FALSE))</f>
        <v/>
      </c>
      <c r="F62" s="40" t="str">
        <f t="shared" si="6"/>
        <v/>
      </c>
      <c r="G62" s="52">
        <f>VLOOKUP(B62,CENY!$B$11:$M$1054,12,FALSE)</f>
        <v>229.76492999999999</v>
      </c>
      <c r="H62" s="54" t="str">
        <f t="shared" si="0"/>
        <v xml:space="preserve"> CZK</v>
      </c>
      <c r="I62" s="41" t="str">
        <f t="shared" si="1"/>
        <v/>
      </c>
      <c r="J62" s="122"/>
      <c r="K62" s="42" t="str">
        <f>VLOOKUP(B62,CENY!$B$11:$M$1054,8,FALSE)</f>
        <v xml:space="preserve"> </v>
      </c>
      <c r="L62" s="42" t="str">
        <f>VLOOKUP(B62,CENY!$B$11:$M$1054,9,FALSE)</f>
        <v>396673</v>
      </c>
      <c r="M62" s="32"/>
      <c r="N62" s="35">
        <f t="shared" si="7"/>
        <v>0</v>
      </c>
      <c r="O62" s="36">
        <v>0</v>
      </c>
      <c r="P62" s="32"/>
      <c r="Q62" s="325">
        <f>'AVT101'!BI17</f>
        <v>0</v>
      </c>
      <c r="R62" s="32"/>
      <c r="S62" s="32"/>
      <c r="T62" s="32"/>
      <c r="U62" s="32"/>
      <c r="V62" s="32"/>
      <c r="W62" s="32"/>
      <c r="X62" s="32"/>
      <c r="Y62" s="32"/>
      <c r="Z62" s="32"/>
      <c r="AA62" s="325">
        <f>'AVT101(vn-A)'!BI17</f>
        <v>0</v>
      </c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  <c r="AO62" s="325">
        <f>'AVT-celny-101+187'!BI17</f>
        <v>0</v>
      </c>
      <c r="AP62" s="32"/>
      <c r="AQ62" s="32"/>
      <c r="AR62" s="32"/>
      <c r="AS62" s="32"/>
      <c r="AT62" s="32"/>
      <c r="AU62" s="32"/>
      <c r="AV62" s="32"/>
      <c r="AW62" s="325">
        <f>'potr-v101+187'!BI17</f>
        <v>0</v>
      </c>
      <c r="AX62" s="32"/>
      <c r="AY62" s="325">
        <f>'potr-v101+187-IL'!BI17</f>
        <v>0</v>
      </c>
      <c r="AZ62" s="32"/>
      <c r="BA62" s="32"/>
      <c r="BB62" s="32"/>
      <c r="BC62" s="32"/>
      <c r="BD62" s="32"/>
      <c r="BE62" s="32"/>
      <c r="BF62" s="32"/>
      <c r="BG62" s="32"/>
      <c r="BH62" s="32"/>
      <c r="BI62" s="32"/>
      <c r="BJ62" s="32"/>
      <c r="BK62" s="32"/>
      <c r="BL62" s="32"/>
      <c r="BM62" s="32"/>
      <c r="BN62" s="32"/>
      <c r="BO62" s="165"/>
      <c r="BP62" s="165"/>
      <c r="BQ62" s="165"/>
      <c r="BR62" s="165"/>
      <c r="BS62" s="165"/>
      <c r="BT62" s="165"/>
      <c r="BU62" s="165"/>
      <c r="BV62" s="55"/>
      <c r="BW62" s="160"/>
      <c r="BX62" s="32"/>
      <c r="BY62" s="24"/>
      <c r="BZ62" s="24"/>
      <c r="CA62" s="24"/>
      <c r="CB62" s="24"/>
      <c r="CC62" s="24"/>
      <c r="CD62" s="24"/>
      <c r="CE62" s="24"/>
    </row>
    <row r="63" spans="1:83" ht="15" customHeight="1">
      <c r="A63" s="4"/>
      <c r="B63" s="317">
        <f>IF($Q$8=$Q$7,CENY!B92,IF($Q$7=$Q$9,CENY!B110,CENY!B128))</f>
        <v>9255021</v>
      </c>
      <c r="C63" s="43" t="str">
        <f>VLOOKUP(B63,CENY!$B$11:$G$1054,2,FALSE)</f>
        <v>AvanY-bok pravý /v101/h550/ strieborná</v>
      </c>
      <c r="D63" s="353">
        <f>VLOOKUP(B63,CENY!$B$11:$G$1054,3,FALSE)</f>
        <v>20</v>
      </c>
      <c r="E63" s="56" t="str">
        <f>IF(VLOOKUP(B63,CENY!$B$11:$G$1054,4,FALSE)=0,"",VLOOKUP(B63,CENY!$B$11:$G$1054,4,FALSE))</f>
        <v/>
      </c>
      <c r="F63" s="40" t="str">
        <f t="shared" si="6"/>
        <v/>
      </c>
      <c r="G63" s="52">
        <f>VLOOKUP(B63,CENY!$B$11:$M$1054,12,FALSE)</f>
        <v>229.76492999999999</v>
      </c>
      <c r="H63" s="54" t="str">
        <f t="shared" si="0"/>
        <v xml:space="preserve"> CZK</v>
      </c>
      <c r="I63" s="41" t="str">
        <f t="shared" si="1"/>
        <v/>
      </c>
      <c r="J63" s="122"/>
      <c r="K63" s="42" t="str">
        <f>VLOOKUP(B63,CENY!$B$11:$M$1054,8,FALSE)</f>
        <v xml:space="preserve"> </v>
      </c>
      <c r="L63" s="42" t="str">
        <f>VLOOKUP(B63,CENY!$B$11:$M$1054,9,FALSE)</f>
        <v>396674</v>
      </c>
      <c r="M63" s="32"/>
      <c r="N63" s="35">
        <f t="shared" si="7"/>
        <v>0</v>
      </c>
      <c r="O63" s="36">
        <v>0</v>
      </c>
      <c r="P63" s="32"/>
      <c r="Q63" s="325">
        <f>'AVT101'!BI18</f>
        <v>0</v>
      </c>
      <c r="R63" s="32"/>
      <c r="S63" s="32"/>
      <c r="T63" s="32"/>
      <c r="U63" s="32"/>
      <c r="V63" s="32"/>
      <c r="W63" s="32"/>
      <c r="X63" s="32"/>
      <c r="Y63" s="32"/>
      <c r="Z63" s="32"/>
      <c r="AA63" s="325">
        <f>'AVT101(vn-A)'!BI18</f>
        <v>0</v>
      </c>
      <c r="AB63" s="32"/>
      <c r="AC63" s="32"/>
      <c r="AD63" s="32"/>
      <c r="AE63" s="32"/>
      <c r="AF63" s="32"/>
      <c r="AG63" s="32"/>
      <c r="AH63" s="32"/>
      <c r="AI63" s="32"/>
      <c r="AJ63" s="32"/>
      <c r="AK63" s="32"/>
      <c r="AL63" s="32"/>
      <c r="AM63" s="32"/>
      <c r="AN63" s="32"/>
      <c r="AO63" s="325">
        <f>'AVT-celny-101+187'!BI18</f>
        <v>0</v>
      </c>
      <c r="AP63" s="32"/>
      <c r="AQ63" s="32"/>
      <c r="AR63" s="32"/>
      <c r="AS63" s="32"/>
      <c r="AT63" s="32"/>
      <c r="AU63" s="32"/>
      <c r="AV63" s="32"/>
      <c r="AW63" s="325">
        <f>'potr-v101+187'!BI18</f>
        <v>0</v>
      </c>
      <c r="AX63" s="32"/>
      <c r="AY63" s="325">
        <f>'potr-v101+187-IL'!BI18</f>
        <v>0</v>
      </c>
      <c r="AZ63" s="32"/>
      <c r="BA63" s="32"/>
      <c r="BB63" s="32"/>
      <c r="BC63" s="32"/>
      <c r="BD63" s="32"/>
      <c r="BE63" s="32"/>
      <c r="BF63" s="32"/>
      <c r="BG63" s="32"/>
      <c r="BH63" s="32"/>
      <c r="BI63" s="32"/>
      <c r="BJ63" s="32"/>
      <c r="BK63" s="32"/>
      <c r="BL63" s="32"/>
      <c r="BM63" s="32"/>
      <c r="BN63" s="32"/>
      <c r="BO63" s="165"/>
      <c r="BP63" s="165"/>
      <c r="BQ63" s="165"/>
      <c r="BR63" s="165"/>
      <c r="BS63" s="165"/>
      <c r="BT63" s="165"/>
      <c r="BU63" s="165"/>
      <c r="BV63" s="55"/>
      <c r="BW63" s="160"/>
      <c r="BX63" s="32"/>
      <c r="BY63" s="24"/>
      <c r="BZ63" s="24"/>
      <c r="CA63" s="24"/>
      <c r="CB63" s="24"/>
      <c r="CC63" s="24"/>
      <c r="CD63" s="24"/>
      <c r="CE63" s="24"/>
    </row>
    <row r="64" spans="1:83" ht="15" customHeight="1">
      <c r="A64" s="4"/>
      <c r="B64" s="317">
        <f>IF($Q$8=$Q$7,CENY!B93,IF($Q$7=$Q$9,CENY!B111,CENY!B129))</f>
        <v>9255022</v>
      </c>
      <c r="C64" s="43" t="str">
        <f>VLOOKUP(B64,CENY!$B$11:$G$1054,2,FALSE)</f>
        <v>AvanY-bok ľavý /v101/h600/ strieborná</v>
      </c>
      <c r="D64" s="353">
        <f>VLOOKUP(B64,CENY!$B$11:$G$1054,3,FALSE)</f>
        <v>20</v>
      </c>
      <c r="E64" s="56" t="str">
        <f>IF(VLOOKUP(B64,CENY!$B$11:$G$1054,4,FALSE)=0,"",VLOOKUP(B64,CENY!$B$11:$G$1054,4,FALSE))</f>
        <v/>
      </c>
      <c r="F64" s="40" t="str">
        <f t="shared" si="6"/>
        <v/>
      </c>
      <c r="G64" s="52">
        <f>VLOOKUP(B64,CENY!$B$11:$M$1054,12,FALSE)</f>
        <v>235.60476</v>
      </c>
      <c r="H64" s="54" t="str">
        <f t="shared" si="0"/>
        <v xml:space="preserve"> CZK</v>
      </c>
      <c r="I64" s="41" t="str">
        <f t="shared" si="1"/>
        <v/>
      </c>
      <c r="J64" s="122"/>
      <c r="K64" s="42" t="str">
        <f>VLOOKUP(B64,CENY!$B$11:$M$1054,8,FALSE)</f>
        <v xml:space="preserve"> </v>
      </c>
      <c r="L64" s="42" t="str">
        <f>VLOOKUP(B64,CENY!$B$11:$M$1054,9,FALSE)</f>
        <v>396675</v>
      </c>
      <c r="M64" s="32"/>
      <c r="N64" s="35">
        <f t="shared" si="7"/>
        <v>0</v>
      </c>
      <c r="O64" s="36">
        <v>0</v>
      </c>
      <c r="P64" s="32"/>
      <c r="Q64" s="325">
        <f>'AVT101'!BI19</f>
        <v>0</v>
      </c>
      <c r="R64" s="32"/>
      <c r="S64" s="32"/>
      <c r="T64" s="32"/>
      <c r="U64" s="32"/>
      <c r="V64" s="32"/>
      <c r="W64" s="32"/>
      <c r="X64" s="32"/>
      <c r="Y64" s="32"/>
      <c r="Z64" s="32"/>
      <c r="AA64" s="325">
        <f>'AVT101(vn-A)'!BI19</f>
        <v>0</v>
      </c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2"/>
      <c r="AN64" s="32"/>
      <c r="AO64" s="325">
        <f>'AVT-celny-101+187'!BI19</f>
        <v>0</v>
      </c>
      <c r="AP64" s="32"/>
      <c r="AQ64" s="32"/>
      <c r="AR64" s="32"/>
      <c r="AS64" s="32"/>
      <c r="AT64" s="32"/>
      <c r="AU64" s="32"/>
      <c r="AV64" s="32"/>
      <c r="AW64" s="325">
        <f>'potr-v101+187'!BI19</f>
        <v>0</v>
      </c>
      <c r="AX64" s="32"/>
      <c r="AY64" s="325">
        <f>'potr-v101+187-IL'!BI19</f>
        <v>0</v>
      </c>
      <c r="AZ64" s="32"/>
      <c r="BA64" s="32"/>
      <c r="BB64" s="32"/>
      <c r="BC64" s="32"/>
      <c r="BD64" s="32"/>
      <c r="BE64" s="32"/>
      <c r="BF64" s="32"/>
      <c r="BG64" s="32"/>
      <c r="BH64" s="32"/>
      <c r="BI64" s="32"/>
      <c r="BJ64" s="32"/>
      <c r="BK64" s="32"/>
      <c r="BL64" s="32"/>
      <c r="BM64" s="32"/>
      <c r="BN64" s="32"/>
      <c r="BO64" s="165"/>
      <c r="BP64" s="165"/>
      <c r="BQ64" s="165"/>
      <c r="BR64" s="165"/>
      <c r="BS64" s="165"/>
      <c r="BT64" s="165"/>
      <c r="BU64" s="165"/>
      <c r="BV64" s="55"/>
      <c r="BW64" s="160"/>
      <c r="BX64" s="32"/>
      <c r="BY64" s="24"/>
      <c r="BZ64" s="24"/>
      <c r="CA64" s="24"/>
      <c r="CB64" s="24"/>
      <c r="CC64" s="24"/>
      <c r="CD64" s="24"/>
      <c r="CE64" s="24"/>
    </row>
    <row r="65" spans="1:83" ht="15" customHeight="1">
      <c r="A65" s="4"/>
      <c r="B65" s="317">
        <f>IF($Q$8=$Q$7,CENY!B94,IF($Q$7=$Q$9,CENY!B112,CENY!B130))</f>
        <v>9255023</v>
      </c>
      <c r="C65" s="43" t="str">
        <f>VLOOKUP(B65,CENY!$B$11:$G$1054,2,FALSE)</f>
        <v>AvanY-bok pravý /v101/h600/ strieborná</v>
      </c>
      <c r="D65" s="353">
        <f>VLOOKUP(B65,CENY!$B$11:$G$1054,3,FALSE)</f>
        <v>20</v>
      </c>
      <c r="E65" s="56" t="str">
        <f>IF(VLOOKUP(B65,CENY!$B$11:$G$1054,4,FALSE)=0,"",VLOOKUP(B65,CENY!$B$11:$G$1054,4,FALSE))</f>
        <v/>
      </c>
      <c r="F65" s="40" t="str">
        <f t="shared" si="6"/>
        <v/>
      </c>
      <c r="G65" s="52">
        <f>VLOOKUP(B65,CENY!$B$11:$M$1054,12,FALSE)</f>
        <v>235.60476</v>
      </c>
      <c r="H65" s="54" t="str">
        <f t="shared" si="0"/>
        <v xml:space="preserve"> CZK</v>
      </c>
      <c r="I65" s="41" t="str">
        <f t="shared" si="1"/>
        <v/>
      </c>
      <c r="J65" s="122"/>
      <c r="K65" s="42" t="str">
        <f>VLOOKUP(B65,CENY!$B$11:$M$1054,8,FALSE)</f>
        <v xml:space="preserve"> </v>
      </c>
      <c r="L65" s="42" t="str">
        <f>VLOOKUP(B65,CENY!$B$11:$M$1054,9,FALSE)</f>
        <v>396676</v>
      </c>
      <c r="M65" s="32"/>
      <c r="N65" s="35">
        <f t="shared" si="7"/>
        <v>0</v>
      </c>
      <c r="O65" s="36">
        <v>0</v>
      </c>
      <c r="P65" s="32"/>
      <c r="Q65" s="325">
        <f>'AVT101'!BI20</f>
        <v>0</v>
      </c>
      <c r="R65" s="32"/>
      <c r="S65" s="32"/>
      <c r="T65" s="32"/>
      <c r="U65" s="32"/>
      <c r="V65" s="32"/>
      <c r="W65" s="32"/>
      <c r="X65" s="32"/>
      <c r="Y65" s="32"/>
      <c r="Z65" s="32"/>
      <c r="AA65" s="325">
        <f>'AVT101(vn-A)'!BI20</f>
        <v>0</v>
      </c>
      <c r="AB65" s="32"/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  <c r="AO65" s="325">
        <f>'AVT-celny-101+187'!BI20</f>
        <v>0</v>
      </c>
      <c r="AP65" s="32"/>
      <c r="AQ65" s="32"/>
      <c r="AR65" s="32"/>
      <c r="AS65" s="32"/>
      <c r="AT65" s="32"/>
      <c r="AU65" s="32"/>
      <c r="AV65" s="32"/>
      <c r="AW65" s="325">
        <f>'potr-v101+187'!BI20</f>
        <v>0</v>
      </c>
      <c r="AX65" s="32"/>
      <c r="AY65" s="325">
        <f>'potr-v101+187-IL'!BI20</f>
        <v>0</v>
      </c>
      <c r="AZ65" s="32"/>
      <c r="BA65" s="32"/>
      <c r="BB65" s="32"/>
      <c r="BC65" s="32"/>
      <c r="BD65" s="32"/>
      <c r="BE65" s="32"/>
      <c r="BF65" s="32"/>
      <c r="BG65" s="32"/>
      <c r="BH65" s="32"/>
      <c r="BI65" s="32"/>
      <c r="BJ65" s="32"/>
      <c r="BK65" s="32"/>
      <c r="BL65" s="32"/>
      <c r="BM65" s="32"/>
      <c r="BN65" s="32"/>
      <c r="BO65" s="165"/>
      <c r="BP65" s="165"/>
      <c r="BQ65" s="165"/>
      <c r="BR65" s="165"/>
      <c r="BS65" s="165"/>
      <c r="BT65" s="165"/>
      <c r="BU65" s="165"/>
      <c r="BV65" s="55"/>
      <c r="BW65" s="160"/>
      <c r="BX65" s="32"/>
      <c r="BY65" s="24"/>
      <c r="BZ65" s="24"/>
      <c r="CA65" s="24"/>
      <c r="CB65" s="24"/>
      <c r="CC65" s="24"/>
      <c r="CD65" s="24"/>
      <c r="CE65" s="24"/>
    </row>
    <row r="66" spans="1:83" ht="15" customHeight="1">
      <c r="A66" s="4"/>
      <c r="B66" s="317">
        <f>IF($Q$8=$Q$7,CENY!B95,IF($Q$7=$Q$9,CENY!B113,CENY!B131))</f>
        <v>9255024</v>
      </c>
      <c r="C66" s="43" t="str">
        <f>VLOOKUP(B66,CENY!$B$11:$G$1054,2,FALSE)</f>
        <v>AvanY-bok ľavý /v101/h650/ strieborná</v>
      </c>
      <c r="D66" s="353">
        <f>VLOOKUP(B66,CENY!$B$11:$G$1054,3,FALSE)</f>
        <v>20</v>
      </c>
      <c r="E66" s="56" t="str">
        <f>IF(VLOOKUP(B66,CENY!$B$11:$G$1054,4,FALSE)=0,"",VLOOKUP(B66,CENY!$B$11:$G$1054,4,FALSE))</f>
        <v/>
      </c>
      <c r="F66" s="40" t="str">
        <f t="shared" si="6"/>
        <v/>
      </c>
      <c r="G66" s="52">
        <f>VLOOKUP(B66,CENY!$B$11:$M$1054,12,FALSE)</f>
        <v>243.54496</v>
      </c>
      <c r="H66" s="54" t="str">
        <f t="shared" si="0"/>
        <v xml:space="preserve"> CZK</v>
      </c>
      <c r="I66" s="41" t="str">
        <f t="shared" si="1"/>
        <v/>
      </c>
      <c r="J66" s="122"/>
      <c r="K66" s="42" t="str">
        <f>VLOOKUP(B66,CENY!$B$11:$M$1054,8,FALSE)</f>
        <v xml:space="preserve"> </v>
      </c>
      <c r="L66" s="42" t="str">
        <f>VLOOKUP(B66,CENY!$B$11:$M$1054,9,FALSE)</f>
        <v>396677</v>
      </c>
      <c r="M66" s="32"/>
      <c r="N66" s="35">
        <f t="shared" si="7"/>
        <v>0</v>
      </c>
      <c r="O66" s="36">
        <v>0</v>
      </c>
      <c r="P66" s="32"/>
      <c r="Q66" s="325">
        <f>'AVT101'!BI21</f>
        <v>0</v>
      </c>
      <c r="R66" s="32"/>
      <c r="S66" s="32"/>
      <c r="T66" s="32"/>
      <c r="U66" s="32"/>
      <c r="V66" s="32"/>
      <c r="W66" s="32"/>
      <c r="X66" s="32"/>
      <c r="Y66" s="32"/>
      <c r="Z66" s="32"/>
      <c r="AA66" s="325">
        <f>'AVT101(vn-A)'!BI21</f>
        <v>0</v>
      </c>
      <c r="AB66" s="32"/>
      <c r="AC66" s="32"/>
      <c r="AD66" s="32"/>
      <c r="AE66" s="32"/>
      <c r="AF66" s="32"/>
      <c r="AG66" s="32"/>
      <c r="AH66" s="32"/>
      <c r="AI66" s="32"/>
      <c r="AJ66" s="32"/>
      <c r="AK66" s="32"/>
      <c r="AL66" s="32"/>
      <c r="AM66" s="32"/>
      <c r="AN66" s="32"/>
      <c r="AO66" s="325">
        <f>'AVT-celny-101+187'!BI21</f>
        <v>0</v>
      </c>
      <c r="AP66" s="32"/>
      <c r="AQ66" s="32"/>
      <c r="AR66" s="32"/>
      <c r="AS66" s="32"/>
      <c r="AT66" s="32"/>
      <c r="AU66" s="32"/>
      <c r="AV66" s="32"/>
      <c r="AW66" s="325">
        <f>'potr-v101+187'!BI21</f>
        <v>0</v>
      </c>
      <c r="AX66" s="32"/>
      <c r="AY66" s="325">
        <f>'potr-v101+187-IL'!BI21</f>
        <v>0</v>
      </c>
      <c r="AZ66" s="32"/>
      <c r="BA66" s="32"/>
      <c r="BB66" s="32"/>
      <c r="BC66" s="32"/>
      <c r="BD66" s="32"/>
      <c r="BE66" s="32"/>
      <c r="BF66" s="32"/>
      <c r="BG66" s="32"/>
      <c r="BH66" s="32"/>
      <c r="BI66" s="32"/>
      <c r="BJ66" s="32"/>
      <c r="BK66" s="32"/>
      <c r="BL66" s="32"/>
      <c r="BM66" s="32"/>
      <c r="BN66" s="32"/>
      <c r="BO66" s="165"/>
      <c r="BP66" s="165"/>
      <c r="BQ66" s="165"/>
      <c r="BR66" s="165"/>
      <c r="BS66" s="165"/>
      <c r="BT66" s="165"/>
      <c r="BU66" s="165"/>
      <c r="BV66" s="55"/>
      <c r="BW66" s="160"/>
      <c r="BX66" s="32"/>
      <c r="BY66" s="24"/>
      <c r="BZ66" s="24"/>
      <c r="CA66" s="24"/>
      <c r="CB66" s="24"/>
      <c r="CC66" s="24"/>
      <c r="CD66" s="24"/>
      <c r="CE66" s="24"/>
    </row>
    <row r="67" spans="1:83" ht="15" customHeight="1">
      <c r="A67" s="4"/>
      <c r="B67" s="317">
        <f>IF($Q$8=$Q$7,CENY!B96,IF($Q$7=$Q$9,CENY!B114,CENY!B132))</f>
        <v>9255025</v>
      </c>
      <c r="C67" s="43" t="str">
        <f>VLOOKUP(B67,CENY!$B$11:$G$1054,2,FALSE)</f>
        <v>AvanY-bok pravý /v101/h650/ strieborná</v>
      </c>
      <c r="D67" s="353">
        <f>VLOOKUP(B67,CENY!$B$11:$G$1054,3,FALSE)</f>
        <v>20</v>
      </c>
      <c r="E67" s="56" t="str">
        <f>IF(VLOOKUP(B67,CENY!$B$11:$G$1054,4,FALSE)=0,"",VLOOKUP(B67,CENY!$B$11:$G$1054,4,FALSE))</f>
        <v/>
      </c>
      <c r="F67" s="40" t="str">
        <f t="shared" si="6"/>
        <v/>
      </c>
      <c r="G67" s="52">
        <f>VLOOKUP(B67,CENY!$B$11:$M$1054,12,FALSE)</f>
        <v>243.54496</v>
      </c>
      <c r="H67" s="54" t="str">
        <f t="shared" si="0"/>
        <v xml:space="preserve"> CZK</v>
      </c>
      <c r="I67" s="41" t="str">
        <f t="shared" si="1"/>
        <v/>
      </c>
      <c r="J67" s="122"/>
      <c r="K67" s="42" t="str">
        <f>VLOOKUP(B67,CENY!$B$11:$M$1054,8,FALSE)</f>
        <v xml:space="preserve"> </v>
      </c>
      <c r="L67" s="42" t="str">
        <f>VLOOKUP(B67,CENY!$B$11:$M$1054,9,FALSE)</f>
        <v>396678</v>
      </c>
      <c r="M67" s="32"/>
      <c r="N67" s="35">
        <f t="shared" si="7"/>
        <v>0</v>
      </c>
      <c r="O67" s="36">
        <v>0</v>
      </c>
      <c r="P67" s="32"/>
      <c r="Q67" s="325">
        <f>'AVT101'!BI22</f>
        <v>0</v>
      </c>
      <c r="R67" s="32"/>
      <c r="S67" s="32"/>
      <c r="T67" s="32"/>
      <c r="U67" s="32"/>
      <c r="V67" s="32"/>
      <c r="W67" s="32"/>
      <c r="X67" s="32"/>
      <c r="Y67" s="32"/>
      <c r="Z67" s="32"/>
      <c r="AA67" s="325">
        <f>'AVT101(vn-A)'!BI22</f>
        <v>0</v>
      </c>
      <c r="AB67" s="32"/>
      <c r="AC67" s="32"/>
      <c r="AD67" s="32"/>
      <c r="AE67" s="32"/>
      <c r="AF67" s="32"/>
      <c r="AG67" s="32"/>
      <c r="AH67" s="32"/>
      <c r="AI67" s="32"/>
      <c r="AJ67" s="32"/>
      <c r="AK67" s="32"/>
      <c r="AL67" s="32"/>
      <c r="AM67" s="32"/>
      <c r="AN67" s="32"/>
      <c r="AO67" s="325">
        <f>'AVT-celny-101+187'!BI22</f>
        <v>0</v>
      </c>
      <c r="AP67" s="32"/>
      <c r="AQ67" s="32"/>
      <c r="AR67" s="32"/>
      <c r="AS67" s="32"/>
      <c r="AT67" s="32"/>
      <c r="AU67" s="32"/>
      <c r="AV67" s="32"/>
      <c r="AW67" s="325">
        <f>'potr-v101+187'!BI22</f>
        <v>0</v>
      </c>
      <c r="AX67" s="32"/>
      <c r="AY67" s="325">
        <f>'potr-v101+187-IL'!BI22</f>
        <v>0</v>
      </c>
      <c r="AZ67" s="32"/>
      <c r="BA67" s="32"/>
      <c r="BB67" s="32"/>
      <c r="BC67" s="32"/>
      <c r="BD67" s="32"/>
      <c r="BE67" s="32"/>
      <c r="BF67" s="32"/>
      <c r="BG67" s="32"/>
      <c r="BH67" s="32"/>
      <c r="BI67" s="32"/>
      <c r="BJ67" s="32"/>
      <c r="BK67" s="32"/>
      <c r="BL67" s="32"/>
      <c r="BM67" s="32"/>
      <c r="BN67" s="32"/>
      <c r="BO67" s="165"/>
      <c r="BP67" s="165"/>
      <c r="BQ67" s="165"/>
      <c r="BR67" s="165"/>
      <c r="BS67" s="165"/>
      <c r="BT67" s="165"/>
      <c r="BU67" s="165"/>
      <c r="BV67" s="55"/>
      <c r="BW67" s="160"/>
      <c r="BX67" s="32"/>
      <c r="BY67" s="24"/>
      <c r="BZ67" s="24"/>
      <c r="CA67" s="24"/>
      <c r="CB67" s="24"/>
      <c r="CC67" s="24"/>
      <c r="CD67" s="24"/>
      <c r="CE67" s="24"/>
    </row>
    <row r="68" spans="1:83" ht="15" customHeight="1">
      <c r="A68" s="4"/>
      <c r="B68" s="317">
        <f>CENY!B160</f>
        <v>9255835</v>
      </c>
      <c r="C68" s="43" t="str">
        <f>VLOOKUP(B68,CENY!$B$11:$G$1054,2,FALSE)</f>
        <v>AvanY-príchytka čela k naskrutk./ v101</v>
      </c>
      <c r="D68" s="353">
        <f>VLOOKUP(B68,CENY!$B$11:$G$1054,3,FALSE)</f>
        <v>200</v>
      </c>
      <c r="E68" s="56" t="str">
        <f>IF(VLOOKUP(B68,CENY!$B$11:$G$1054,4,FALSE)=0,"",VLOOKUP(B68,CENY!$B$11:$G$1054,4,FALSE))</f>
        <v/>
      </c>
      <c r="F68" s="40" t="str">
        <f>IF(J68&lt;&gt;"",J68,IF(N68=0,"",IF(B68=B69,"",N68)))</f>
        <v/>
      </c>
      <c r="G68" s="52">
        <f>VLOOKUP(B68,CENY!$B$11:$M$1054,12,FALSE)</f>
        <v>24.69378</v>
      </c>
      <c r="H68" s="54" t="str">
        <f>IF(G68="","",$H$22)</f>
        <v xml:space="preserve"> CZK</v>
      </c>
      <c r="I68" s="41" t="str">
        <f>IF(F68="","",G68*F68)</f>
        <v/>
      </c>
      <c r="J68" s="122"/>
      <c r="K68" s="42" t="str">
        <f>VLOOKUP(B68,CENY!$B$11:$M$1054,8,FALSE)</f>
        <v xml:space="preserve"> </v>
      </c>
      <c r="L68" s="42" t="str">
        <f>VLOOKUP(B68,CENY!$B$11:$M$1054,9,FALSE)</f>
        <v>396715</v>
      </c>
      <c r="M68" s="32"/>
      <c r="N68" s="35">
        <f t="shared" si="7"/>
        <v>0</v>
      </c>
      <c r="O68" s="36">
        <v>0</v>
      </c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5">
        <f>'AVT101(vn-A)'!BI24</f>
        <v>0</v>
      </c>
      <c r="AB68" s="32"/>
      <c r="AC68" s="32"/>
      <c r="AD68" s="32"/>
      <c r="AE68" s="32"/>
      <c r="AF68" s="32"/>
      <c r="AG68" s="32"/>
      <c r="AH68" s="32"/>
      <c r="AI68" s="32"/>
      <c r="AJ68" s="32"/>
      <c r="AK68" s="32"/>
      <c r="AL68" s="32"/>
      <c r="AM68" s="32"/>
      <c r="AN68" s="32"/>
      <c r="AO68" s="32"/>
      <c r="AP68" s="32"/>
      <c r="AQ68" s="32"/>
      <c r="AR68" s="32"/>
      <c r="AS68" s="32"/>
      <c r="AT68" s="32"/>
      <c r="AU68" s="32"/>
      <c r="AV68" s="32"/>
      <c r="AW68" s="325">
        <f>'potr-v101+187'!BI37</f>
        <v>0</v>
      </c>
      <c r="AX68" s="32"/>
      <c r="AY68" s="325">
        <f>'potr-v101+187-IL'!BI37</f>
        <v>0</v>
      </c>
      <c r="AZ68" s="32"/>
      <c r="BA68" s="32"/>
      <c r="BB68" s="32"/>
      <c r="BC68" s="32"/>
      <c r="BD68" s="32"/>
      <c r="BE68" s="32"/>
      <c r="BF68" s="32"/>
      <c r="BG68" s="32"/>
      <c r="BH68" s="32"/>
      <c r="BI68" s="32"/>
      <c r="BJ68" s="32"/>
      <c r="BK68" s="32"/>
      <c r="BL68" s="32"/>
      <c r="BM68" s="32"/>
      <c r="BN68" s="32"/>
      <c r="BO68" s="165"/>
      <c r="BP68" s="165"/>
      <c r="BQ68" s="165"/>
      <c r="BR68" s="165"/>
      <c r="BS68" s="165"/>
      <c r="BT68" s="165"/>
      <c r="BU68" s="165"/>
      <c r="BV68" s="55"/>
      <c r="BW68" s="160"/>
      <c r="BX68" s="32"/>
      <c r="BY68" s="24"/>
      <c r="BZ68" s="24"/>
      <c r="CA68" s="24"/>
      <c r="CB68" s="24"/>
      <c r="CC68" s="24"/>
      <c r="CD68" s="24"/>
      <c r="CE68" s="24"/>
    </row>
    <row r="69" spans="1:83" ht="15" customHeight="1">
      <c r="A69" s="4"/>
      <c r="B69" s="317">
        <f>IF($T$7=$T$8,CENY!B160,CENY!B161)</f>
        <v>9255835</v>
      </c>
      <c r="C69" s="43" t="str">
        <f>VLOOKUP(B69,CENY!$B$11:$G$1054,2,FALSE)</f>
        <v>AvanY-príchytka čela k naskrutk./ v101</v>
      </c>
      <c r="D69" s="353">
        <f>VLOOKUP(B69,CENY!$B$11:$G$1054,3,FALSE)</f>
        <v>200</v>
      </c>
      <c r="E69" s="56" t="str">
        <f>IF(VLOOKUP(B69,CENY!$B$11:$G$1054,4,FALSE)=0,"",VLOOKUP(B69,CENY!$B$11:$G$1054,4,FALSE))</f>
        <v/>
      </c>
      <c r="F69" s="40" t="str">
        <f>IF(J69&lt;&gt;"",J69,IF(B68=B69,IF(N69+N68=0,"",N69+N68),IF(N69=0,"",N69)))</f>
        <v/>
      </c>
      <c r="G69" s="52">
        <f>VLOOKUP(B69,CENY!$B$11:$M$1054,12,FALSE)</f>
        <v>24.69378</v>
      </c>
      <c r="H69" s="54" t="str">
        <f t="shared" si="0"/>
        <v xml:space="preserve"> CZK</v>
      </c>
      <c r="I69" s="41" t="str">
        <f t="shared" si="1"/>
        <v/>
      </c>
      <c r="J69" s="122"/>
      <c r="K69" s="42" t="str">
        <f>VLOOKUP(B69,CENY!$B$11:$M$1054,8,FALSE)</f>
        <v xml:space="preserve"> </v>
      </c>
      <c r="L69" s="42" t="str">
        <f>VLOOKUP(B69,CENY!$B$11:$M$1054,9,FALSE)</f>
        <v>396715</v>
      </c>
      <c r="M69" s="32"/>
      <c r="N69" s="35">
        <f t="shared" si="7"/>
        <v>0</v>
      </c>
      <c r="O69" s="36">
        <v>0</v>
      </c>
      <c r="P69" s="325">
        <f>'AVT101'!AZ78</f>
        <v>0</v>
      </c>
      <c r="Q69" s="325">
        <f>'AVT101'!BI24</f>
        <v>0</v>
      </c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32"/>
      <c r="AG69" s="32"/>
      <c r="AH69" s="32"/>
      <c r="AI69" s="32"/>
      <c r="AJ69" s="32"/>
      <c r="AK69" s="32"/>
      <c r="AL69" s="32"/>
      <c r="AM69" s="32"/>
      <c r="AN69" s="325">
        <f>'AVT-celny-101+187'!AZ59</f>
        <v>0</v>
      </c>
      <c r="AO69" s="325">
        <f>'AVT-celny-101+187'!BI43</f>
        <v>0</v>
      </c>
      <c r="AP69" s="32"/>
      <c r="AQ69" s="32"/>
      <c r="AR69" s="32"/>
      <c r="AS69" s="32"/>
      <c r="AT69" s="32"/>
      <c r="AU69" s="32"/>
      <c r="AV69" s="325">
        <f>'potr-v101+187'!AZ84</f>
        <v>0</v>
      </c>
      <c r="AW69" s="325">
        <f>'potr-v101+187'!BI35</f>
        <v>0</v>
      </c>
      <c r="AX69" s="325">
        <f>'potr-v101+187-IL'!AZ84</f>
        <v>0</v>
      </c>
      <c r="AY69" s="325">
        <f>'potr-v101+187-IL'!BI35</f>
        <v>0</v>
      </c>
      <c r="AZ69" s="32"/>
      <c r="BA69" s="32"/>
      <c r="BB69" s="32"/>
      <c r="BC69" s="32"/>
      <c r="BD69" s="32"/>
      <c r="BE69" s="32"/>
      <c r="BF69" s="32"/>
      <c r="BG69" s="32"/>
      <c r="BH69" s="32"/>
      <c r="BI69" s="32"/>
      <c r="BJ69" s="32"/>
      <c r="BK69" s="32"/>
      <c r="BL69" s="32"/>
      <c r="BM69" s="32"/>
      <c r="BN69" s="32"/>
      <c r="BO69" s="165"/>
      <c r="BP69" s="165"/>
      <c r="BQ69" s="165"/>
      <c r="BR69" s="165"/>
      <c r="BS69" s="165"/>
      <c r="BT69" s="165"/>
      <c r="BU69" s="165"/>
      <c r="BV69" s="55"/>
      <c r="BW69" s="160"/>
      <c r="BX69" s="32"/>
      <c r="BY69" s="24"/>
      <c r="BZ69" s="24"/>
      <c r="CA69" s="24"/>
      <c r="CB69" s="24"/>
      <c r="CC69" s="24"/>
      <c r="CD69" s="24"/>
      <c r="CE69" s="24"/>
    </row>
    <row r="70" spans="1:83" ht="8.1" customHeight="1">
      <c r="A70" s="4"/>
      <c r="B70" s="317"/>
      <c r="C70" s="43"/>
      <c r="D70" s="39"/>
      <c r="E70" s="56"/>
      <c r="F70" s="40"/>
      <c r="G70" s="52"/>
      <c r="H70" s="54"/>
      <c r="I70" s="41"/>
      <c r="J70" s="122"/>
      <c r="K70" s="42"/>
      <c r="L70" s="42"/>
      <c r="M70" s="32"/>
      <c r="N70" s="35"/>
      <c r="O70" s="36">
        <v>0</v>
      </c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32"/>
      <c r="AH70" s="32"/>
      <c r="AI70" s="32"/>
      <c r="AJ70" s="32"/>
      <c r="AK70" s="32"/>
      <c r="AL70" s="32"/>
      <c r="AM70" s="32"/>
      <c r="AN70" s="32"/>
      <c r="AO70" s="32"/>
      <c r="AP70" s="32"/>
      <c r="AQ70" s="32"/>
      <c r="AR70" s="32"/>
      <c r="AS70" s="32"/>
      <c r="AT70" s="32"/>
      <c r="AU70" s="32"/>
      <c r="AV70" s="32"/>
      <c r="AW70" s="32"/>
      <c r="AX70" s="32"/>
      <c r="AY70" s="32"/>
      <c r="AZ70" s="32"/>
      <c r="BA70" s="32"/>
      <c r="BB70" s="32"/>
      <c r="BC70" s="32"/>
      <c r="BD70" s="32"/>
      <c r="BE70" s="32"/>
      <c r="BF70" s="32"/>
      <c r="BG70" s="32"/>
      <c r="BH70" s="32"/>
      <c r="BI70" s="32"/>
      <c r="BJ70" s="32"/>
      <c r="BK70" s="32"/>
      <c r="BL70" s="32"/>
      <c r="BM70" s="32"/>
      <c r="BN70" s="32"/>
      <c r="BO70" s="165"/>
      <c r="BP70" s="165"/>
      <c r="BQ70" s="165"/>
      <c r="BR70" s="165"/>
      <c r="BS70" s="165"/>
      <c r="BT70" s="165"/>
      <c r="BU70" s="165"/>
      <c r="BV70" s="55"/>
      <c r="BW70" s="160"/>
      <c r="BX70" s="32"/>
      <c r="BY70" s="24"/>
      <c r="BZ70" s="24"/>
      <c r="CA70" s="24"/>
      <c r="CB70" s="24"/>
      <c r="CC70" s="24"/>
      <c r="CD70" s="24"/>
      <c r="CE70" s="24"/>
    </row>
    <row r="71" spans="1:83" ht="15" customHeight="1">
      <c r="A71" s="4"/>
      <c r="B71" s="317">
        <f>IF($AA$7=$AA$8,CENY!B133,IF($AA$7=$AA$9,CENY!B142,IF($AA$7=$AA$10,CENY!B151,IF($AA$7=$AA$11,CENY!B510,IF($AA$7=$AA$12,CENY!B519,IF($AA$7=$AA$13,CENY!B528,IF($AA$7=$AA$14,CENY!B537,CENY!B546)))))))</f>
        <v>9347502</v>
      </c>
      <c r="C71" s="43" t="str">
        <f>VLOOKUP(B71,CENY!$B$11:$G$1054,2,FALSE)</f>
        <v>AvanY-design ALprofil Hybrid na bok 270/ strieb.</v>
      </c>
      <c r="D71" s="353">
        <f>VLOOKUP(B71,CENY!$B$11:$G$1054,3,FALSE)</f>
        <v>200</v>
      </c>
      <c r="E71" s="56" t="str">
        <f>IF(VLOOKUP(B71,CENY!$B$11:$G$1054,4,FALSE)=0,"",VLOOKUP(B71,CENY!$B$11:$G$1054,4,FALSE))</f>
        <v/>
      </c>
      <c r="F71" s="40" t="str">
        <f t="shared" ref="F71:F79" si="8">IF(J71&lt;&gt;"",J71,IF(N71=0,"",N71))</f>
        <v/>
      </c>
      <c r="G71" s="52">
        <f>VLOOKUP(B71,CENY!$B$11:$M$1054,12,FALSE)</f>
        <v>19.78839</v>
      </c>
      <c r="H71" s="54" t="str">
        <f t="shared" si="0"/>
        <v xml:space="preserve"> CZK</v>
      </c>
      <c r="I71" s="41" t="str">
        <f t="shared" si="1"/>
        <v/>
      </c>
      <c r="J71" s="122"/>
      <c r="K71" s="42" t="str">
        <f>VLOOKUP(B71,CENY!$B$11:$M$1054,8,FALSE)</f>
        <v xml:space="preserve"> </v>
      </c>
      <c r="L71" s="42" t="str">
        <f>VLOOKUP(B71,CENY!$B$11:$M$1054,9,FALSE)</f>
        <v>532174</v>
      </c>
      <c r="M71" s="32"/>
      <c r="N71" s="35">
        <f t="shared" ref="N71:N79" si="9">SUM(P71:BW71)</f>
        <v>0</v>
      </c>
      <c r="O71" s="36">
        <v>0</v>
      </c>
      <c r="P71" s="325">
        <f>'AVT101'!AZ15</f>
        <v>0</v>
      </c>
      <c r="Q71" s="325">
        <f>'AVT101'!BI27</f>
        <v>0</v>
      </c>
      <c r="R71" s="32"/>
      <c r="S71" s="32"/>
      <c r="T71" s="325">
        <f>'AVT187'!AZ15</f>
        <v>0</v>
      </c>
      <c r="U71" s="325">
        <f>'AVT187'!BI27</f>
        <v>0</v>
      </c>
      <c r="V71" s="32"/>
      <c r="W71" s="32"/>
      <c r="X71" s="32"/>
      <c r="Y71" s="32"/>
      <c r="Z71" s="325">
        <f>'AVT101(vn-A)'!AZ15</f>
        <v>0</v>
      </c>
      <c r="AA71" s="325">
        <f>'AVT101(vn-A)'!BI27</f>
        <v>0</v>
      </c>
      <c r="AB71" s="32"/>
      <c r="AC71" s="32"/>
      <c r="AD71" s="325">
        <f>'AVT187(vn-A)'!AZ15</f>
        <v>0</v>
      </c>
      <c r="AE71" s="325">
        <f>'AVT187(vn-A)'!BI27</f>
        <v>0</v>
      </c>
      <c r="AF71" s="32"/>
      <c r="AG71" s="32"/>
      <c r="AH71" s="325">
        <f>'AVT187(vn-S)'!AZ15</f>
        <v>0</v>
      </c>
      <c r="AI71" s="325">
        <f>'AVT187(vn-S)'!BI27</f>
        <v>0</v>
      </c>
      <c r="AJ71" s="32"/>
      <c r="AK71" s="32"/>
      <c r="AL71" s="32"/>
      <c r="AM71" s="32"/>
      <c r="AN71" s="325">
        <f>'AVT-celny-101+187'!AZ25</f>
        <v>0</v>
      </c>
      <c r="AO71" s="325">
        <f>'AVT-celny-101+187'!BI47</f>
        <v>0</v>
      </c>
      <c r="AP71" s="32"/>
      <c r="AQ71" s="32"/>
      <c r="AR71" s="325">
        <f>'AVT-celny-2x187'!AZ15</f>
        <v>0</v>
      </c>
      <c r="AS71" s="325">
        <f>'AVT-celny-2x187'!BI27</f>
        <v>0</v>
      </c>
      <c r="AT71" s="32"/>
      <c r="AU71" s="32"/>
      <c r="AV71" s="32"/>
      <c r="AW71" s="32"/>
      <c r="AX71" s="32"/>
      <c r="AY71" s="32"/>
      <c r="AZ71" s="32"/>
      <c r="BA71" s="32"/>
      <c r="BB71" s="32"/>
      <c r="BC71" s="32"/>
      <c r="BD71" s="32"/>
      <c r="BE71" s="32"/>
      <c r="BF71" s="32"/>
      <c r="BG71" s="32"/>
      <c r="BH71" s="32"/>
      <c r="BI71" s="32"/>
      <c r="BJ71" s="32"/>
      <c r="BK71" s="32"/>
      <c r="BL71" s="32"/>
      <c r="BM71" s="32"/>
      <c r="BN71" s="32"/>
      <c r="BO71" s="165"/>
      <c r="BP71" s="165"/>
      <c r="BQ71" s="165"/>
      <c r="BR71" s="165"/>
      <c r="BS71" s="165"/>
      <c r="BT71" s="165"/>
      <c r="BU71" s="165"/>
      <c r="BV71" s="55"/>
      <c r="BW71" s="160"/>
      <c r="BX71" s="32"/>
      <c r="BY71" s="24"/>
      <c r="BZ71" s="24"/>
      <c r="CA71" s="24"/>
      <c r="CB71" s="24"/>
      <c r="CC71" s="24"/>
      <c r="CD71" s="24"/>
      <c r="CE71" s="24"/>
    </row>
    <row r="72" spans="1:83" ht="15" customHeight="1">
      <c r="A72" s="4"/>
      <c r="B72" s="317">
        <f>IF($AA$7=$AA$8,CENY!B134,IF($AA$7=$AA$9,CENY!B143,IF($AA$7=$AA$10,CENY!B152,IF($AA$7=$AA$11,CENY!B511,IF($AA$7=$AA$12,CENY!B520,IF($AA$7=$AA$13,CENY!B529,IF($AA$7=$AA$14,CENY!B538,CENY!B547)))))))</f>
        <v>9347503</v>
      </c>
      <c r="C72" s="43" t="str">
        <f>VLOOKUP(B72,CENY!$B$11:$G$1054,2,FALSE)</f>
        <v>AvanY-design ALprofil Hybrid na bok 300/ strieb.</v>
      </c>
      <c r="D72" s="353">
        <f>VLOOKUP(B72,CENY!$B$11:$G$1054,3,FALSE)</f>
        <v>200</v>
      </c>
      <c r="E72" s="56" t="str">
        <f>IF(VLOOKUP(B72,CENY!$B$11:$G$1054,4,FALSE)=0,"",VLOOKUP(B72,CENY!$B$11:$G$1054,4,FALSE))</f>
        <v/>
      </c>
      <c r="F72" s="40" t="str">
        <f t="shared" si="8"/>
        <v/>
      </c>
      <c r="G72" s="52">
        <f>VLOOKUP(B72,CENY!$B$11:$M$1054,12,FALSE)</f>
        <v>20.006769999999999</v>
      </c>
      <c r="H72" s="54" t="str">
        <f t="shared" si="0"/>
        <v xml:space="preserve"> CZK</v>
      </c>
      <c r="I72" s="41" t="str">
        <f t="shared" si="1"/>
        <v/>
      </c>
      <c r="J72" s="122"/>
      <c r="K72" s="42" t="str">
        <f>VLOOKUP(B72,CENY!$B$11:$M$1054,8,FALSE)</f>
        <v xml:space="preserve"> </v>
      </c>
      <c r="L72" s="42" t="str">
        <f>VLOOKUP(B72,CENY!$B$11:$M$1054,9,FALSE)</f>
        <v>532177</v>
      </c>
      <c r="M72" s="32"/>
      <c r="N72" s="35">
        <f t="shared" si="9"/>
        <v>0</v>
      </c>
      <c r="O72" s="36">
        <v>0</v>
      </c>
      <c r="P72" s="325">
        <f>'AVT101'!AZ16</f>
        <v>0</v>
      </c>
      <c r="Q72" s="325">
        <f>'AVT101'!BI28</f>
        <v>0</v>
      </c>
      <c r="R72" s="325">
        <f>'AVT139'!AZ16</f>
        <v>0</v>
      </c>
      <c r="S72" s="325">
        <f>'AVT139'!BI28</f>
        <v>0</v>
      </c>
      <c r="T72" s="325">
        <f>'AVT187'!AZ16</f>
        <v>0</v>
      </c>
      <c r="U72" s="325">
        <f>'AVT187'!BI28</f>
        <v>0</v>
      </c>
      <c r="V72" s="32"/>
      <c r="W72" s="32"/>
      <c r="X72" s="32"/>
      <c r="Y72" s="32"/>
      <c r="Z72" s="325">
        <f>'AVT101(vn-A)'!AZ16</f>
        <v>0</v>
      </c>
      <c r="AA72" s="325">
        <f>'AVT101(vn-A)'!BI28</f>
        <v>0</v>
      </c>
      <c r="AB72" s="325">
        <f>'AVT139(vn-A)'!AZ16</f>
        <v>0</v>
      </c>
      <c r="AC72" s="325">
        <f>'AVT139(vn-A)'!BI28</f>
        <v>0</v>
      </c>
      <c r="AD72" s="325">
        <f>'AVT187(vn-A)'!AZ16</f>
        <v>0</v>
      </c>
      <c r="AE72" s="325">
        <f>'AVT187(vn-A)'!BI28</f>
        <v>0</v>
      </c>
      <c r="AF72" s="32"/>
      <c r="AG72" s="32"/>
      <c r="AH72" s="325">
        <f>'AVT187(vn-S)'!AZ16</f>
        <v>0</v>
      </c>
      <c r="AI72" s="325">
        <f>'AVT187(vn-S)'!BI28</f>
        <v>0</v>
      </c>
      <c r="AJ72" s="32"/>
      <c r="AK72" s="32"/>
      <c r="AL72" s="32"/>
      <c r="AM72" s="32"/>
      <c r="AN72" s="325">
        <f>'AVT-celny-101+187'!AZ26</f>
        <v>0</v>
      </c>
      <c r="AO72" s="325">
        <f>'AVT-celny-101+187'!BI48</f>
        <v>0</v>
      </c>
      <c r="AP72" s="325">
        <f>'AVT-celny-139+187'!AZ21</f>
        <v>0</v>
      </c>
      <c r="AQ72" s="325">
        <f>'AVT-celny-139+187'!BI39</f>
        <v>0</v>
      </c>
      <c r="AR72" s="325">
        <f>'AVT-celny-2x187'!AZ16</f>
        <v>0</v>
      </c>
      <c r="AS72" s="325">
        <f>'AVT-celny-2x187'!BI28</f>
        <v>0</v>
      </c>
      <c r="AT72" s="32"/>
      <c r="AU72" s="32"/>
      <c r="AV72" s="32"/>
      <c r="AW72" s="32"/>
      <c r="AX72" s="32"/>
      <c r="AY72" s="32"/>
      <c r="AZ72" s="32"/>
      <c r="BA72" s="32"/>
      <c r="BB72" s="32"/>
      <c r="BC72" s="32"/>
      <c r="BD72" s="32"/>
      <c r="BE72" s="32"/>
      <c r="BF72" s="32"/>
      <c r="BG72" s="32"/>
      <c r="BH72" s="32"/>
      <c r="BI72" s="32"/>
      <c r="BJ72" s="32"/>
      <c r="BK72" s="32"/>
      <c r="BL72" s="32"/>
      <c r="BM72" s="32"/>
      <c r="BN72" s="32"/>
      <c r="BO72" s="165"/>
      <c r="BP72" s="165"/>
      <c r="BQ72" s="165"/>
      <c r="BR72" s="165"/>
      <c r="BS72" s="165"/>
      <c r="BT72" s="165"/>
      <c r="BU72" s="165"/>
      <c r="BV72" s="55"/>
      <c r="BW72" s="160"/>
      <c r="BX72" s="32"/>
      <c r="BY72" s="24"/>
      <c r="BZ72" s="24"/>
      <c r="CA72" s="24"/>
      <c r="CB72" s="24"/>
      <c r="CC72" s="24"/>
      <c r="CD72" s="24"/>
      <c r="CE72" s="24"/>
    </row>
    <row r="73" spans="1:83" ht="15" customHeight="1">
      <c r="A73" s="4"/>
      <c r="B73" s="317">
        <f>IF($AA$7=$AA$8,CENY!B135,IF($AA$7=$AA$9,CENY!B144,IF($AA$7=$AA$10,CENY!B153,IF($AA$7=$AA$11,CENY!B512,IF($AA$7=$AA$12,CENY!B521,IF($AA$7=$AA$13,CENY!B530,IF($AA$7=$AA$14,CENY!B539,CENY!B548)))))))</f>
        <v>9347504</v>
      </c>
      <c r="C73" s="43" t="str">
        <f>VLOOKUP(B73,CENY!$B$11:$G$1054,2,FALSE)</f>
        <v>AvanY-design ALprofil Hybrid na bok 350/ strieb.</v>
      </c>
      <c r="D73" s="353">
        <f>VLOOKUP(B73,CENY!$B$11:$G$1054,3,FALSE)</f>
        <v>200</v>
      </c>
      <c r="E73" s="56" t="str">
        <f>IF(VLOOKUP(B73,CENY!$B$11:$G$1054,4,FALSE)=0,"",VLOOKUP(B73,CENY!$B$11:$G$1054,4,FALSE))</f>
        <v/>
      </c>
      <c r="F73" s="40" t="str">
        <f t="shared" si="8"/>
        <v/>
      </c>
      <c r="G73" s="52">
        <f>VLOOKUP(B73,CENY!$B$11:$M$1054,12,FALSE)</f>
        <v>20.37642</v>
      </c>
      <c r="H73" s="54" t="str">
        <f t="shared" si="0"/>
        <v xml:space="preserve"> CZK</v>
      </c>
      <c r="I73" s="41" t="str">
        <f t="shared" si="1"/>
        <v/>
      </c>
      <c r="J73" s="122"/>
      <c r="K73" s="42" t="str">
        <f>VLOOKUP(B73,CENY!$B$11:$M$1054,8,FALSE)</f>
        <v xml:space="preserve"> </v>
      </c>
      <c r="L73" s="42" t="str">
        <f>VLOOKUP(B73,CENY!$B$11:$M$1054,9,FALSE)</f>
        <v>532180</v>
      </c>
      <c r="M73" s="32"/>
      <c r="N73" s="35">
        <f t="shared" si="9"/>
        <v>0</v>
      </c>
      <c r="O73" s="36">
        <v>0</v>
      </c>
      <c r="P73" s="325">
        <f>'AVT101'!AZ17</f>
        <v>0</v>
      </c>
      <c r="Q73" s="325">
        <f>'AVT101'!BI29</f>
        <v>0</v>
      </c>
      <c r="R73" s="325">
        <f>'AVT139'!AZ17</f>
        <v>0</v>
      </c>
      <c r="S73" s="325">
        <f>'AVT139'!BI29</f>
        <v>0</v>
      </c>
      <c r="T73" s="325">
        <f>'AVT187'!AZ17</f>
        <v>0</v>
      </c>
      <c r="U73" s="325">
        <f>'AVT187'!BI29</f>
        <v>0</v>
      </c>
      <c r="V73" s="325">
        <f>'AVT251'!AZ13</f>
        <v>0</v>
      </c>
      <c r="W73" s="325">
        <f>'AVT251'!BI24</f>
        <v>0</v>
      </c>
      <c r="X73" s="32"/>
      <c r="Y73" s="32"/>
      <c r="Z73" s="325">
        <f>'AVT101(vn-A)'!AZ17</f>
        <v>0</v>
      </c>
      <c r="AA73" s="325">
        <f>'AVT101(vn-A)'!BI29</f>
        <v>0</v>
      </c>
      <c r="AB73" s="325">
        <f>'AVT139(vn-A)'!AZ17</f>
        <v>0</v>
      </c>
      <c r="AC73" s="325">
        <f>'AVT139(vn-A)'!BI29</f>
        <v>0</v>
      </c>
      <c r="AD73" s="325">
        <f>'AVT187(vn-A)'!AZ17</f>
        <v>0</v>
      </c>
      <c r="AE73" s="325">
        <f>'AVT187(vn-A)'!BI29</f>
        <v>0</v>
      </c>
      <c r="AF73" s="32"/>
      <c r="AG73" s="32"/>
      <c r="AH73" s="325">
        <f>'AVT187(vn-S)'!AZ17</f>
        <v>0</v>
      </c>
      <c r="AI73" s="325">
        <f>'AVT187(vn-S)'!BI29</f>
        <v>0</v>
      </c>
      <c r="AJ73" s="32"/>
      <c r="AK73" s="32"/>
      <c r="AL73" s="32"/>
      <c r="AM73" s="32"/>
      <c r="AN73" s="325">
        <f>'AVT-celny-101+187'!AZ27</f>
        <v>0</v>
      </c>
      <c r="AO73" s="325">
        <f>'AVT-celny-101+187'!BI49</f>
        <v>0</v>
      </c>
      <c r="AP73" s="325">
        <f>'AVT-celny-139+187'!AZ22</f>
        <v>0</v>
      </c>
      <c r="AQ73" s="325">
        <f>'AVT-celny-139+187'!BI40</f>
        <v>0</v>
      </c>
      <c r="AR73" s="325">
        <f>'AVT-celny-2x187'!AZ17</f>
        <v>0</v>
      </c>
      <c r="AS73" s="325">
        <f>'AVT-celny-2x187'!BI29</f>
        <v>0</v>
      </c>
      <c r="AT73" s="32"/>
      <c r="AU73" s="32"/>
      <c r="AV73" s="32"/>
      <c r="AW73" s="32"/>
      <c r="AX73" s="32"/>
      <c r="AY73" s="32"/>
      <c r="AZ73" s="32"/>
      <c r="BA73" s="32"/>
      <c r="BB73" s="32"/>
      <c r="BC73" s="32"/>
      <c r="BD73" s="32"/>
      <c r="BE73" s="32"/>
      <c r="BF73" s="32"/>
      <c r="BG73" s="32"/>
      <c r="BH73" s="32"/>
      <c r="BI73" s="32"/>
      <c r="BJ73" s="32"/>
      <c r="BK73" s="32"/>
      <c r="BL73" s="32"/>
      <c r="BM73" s="32"/>
      <c r="BN73" s="32"/>
      <c r="BO73" s="165"/>
      <c r="BP73" s="165"/>
      <c r="BQ73" s="165"/>
      <c r="BR73" s="165"/>
      <c r="BS73" s="165"/>
      <c r="BT73" s="165"/>
      <c r="BU73" s="165"/>
      <c r="BV73" s="55"/>
      <c r="BW73" s="160"/>
      <c r="BX73" s="32"/>
      <c r="BY73" s="24"/>
      <c r="BZ73" s="24"/>
      <c r="CA73" s="24"/>
      <c r="CB73" s="24"/>
      <c r="CC73" s="24"/>
      <c r="CD73" s="24"/>
      <c r="CE73" s="24"/>
    </row>
    <row r="74" spans="1:83" ht="15" customHeight="1">
      <c r="A74" s="4"/>
      <c r="B74" s="317">
        <f>IF($AA$7=$AA$8,CENY!B136,IF($AA$7=$AA$9,CENY!B145,IF($AA$7=$AA$10,CENY!B154,IF($AA$7=$AA$11,CENY!B513,IF($AA$7=$AA$12,CENY!B522,IF($AA$7=$AA$13,CENY!B531,IF($AA$7=$AA$14,CENY!B540,CENY!B549)))))))</f>
        <v>9347505</v>
      </c>
      <c r="C74" s="43" t="str">
        <f>VLOOKUP(B74,CENY!$B$11:$G$1054,2,FALSE)</f>
        <v>AvanY-design ALprofil Hybrid na bok 400/ strieb.</v>
      </c>
      <c r="D74" s="353">
        <f>VLOOKUP(B74,CENY!$B$11:$G$1054,3,FALSE)</f>
        <v>200</v>
      </c>
      <c r="E74" s="56" t="str">
        <f>IF(VLOOKUP(B74,CENY!$B$11:$G$1054,4,FALSE)=0,"",VLOOKUP(B74,CENY!$B$11:$G$1054,4,FALSE))</f>
        <v/>
      </c>
      <c r="F74" s="40" t="str">
        <f t="shared" si="8"/>
        <v/>
      </c>
      <c r="G74" s="52">
        <f>VLOOKUP(B74,CENY!$B$11:$M$1054,12,FALSE)</f>
        <v>20.742249999999999</v>
      </c>
      <c r="H74" s="54" t="str">
        <f t="shared" si="0"/>
        <v xml:space="preserve"> CZK</v>
      </c>
      <c r="I74" s="41" t="str">
        <f t="shared" si="1"/>
        <v/>
      </c>
      <c r="J74" s="122"/>
      <c r="K74" s="42" t="str">
        <f>VLOOKUP(B74,CENY!$B$11:$M$1054,8,FALSE)</f>
        <v xml:space="preserve"> </v>
      </c>
      <c r="L74" s="42" t="str">
        <f>VLOOKUP(B74,CENY!$B$11:$M$1054,9,FALSE)</f>
        <v>532183</v>
      </c>
      <c r="M74" s="32"/>
      <c r="N74" s="35">
        <f t="shared" si="9"/>
        <v>0</v>
      </c>
      <c r="O74" s="36">
        <v>0</v>
      </c>
      <c r="P74" s="325">
        <f>'AVT101'!AZ18</f>
        <v>0</v>
      </c>
      <c r="Q74" s="325">
        <f>'AVT101'!BI30</f>
        <v>0</v>
      </c>
      <c r="R74" s="325">
        <f>'AVT139'!AZ18</f>
        <v>0</v>
      </c>
      <c r="S74" s="325">
        <f>'AVT139'!BI30</f>
        <v>0</v>
      </c>
      <c r="T74" s="325">
        <f>'AVT187'!AZ18</f>
        <v>0</v>
      </c>
      <c r="U74" s="325">
        <f>'AVT187'!BI30</f>
        <v>0</v>
      </c>
      <c r="V74" s="325">
        <f>'AVT251'!AZ14</f>
        <v>0</v>
      </c>
      <c r="W74" s="325">
        <f>'AVT251'!BI25</f>
        <v>0</v>
      </c>
      <c r="X74" s="32"/>
      <c r="Y74" s="32"/>
      <c r="Z74" s="325">
        <f>'AVT101(vn-A)'!AZ18</f>
        <v>0</v>
      </c>
      <c r="AA74" s="325">
        <f>'AVT101(vn-A)'!BI30</f>
        <v>0</v>
      </c>
      <c r="AB74" s="325">
        <f>'AVT139(vn-A)'!AZ18</f>
        <v>0</v>
      </c>
      <c r="AC74" s="325">
        <f>'AVT139(vn-A)'!BI30</f>
        <v>0</v>
      </c>
      <c r="AD74" s="325">
        <f>'AVT187(vn-A)'!AZ18</f>
        <v>0</v>
      </c>
      <c r="AE74" s="325">
        <f>'AVT187(vn-A)'!BI30</f>
        <v>0</v>
      </c>
      <c r="AF74" s="32"/>
      <c r="AG74" s="32"/>
      <c r="AH74" s="325">
        <f>'AVT187(vn-S)'!AZ18</f>
        <v>0</v>
      </c>
      <c r="AI74" s="325">
        <f>'AVT187(vn-S)'!BI30</f>
        <v>0</v>
      </c>
      <c r="AJ74" s="32"/>
      <c r="AK74" s="32"/>
      <c r="AL74" s="325">
        <f>'AVT77'!AZ10</f>
        <v>0</v>
      </c>
      <c r="AM74" s="325">
        <f>'AVT77'!BI17</f>
        <v>0</v>
      </c>
      <c r="AN74" s="325">
        <f>'AVT-celny-101+187'!AZ28</f>
        <v>0</v>
      </c>
      <c r="AO74" s="325">
        <f>'AVT-celny-101+187'!BI50</f>
        <v>0</v>
      </c>
      <c r="AP74" s="325">
        <f>'AVT-celny-139+187'!AZ23</f>
        <v>0</v>
      </c>
      <c r="AQ74" s="325">
        <f>'AVT-celny-139+187'!BI41</f>
        <v>0</v>
      </c>
      <c r="AR74" s="325">
        <f>'AVT-celny-2x187'!AZ18</f>
        <v>0</v>
      </c>
      <c r="AS74" s="325">
        <f>'AVT-celny-2x187'!BI30</f>
        <v>0</v>
      </c>
      <c r="AT74" s="32"/>
      <c r="AU74" s="32"/>
      <c r="AV74" s="32"/>
      <c r="AW74" s="32"/>
      <c r="AX74" s="32"/>
      <c r="AY74" s="32"/>
      <c r="AZ74" s="32"/>
      <c r="BA74" s="32"/>
      <c r="BB74" s="32"/>
      <c r="BC74" s="32"/>
      <c r="BD74" s="32"/>
      <c r="BE74" s="32"/>
      <c r="BF74" s="32"/>
      <c r="BG74" s="32"/>
      <c r="BH74" s="32"/>
      <c r="BI74" s="32"/>
      <c r="BJ74" s="32"/>
      <c r="BK74" s="32"/>
      <c r="BL74" s="32"/>
      <c r="BM74" s="32"/>
      <c r="BN74" s="32"/>
      <c r="BO74" s="165"/>
      <c r="BP74" s="165"/>
      <c r="BQ74" s="165"/>
      <c r="BR74" s="165"/>
      <c r="BS74" s="165"/>
      <c r="BT74" s="165"/>
      <c r="BU74" s="165"/>
      <c r="BV74" s="55"/>
      <c r="BW74" s="160"/>
      <c r="BX74" s="32"/>
      <c r="BY74" s="24"/>
      <c r="BZ74" s="24"/>
      <c r="CA74" s="24"/>
      <c r="CB74" s="24"/>
      <c r="CC74" s="24"/>
      <c r="CD74" s="24"/>
      <c r="CE74" s="24"/>
    </row>
    <row r="75" spans="1:83" ht="15" customHeight="1">
      <c r="A75" s="4"/>
      <c r="B75" s="317">
        <f>IF($AA$7=$AA$8,CENY!B137,IF($AA$7=$AA$9,CENY!B146,IF($AA$7=$AA$10,CENY!B155,IF($AA$7=$AA$11,CENY!B514,IF($AA$7=$AA$12,CENY!B523,IF($AA$7=$AA$13,CENY!B532,IF($AA$7=$AA$14,CENY!B541,CENY!B550)))))))</f>
        <v>9347506</v>
      </c>
      <c r="C75" s="43" t="str">
        <f>VLOOKUP(B75,CENY!$B$11:$G$1054,2,FALSE)</f>
        <v>AvanY-design ALprofil Hybrid na bok 450/ strieb.</v>
      </c>
      <c r="D75" s="353">
        <f>VLOOKUP(B75,CENY!$B$11:$G$1054,3,FALSE)</f>
        <v>200</v>
      </c>
      <c r="E75" s="56" t="str">
        <f>IF(VLOOKUP(B75,CENY!$B$11:$G$1054,4,FALSE)=0,"",VLOOKUP(B75,CENY!$B$11:$G$1054,4,FALSE))</f>
        <v/>
      </c>
      <c r="F75" s="40" t="str">
        <f t="shared" si="8"/>
        <v/>
      </c>
      <c r="G75" s="52">
        <f>VLOOKUP(B75,CENY!$B$11:$M$1054,12,FALSE)</f>
        <v>21.111910000000002</v>
      </c>
      <c r="H75" s="54" t="str">
        <f t="shared" si="0"/>
        <v xml:space="preserve"> CZK</v>
      </c>
      <c r="I75" s="41" t="str">
        <f t="shared" si="1"/>
        <v/>
      </c>
      <c r="J75" s="122"/>
      <c r="K75" s="42" t="str">
        <f>VLOOKUP(B75,CENY!$B$11:$M$1054,8,FALSE)</f>
        <v xml:space="preserve"> </v>
      </c>
      <c r="L75" s="42" t="str">
        <f>VLOOKUP(B75,CENY!$B$11:$M$1054,9,FALSE)</f>
        <v>532186</v>
      </c>
      <c r="M75" s="32"/>
      <c r="N75" s="35">
        <f t="shared" si="9"/>
        <v>0</v>
      </c>
      <c r="O75" s="36">
        <v>0</v>
      </c>
      <c r="P75" s="325">
        <f>'AVT101'!AZ19</f>
        <v>0</v>
      </c>
      <c r="Q75" s="325">
        <f>'AVT101'!BI31</f>
        <v>0</v>
      </c>
      <c r="R75" s="325">
        <f>'AVT139'!AZ19</f>
        <v>0</v>
      </c>
      <c r="S75" s="325">
        <f>'AVT139'!BI31</f>
        <v>0</v>
      </c>
      <c r="T75" s="325">
        <f>'AVT187'!AZ19</f>
        <v>0</v>
      </c>
      <c r="U75" s="325">
        <f>'AVT187'!BI31</f>
        <v>0</v>
      </c>
      <c r="V75" s="325">
        <f>'AVT251'!AZ15</f>
        <v>0</v>
      </c>
      <c r="W75" s="325">
        <f>'AVT251'!BI26</f>
        <v>0</v>
      </c>
      <c r="X75" s="32"/>
      <c r="Y75" s="32"/>
      <c r="Z75" s="325">
        <f>'AVT101(vn-A)'!AZ19</f>
        <v>0</v>
      </c>
      <c r="AA75" s="325">
        <f>'AVT101(vn-A)'!BI31</f>
        <v>0</v>
      </c>
      <c r="AB75" s="325">
        <f>'AVT139(vn-A)'!AZ19</f>
        <v>0</v>
      </c>
      <c r="AC75" s="325">
        <f>'AVT139(vn-A)'!BI31</f>
        <v>0</v>
      </c>
      <c r="AD75" s="325">
        <f>'AVT187(vn-A)'!AZ19</f>
        <v>0</v>
      </c>
      <c r="AE75" s="325">
        <f>'AVT187(vn-A)'!BI31</f>
        <v>0</v>
      </c>
      <c r="AF75" s="32"/>
      <c r="AG75" s="32"/>
      <c r="AH75" s="325">
        <f>'AVT187(vn-S)'!AZ19</f>
        <v>0</v>
      </c>
      <c r="AI75" s="325">
        <f>'AVT187(vn-S)'!BI31</f>
        <v>0</v>
      </c>
      <c r="AJ75" s="32"/>
      <c r="AK75" s="32"/>
      <c r="AL75" s="325">
        <f>'AVT77'!AZ11</f>
        <v>0</v>
      </c>
      <c r="AM75" s="325">
        <f>'AVT77'!BI18</f>
        <v>0</v>
      </c>
      <c r="AN75" s="325">
        <f>'AVT-celny-101+187'!AZ29</f>
        <v>0</v>
      </c>
      <c r="AO75" s="325">
        <f>'AVT-celny-101+187'!BI51</f>
        <v>0</v>
      </c>
      <c r="AP75" s="325">
        <f>'AVT-celny-139+187'!AZ24</f>
        <v>0</v>
      </c>
      <c r="AQ75" s="325">
        <f>'AVT-celny-139+187'!BI42</f>
        <v>0</v>
      </c>
      <c r="AR75" s="325">
        <f>'AVT-celny-2x187'!AZ19</f>
        <v>0</v>
      </c>
      <c r="AS75" s="325">
        <f>'AVT-celny-2x187'!BI31</f>
        <v>0</v>
      </c>
      <c r="AT75" s="32"/>
      <c r="AU75" s="32"/>
      <c r="AV75" s="325">
        <f>'potr-v101+187'!AZ25</f>
        <v>0</v>
      </c>
      <c r="AW75" s="325">
        <f>'potr-v101+187'!BI45</f>
        <v>0</v>
      </c>
      <c r="AX75" s="325">
        <f>'potr-v101+187-IL'!AZ25</f>
        <v>0</v>
      </c>
      <c r="AY75" s="325">
        <f>'potr-v101+187-IL'!BI45</f>
        <v>0</v>
      </c>
      <c r="AZ75" s="32"/>
      <c r="BA75" s="32"/>
      <c r="BB75" s="32"/>
      <c r="BC75" s="32"/>
      <c r="BD75" s="32"/>
      <c r="BE75" s="32"/>
      <c r="BF75" s="32"/>
      <c r="BG75" s="32"/>
      <c r="BH75" s="32"/>
      <c r="BI75" s="32"/>
      <c r="BJ75" s="32"/>
      <c r="BK75" s="32"/>
      <c r="BL75" s="32"/>
      <c r="BM75" s="32"/>
      <c r="BN75" s="32"/>
      <c r="BO75" s="165"/>
      <c r="BP75" s="165"/>
      <c r="BQ75" s="165"/>
      <c r="BR75" s="165"/>
      <c r="BS75" s="165"/>
      <c r="BT75" s="165"/>
      <c r="BU75" s="165"/>
      <c r="BV75" s="55"/>
      <c r="BW75" s="160"/>
      <c r="BX75" s="32"/>
      <c r="BY75" s="24"/>
      <c r="BZ75" s="24"/>
      <c r="CA75" s="24"/>
      <c r="CB75" s="24"/>
      <c r="CC75" s="24"/>
      <c r="CD75" s="24"/>
      <c r="CE75" s="24"/>
    </row>
    <row r="76" spans="1:83" ht="15" customHeight="1">
      <c r="A76" s="4"/>
      <c r="B76" s="317">
        <f>IF($AA$7=$AA$8,CENY!B138,IF($AA$7=$AA$9,CENY!B147,IF($AA$7=$AA$10,CENY!B156,IF($AA$7=$AA$11,CENY!B515,IF($AA$7=$AA$12,CENY!B524,IF($AA$7=$AA$13,CENY!B533,IF($AA$7=$AA$14,CENY!B542,CENY!B551)))))))</f>
        <v>9347507</v>
      </c>
      <c r="C76" s="43" t="str">
        <f>VLOOKUP(B76,CENY!$B$11:$G$1054,2,FALSE)</f>
        <v>AvanY-design ALprofil Hybrid na bok 500/ strieb.</v>
      </c>
      <c r="D76" s="353">
        <f>VLOOKUP(B76,CENY!$B$11:$G$1054,3,FALSE)</f>
        <v>200</v>
      </c>
      <c r="E76" s="56" t="str">
        <f>IF(VLOOKUP(B76,CENY!$B$11:$G$1054,4,FALSE)=0,"",VLOOKUP(B76,CENY!$B$11:$G$1054,4,FALSE))</f>
        <v/>
      </c>
      <c r="F76" s="40" t="str">
        <f t="shared" si="8"/>
        <v/>
      </c>
      <c r="G76" s="52">
        <f>VLOOKUP(B76,CENY!$B$11:$M$1054,12,FALSE)</f>
        <v>21.479700000000001</v>
      </c>
      <c r="H76" s="54" t="str">
        <f t="shared" si="0"/>
        <v xml:space="preserve"> CZK</v>
      </c>
      <c r="I76" s="41" t="str">
        <f t="shared" si="1"/>
        <v/>
      </c>
      <c r="J76" s="122"/>
      <c r="K76" s="42" t="str">
        <f>VLOOKUP(B76,CENY!$B$11:$M$1054,8,FALSE)</f>
        <v xml:space="preserve"> </v>
      </c>
      <c r="L76" s="42" t="str">
        <f>VLOOKUP(B76,CENY!$B$11:$M$1054,9,FALSE)</f>
        <v>532189</v>
      </c>
      <c r="M76" s="32"/>
      <c r="N76" s="35">
        <f t="shared" si="9"/>
        <v>0</v>
      </c>
      <c r="O76" s="36">
        <v>0</v>
      </c>
      <c r="P76" s="325">
        <f>'AVT101'!AZ20</f>
        <v>0</v>
      </c>
      <c r="Q76" s="325">
        <f>'AVT101'!BI32</f>
        <v>0</v>
      </c>
      <c r="R76" s="325">
        <f>'AVT139'!AZ20</f>
        <v>0</v>
      </c>
      <c r="S76" s="325">
        <f>'AVT139'!BI32</f>
        <v>0</v>
      </c>
      <c r="T76" s="325">
        <f>'AVT187'!AZ20</f>
        <v>0</v>
      </c>
      <c r="U76" s="325">
        <f>'AVT187'!BI32</f>
        <v>0</v>
      </c>
      <c r="V76" s="325">
        <f>'AVT251'!AZ16</f>
        <v>0</v>
      </c>
      <c r="W76" s="325">
        <f>'AVT251'!BI27</f>
        <v>0</v>
      </c>
      <c r="X76" s="32"/>
      <c r="Y76" s="32"/>
      <c r="Z76" s="325">
        <f>'AVT101(vn-A)'!AZ20</f>
        <v>0</v>
      </c>
      <c r="AA76" s="325">
        <f>'AVT101(vn-A)'!BI32</f>
        <v>0</v>
      </c>
      <c r="AB76" s="325">
        <f>'AVT139(vn-A)'!AZ20</f>
        <v>0</v>
      </c>
      <c r="AC76" s="325">
        <f>'AVT139(vn-A)'!BI32</f>
        <v>0</v>
      </c>
      <c r="AD76" s="325">
        <f>'AVT187(vn-A)'!AZ20</f>
        <v>0</v>
      </c>
      <c r="AE76" s="325">
        <f>'AVT187(vn-A)'!BI32</f>
        <v>0</v>
      </c>
      <c r="AF76" s="32"/>
      <c r="AG76" s="32"/>
      <c r="AH76" s="325">
        <f>'AVT187(vn-S)'!AZ20</f>
        <v>0</v>
      </c>
      <c r="AI76" s="325">
        <f>'AVT187(vn-S)'!BI32</f>
        <v>0</v>
      </c>
      <c r="AJ76" s="32"/>
      <c r="AK76" s="32"/>
      <c r="AL76" s="325">
        <f>'AVT77'!AZ12</f>
        <v>0</v>
      </c>
      <c r="AM76" s="325">
        <f>'AVT77'!BI19</f>
        <v>0</v>
      </c>
      <c r="AN76" s="325">
        <f>'AVT-celny-101+187'!AZ30</f>
        <v>0</v>
      </c>
      <c r="AO76" s="325">
        <f>'AVT-celny-101+187'!BI52</f>
        <v>0</v>
      </c>
      <c r="AP76" s="325">
        <f>'AVT-celny-139+187'!AZ25</f>
        <v>0</v>
      </c>
      <c r="AQ76" s="325">
        <f>'AVT-celny-139+187'!BI43</f>
        <v>0</v>
      </c>
      <c r="AR76" s="325">
        <f>'AVT-celny-2x187'!AZ20</f>
        <v>0</v>
      </c>
      <c r="AS76" s="325">
        <f>'AVT-celny-2x187'!BI32</f>
        <v>0</v>
      </c>
      <c r="AT76" s="32"/>
      <c r="AU76" s="32"/>
      <c r="AV76" s="325">
        <f>'potr-v101+187'!AZ26</f>
        <v>0</v>
      </c>
      <c r="AW76" s="325">
        <f>'potr-v101+187'!BI46</f>
        <v>0</v>
      </c>
      <c r="AX76" s="325">
        <f>'potr-v101+187-IL'!AZ26</f>
        <v>0</v>
      </c>
      <c r="AY76" s="325">
        <f>'potr-v101+187-IL'!BI46</f>
        <v>0</v>
      </c>
      <c r="AZ76" s="32"/>
      <c r="BA76" s="32"/>
      <c r="BB76" s="32"/>
      <c r="BC76" s="32"/>
      <c r="BD76" s="32"/>
      <c r="BE76" s="32"/>
      <c r="BF76" s="32"/>
      <c r="BG76" s="32"/>
      <c r="BH76" s="32"/>
      <c r="BI76" s="32"/>
      <c r="BJ76" s="32"/>
      <c r="BK76" s="32"/>
      <c r="BL76" s="32"/>
      <c r="BM76" s="32"/>
      <c r="BN76" s="32"/>
      <c r="BO76" s="165"/>
      <c r="BP76" s="165"/>
      <c r="BQ76" s="165"/>
      <c r="BR76" s="165"/>
      <c r="BS76" s="165"/>
      <c r="BT76" s="165"/>
      <c r="BU76" s="165"/>
      <c r="BV76" s="55"/>
      <c r="BW76" s="160"/>
      <c r="BX76" s="32"/>
      <c r="BY76" s="24"/>
      <c r="BZ76" s="24"/>
      <c r="CA76" s="24"/>
      <c r="CB76" s="24"/>
      <c r="CC76" s="24"/>
      <c r="CD76" s="24"/>
      <c r="CE76" s="24"/>
    </row>
    <row r="77" spans="1:83" ht="15" customHeight="1">
      <c r="A77" s="4"/>
      <c r="B77" s="317">
        <f>IF($AA$7=$AA$8,CENY!B139,IF($AA$7=$AA$9,CENY!B148,IF($AA$7=$AA$10,CENY!B157,IF($AA$7=$AA$11,CENY!B516,IF($AA$7=$AA$12,CENY!B525,IF($AA$7=$AA$13,CENY!B534,IF($AA$7=$AA$14,CENY!B543,CENY!B552)))))))</f>
        <v>9347508</v>
      </c>
      <c r="C77" s="43" t="str">
        <f>VLOOKUP(B77,CENY!$B$11:$G$1054,2,FALSE)</f>
        <v>AvanY-design ALprofil Hybrid na bok 550/ strieb.</v>
      </c>
      <c r="D77" s="353">
        <f>VLOOKUP(B77,CENY!$B$11:$G$1054,3,FALSE)</f>
        <v>200</v>
      </c>
      <c r="E77" s="56" t="str">
        <f>IF(VLOOKUP(B77,CENY!$B$11:$G$1054,4,FALSE)=0,"",VLOOKUP(B77,CENY!$B$11:$G$1054,4,FALSE))</f>
        <v/>
      </c>
      <c r="F77" s="40" t="str">
        <f t="shared" si="8"/>
        <v/>
      </c>
      <c r="G77" s="52">
        <f>VLOOKUP(B77,CENY!$B$11:$M$1054,12,FALSE)</f>
        <v>21.84564</v>
      </c>
      <c r="H77" s="54" t="str">
        <f t="shared" si="0"/>
        <v xml:space="preserve"> CZK</v>
      </c>
      <c r="I77" s="41" t="str">
        <f t="shared" si="1"/>
        <v/>
      </c>
      <c r="J77" s="122"/>
      <c r="K77" s="42" t="str">
        <f>VLOOKUP(B77,CENY!$B$11:$M$1054,8,FALSE)</f>
        <v xml:space="preserve"> </v>
      </c>
      <c r="L77" s="42" t="str">
        <f>VLOOKUP(B77,CENY!$B$11:$M$1054,9,FALSE)</f>
        <v>532192</v>
      </c>
      <c r="M77" s="32"/>
      <c r="N77" s="35">
        <f t="shared" si="9"/>
        <v>0</v>
      </c>
      <c r="O77" s="36">
        <v>0</v>
      </c>
      <c r="P77" s="325">
        <f>'AVT101'!AZ21</f>
        <v>0</v>
      </c>
      <c r="Q77" s="325">
        <f>'AVT101'!BI33</f>
        <v>0</v>
      </c>
      <c r="R77" s="325">
        <f>'AVT139'!AZ21</f>
        <v>0</v>
      </c>
      <c r="S77" s="325">
        <f>'AVT139'!BI33</f>
        <v>0</v>
      </c>
      <c r="T77" s="325">
        <f>'AVT187'!AZ21</f>
        <v>0</v>
      </c>
      <c r="U77" s="325">
        <f>'AVT187'!BI33</f>
        <v>0</v>
      </c>
      <c r="V77" s="325">
        <f>'AVT251'!AZ17</f>
        <v>0</v>
      </c>
      <c r="W77" s="325">
        <f>'AVT251'!BI28</f>
        <v>0</v>
      </c>
      <c r="X77" s="32"/>
      <c r="Y77" s="32"/>
      <c r="Z77" s="325">
        <f>'AVT101(vn-A)'!AZ21</f>
        <v>0</v>
      </c>
      <c r="AA77" s="325">
        <f>'AVT101(vn-A)'!BI33</f>
        <v>0</v>
      </c>
      <c r="AB77" s="325">
        <f>'AVT139(vn-A)'!AZ21</f>
        <v>0</v>
      </c>
      <c r="AC77" s="325">
        <f>'AVT139(vn-A)'!BI33</f>
        <v>0</v>
      </c>
      <c r="AD77" s="325">
        <f>'AVT187(vn-A)'!AZ21</f>
        <v>0</v>
      </c>
      <c r="AE77" s="325">
        <f>'AVT187(vn-A)'!BI33</f>
        <v>0</v>
      </c>
      <c r="AF77" s="32"/>
      <c r="AG77" s="32"/>
      <c r="AH77" s="325">
        <f>'AVT187(vn-S)'!AZ21</f>
        <v>0</v>
      </c>
      <c r="AI77" s="325">
        <f>'AVT187(vn-S)'!BI33</f>
        <v>0</v>
      </c>
      <c r="AJ77" s="32"/>
      <c r="AK77" s="32"/>
      <c r="AL77" s="325">
        <f>'AVT77'!AZ13</f>
        <v>0</v>
      </c>
      <c r="AM77" s="325">
        <f>'AVT77'!BI20</f>
        <v>0</v>
      </c>
      <c r="AN77" s="325">
        <f>'AVT-celny-101+187'!AZ31</f>
        <v>0</v>
      </c>
      <c r="AO77" s="325">
        <f>'AVT-celny-101+187'!BI53</f>
        <v>0</v>
      </c>
      <c r="AP77" s="325">
        <f>'AVT-celny-139+187'!AZ26</f>
        <v>0</v>
      </c>
      <c r="AQ77" s="325">
        <f>'AVT-celny-139+187'!BI44</f>
        <v>0</v>
      </c>
      <c r="AR77" s="325">
        <f>'AVT-celny-2x187'!AZ21</f>
        <v>0</v>
      </c>
      <c r="AS77" s="325">
        <f>'AVT-celny-2x187'!BI33</f>
        <v>0</v>
      </c>
      <c r="AT77" s="32"/>
      <c r="AU77" s="32"/>
      <c r="AV77" s="325">
        <f>'potr-v101+187'!AZ27</f>
        <v>0</v>
      </c>
      <c r="AW77" s="325">
        <f>'potr-v101+187'!BI47</f>
        <v>0</v>
      </c>
      <c r="AX77" s="325">
        <f>'potr-v101+187-IL'!AZ27</f>
        <v>0</v>
      </c>
      <c r="AY77" s="325">
        <f>'potr-v101+187-IL'!BI47</f>
        <v>0</v>
      </c>
      <c r="AZ77" s="32"/>
      <c r="BA77" s="32"/>
      <c r="BB77" s="32"/>
      <c r="BC77" s="32"/>
      <c r="BD77" s="32"/>
      <c r="BE77" s="32"/>
      <c r="BF77" s="32"/>
      <c r="BG77" s="32"/>
      <c r="BH77" s="32"/>
      <c r="BI77" s="32"/>
      <c r="BJ77" s="32"/>
      <c r="BK77" s="32"/>
      <c r="BL77" s="32"/>
      <c r="BM77" s="32"/>
      <c r="BN77" s="32"/>
      <c r="BO77" s="165"/>
      <c r="BP77" s="165"/>
      <c r="BQ77" s="165"/>
      <c r="BR77" s="165"/>
      <c r="BS77" s="165"/>
      <c r="BT77" s="165"/>
      <c r="BU77" s="165"/>
      <c r="BV77" s="55"/>
      <c r="BW77" s="160"/>
      <c r="BX77" s="32"/>
      <c r="BY77" s="24"/>
      <c r="BZ77" s="24"/>
      <c r="CA77" s="24"/>
      <c r="CB77" s="24"/>
      <c r="CC77" s="24"/>
      <c r="CD77" s="24"/>
      <c r="CE77" s="24"/>
    </row>
    <row r="78" spans="1:83" ht="15" customHeight="1">
      <c r="A78" s="4"/>
      <c r="B78" s="317">
        <f>IF($AA$7=$AA$8,CENY!B140,IF($AA$7=$AA$9,CENY!B149,IF($AA$7=$AA$10,CENY!B158,IF($AA$7=$AA$11,CENY!B517,IF($AA$7=$AA$12,CENY!B526,IF($AA$7=$AA$13,CENY!B535,IF($AA$7=$AA$14,CENY!B544,CENY!B553)))))))</f>
        <v>9347509</v>
      </c>
      <c r="C78" s="43" t="str">
        <f>VLOOKUP(B78,CENY!$B$11:$G$1054,2,FALSE)</f>
        <v>AvanY-design ALprofil Hybrid na bok 600/ strieb.</v>
      </c>
      <c r="D78" s="353">
        <f>VLOOKUP(B78,CENY!$B$11:$G$1054,3,FALSE)</f>
        <v>200</v>
      </c>
      <c r="E78" s="56" t="str">
        <f>IF(VLOOKUP(B78,CENY!$B$11:$G$1054,4,FALSE)=0,"",VLOOKUP(B78,CENY!$B$11:$G$1054,4,FALSE))</f>
        <v/>
      </c>
      <c r="F78" s="40" t="str">
        <f t="shared" si="8"/>
        <v/>
      </c>
      <c r="G78" s="52">
        <f>VLOOKUP(B78,CENY!$B$11:$M$1054,12,FALSE)</f>
        <v>22.79205</v>
      </c>
      <c r="H78" s="54" t="str">
        <f t="shared" si="0"/>
        <v xml:space="preserve"> CZK</v>
      </c>
      <c r="I78" s="41" t="str">
        <f t="shared" si="1"/>
        <v/>
      </c>
      <c r="J78" s="122"/>
      <c r="K78" s="42" t="str">
        <f>VLOOKUP(B78,CENY!$B$11:$M$1054,8,FALSE)</f>
        <v xml:space="preserve"> </v>
      </c>
      <c r="L78" s="42" t="str">
        <f>VLOOKUP(B78,CENY!$B$11:$M$1054,9,FALSE)</f>
        <v>532195</v>
      </c>
      <c r="M78" s="32"/>
      <c r="N78" s="35">
        <f t="shared" si="9"/>
        <v>0</v>
      </c>
      <c r="O78" s="36">
        <v>0</v>
      </c>
      <c r="P78" s="325">
        <f>'AVT101'!AZ22</f>
        <v>0</v>
      </c>
      <c r="Q78" s="325">
        <f>'AVT101'!BI34</f>
        <v>0</v>
      </c>
      <c r="R78" s="325">
        <f>'AVT139'!AZ22</f>
        <v>0</v>
      </c>
      <c r="S78" s="325">
        <f>'AVT139'!BI34</f>
        <v>0</v>
      </c>
      <c r="T78" s="325">
        <f>'AVT187'!AZ22</f>
        <v>0</v>
      </c>
      <c r="U78" s="325">
        <f>'AVT187'!BI34</f>
        <v>0</v>
      </c>
      <c r="V78" s="325">
        <f>'AVT251'!AZ18</f>
        <v>0</v>
      </c>
      <c r="W78" s="325">
        <f>'AVT251'!BI29</f>
        <v>0</v>
      </c>
      <c r="X78" s="32"/>
      <c r="Y78" s="32"/>
      <c r="Z78" s="325">
        <f>'AVT101(vn-A)'!AZ22</f>
        <v>0</v>
      </c>
      <c r="AA78" s="325">
        <f>'AVT101(vn-A)'!BI34</f>
        <v>0</v>
      </c>
      <c r="AB78" s="325">
        <f>'AVT139(vn-A)'!AZ22</f>
        <v>0</v>
      </c>
      <c r="AC78" s="325">
        <f>'AVT139(vn-A)'!BI34</f>
        <v>0</v>
      </c>
      <c r="AD78" s="325">
        <f>'AVT187(vn-A)'!AZ22</f>
        <v>0</v>
      </c>
      <c r="AE78" s="325">
        <f>'AVT187(vn-A)'!BI34</f>
        <v>0</v>
      </c>
      <c r="AF78" s="32"/>
      <c r="AG78" s="32"/>
      <c r="AH78" s="325">
        <f>'AVT187(vn-S)'!AZ22</f>
        <v>0</v>
      </c>
      <c r="AI78" s="325">
        <f>'AVT187(vn-S)'!BI34</f>
        <v>0</v>
      </c>
      <c r="AJ78" s="32"/>
      <c r="AK78" s="32"/>
      <c r="AL78" s="32"/>
      <c r="AM78" s="32"/>
      <c r="AN78" s="325">
        <f>'AVT-celny-101+187'!AZ32</f>
        <v>0</v>
      </c>
      <c r="AO78" s="325">
        <f>'AVT-celny-101+187'!BI54</f>
        <v>0</v>
      </c>
      <c r="AP78" s="325">
        <f>'AVT-celny-139+187'!AZ27</f>
        <v>0</v>
      </c>
      <c r="AQ78" s="325">
        <f>'AVT-celny-139+187'!BI45</f>
        <v>0</v>
      </c>
      <c r="AR78" s="325">
        <f>'AVT-celny-2x187'!AZ22</f>
        <v>0</v>
      </c>
      <c r="AS78" s="325">
        <f>'AVT-celny-2x187'!BI34</f>
        <v>0</v>
      </c>
      <c r="AT78" s="32"/>
      <c r="AU78" s="32"/>
      <c r="AV78" s="325">
        <f>'potr-v101+187'!AZ28</f>
        <v>0</v>
      </c>
      <c r="AW78" s="325">
        <f>'potr-v101+187'!BI48</f>
        <v>0</v>
      </c>
      <c r="AX78" s="325">
        <f>'potr-v101+187-IL'!AZ28</f>
        <v>0</v>
      </c>
      <c r="AY78" s="325">
        <f>'potr-v101+187-IL'!BI48</f>
        <v>0</v>
      </c>
      <c r="AZ78" s="32"/>
      <c r="BA78" s="32"/>
      <c r="BB78" s="32"/>
      <c r="BC78" s="32"/>
      <c r="BD78" s="32"/>
      <c r="BE78" s="32"/>
      <c r="BF78" s="32"/>
      <c r="BG78" s="32"/>
      <c r="BH78" s="32"/>
      <c r="BI78" s="32"/>
      <c r="BJ78" s="32"/>
      <c r="BK78" s="32"/>
      <c r="BL78" s="32"/>
      <c r="BM78" s="32"/>
      <c r="BN78" s="32"/>
      <c r="BO78" s="165"/>
      <c r="BP78" s="165"/>
      <c r="BQ78" s="165"/>
      <c r="BR78" s="165"/>
      <c r="BS78" s="165"/>
      <c r="BT78" s="165"/>
      <c r="BU78" s="165"/>
      <c r="BV78" s="55"/>
      <c r="BW78" s="160"/>
      <c r="BX78" s="32"/>
      <c r="BY78" s="24"/>
      <c r="BZ78" s="24"/>
      <c r="CA78" s="24"/>
      <c r="CB78" s="24"/>
      <c r="CC78" s="24"/>
      <c r="CD78" s="24"/>
      <c r="CE78" s="24"/>
    </row>
    <row r="79" spans="1:83" ht="15" customHeight="1">
      <c r="A79" s="4"/>
      <c r="B79" s="317">
        <f>IF($AA$7=$AA$8,CENY!B141,IF($AA$7=$AA$9,CENY!B150,IF($AA$7=$AA$10,CENY!B159,IF($AA$7=$AA$11,CENY!B518,IF($AA$7=$AA$12,CENY!B527,IF($AA$7=$AA$13,CENY!B536,IF($AA$7=$AA$14,CENY!B545,CENY!B554)))))))</f>
        <v>9347510</v>
      </c>
      <c r="C79" s="43" t="str">
        <f>VLOOKUP(B79,CENY!$B$11:$G$1054,2,FALSE)</f>
        <v>AvanY-design ALprofil Hybrid na bok 650/ strieb.</v>
      </c>
      <c r="D79" s="353">
        <f>VLOOKUP(B79,CENY!$B$11:$G$1054,3,FALSE)</f>
        <v>200</v>
      </c>
      <c r="E79" s="56" t="str">
        <f>IF(VLOOKUP(B79,CENY!$B$11:$G$1054,4,FALSE)=0,"",VLOOKUP(B79,CENY!$B$11:$G$1054,4,FALSE))</f>
        <v/>
      </c>
      <c r="F79" s="40" t="str">
        <f t="shared" si="8"/>
        <v/>
      </c>
      <c r="G79" s="52">
        <f>VLOOKUP(B79,CENY!$B$11:$M$1054,12,FALSE)</f>
        <v>24.580449999999999</v>
      </c>
      <c r="H79" s="54" t="str">
        <f t="shared" si="0"/>
        <v xml:space="preserve"> CZK</v>
      </c>
      <c r="I79" s="41" t="str">
        <f t="shared" si="1"/>
        <v/>
      </c>
      <c r="J79" s="122"/>
      <c r="K79" s="42" t="str">
        <f>VLOOKUP(B79,CENY!$B$11:$M$1054,8,FALSE)</f>
        <v xml:space="preserve"> </v>
      </c>
      <c r="L79" s="42" t="str">
        <f>VLOOKUP(B79,CENY!$B$11:$M$1054,9,FALSE)</f>
        <v>532198</v>
      </c>
      <c r="M79" s="32"/>
      <c r="N79" s="35">
        <f t="shared" si="9"/>
        <v>0</v>
      </c>
      <c r="O79" s="36">
        <v>0</v>
      </c>
      <c r="P79" s="325">
        <f>'AVT101'!AZ23</f>
        <v>0</v>
      </c>
      <c r="Q79" s="325">
        <f>'AVT101'!BI35</f>
        <v>0</v>
      </c>
      <c r="R79" s="32"/>
      <c r="S79" s="32"/>
      <c r="T79" s="325">
        <f>'AVT187'!AZ23</f>
        <v>0</v>
      </c>
      <c r="U79" s="325">
        <f>'AVT187'!BI35</f>
        <v>0</v>
      </c>
      <c r="V79" s="325">
        <f>'AVT251'!AZ19</f>
        <v>0</v>
      </c>
      <c r="W79" s="325">
        <f>'AVT251'!BI30</f>
        <v>0</v>
      </c>
      <c r="X79" s="32"/>
      <c r="Y79" s="32"/>
      <c r="Z79" s="325">
        <f>'AVT101(vn-A)'!AZ23</f>
        <v>0</v>
      </c>
      <c r="AA79" s="325">
        <f>'AVT101(vn-A)'!BI35</f>
        <v>0</v>
      </c>
      <c r="AB79" s="32"/>
      <c r="AC79" s="32"/>
      <c r="AD79" s="325">
        <f>'AVT187(vn-A)'!AZ23</f>
        <v>0</v>
      </c>
      <c r="AE79" s="325">
        <f>'AVT187(vn-A)'!BI35</f>
        <v>0</v>
      </c>
      <c r="AF79" s="32"/>
      <c r="AG79" s="32"/>
      <c r="AH79" s="325">
        <f>'AVT187(vn-S)'!AZ23</f>
        <v>0</v>
      </c>
      <c r="AI79" s="325">
        <f>'AVT187(vn-S)'!BI35</f>
        <v>0</v>
      </c>
      <c r="AJ79" s="32"/>
      <c r="AK79" s="32"/>
      <c r="AL79" s="32"/>
      <c r="AM79" s="32"/>
      <c r="AN79" s="325">
        <f>'AVT-celny-101+187'!AZ33</f>
        <v>0</v>
      </c>
      <c r="AO79" s="325">
        <f>'AVT-celny-101+187'!BI55</f>
        <v>0</v>
      </c>
      <c r="AP79" s="32"/>
      <c r="AQ79" s="32"/>
      <c r="AR79" s="325">
        <f>'AVT-celny-2x187'!AZ23</f>
        <v>0</v>
      </c>
      <c r="AS79" s="325">
        <f>'AVT-celny-2x187'!BI35</f>
        <v>0</v>
      </c>
      <c r="AT79" s="32"/>
      <c r="AU79" s="32"/>
      <c r="AV79" s="325">
        <f>'potr-v101+187'!AZ29</f>
        <v>0</v>
      </c>
      <c r="AW79" s="325">
        <f>'potr-v101+187'!BI49</f>
        <v>0</v>
      </c>
      <c r="AX79" s="325">
        <f>'potr-v101+187-IL'!AZ29</f>
        <v>0</v>
      </c>
      <c r="AY79" s="325">
        <f>'potr-v101+187-IL'!BI49</f>
        <v>0</v>
      </c>
      <c r="AZ79" s="32"/>
      <c r="BA79" s="32"/>
      <c r="BB79" s="32"/>
      <c r="BC79" s="32"/>
      <c r="BD79" s="32"/>
      <c r="BE79" s="32"/>
      <c r="BF79" s="32"/>
      <c r="BG79" s="32"/>
      <c r="BH79" s="32"/>
      <c r="BI79" s="32"/>
      <c r="BJ79" s="32"/>
      <c r="BK79" s="32"/>
      <c r="BL79" s="32"/>
      <c r="BM79" s="32"/>
      <c r="BN79" s="32"/>
      <c r="BO79" s="165"/>
      <c r="BP79" s="165"/>
      <c r="BQ79" s="165"/>
      <c r="BR79" s="165"/>
      <c r="BS79" s="165"/>
      <c r="BT79" s="165"/>
      <c r="BU79" s="165"/>
      <c r="BV79" s="55"/>
      <c r="BW79" s="160"/>
      <c r="BX79" s="32"/>
      <c r="BY79" s="24"/>
      <c r="BZ79" s="24"/>
      <c r="CA79" s="24"/>
      <c r="CB79" s="24"/>
      <c r="CC79" s="24"/>
      <c r="CD79" s="24"/>
      <c r="CE79" s="24"/>
    </row>
    <row r="80" spans="1:83" ht="8.1" customHeight="1">
      <c r="A80" s="4"/>
      <c r="B80" s="317"/>
      <c r="C80" s="43"/>
      <c r="D80" s="39"/>
      <c r="E80" s="56"/>
      <c r="F80" s="40"/>
      <c r="G80" s="52"/>
      <c r="H80" s="54"/>
      <c r="I80" s="41"/>
      <c r="J80" s="122"/>
      <c r="K80" s="42"/>
      <c r="L80" s="42"/>
      <c r="M80" s="32"/>
      <c r="N80" s="35"/>
      <c r="O80" s="36">
        <v>0</v>
      </c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32"/>
      <c r="AL80" s="32"/>
      <c r="AM80" s="32"/>
      <c r="AN80" s="32"/>
      <c r="AO80" s="32"/>
      <c r="AP80" s="32"/>
      <c r="AQ80" s="32"/>
      <c r="AR80" s="32"/>
      <c r="AS80" s="32"/>
      <c r="AT80" s="32"/>
      <c r="AU80" s="32"/>
      <c r="AV80" s="32"/>
      <c r="AW80" s="32"/>
      <c r="AX80" s="32"/>
      <c r="AY80" s="32"/>
      <c r="AZ80" s="32"/>
      <c r="BA80" s="32"/>
      <c r="BB80" s="32"/>
      <c r="BC80" s="32"/>
      <c r="BD80" s="32"/>
      <c r="BE80" s="32"/>
      <c r="BF80" s="32"/>
      <c r="BG80" s="32"/>
      <c r="BH80" s="32"/>
      <c r="BI80" s="32"/>
      <c r="BJ80" s="32"/>
      <c r="BK80" s="32"/>
      <c r="BL80" s="32"/>
      <c r="BM80" s="32"/>
      <c r="BN80" s="32"/>
      <c r="BO80" s="165"/>
      <c r="BP80" s="165"/>
      <c r="BQ80" s="165"/>
      <c r="BR80" s="165"/>
      <c r="BS80" s="165"/>
      <c r="BT80" s="165"/>
      <c r="BU80" s="165"/>
      <c r="BV80" s="55"/>
      <c r="BW80" s="160"/>
      <c r="BX80" s="32"/>
      <c r="BY80" s="24"/>
      <c r="BZ80" s="24"/>
      <c r="CA80" s="24"/>
      <c r="CB80" s="24"/>
      <c r="CC80" s="24"/>
      <c r="CD80" s="24"/>
      <c r="CE80" s="24"/>
    </row>
    <row r="81" spans="1:83" ht="15" customHeight="1">
      <c r="A81" s="4"/>
      <c r="B81" s="317">
        <f>IF($Q$8=$Q$7,CENY!B163,IF($Q$7=$Q$9,CENY!B172,CENY!B181))</f>
        <v>9353344</v>
      </c>
      <c r="C81" s="43" t="str">
        <f>VLOOKUP(B81,CENY!$B$11:$G$1054,2,FALSE)</f>
        <v>AvanY-sólo oceľ.boky-NW 139/270mm/strieb.</v>
      </c>
      <c r="D81" s="364">
        <f>VLOOKUP(B81,CENY!$B$11:$G$1054,3,FALSE)</f>
        <v>1</v>
      </c>
      <c r="E81" s="56" t="str">
        <f>IF(VLOOKUP(B81,CENY!$B$11:$G$1054,4,FALSE)=0,"",VLOOKUP(B81,CENY!$B$11:$G$1054,4,FALSE))</f>
        <v/>
      </c>
      <c r="F81" s="40" t="str">
        <f t="shared" ref="F81" si="10">IF(J81&lt;&gt;"",J81,IF(N81=0,"",N81))</f>
        <v/>
      </c>
      <c r="G81" s="52">
        <f>VLOOKUP(B81,CENY!$B$11:$M$1054,12,FALSE)</f>
        <v>645.97351000000003</v>
      </c>
      <c r="H81" s="54" t="str">
        <f t="shared" ref="H81" si="11">IF(G81="","",$H$22)</f>
        <v xml:space="preserve"> CZK</v>
      </c>
      <c r="I81" s="41" t="str">
        <f t="shared" ref="I81" si="12">IF(F81="","",G81*F81)</f>
        <v/>
      </c>
      <c r="J81" s="122"/>
      <c r="K81" s="42" t="str">
        <f>VLOOKUP(B81,CENY!$B$11:$M$1054,8,FALSE)</f>
        <v xml:space="preserve"> </v>
      </c>
      <c r="L81" s="42" t="str">
        <f>VLOOKUP(B81,CENY!$B$11:$M$1054,9,FALSE)</f>
        <v>530034</v>
      </c>
      <c r="M81" s="32"/>
      <c r="N81" s="35">
        <f t="shared" ref="N81" si="13">SUM(P81:BW81)</f>
        <v>0</v>
      </c>
      <c r="O81" s="36">
        <v>0</v>
      </c>
      <c r="P81" s="32"/>
      <c r="Q81" s="32"/>
      <c r="R81" s="325">
        <f>'AVT139'!AZ5</f>
        <v>0</v>
      </c>
      <c r="S81" s="32"/>
      <c r="T81" s="32"/>
      <c r="U81" s="32"/>
      <c r="V81" s="32"/>
      <c r="W81" s="32"/>
      <c r="X81" s="32"/>
      <c r="Y81" s="32"/>
      <c r="Z81" s="32"/>
      <c r="AA81" s="32"/>
      <c r="AB81" s="325">
        <f>'AVT139(vn-A)'!AZ5</f>
        <v>0</v>
      </c>
      <c r="AC81" s="32"/>
      <c r="AD81" s="32"/>
      <c r="AE81" s="32"/>
      <c r="AF81" s="32"/>
      <c r="AG81" s="32"/>
      <c r="AH81" s="32"/>
      <c r="AI81" s="32"/>
      <c r="AJ81" s="32"/>
      <c r="AK81" s="32"/>
      <c r="AL81" s="32"/>
      <c r="AM81" s="32"/>
      <c r="AN81" s="32"/>
      <c r="AO81" s="32"/>
      <c r="AP81" s="460"/>
      <c r="AQ81" s="32"/>
      <c r="AR81" s="32"/>
      <c r="AS81" s="32"/>
      <c r="AT81" s="32"/>
      <c r="AU81" s="32"/>
      <c r="AV81" s="32"/>
      <c r="AW81" s="32"/>
      <c r="AX81" s="32"/>
      <c r="AY81" s="32"/>
      <c r="AZ81" s="32"/>
      <c r="BA81" s="32"/>
      <c r="BB81" s="32"/>
      <c r="BC81" s="32"/>
      <c r="BD81" s="32"/>
      <c r="BE81" s="32"/>
      <c r="BF81" s="32"/>
      <c r="BG81" s="32"/>
      <c r="BH81" s="32"/>
      <c r="BI81" s="32"/>
      <c r="BJ81" s="32"/>
      <c r="BK81" s="32"/>
      <c r="BL81" s="32"/>
      <c r="BM81" s="32"/>
      <c r="BN81" s="32"/>
      <c r="BO81" s="165"/>
      <c r="BP81" s="165"/>
      <c r="BQ81" s="165"/>
      <c r="BR81" s="165"/>
      <c r="BS81" s="165"/>
      <c r="BT81" s="165"/>
      <c r="BU81" s="165"/>
      <c r="BV81" s="55"/>
      <c r="BW81" s="160"/>
      <c r="BX81" s="32"/>
      <c r="BY81" s="24"/>
      <c r="BZ81" s="24"/>
      <c r="CA81" s="24"/>
      <c r="CB81" s="24"/>
      <c r="CC81" s="24"/>
      <c r="CD81" s="24"/>
      <c r="CE81" s="24"/>
    </row>
    <row r="82" spans="1:83" ht="15" customHeight="1">
      <c r="A82" s="4"/>
      <c r="B82" s="317">
        <f>IF($Q$8=$Q$7,CENY!B164,IF($Q$7=$Q$9,CENY!B173,CENY!B182))</f>
        <v>9353345</v>
      </c>
      <c r="C82" s="43" t="str">
        <f>VLOOKUP(B82,CENY!$B$11:$G$1054,2,FALSE)</f>
        <v>AvanY-sólo oceľ.boky-NW 139/300mm/strieb.</v>
      </c>
      <c r="D82" s="364">
        <f>VLOOKUP(B82,CENY!$B$11:$G$1054,3,FALSE)</f>
        <v>1</v>
      </c>
      <c r="E82" s="56" t="str">
        <f>IF(VLOOKUP(B82,CENY!$B$11:$G$1054,4,FALSE)=0,"",VLOOKUP(B82,CENY!$B$11:$G$1054,4,FALSE))</f>
        <v/>
      </c>
      <c r="F82" s="40" t="str">
        <f t="shared" ref="F82:F88" si="14">IF(J82&lt;&gt;"",J82,IF(N82=0,"",N82))</f>
        <v/>
      </c>
      <c r="G82" s="52">
        <f>VLOOKUP(B82,CENY!$B$11:$M$1054,12,FALSE)</f>
        <v>650.52683000000002</v>
      </c>
      <c r="H82" s="54" t="str">
        <f t="shared" si="0"/>
        <v xml:space="preserve"> CZK</v>
      </c>
      <c r="I82" s="41" t="str">
        <f t="shared" si="1"/>
        <v/>
      </c>
      <c r="J82" s="122"/>
      <c r="K82" s="42" t="str">
        <f>VLOOKUP(B82,CENY!$B$11:$M$1054,8,FALSE)</f>
        <v xml:space="preserve"> </v>
      </c>
      <c r="L82" s="42" t="str">
        <f>VLOOKUP(B82,CENY!$B$11:$M$1054,9,FALSE)</f>
        <v>530035</v>
      </c>
      <c r="M82" s="32"/>
      <c r="N82" s="35">
        <f t="shared" ref="N82:N88" si="15">SUM(P82:BW82)</f>
        <v>0</v>
      </c>
      <c r="O82" s="36">
        <v>0</v>
      </c>
      <c r="P82" s="32"/>
      <c r="Q82" s="32"/>
      <c r="R82" s="325">
        <f>'AVT139'!AZ6</f>
        <v>0</v>
      </c>
      <c r="S82" s="32"/>
      <c r="T82" s="32"/>
      <c r="U82" s="32"/>
      <c r="V82" s="32"/>
      <c r="W82" s="32"/>
      <c r="X82" s="32"/>
      <c r="Y82" s="32"/>
      <c r="Z82" s="32"/>
      <c r="AA82" s="32"/>
      <c r="AB82" s="325">
        <f>'AVT139(vn-A)'!AZ6</f>
        <v>0</v>
      </c>
      <c r="AC82" s="32"/>
      <c r="AD82" s="32"/>
      <c r="AE82" s="32"/>
      <c r="AF82" s="32"/>
      <c r="AG82" s="32"/>
      <c r="AH82" s="32"/>
      <c r="AI82" s="32"/>
      <c r="AJ82" s="32"/>
      <c r="AK82" s="32"/>
      <c r="AL82" s="32"/>
      <c r="AM82" s="32"/>
      <c r="AN82" s="32"/>
      <c r="AO82" s="32"/>
      <c r="AP82" s="325">
        <f>'AVT-celny-139+187'!AZ5</f>
        <v>0</v>
      </c>
      <c r="AQ82" s="32"/>
      <c r="AR82" s="32"/>
      <c r="AS82" s="32"/>
      <c r="AT82" s="32"/>
      <c r="AU82" s="32"/>
      <c r="AV82" s="32"/>
      <c r="AW82" s="32"/>
      <c r="AX82" s="32"/>
      <c r="AY82" s="32"/>
      <c r="AZ82" s="32"/>
      <c r="BA82" s="32"/>
      <c r="BB82" s="32"/>
      <c r="BC82" s="32"/>
      <c r="BD82" s="32"/>
      <c r="BE82" s="32"/>
      <c r="BF82" s="32"/>
      <c r="BG82" s="32"/>
      <c r="BH82" s="32"/>
      <c r="BI82" s="32"/>
      <c r="BJ82" s="32"/>
      <c r="BK82" s="32"/>
      <c r="BL82" s="32"/>
      <c r="BM82" s="32"/>
      <c r="BN82" s="32"/>
      <c r="BO82" s="165"/>
      <c r="BP82" s="165"/>
      <c r="BQ82" s="165"/>
      <c r="BR82" s="165"/>
      <c r="BS82" s="165"/>
      <c r="BT82" s="165"/>
      <c r="BU82" s="165"/>
      <c r="BV82" s="55"/>
      <c r="BW82" s="160"/>
      <c r="BX82" s="32"/>
      <c r="BY82" s="24"/>
      <c r="BZ82" s="24"/>
      <c r="CA82" s="24"/>
      <c r="CB82" s="24"/>
      <c r="CC82" s="24"/>
      <c r="CD82" s="24"/>
      <c r="CE82" s="24"/>
    </row>
    <row r="83" spans="1:83" ht="15" customHeight="1">
      <c r="A83" s="4"/>
      <c r="B83" s="317">
        <f>IF($Q$8=$Q$7,CENY!B165,IF($Q$7=$Q$9,CENY!B174,CENY!B183))</f>
        <v>9353346</v>
      </c>
      <c r="C83" s="43" t="str">
        <f>VLOOKUP(B83,CENY!$B$11:$G$1054,2,FALSE)</f>
        <v>AvanY-sólo oceľ.boky-NW 139/350mm/strieb.</v>
      </c>
      <c r="D83" s="364">
        <f>VLOOKUP(B83,CENY!$B$11:$G$1054,3,FALSE)</f>
        <v>1</v>
      </c>
      <c r="E83" s="56" t="str">
        <f>IF(VLOOKUP(B83,CENY!$B$11:$G$1054,4,FALSE)=0,"",VLOOKUP(B83,CENY!$B$11:$G$1054,4,FALSE))</f>
        <v/>
      </c>
      <c r="F83" s="40" t="str">
        <f t="shared" si="14"/>
        <v/>
      </c>
      <c r="G83" s="52">
        <f>VLOOKUP(B83,CENY!$B$11:$M$1054,12,FALSE)</f>
        <v>659.97708</v>
      </c>
      <c r="H83" s="54" t="str">
        <f t="shared" si="0"/>
        <v xml:space="preserve"> CZK</v>
      </c>
      <c r="I83" s="41" t="str">
        <f t="shared" si="1"/>
        <v/>
      </c>
      <c r="J83" s="122"/>
      <c r="K83" s="42" t="str">
        <f>VLOOKUP(B83,CENY!$B$11:$M$1054,8,FALSE)</f>
        <v xml:space="preserve"> </v>
      </c>
      <c r="L83" s="42" t="str">
        <f>VLOOKUP(B83,CENY!$B$11:$M$1054,9,FALSE)</f>
        <v>530036</v>
      </c>
      <c r="M83" s="32"/>
      <c r="N83" s="35">
        <f t="shared" si="15"/>
        <v>0</v>
      </c>
      <c r="O83" s="36">
        <v>0</v>
      </c>
      <c r="P83" s="32"/>
      <c r="Q83" s="32"/>
      <c r="R83" s="325">
        <f>'AVT139'!AZ7</f>
        <v>0</v>
      </c>
      <c r="S83" s="32"/>
      <c r="T83" s="32"/>
      <c r="U83" s="32"/>
      <c r="V83" s="32"/>
      <c r="W83" s="32"/>
      <c r="X83" s="32"/>
      <c r="Y83" s="32"/>
      <c r="Z83" s="32"/>
      <c r="AA83" s="32"/>
      <c r="AB83" s="325">
        <f>'AVT139(vn-A)'!AZ7</f>
        <v>0</v>
      </c>
      <c r="AC83" s="32"/>
      <c r="AD83" s="32"/>
      <c r="AE83" s="32"/>
      <c r="AF83" s="32"/>
      <c r="AG83" s="32"/>
      <c r="AH83" s="32"/>
      <c r="AI83" s="32"/>
      <c r="AJ83" s="32"/>
      <c r="AK83" s="32"/>
      <c r="AL83" s="32"/>
      <c r="AM83" s="32"/>
      <c r="AN83" s="32"/>
      <c r="AO83" s="32"/>
      <c r="AP83" s="325">
        <f>'AVT-celny-139+187'!AZ6</f>
        <v>0</v>
      </c>
      <c r="AQ83" s="32"/>
      <c r="AR83" s="32"/>
      <c r="AS83" s="32"/>
      <c r="AT83" s="32"/>
      <c r="AU83" s="32"/>
      <c r="AV83" s="32"/>
      <c r="AW83" s="32"/>
      <c r="AX83" s="32"/>
      <c r="AY83" s="32"/>
      <c r="AZ83" s="32"/>
      <c r="BA83" s="32"/>
      <c r="BB83" s="32"/>
      <c r="BC83" s="32"/>
      <c r="BD83" s="32"/>
      <c r="BE83" s="32"/>
      <c r="BF83" s="32"/>
      <c r="BG83" s="32"/>
      <c r="BH83" s="32"/>
      <c r="BI83" s="32"/>
      <c r="BJ83" s="32"/>
      <c r="BK83" s="32"/>
      <c r="BL83" s="32"/>
      <c r="BM83" s="32"/>
      <c r="BN83" s="32"/>
      <c r="BO83" s="165"/>
      <c r="BP83" s="165"/>
      <c r="BQ83" s="165"/>
      <c r="BR83" s="165"/>
      <c r="BS83" s="165"/>
      <c r="BT83" s="165"/>
      <c r="BU83" s="165"/>
      <c r="BV83" s="55"/>
      <c r="BW83" s="160"/>
      <c r="BX83" s="32"/>
      <c r="BY83" s="24"/>
      <c r="BZ83" s="24"/>
      <c r="CA83" s="24"/>
      <c r="CB83" s="24"/>
      <c r="CC83" s="24"/>
      <c r="CD83" s="24"/>
      <c r="CE83" s="24"/>
    </row>
    <row r="84" spans="1:83" ht="15" customHeight="1">
      <c r="A84" s="4"/>
      <c r="B84" s="317">
        <f>IF($Q$8=$Q$7,CENY!B166,IF($Q$7=$Q$9,CENY!B175,CENY!B184))</f>
        <v>9353347</v>
      </c>
      <c r="C84" s="43" t="str">
        <f>VLOOKUP(B84,CENY!$B$11:$G$1054,2,FALSE)</f>
        <v>AvanY-sólo oceľ.boky-NW 139/400mm/strieb.</v>
      </c>
      <c r="D84" s="364">
        <f>VLOOKUP(B84,CENY!$B$11:$G$1054,3,FALSE)</f>
        <v>1</v>
      </c>
      <c r="E84" s="56" t="str">
        <f>IF(VLOOKUP(B84,CENY!$B$11:$G$1054,4,FALSE)=0,"",VLOOKUP(B84,CENY!$B$11:$G$1054,4,FALSE))</f>
        <v/>
      </c>
      <c r="F84" s="40" t="str">
        <f t="shared" si="14"/>
        <v/>
      </c>
      <c r="G84" s="52">
        <f>VLOOKUP(B84,CENY!$B$11:$M$1054,12,FALSE)</f>
        <v>669.42296999999996</v>
      </c>
      <c r="H84" s="54" t="str">
        <f t="shared" si="0"/>
        <v xml:space="preserve"> CZK</v>
      </c>
      <c r="I84" s="41" t="str">
        <f t="shared" si="1"/>
        <v/>
      </c>
      <c r="J84" s="122"/>
      <c r="K84" s="42" t="str">
        <f>VLOOKUP(B84,CENY!$B$11:$M$1054,8,FALSE)</f>
        <v xml:space="preserve"> </v>
      </c>
      <c r="L84" s="42" t="str">
        <f>VLOOKUP(B84,CENY!$B$11:$M$1054,9,FALSE)</f>
        <v>530037</v>
      </c>
      <c r="M84" s="32"/>
      <c r="N84" s="35">
        <f t="shared" si="15"/>
        <v>0</v>
      </c>
      <c r="O84" s="36">
        <v>0</v>
      </c>
      <c r="P84" s="32"/>
      <c r="Q84" s="32"/>
      <c r="R84" s="325">
        <f>'AVT139'!AZ8</f>
        <v>0</v>
      </c>
      <c r="S84" s="32"/>
      <c r="T84" s="32"/>
      <c r="U84" s="32"/>
      <c r="V84" s="32"/>
      <c r="W84" s="32"/>
      <c r="X84" s="32"/>
      <c r="Y84" s="32"/>
      <c r="Z84" s="32"/>
      <c r="AA84" s="32"/>
      <c r="AB84" s="325">
        <f>'AVT139(vn-A)'!AZ8</f>
        <v>0</v>
      </c>
      <c r="AC84" s="32"/>
      <c r="AD84" s="32"/>
      <c r="AE84" s="32"/>
      <c r="AF84" s="32"/>
      <c r="AG84" s="32"/>
      <c r="AH84" s="32"/>
      <c r="AI84" s="32"/>
      <c r="AJ84" s="32"/>
      <c r="AK84" s="32"/>
      <c r="AL84" s="32"/>
      <c r="AM84" s="32"/>
      <c r="AN84" s="32"/>
      <c r="AO84" s="32"/>
      <c r="AP84" s="325">
        <f>'AVT-celny-139+187'!AZ7</f>
        <v>0</v>
      </c>
      <c r="AQ84" s="32"/>
      <c r="AR84" s="32"/>
      <c r="AS84" s="32"/>
      <c r="AT84" s="32"/>
      <c r="AU84" s="32"/>
      <c r="AV84" s="32"/>
      <c r="AW84" s="32"/>
      <c r="AX84" s="32"/>
      <c r="AY84" s="32"/>
      <c r="AZ84" s="32"/>
      <c r="BA84" s="32"/>
      <c r="BB84" s="32"/>
      <c r="BC84" s="32"/>
      <c r="BD84" s="32"/>
      <c r="BE84" s="32"/>
      <c r="BF84" s="32"/>
      <c r="BG84" s="32"/>
      <c r="BH84" s="32"/>
      <c r="BI84" s="32"/>
      <c r="BJ84" s="32"/>
      <c r="BK84" s="32"/>
      <c r="BL84" s="32"/>
      <c r="BM84" s="32"/>
      <c r="BN84" s="32"/>
      <c r="BO84" s="165"/>
      <c r="BP84" s="165"/>
      <c r="BQ84" s="165"/>
      <c r="BR84" s="165"/>
      <c r="BS84" s="165"/>
      <c r="BT84" s="165"/>
      <c r="BU84" s="165"/>
      <c r="BV84" s="55"/>
      <c r="BW84" s="160"/>
      <c r="BX84" s="32"/>
      <c r="BY84" s="24"/>
      <c r="BZ84" s="24"/>
      <c r="CA84" s="24"/>
      <c r="CB84" s="24"/>
      <c r="CC84" s="24"/>
      <c r="CD84" s="24"/>
      <c r="CE84" s="24"/>
    </row>
    <row r="85" spans="1:83" ht="15" customHeight="1">
      <c r="A85" s="4"/>
      <c r="B85" s="317">
        <f>IF($Q$8=$Q$7,CENY!B167,IF($Q$7=$Q$9,CENY!B176,CENY!B185))</f>
        <v>9353348</v>
      </c>
      <c r="C85" s="43" t="str">
        <f>VLOOKUP(B85,CENY!$B$11:$G$1054,2,FALSE)</f>
        <v>AvanY-sólo oceľ.boky-NW 139/450mm/strieb.</v>
      </c>
      <c r="D85" s="364">
        <f>VLOOKUP(B85,CENY!$B$11:$G$1054,3,FALSE)</f>
        <v>1</v>
      </c>
      <c r="E85" s="56" t="str">
        <f>IF(VLOOKUP(B85,CENY!$B$11:$G$1054,4,FALSE)=0,"",VLOOKUP(B85,CENY!$B$11:$G$1054,4,FALSE))</f>
        <v/>
      </c>
      <c r="F85" s="40" t="str">
        <f t="shared" si="14"/>
        <v/>
      </c>
      <c r="G85" s="52">
        <f>VLOOKUP(B85,CENY!$B$11:$M$1054,12,FALSE)</f>
        <v>660.82442000000003</v>
      </c>
      <c r="H85" s="54" t="str">
        <f t="shared" si="0"/>
        <v xml:space="preserve"> CZK</v>
      </c>
      <c r="I85" s="41" t="str">
        <f t="shared" si="1"/>
        <v/>
      </c>
      <c r="J85" s="122"/>
      <c r="K85" s="42" t="str">
        <f>VLOOKUP(B85,CENY!$B$11:$M$1054,8,FALSE)</f>
        <v xml:space="preserve"> </v>
      </c>
      <c r="L85" s="42" t="str">
        <f>VLOOKUP(B85,CENY!$B$11:$M$1054,9,FALSE)</f>
        <v>530038</v>
      </c>
      <c r="M85" s="32"/>
      <c r="N85" s="35">
        <f t="shared" si="15"/>
        <v>0</v>
      </c>
      <c r="O85" s="36">
        <v>0</v>
      </c>
      <c r="P85" s="32"/>
      <c r="Q85" s="32"/>
      <c r="R85" s="325">
        <f>'AVT139'!AZ9</f>
        <v>0</v>
      </c>
      <c r="S85" s="32"/>
      <c r="T85" s="32"/>
      <c r="U85" s="32"/>
      <c r="V85" s="32"/>
      <c r="W85" s="32"/>
      <c r="X85" s="32"/>
      <c r="Y85" s="32"/>
      <c r="Z85" s="32"/>
      <c r="AA85" s="32"/>
      <c r="AB85" s="325">
        <f>'AVT139(vn-A)'!AZ9</f>
        <v>0</v>
      </c>
      <c r="AC85" s="32"/>
      <c r="AD85" s="32"/>
      <c r="AE85" s="32"/>
      <c r="AF85" s="32"/>
      <c r="AG85" s="32"/>
      <c r="AH85" s="32"/>
      <c r="AI85" s="32"/>
      <c r="AJ85" s="32"/>
      <c r="AK85" s="32"/>
      <c r="AL85" s="32"/>
      <c r="AM85" s="32"/>
      <c r="AN85" s="32"/>
      <c r="AO85" s="32"/>
      <c r="AP85" s="325">
        <f>'AVT-celny-139+187'!AZ8</f>
        <v>0</v>
      </c>
      <c r="AQ85" s="32"/>
      <c r="AR85" s="32"/>
      <c r="AS85" s="32"/>
      <c r="AT85" s="32"/>
      <c r="AU85" s="32"/>
      <c r="AV85" s="32"/>
      <c r="AW85" s="32"/>
      <c r="AX85" s="32"/>
      <c r="AY85" s="32"/>
      <c r="AZ85" s="32"/>
      <c r="BA85" s="32"/>
      <c r="BB85" s="32"/>
      <c r="BC85" s="32"/>
      <c r="BD85" s="32"/>
      <c r="BE85" s="32"/>
      <c r="BF85" s="32"/>
      <c r="BG85" s="32"/>
      <c r="BH85" s="32"/>
      <c r="BI85" s="32"/>
      <c r="BJ85" s="32"/>
      <c r="BK85" s="32"/>
      <c r="BL85" s="32"/>
      <c r="BM85" s="32"/>
      <c r="BN85" s="32"/>
      <c r="BO85" s="165"/>
      <c r="BP85" s="165"/>
      <c r="BQ85" s="165"/>
      <c r="BR85" s="165"/>
      <c r="BS85" s="165"/>
      <c r="BT85" s="165"/>
      <c r="BU85" s="165"/>
      <c r="BV85" s="55"/>
      <c r="BW85" s="160"/>
      <c r="BX85" s="32"/>
      <c r="BY85" s="24"/>
      <c r="BZ85" s="24"/>
      <c r="CA85" s="24"/>
      <c r="CB85" s="24"/>
      <c r="CC85" s="24"/>
      <c r="CD85" s="24"/>
      <c r="CE85" s="24"/>
    </row>
    <row r="86" spans="1:83" ht="15" customHeight="1">
      <c r="A86" s="4"/>
      <c r="B86" s="317">
        <f>IF($Q$8=$Q$7,CENY!B168,IF($Q$7=$Q$9,CENY!B177,CENY!B186))</f>
        <v>9353349</v>
      </c>
      <c r="C86" s="43" t="str">
        <f>VLOOKUP(B86,CENY!$B$11:$G$1054,2,FALSE)</f>
        <v>AvanY-sólo oceľ.boky-NW 139/500mm/strieb.</v>
      </c>
      <c r="D86" s="364">
        <f>VLOOKUP(B86,CENY!$B$11:$G$1054,3,FALSE)</f>
        <v>1</v>
      </c>
      <c r="E86" s="56" t="str">
        <f>IF(VLOOKUP(B86,CENY!$B$11:$G$1054,4,FALSE)=0,"",VLOOKUP(B86,CENY!$B$11:$G$1054,4,FALSE))</f>
        <v/>
      </c>
      <c r="F86" s="40" t="str">
        <f t="shared" si="14"/>
        <v/>
      </c>
      <c r="G86" s="52">
        <f>VLOOKUP(B86,CENY!$B$11:$M$1054,12,FALSE)</f>
        <v>670.01910999999996</v>
      </c>
      <c r="H86" s="54" t="str">
        <f t="shared" si="0"/>
        <v xml:space="preserve"> CZK</v>
      </c>
      <c r="I86" s="41" t="str">
        <f t="shared" si="1"/>
        <v/>
      </c>
      <c r="J86" s="122"/>
      <c r="K86" s="42" t="str">
        <f>VLOOKUP(B86,CENY!$B$11:$M$1054,8,FALSE)</f>
        <v xml:space="preserve"> </v>
      </c>
      <c r="L86" s="42" t="str">
        <f>VLOOKUP(B86,CENY!$B$11:$M$1054,9,FALSE)</f>
        <v>530039</v>
      </c>
      <c r="M86" s="32"/>
      <c r="N86" s="35">
        <f t="shared" si="15"/>
        <v>0</v>
      </c>
      <c r="O86" s="36">
        <v>0</v>
      </c>
      <c r="P86" s="32"/>
      <c r="Q86" s="32"/>
      <c r="R86" s="325">
        <f>'AVT139'!AZ10</f>
        <v>0</v>
      </c>
      <c r="S86" s="32"/>
      <c r="T86" s="32"/>
      <c r="U86" s="32"/>
      <c r="V86" s="32"/>
      <c r="W86" s="32"/>
      <c r="X86" s="32"/>
      <c r="Y86" s="32"/>
      <c r="Z86" s="32"/>
      <c r="AA86" s="32"/>
      <c r="AB86" s="325">
        <f>'AVT139(vn-A)'!AZ10</f>
        <v>0</v>
      </c>
      <c r="AC86" s="32"/>
      <c r="AD86" s="32"/>
      <c r="AE86" s="32"/>
      <c r="AF86" s="32"/>
      <c r="AG86" s="32"/>
      <c r="AH86" s="32"/>
      <c r="AI86" s="32"/>
      <c r="AJ86" s="32"/>
      <c r="AK86" s="32"/>
      <c r="AL86" s="32"/>
      <c r="AM86" s="32"/>
      <c r="AN86" s="32"/>
      <c r="AO86" s="32"/>
      <c r="AP86" s="325">
        <f>'AVT-celny-139+187'!AZ9</f>
        <v>0</v>
      </c>
      <c r="AQ86" s="32"/>
      <c r="AR86" s="32"/>
      <c r="AS86" s="32"/>
      <c r="AT86" s="32"/>
      <c r="AU86" s="32"/>
      <c r="AV86" s="32"/>
      <c r="AW86" s="32"/>
      <c r="AX86" s="32"/>
      <c r="AY86" s="32"/>
      <c r="AZ86" s="32"/>
      <c r="BA86" s="32"/>
      <c r="BB86" s="32"/>
      <c r="BC86" s="32"/>
      <c r="BD86" s="32"/>
      <c r="BE86" s="32"/>
      <c r="BF86" s="32"/>
      <c r="BG86" s="32"/>
      <c r="BH86" s="32"/>
      <c r="BI86" s="32"/>
      <c r="BJ86" s="32"/>
      <c r="BK86" s="32"/>
      <c r="BL86" s="32"/>
      <c r="BM86" s="32"/>
      <c r="BN86" s="32"/>
      <c r="BO86" s="165"/>
      <c r="BP86" s="165"/>
      <c r="BQ86" s="165"/>
      <c r="BR86" s="165"/>
      <c r="BS86" s="165"/>
      <c r="BT86" s="165"/>
      <c r="BU86" s="165"/>
      <c r="BV86" s="55"/>
      <c r="BW86" s="160"/>
      <c r="BX86" s="32"/>
      <c r="BY86" s="24"/>
      <c r="BZ86" s="24"/>
      <c r="CA86" s="24"/>
      <c r="CB86" s="24"/>
      <c r="CC86" s="24"/>
      <c r="CD86" s="24"/>
      <c r="CE86" s="24"/>
    </row>
    <row r="87" spans="1:83" ht="15" customHeight="1">
      <c r="A87" s="4"/>
      <c r="B87" s="317">
        <f>IF($Q$8=$Q$7,CENY!B169,IF($Q$7=$Q$9,CENY!B178,CENY!B187))</f>
        <v>9353350</v>
      </c>
      <c r="C87" s="43" t="str">
        <f>VLOOKUP(B87,CENY!$B$11:$G$1054,2,FALSE)</f>
        <v>AvanY-sólo oceľ.boky-NW 139/550mm/strieb.</v>
      </c>
      <c r="D87" s="364">
        <f>VLOOKUP(B87,CENY!$B$11:$G$1054,3,FALSE)</f>
        <v>1</v>
      </c>
      <c r="E87" s="56" t="str">
        <f>IF(VLOOKUP(B87,CENY!$B$11:$G$1054,4,FALSE)=0,"",VLOOKUP(B87,CENY!$B$11:$G$1054,4,FALSE))</f>
        <v/>
      </c>
      <c r="F87" s="40" t="str">
        <f t="shared" si="14"/>
        <v/>
      </c>
      <c r="G87" s="52">
        <f>VLOOKUP(B87,CENY!$B$11:$M$1054,12,FALSE)</f>
        <v>697.76926000000003</v>
      </c>
      <c r="H87" s="54" t="str">
        <f t="shared" si="0"/>
        <v xml:space="preserve"> CZK</v>
      </c>
      <c r="I87" s="41" t="str">
        <f t="shared" si="1"/>
        <v/>
      </c>
      <c r="J87" s="122"/>
      <c r="K87" s="42" t="str">
        <f>VLOOKUP(B87,CENY!$B$11:$M$1054,8,FALSE)</f>
        <v xml:space="preserve"> </v>
      </c>
      <c r="L87" s="42" t="str">
        <f>VLOOKUP(B87,CENY!$B$11:$M$1054,9,FALSE)</f>
        <v>530040</v>
      </c>
      <c r="M87" s="32"/>
      <c r="N87" s="35">
        <f t="shared" si="15"/>
        <v>0</v>
      </c>
      <c r="O87" s="36">
        <v>0</v>
      </c>
      <c r="P87" s="32"/>
      <c r="Q87" s="32"/>
      <c r="R87" s="325">
        <f>'AVT139'!AZ11</f>
        <v>0</v>
      </c>
      <c r="S87" s="32"/>
      <c r="T87" s="32"/>
      <c r="U87" s="32"/>
      <c r="V87" s="32"/>
      <c r="W87" s="32"/>
      <c r="X87" s="32"/>
      <c r="Y87" s="32"/>
      <c r="Z87" s="32"/>
      <c r="AA87" s="32"/>
      <c r="AB87" s="325">
        <f>'AVT139(vn-A)'!AZ11</f>
        <v>0</v>
      </c>
      <c r="AC87" s="32"/>
      <c r="AD87" s="32"/>
      <c r="AE87" s="32"/>
      <c r="AF87" s="32"/>
      <c r="AG87" s="32"/>
      <c r="AH87" s="32"/>
      <c r="AI87" s="32"/>
      <c r="AJ87" s="32"/>
      <c r="AK87" s="32"/>
      <c r="AL87" s="32"/>
      <c r="AM87" s="32"/>
      <c r="AN87" s="32"/>
      <c r="AO87" s="32"/>
      <c r="AP87" s="325">
        <f>'AVT-celny-139+187'!AZ10</f>
        <v>0</v>
      </c>
      <c r="AQ87" s="32"/>
      <c r="AR87" s="32"/>
      <c r="AS87" s="32"/>
      <c r="AT87" s="32"/>
      <c r="AU87" s="32"/>
      <c r="AV87" s="32"/>
      <c r="AW87" s="32"/>
      <c r="AX87" s="32"/>
      <c r="AY87" s="32"/>
      <c r="AZ87" s="32"/>
      <c r="BA87" s="32"/>
      <c r="BB87" s="32"/>
      <c r="BC87" s="32"/>
      <c r="BD87" s="32"/>
      <c r="BE87" s="32"/>
      <c r="BF87" s="32"/>
      <c r="BG87" s="32"/>
      <c r="BH87" s="32"/>
      <c r="BI87" s="32"/>
      <c r="BJ87" s="32"/>
      <c r="BK87" s="32"/>
      <c r="BL87" s="32"/>
      <c r="BM87" s="32"/>
      <c r="BN87" s="32"/>
      <c r="BO87" s="165"/>
      <c r="BP87" s="165"/>
      <c r="BQ87" s="165"/>
      <c r="BR87" s="165"/>
      <c r="BS87" s="165"/>
      <c r="BT87" s="165"/>
      <c r="BU87" s="165"/>
      <c r="BV87" s="55"/>
      <c r="BW87" s="160"/>
      <c r="BX87" s="32"/>
      <c r="BY87" s="24"/>
      <c r="BZ87" s="24"/>
      <c r="CA87" s="24"/>
      <c r="CB87" s="24"/>
      <c r="CC87" s="24"/>
      <c r="CD87" s="24"/>
      <c r="CE87" s="24"/>
    </row>
    <row r="88" spans="1:83" ht="15" customHeight="1">
      <c r="A88" s="4"/>
      <c r="B88" s="317">
        <f>IF($Q$8=$Q$7,CENY!B170,IF($Q$7=$Q$9,CENY!B179,CENY!B188))</f>
        <v>9353351</v>
      </c>
      <c r="C88" s="43" t="str">
        <f>VLOOKUP(B88,CENY!$B$11:$G$1054,2,FALSE)</f>
        <v>AvanY-sólo oceľ.boky-NW 139/600mm/strieb.</v>
      </c>
      <c r="D88" s="364">
        <f>VLOOKUP(B88,CENY!$B$11:$G$1054,3,FALSE)</f>
        <v>1</v>
      </c>
      <c r="E88" s="56" t="str">
        <f>IF(VLOOKUP(B88,CENY!$B$11:$G$1054,4,FALSE)=0,"",VLOOKUP(B88,CENY!$B$11:$G$1054,4,FALSE))</f>
        <v/>
      </c>
      <c r="F88" s="40" t="str">
        <f t="shared" si="14"/>
        <v/>
      </c>
      <c r="G88" s="52">
        <f>VLOOKUP(B88,CENY!$B$11:$M$1054,12,FALSE)</f>
        <v>712.95127000000002</v>
      </c>
      <c r="H88" s="54" t="str">
        <f t="shared" si="0"/>
        <v xml:space="preserve"> CZK</v>
      </c>
      <c r="I88" s="41" t="str">
        <f t="shared" si="1"/>
        <v/>
      </c>
      <c r="J88" s="122"/>
      <c r="K88" s="42" t="str">
        <f>VLOOKUP(B88,CENY!$B$11:$M$1054,8,FALSE)</f>
        <v xml:space="preserve"> </v>
      </c>
      <c r="L88" s="42" t="str">
        <f>VLOOKUP(B88,CENY!$B$11:$M$1054,9,FALSE)</f>
        <v>530041</v>
      </c>
      <c r="M88" s="32"/>
      <c r="N88" s="35">
        <f t="shared" si="15"/>
        <v>0</v>
      </c>
      <c r="O88" s="36">
        <v>0</v>
      </c>
      <c r="P88" s="32"/>
      <c r="Q88" s="32"/>
      <c r="R88" s="325">
        <f>'AVT139'!AZ12</f>
        <v>0</v>
      </c>
      <c r="S88" s="32"/>
      <c r="T88" s="32"/>
      <c r="U88" s="32"/>
      <c r="V88" s="32"/>
      <c r="W88" s="32"/>
      <c r="X88" s="32"/>
      <c r="Y88" s="32"/>
      <c r="Z88" s="32"/>
      <c r="AA88" s="32"/>
      <c r="AB88" s="325">
        <f>'AVT139(vn-A)'!AZ12</f>
        <v>0</v>
      </c>
      <c r="AC88" s="32"/>
      <c r="AD88" s="32"/>
      <c r="AE88" s="32"/>
      <c r="AF88" s="32"/>
      <c r="AG88" s="32"/>
      <c r="AH88" s="32"/>
      <c r="AI88" s="32"/>
      <c r="AJ88" s="32"/>
      <c r="AK88" s="32"/>
      <c r="AL88" s="32"/>
      <c r="AM88" s="32"/>
      <c r="AN88" s="32"/>
      <c r="AO88" s="32"/>
      <c r="AP88" s="325">
        <f>'AVT-celny-139+187'!AZ11</f>
        <v>0</v>
      </c>
      <c r="AQ88" s="32"/>
      <c r="AR88" s="32"/>
      <c r="AS88" s="32"/>
      <c r="AT88" s="32"/>
      <c r="AU88" s="32"/>
      <c r="AV88" s="32"/>
      <c r="AW88" s="32"/>
      <c r="AX88" s="32"/>
      <c r="AY88" s="32"/>
      <c r="AZ88" s="32"/>
      <c r="BA88" s="32"/>
      <c r="BB88" s="32"/>
      <c r="BC88" s="32"/>
      <c r="BD88" s="32"/>
      <c r="BE88" s="32"/>
      <c r="BF88" s="32"/>
      <c r="BG88" s="32"/>
      <c r="BH88" s="32"/>
      <c r="BI88" s="32"/>
      <c r="BJ88" s="32"/>
      <c r="BK88" s="32"/>
      <c r="BL88" s="32"/>
      <c r="BM88" s="32"/>
      <c r="BN88" s="32"/>
      <c r="BO88" s="165"/>
      <c r="BP88" s="165"/>
      <c r="BQ88" s="165"/>
      <c r="BR88" s="165"/>
      <c r="BS88" s="165"/>
      <c r="BT88" s="165"/>
      <c r="BU88" s="165"/>
      <c r="BV88" s="55"/>
      <c r="BW88" s="160"/>
      <c r="BX88" s="32"/>
      <c r="BY88" s="24"/>
      <c r="BZ88" s="24"/>
      <c r="CA88" s="24"/>
      <c r="CB88" s="24"/>
      <c r="CC88" s="24"/>
      <c r="CD88" s="24"/>
      <c r="CE88" s="24"/>
    </row>
    <row r="89" spans="1:83" ht="15" customHeight="1">
      <c r="A89" s="4"/>
      <c r="B89" s="317">
        <f>IF($Q$8=$Q$7,CENY!B171,IF($Q$7=$Q$9,CENY!B180,CENY!B189))</f>
        <v>9353352</v>
      </c>
      <c r="C89" s="43" t="str">
        <f>VLOOKUP(B89,CENY!$B$11:$G$1054,2,FALSE)</f>
        <v>AvanY-sólo oceľ.boky-NW 139/650mm/strieb.</v>
      </c>
      <c r="D89" s="364">
        <f>VLOOKUP(B89,CENY!$B$11:$G$1054,3,FALSE)</f>
        <v>1</v>
      </c>
      <c r="E89" s="56" t="str">
        <f>IF(VLOOKUP(B89,CENY!$B$11:$G$1054,4,FALSE)=0,"",VLOOKUP(B89,CENY!$B$11:$G$1054,4,FALSE))</f>
        <v/>
      </c>
      <c r="F89" s="40" t="str">
        <f t="shared" ref="F89" si="16">IF(J89&lt;&gt;"",J89,IF(N89=0,"",N89))</f>
        <v/>
      </c>
      <c r="G89" s="52">
        <f>VLOOKUP(B89,CENY!$B$11:$M$1054,12,FALSE)</f>
        <v>730.98166000000003</v>
      </c>
      <c r="H89" s="54" t="str">
        <f t="shared" ref="H89" si="17">IF(G89="","",$H$22)</f>
        <v xml:space="preserve"> CZK</v>
      </c>
      <c r="I89" s="41" t="str">
        <f t="shared" ref="I89" si="18">IF(F89="","",G89*F89)</f>
        <v/>
      </c>
      <c r="J89" s="122"/>
      <c r="K89" s="42" t="str">
        <f>VLOOKUP(B89,CENY!$B$11:$M$1054,8,FALSE)</f>
        <v xml:space="preserve"> </v>
      </c>
      <c r="L89" s="42" t="str">
        <f>VLOOKUP(B89,CENY!$B$11:$M$1054,9,FALSE)</f>
        <v>530042</v>
      </c>
      <c r="M89" s="32"/>
      <c r="N89" s="35">
        <f t="shared" ref="N89" si="19">SUM(P89:BW89)</f>
        <v>0</v>
      </c>
      <c r="O89" s="36">
        <v>0</v>
      </c>
      <c r="P89" s="32"/>
      <c r="Q89" s="32"/>
      <c r="R89" s="325">
        <f>'AVT139'!AZ13</f>
        <v>0</v>
      </c>
      <c r="S89" s="32"/>
      <c r="T89" s="32"/>
      <c r="U89" s="32"/>
      <c r="V89" s="32"/>
      <c r="W89" s="32"/>
      <c r="X89" s="32"/>
      <c r="Y89" s="32"/>
      <c r="Z89" s="32"/>
      <c r="AA89" s="32"/>
      <c r="AB89" s="325">
        <f>'AVT139(vn-A)'!AZ13</f>
        <v>0</v>
      </c>
      <c r="AC89" s="32"/>
      <c r="AD89" s="32"/>
      <c r="AE89" s="32"/>
      <c r="AF89" s="32"/>
      <c r="AG89" s="32"/>
      <c r="AH89" s="32"/>
      <c r="AI89" s="32"/>
      <c r="AJ89" s="32"/>
      <c r="AK89" s="32"/>
      <c r="AL89" s="32"/>
      <c r="AM89" s="32"/>
      <c r="AN89" s="32"/>
      <c r="AO89" s="32"/>
      <c r="AP89" s="460"/>
      <c r="AQ89" s="32"/>
      <c r="AR89" s="32"/>
      <c r="AS89" s="32"/>
      <c r="AT89" s="32"/>
      <c r="AU89" s="32"/>
      <c r="AV89" s="32"/>
      <c r="AW89" s="32"/>
      <c r="AX89" s="32"/>
      <c r="AY89" s="32"/>
      <c r="AZ89" s="32"/>
      <c r="BA89" s="32"/>
      <c r="BB89" s="32"/>
      <c r="BC89" s="32"/>
      <c r="BD89" s="32"/>
      <c r="BE89" s="32"/>
      <c r="BF89" s="32"/>
      <c r="BG89" s="32"/>
      <c r="BH89" s="32"/>
      <c r="BI89" s="32"/>
      <c r="BJ89" s="32"/>
      <c r="BK89" s="32"/>
      <c r="BL89" s="32"/>
      <c r="BM89" s="32"/>
      <c r="BN89" s="32"/>
      <c r="BO89" s="165"/>
      <c r="BP89" s="165"/>
      <c r="BQ89" s="165"/>
      <c r="BR89" s="165"/>
      <c r="BS89" s="165"/>
      <c r="BT89" s="165"/>
      <c r="BU89" s="165"/>
      <c r="BV89" s="55"/>
      <c r="BW89" s="160"/>
      <c r="BX89" s="32"/>
      <c r="BY89" s="24"/>
      <c r="BZ89" s="24"/>
      <c r="CA89" s="24"/>
      <c r="CB89" s="24"/>
      <c r="CC89" s="24"/>
      <c r="CD89" s="24"/>
      <c r="CE89" s="24"/>
    </row>
    <row r="90" spans="1:83" ht="8.1" customHeight="1">
      <c r="A90" s="4"/>
      <c r="B90" s="317"/>
      <c r="C90" s="43"/>
      <c r="D90" s="39"/>
      <c r="E90" s="56"/>
      <c r="F90" s="40"/>
      <c r="G90" s="52"/>
      <c r="H90" s="54"/>
      <c r="I90" s="41"/>
      <c r="J90" s="122"/>
      <c r="K90" s="42"/>
      <c r="L90" s="42"/>
      <c r="M90" s="32"/>
      <c r="N90" s="35"/>
      <c r="O90" s="36">
        <v>0</v>
      </c>
      <c r="P90" s="32"/>
      <c r="Q90" s="32"/>
      <c r="R90" s="32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32"/>
      <c r="AK90" s="32"/>
      <c r="AL90" s="32"/>
      <c r="AM90" s="32"/>
      <c r="AN90" s="32"/>
      <c r="AO90" s="32"/>
      <c r="AP90" s="32"/>
      <c r="AQ90" s="32"/>
      <c r="AR90" s="32"/>
      <c r="AS90" s="32"/>
      <c r="AT90" s="32"/>
      <c r="AU90" s="32"/>
      <c r="AV90" s="32"/>
      <c r="AW90" s="32"/>
      <c r="AX90" s="32"/>
      <c r="AY90" s="32"/>
      <c r="AZ90" s="32"/>
      <c r="BA90" s="32"/>
      <c r="BB90" s="32"/>
      <c r="BC90" s="32"/>
      <c r="BD90" s="32"/>
      <c r="BE90" s="32"/>
      <c r="BF90" s="32"/>
      <c r="BG90" s="32"/>
      <c r="BH90" s="32"/>
      <c r="BI90" s="32"/>
      <c r="BJ90" s="32"/>
      <c r="BK90" s="32"/>
      <c r="BL90" s="32"/>
      <c r="BM90" s="32"/>
      <c r="BN90" s="32"/>
      <c r="BO90" s="165"/>
      <c r="BP90" s="165"/>
      <c r="BQ90" s="165"/>
      <c r="BR90" s="165"/>
      <c r="BS90" s="165"/>
      <c r="BT90" s="165"/>
      <c r="BU90" s="165"/>
      <c r="BV90" s="55"/>
      <c r="BW90" s="160"/>
      <c r="BX90" s="32"/>
      <c r="BY90" s="24"/>
      <c r="BZ90" s="24"/>
      <c r="CA90" s="24"/>
      <c r="CB90" s="24"/>
      <c r="CC90" s="24"/>
      <c r="CD90" s="24"/>
      <c r="CE90" s="24"/>
    </row>
    <row r="91" spans="1:83" ht="15" customHeight="1">
      <c r="A91" s="4"/>
      <c r="B91" s="317">
        <f>IF($Q$8=$Q$7,CENY!B190,IF($Q$7=$Q$9,CENY!B208,CENY!B226))</f>
        <v>9255026</v>
      </c>
      <c r="C91" s="43" t="str">
        <f>VLOOKUP(B91,CENY!$B$11:$G$1054,2,FALSE)</f>
        <v>AvanY-bok ľavý /v139/h270/ strieborná</v>
      </c>
      <c r="D91" s="353">
        <f>VLOOKUP(B91,CENY!$B$11:$G$1054,3,FALSE)</f>
        <v>20</v>
      </c>
      <c r="E91" s="56" t="str">
        <f>IF(VLOOKUP(B91,CENY!$B$11:$G$1054,4,FALSE)=0,"",VLOOKUP(B91,CENY!$B$11:$G$1054,4,FALSE))</f>
        <v/>
      </c>
      <c r="F91" s="40" t="str">
        <f t="shared" ref="F91:F92" si="20">IF(J91&lt;&gt;"",J91,IF(N91=0,"",N91))</f>
        <v/>
      </c>
      <c r="G91" s="52">
        <f>VLOOKUP(B91,CENY!$B$11:$M$1054,12,FALSE)</f>
        <v>0</v>
      </c>
      <c r="H91" s="54" t="str">
        <f t="shared" ref="H91:H92" si="21">IF(G91="","",$H$22)</f>
        <v xml:space="preserve"> CZK</v>
      </c>
      <c r="I91" s="41" t="str">
        <f t="shared" ref="I91:I92" si="22">IF(F91="","",G91*F91)</f>
        <v/>
      </c>
      <c r="J91" s="122"/>
      <c r="K91" s="42" t="str">
        <f>VLOOKUP(B91,CENY!$B$11:$M$1054,8,FALSE)</f>
        <v xml:space="preserve"> </v>
      </c>
      <c r="L91" s="42">
        <f>VLOOKUP(B91,CENY!$B$11:$M$1054,9,FALSE)</f>
        <v>0</v>
      </c>
      <c r="M91" s="32"/>
      <c r="N91" s="35">
        <f t="shared" ref="N91:N92" si="23">SUM(P91:BW91)</f>
        <v>0</v>
      </c>
      <c r="O91" s="36">
        <v>0</v>
      </c>
      <c r="P91" s="32"/>
      <c r="Q91" s="32"/>
      <c r="R91" s="32"/>
      <c r="S91" s="325">
        <f>'AVT139'!BI5</f>
        <v>0</v>
      </c>
      <c r="T91" s="32"/>
      <c r="U91" s="32"/>
      <c r="V91" s="32"/>
      <c r="W91" s="32"/>
      <c r="X91" s="32"/>
      <c r="Y91" s="32"/>
      <c r="Z91" s="32"/>
      <c r="AA91" s="32"/>
      <c r="AB91" s="32"/>
      <c r="AC91" s="325">
        <f>'AVT139(vn-A)'!BI5</f>
        <v>0</v>
      </c>
      <c r="AD91" s="32"/>
      <c r="AE91" s="32"/>
      <c r="AF91" s="32"/>
      <c r="AG91" s="32"/>
      <c r="AH91" s="32"/>
      <c r="AI91" s="32"/>
      <c r="AJ91" s="32"/>
      <c r="AK91" s="32"/>
      <c r="AL91" s="32"/>
      <c r="AM91" s="32"/>
      <c r="AN91" s="32"/>
      <c r="AO91" s="32"/>
      <c r="AP91" s="32"/>
      <c r="AQ91" s="460"/>
      <c r="AR91" s="32"/>
      <c r="AS91" s="32"/>
      <c r="AT91" s="32"/>
      <c r="AU91" s="32"/>
      <c r="AV91" s="32"/>
      <c r="AW91" s="32"/>
      <c r="AX91" s="32"/>
      <c r="AY91" s="32"/>
      <c r="AZ91" s="32"/>
      <c r="BA91" s="32"/>
      <c r="BB91" s="32"/>
      <c r="BC91" s="32"/>
      <c r="BD91" s="32"/>
      <c r="BE91" s="32"/>
      <c r="BF91" s="32"/>
      <c r="BG91" s="32"/>
      <c r="BH91" s="32"/>
      <c r="BI91" s="32"/>
      <c r="BJ91" s="32"/>
      <c r="BK91" s="32"/>
      <c r="BL91" s="32"/>
      <c r="BM91" s="32"/>
      <c r="BN91" s="32"/>
      <c r="BO91" s="165"/>
      <c r="BP91" s="165"/>
      <c r="BQ91" s="165"/>
      <c r="BR91" s="165"/>
      <c r="BS91" s="165"/>
      <c r="BT91" s="165"/>
      <c r="BU91" s="165"/>
      <c r="BV91" s="55"/>
      <c r="BW91" s="160"/>
      <c r="BX91" s="32"/>
      <c r="BY91" s="24"/>
      <c r="BZ91" s="24"/>
      <c r="CA91" s="24"/>
      <c r="CB91" s="24"/>
      <c r="CC91" s="24"/>
      <c r="CD91" s="24"/>
      <c r="CE91" s="24"/>
    </row>
    <row r="92" spans="1:83" ht="15" customHeight="1">
      <c r="A92" s="4"/>
      <c r="B92" s="317">
        <f>IF($Q$8=$Q$7,CENY!B191,IF($Q$7=$Q$9,CENY!B209,CENY!B227))</f>
        <v>9255027</v>
      </c>
      <c r="C92" s="43" t="str">
        <f>VLOOKUP(B92,CENY!$B$11:$G$1054,2,FALSE)</f>
        <v>AvanY-bok pravý /v139/h270/ strieborná</v>
      </c>
      <c r="D92" s="353">
        <f>VLOOKUP(B92,CENY!$B$11:$G$1054,3,FALSE)</f>
        <v>20</v>
      </c>
      <c r="E92" s="56" t="str">
        <f>IF(VLOOKUP(B92,CENY!$B$11:$G$1054,4,FALSE)=0,"",VLOOKUP(B92,CENY!$B$11:$G$1054,4,FALSE))</f>
        <v/>
      </c>
      <c r="F92" s="40" t="str">
        <f t="shared" si="20"/>
        <v/>
      </c>
      <c r="G92" s="52">
        <f>VLOOKUP(B92,CENY!$B$11:$M$1054,12,FALSE)</f>
        <v>0</v>
      </c>
      <c r="H92" s="54" t="str">
        <f t="shared" si="21"/>
        <v xml:space="preserve"> CZK</v>
      </c>
      <c r="I92" s="41" t="str">
        <f t="shared" si="22"/>
        <v/>
      </c>
      <c r="J92" s="122"/>
      <c r="K92" s="42" t="str">
        <f>VLOOKUP(B92,CENY!$B$11:$M$1054,8,FALSE)</f>
        <v xml:space="preserve"> </v>
      </c>
      <c r="L92" s="42">
        <f>VLOOKUP(B92,CENY!$B$11:$M$1054,9,FALSE)</f>
        <v>0</v>
      </c>
      <c r="M92" s="32"/>
      <c r="N92" s="35">
        <f t="shared" si="23"/>
        <v>0</v>
      </c>
      <c r="O92" s="36">
        <v>0</v>
      </c>
      <c r="P92" s="32"/>
      <c r="Q92" s="32"/>
      <c r="R92" s="32"/>
      <c r="S92" s="325">
        <f>'AVT139'!BI6</f>
        <v>0</v>
      </c>
      <c r="T92" s="32"/>
      <c r="U92" s="32"/>
      <c r="V92" s="32"/>
      <c r="W92" s="32"/>
      <c r="X92" s="32"/>
      <c r="Y92" s="32"/>
      <c r="Z92" s="32"/>
      <c r="AA92" s="32"/>
      <c r="AB92" s="32"/>
      <c r="AC92" s="325">
        <f>'AVT139(vn-A)'!BI6</f>
        <v>0</v>
      </c>
      <c r="AD92" s="32"/>
      <c r="AE92" s="32"/>
      <c r="AF92" s="32"/>
      <c r="AG92" s="32"/>
      <c r="AH92" s="32"/>
      <c r="AI92" s="32"/>
      <c r="AJ92" s="32"/>
      <c r="AK92" s="32"/>
      <c r="AL92" s="32"/>
      <c r="AM92" s="32"/>
      <c r="AN92" s="32"/>
      <c r="AO92" s="32"/>
      <c r="AP92" s="32"/>
      <c r="AQ92" s="460"/>
      <c r="AR92" s="32"/>
      <c r="AS92" s="32"/>
      <c r="AT92" s="32"/>
      <c r="AU92" s="32"/>
      <c r="AV92" s="32"/>
      <c r="AW92" s="32"/>
      <c r="AX92" s="32"/>
      <c r="AY92" s="32"/>
      <c r="AZ92" s="32"/>
      <c r="BA92" s="32"/>
      <c r="BB92" s="32"/>
      <c r="BC92" s="32"/>
      <c r="BD92" s="32"/>
      <c r="BE92" s="32"/>
      <c r="BF92" s="32"/>
      <c r="BG92" s="32"/>
      <c r="BH92" s="32"/>
      <c r="BI92" s="32"/>
      <c r="BJ92" s="32"/>
      <c r="BK92" s="32"/>
      <c r="BL92" s="32"/>
      <c r="BM92" s="32"/>
      <c r="BN92" s="32"/>
      <c r="BO92" s="165"/>
      <c r="BP92" s="165"/>
      <c r="BQ92" s="165"/>
      <c r="BR92" s="165"/>
      <c r="BS92" s="165"/>
      <c r="BT92" s="165"/>
      <c r="BU92" s="165"/>
      <c r="BV92" s="55"/>
      <c r="BW92" s="160"/>
      <c r="BX92" s="32"/>
      <c r="BY92" s="24"/>
      <c r="BZ92" s="24"/>
      <c r="CA92" s="24"/>
      <c r="CB92" s="24"/>
      <c r="CC92" s="24"/>
      <c r="CD92" s="24"/>
      <c r="CE92" s="24"/>
    </row>
    <row r="93" spans="1:83" ht="15" customHeight="1">
      <c r="A93" s="4"/>
      <c r="B93" s="317">
        <f>IF($Q$8=$Q$7,CENY!B192,IF($Q$7=$Q$9,CENY!B210,CENY!B228))</f>
        <v>9255028</v>
      </c>
      <c r="C93" s="43" t="str">
        <f>VLOOKUP(B93,CENY!$B$11:$G$1054,2,FALSE)</f>
        <v>AvanY-bok ľavý /v139/h300/ strieborná</v>
      </c>
      <c r="D93" s="353">
        <f>VLOOKUP(B93,CENY!$B$11:$G$1054,3,FALSE)</f>
        <v>20</v>
      </c>
      <c r="E93" s="56" t="str">
        <f>IF(VLOOKUP(B93,CENY!$B$11:$G$1054,4,FALSE)=0,"",VLOOKUP(B93,CENY!$B$11:$G$1054,4,FALSE))</f>
        <v/>
      </c>
      <c r="F93" s="40" t="str">
        <f t="shared" ref="F93:F109" si="24">IF(J93&lt;&gt;"",J93,IF(N93=0,"",N93))</f>
        <v/>
      </c>
      <c r="G93" s="52">
        <f>VLOOKUP(B93,CENY!$B$11:$M$1054,12,FALSE)</f>
        <v>268.07722999999999</v>
      </c>
      <c r="H93" s="54" t="str">
        <f t="shared" ref="H93:H158" si="25">IF(G93="","",$H$22)</f>
        <v xml:space="preserve"> CZK</v>
      </c>
      <c r="I93" s="41" t="str">
        <f t="shared" ref="I93:I158" si="26">IF(F93="","",G93*F93)</f>
        <v/>
      </c>
      <c r="J93" s="122"/>
      <c r="K93" s="42" t="str">
        <f>VLOOKUP(B93,CENY!$B$11:$M$1054,8,FALSE)</f>
        <v xml:space="preserve"> </v>
      </c>
      <c r="L93" s="42" t="str">
        <f>VLOOKUP(B93,CENY!$B$11:$M$1054,9,FALSE)</f>
        <v>396738</v>
      </c>
      <c r="M93" s="32"/>
      <c r="N93" s="35">
        <f t="shared" ref="N93:N110" si="27">SUM(P93:BW93)</f>
        <v>0</v>
      </c>
      <c r="O93" s="36">
        <v>0</v>
      </c>
      <c r="P93" s="32"/>
      <c r="Q93" s="32"/>
      <c r="R93" s="32"/>
      <c r="S93" s="325">
        <f>'AVT139'!BI7</f>
        <v>0</v>
      </c>
      <c r="T93" s="32"/>
      <c r="U93" s="32"/>
      <c r="V93" s="32"/>
      <c r="W93" s="32"/>
      <c r="X93" s="32"/>
      <c r="Y93" s="32"/>
      <c r="Z93" s="32"/>
      <c r="AA93" s="32"/>
      <c r="AB93" s="32"/>
      <c r="AC93" s="325">
        <f>'AVT139(vn-A)'!BI7</f>
        <v>0</v>
      </c>
      <c r="AD93" s="32"/>
      <c r="AE93" s="32"/>
      <c r="AF93" s="32"/>
      <c r="AG93" s="32"/>
      <c r="AH93" s="32"/>
      <c r="AI93" s="32"/>
      <c r="AJ93" s="32"/>
      <c r="AK93" s="32"/>
      <c r="AL93" s="32"/>
      <c r="AM93" s="32"/>
      <c r="AN93" s="32"/>
      <c r="AO93" s="32"/>
      <c r="AP93" s="32"/>
      <c r="AQ93" s="325">
        <f>'AVT-celny-139+187'!BI5</f>
        <v>0</v>
      </c>
      <c r="AR93" s="32"/>
      <c r="AS93" s="32"/>
      <c r="AT93" s="32"/>
      <c r="AU93" s="32"/>
      <c r="AV93" s="32"/>
      <c r="AW93" s="32"/>
      <c r="AX93" s="32"/>
      <c r="AY93" s="32"/>
      <c r="AZ93" s="32"/>
      <c r="BA93" s="32"/>
      <c r="BB93" s="32"/>
      <c r="BC93" s="32"/>
      <c r="BD93" s="32"/>
      <c r="BE93" s="32"/>
      <c r="BF93" s="32"/>
      <c r="BG93" s="32"/>
      <c r="BH93" s="32"/>
      <c r="BI93" s="32"/>
      <c r="BJ93" s="32"/>
      <c r="BK93" s="32"/>
      <c r="BL93" s="32"/>
      <c r="BM93" s="32"/>
      <c r="BN93" s="32"/>
      <c r="BO93" s="165"/>
      <c r="BP93" s="165"/>
      <c r="BQ93" s="165"/>
      <c r="BR93" s="165"/>
      <c r="BS93" s="165"/>
      <c r="BT93" s="165"/>
      <c r="BU93" s="165"/>
      <c r="BV93" s="55"/>
      <c r="BW93" s="160"/>
      <c r="BX93" s="32"/>
      <c r="BY93" s="24"/>
      <c r="BZ93" s="24"/>
      <c r="CA93" s="24"/>
      <c r="CB93" s="24"/>
      <c r="CC93" s="24"/>
      <c r="CD93" s="24"/>
      <c r="CE93" s="24"/>
    </row>
    <row r="94" spans="1:83" ht="15" customHeight="1">
      <c r="A94" s="4"/>
      <c r="B94" s="317">
        <f>IF($Q$8=$Q$7,CENY!B193,IF($Q$7=$Q$9,CENY!B211,CENY!B229))</f>
        <v>9255029</v>
      </c>
      <c r="C94" s="43" t="str">
        <f>VLOOKUP(B94,CENY!$B$11:$G$1054,2,FALSE)</f>
        <v>AvanY-bok pravý /v139/h300/ strieborná</v>
      </c>
      <c r="D94" s="353">
        <f>VLOOKUP(B94,CENY!$B$11:$G$1054,3,FALSE)</f>
        <v>20</v>
      </c>
      <c r="E94" s="56" t="str">
        <f>IF(VLOOKUP(B94,CENY!$B$11:$G$1054,4,FALSE)=0,"",VLOOKUP(B94,CENY!$B$11:$G$1054,4,FALSE))</f>
        <v/>
      </c>
      <c r="F94" s="40" t="str">
        <f t="shared" si="24"/>
        <v/>
      </c>
      <c r="G94" s="52">
        <f>VLOOKUP(B94,CENY!$B$11:$M$1054,12,FALSE)</f>
        <v>268.07722999999999</v>
      </c>
      <c r="H94" s="54" t="str">
        <f t="shared" si="25"/>
        <v xml:space="preserve"> CZK</v>
      </c>
      <c r="I94" s="41" t="str">
        <f t="shared" si="26"/>
        <v/>
      </c>
      <c r="J94" s="122"/>
      <c r="K94" s="42" t="str">
        <f>VLOOKUP(B94,CENY!$B$11:$M$1054,8,FALSE)</f>
        <v xml:space="preserve"> </v>
      </c>
      <c r="L94" s="42" t="str">
        <f>VLOOKUP(B94,CENY!$B$11:$M$1054,9,FALSE)</f>
        <v>396739</v>
      </c>
      <c r="M94" s="32"/>
      <c r="N94" s="35">
        <f t="shared" si="27"/>
        <v>0</v>
      </c>
      <c r="O94" s="36">
        <v>0</v>
      </c>
      <c r="P94" s="32"/>
      <c r="Q94" s="32"/>
      <c r="R94" s="32"/>
      <c r="S94" s="325">
        <f>'AVT139'!BI8</f>
        <v>0</v>
      </c>
      <c r="T94" s="32"/>
      <c r="U94" s="32"/>
      <c r="V94" s="32"/>
      <c r="W94" s="32"/>
      <c r="X94" s="32"/>
      <c r="Y94" s="32"/>
      <c r="Z94" s="32"/>
      <c r="AA94" s="32"/>
      <c r="AB94" s="32"/>
      <c r="AC94" s="325">
        <f>'AVT139(vn-A)'!BI8</f>
        <v>0</v>
      </c>
      <c r="AD94" s="32"/>
      <c r="AE94" s="32"/>
      <c r="AF94" s="32"/>
      <c r="AG94" s="32"/>
      <c r="AH94" s="32"/>
      <c r="AI94" s="32"/>
      <c r="AJ94" s="32"/>
      <c r="AK94" s="32"/>
      <c r="AL94" s="32"/>
      <c r="AM94" s="32"/>
      <c r="AN94" s="32"/>
      <c r="AO94" s="32"/>
      <c r="AP94" s="32"/>
      <c r="AQ94" s="325">
        <f>'AVT-celny-139+187'!BI6</f>
        <v>0</v>
      </c>
      <c r="AR94" s="32"/>
      <c r="AS94" s="32"/>
      <c r="AT94" s="32"/>
      <c r="AU94" s="32"/>
      <c r="AV94" s="32"/>
      <c r="AW94" s="32"/>
      <c r="AX94" s="32"/>
      <c r="AY94" s="32"/>
      <c r="AZ94" s="32"/>
      <c r="BA94" s="32"/>
      <c r="BB94" s="32"/>
      <c r="BC94" s="32"/>
      <c r="BD94" s="32"/>
      <c r="BE94" s="32"/>
      <c r="BF94" s="32"/>
      <c r="BG94" s="32"/>
      <c r="BH94" s="32"/>
      <c r="BI94" s="32"/>
      <c r="BJ94" s="32"/>
      <c r="BK94" s="32"/>
      <c r="BL94" s="32"/>
      <c r="BM94" s="32"/>
      <c r="BN94" s="32"/>
      <c r="BO94" s="165"/>
      <c r="BP94" s="165"/>
      <c r="BQ94" s="165"/>
      <c r="BR94" s="165"/>
      <c r="BS94" s="165"/>
      <c r="BT94" s="165"/>
      <c r="BU94" s="165"/>
      <c r="BV94" s="55"/>
      <c r="BW94" s="160"/>
      <c r="BX94" s="32"/>
      <c r="BY94" s="24"/>
      <c r="BZ94" s="24"/>
      <c r="CA94" s="24"/>
      <c r="CB94" s="24"/>
      <c r="CC94" s="24"/>
      <c r="CD94" s="24"/>
      <c r="CE94" s="24"/>
    </row>
    <row r="95" spans="1:83" ht="15" customHeight="1">
      <c r="A95" s="4"/>
      <c r="B95" s="317">
        <f>IF($Q$8=$Q$7,CENY!B194,IF($Q$7=$Q$9,CENY!B212,CENY!B230))</f>
        <v>9255030</v>
      </c>
      <c r="C95" s="43" t="str">
        <f>VLOOKUP(B95,CENY!$B$11:$G$1054,2,FALSE)</f>
        <v>AvanY-bok ľavý /v139/h350/ strieborná</v>
      </c>
      <c r="D95" s="353">
        <f>VLOOKUP(B95,CENY!$B$11:$G$1054,3,FALSE)</f>
        <v>20</v>
      </c>
      <c r="E95" s="56" t="str">
        <f>IF(VLOOKUP(B95,CENY!$B$11:$G$1054,4,FALSE)=0,"",VLOOKUP(B95,CENY!$B$11:$G$1054,4,FALSE))</f>
        <v/>
      </c>
      <c r="F95" s="40" t="str">
        <f t="shared" si="24"/>
        <v/>
      </c>
      <c r="G95" s="52">
        <f>VLOOKUP(B95,CENY!$B$11:$M$1054,12,FALSE)</f>
        <v>273.01260000000002</v>
      </c>
      <c r="H95" s="54" t="str">
        <f t="shared" si="25"/>
        <v xml:space="preserve"> CZK</v>
      </c>
      <c r="I95" s="41" t="str">
        <f t="shared" si="26"/>
        <v/>
      </c>
      <c r="J95" s="122"/>
      <c r="K95" s="42" t="str">
        <f>VLOOKUP(B95,CENY!$B$11:$M$1054,8,FALSE)</f>
        <v xml:space="preserve"> </v>
      </c>
      <c r="L95" s="42" t="str">
        <f>VLOOKUP(B95,CENY!$B$11:$M$1054,9,FALSE)</f>
        <v>396740</v>
      </c>
      <c r="M95" s="32"/>
      <c r="N95" s="35">
        <f t="shared" si="27"/>
        <v>0</v>
      </c>
      <c r="O95" s="36">
        <v>0</v>
      </c>
      <c r="P95" s="32"/>
      <c r="Q95" s="32"/>
      <c r="R95" s="32"/>
      <c r="S95" s="325">
        <f>'AVT139'!BI9</f>
        <v>0</v>
      </c>
      <c r="T95" s="32"/>
      <c r="U95" s="32"/>
      <c r="V95" s="32"/>
      <c r="W95" s="32"/>
      <c r="X95" s="32"/>
      <c r="Y95" s="32"/>
      <c r="Z95" s="32"/>
      <c r="AA95" s="32"/>
      <c r="AB95" s="32"/>
      <c r="AC95" s="325">
        <f>'AVT139(vn-A)'!BI9</f>
        <v>0</v>
      </c>
      <c r="AD95" s="32"/>
      <c r="AE95" s="32"/>
      <c r="AF95" s="32"/>
      <c r="AG95" s="32"/>
      <c r="AH95" s="32"/>
      <c r="AI95" s="32"/>
      <c r="AJ95" s="32"/>
      <c r="AK95" s="32"/>
      <c r="AL95" s="32"/>
      <c r="AM95" s="32"/>
      <c r="AN95" s="32"/>
      <c r="AO95" s="32"/>
      <c r="AP95" s="32"/>
      <c r="AQ95" s="325">
        <f>'AVT-celny-139+187'!BI7</f>
        <v>0</v>
      </c>
      <c r="AR95" s="32"/>
      <c r="AS95" s="32"/>
      <c r="AT95" s="32"/>
      <c r="AU95" s="32"/>
      <c r="AV95" s="32"/>
      <c r="AW95" s="32"/>
      <c r="AX95" s="32"/>
      <c r="AY95" s="32"/>
      <c r="AZ95" s="32"/>
      <c r="BA95" s="32"/>
      <c r="BB95" s="32"/>
      <c r="BC95" s="32"/>
      <c r="BD95" s="32"/>
      <c r="BE95" s="32"/>
      <c r="BF95" s="32"/>
      <c r="BG95" s="32"/>
      <c r="BH95" s="32"/>
      <c r="BI95" s="32"/>
      <c r="BJ95" s="32"/>
      <c r="BK95" s="32"/>
      <c r="BL95" s="32"/>
      <c r="BM95" s="32"/>
      <c r="BN95" s="32"/>
      <c r="BO95" s="165"/>
      <c r="BP95" s="165"/>
      <c r="BQ95" s="165"/>
      <c r="BR95" s="165"/>
      <c r="BS95" s="165"/>
      <c r="BT95" s="165"/>
      <c r="BU95" s="165"/>
      <c r="BV95" s="55"/>
      <c r="BW95" s="160"/>
      <c r="BX95" s="32"/>
      <c r="BY95" s="24"/>
      <c r="BZ95" s="24"/>
      <c r="CA95" s="24"/>
      <c r="CB95" s="24"/>
      <c r="CC95" s="24"/>
      <c r="CD95" s="24"/>
      <c r="CE95" s="24"/>
    </row>
    <row r="96" spans="1:83" ht="15" customHeight="1">
      <c r="A96" s="4"/>
      <c r="B96" s="317">
        <f>IF($Q$8=$Q$7,CENY!B195,IF($Q$7=$Q$9,CENY!B213,CENY!B231))</f>
        <v>9255031</v>
      </c>
      <c r="C96" s="43" t="str">
        <f>VLOOKUP(B96,CENY!$B$11:$G$1054,2,FALSE)</f>
        <v>AvanY-bok pravý /v139/h350/ strieborná</v>
      </c>
      <c r="D96" s="353">
        <f>VLOOKUP(B96,CENY!$B$11:$G$1054,3,FALSE)</f>
        <v>20</v>
      </c>
      <c r="E96" s="56" t="str">
        <f>IF(VLOOKUP(B96,CENY!$B$11:$G$1054,4,FALSE)=0,"",VLOOKUP(B96,CENY!$B$11:$G$1054,4,FALSE))</f>
        <v/>
      </c>
      <c r="F96" s="40" t="str">
        <f t="shared" si="24"/>
        <v/>
      </c>
      <c r="G96" s="52">
        <f>VLOOKUP(B96,CENY!$B$11:$M$1054,12,FALSE)</f>
        <v>273.01260000000002</v>
      </c>
      <c r="H96" s="54" t="str">
        <f t="shared" si="25"/>
        <v xml:space="preserve"> CZK</v>
      </c>
      <c r="I96" s="41" t="str">
        <f t="shared" si="26"/>
        <v/>
      </c>
      <c r="J96" s="122"/>
      <c r="K96" s="42" t="str">
        <f>VLOOKUP(B96,CENY!$B$11:$M$1054,8,FALSE)</f>
        <v xml:space="preserve"> </v>
      </c>
      <c r="L96" s="42" t="str">
        <f>VLOOKUP(B96,CENY!$B$11:$M$1054,9,FALSE)</f>
        <v>396741</v>
      </c>
      <c r="M96" s="32"/>
      <c r="N96" s="35">
        <f t="shared" si="27"/>
        <v>0</v>
      </c>
      <c r="O96" s="36">
        <v>0</v>
      </c>
      <c r="P96" s="32"/>
      <c r="Q96" s="32"/>
      <c r="R96" s="32"/>
      <c r="S96" s="325">
        <f>'AVT139'!BI10</f>
        <v>0</v>
      </c>
      <c r="T96" s="32"/>
      <c r="U96" s="32"/>
      <c r="V96" s="32"/>
      <c r="W96" s="32"/>
      <c r="X96" s="32"/>
      <c r="Y96" s="32"/>
      <c r="Z96" s="32"/>
      <c r="AA96" s="32"/>
      <c r="AB96" s="32"/>
      <c r="AC96" s="325">
        <f>'AVT139(vn-A)'!BI10</f>
        <v>0</v>
      </c>
      <c r="AD96" s="32"/>
      <c r="AE96" s="32"/>
      <c r="AF96" s="32"/>
      <c r="AG96" s="32"/>
      <c r="AH96" s="32"/>
      <c r="AI96" s="32"/>
      <c r="AJ96" s="32"/>
      <c r="AK96" s="32"/>
      <c r="AL96" s="32"/>
      <c r="AM96" s="32"/>
      <c r="AN96" s="32"/>
      <c r="AO96" s="32"/>
      <c r="AP96" s="32"/>
      <c r="AQ96" s="325">
        <f>'AVT-celny-139+187'!BI8</f>
        <v>0</v>
      </c>
      <c r="AR96" s="32"/>
      <c r="AS96" s="32"/>
      <c r="AT96" s="32"/>
      <c r="AU96" s="32"/>
      <c r="AV96" s="32"/>
      <c r="AW96" s="32"/>
      <c r="AX96" s="32"/>
      <c r="AY96" s="32"/>
      <c r="AZ96" s="32"/>
      <c r="BA96" s="32"/>
      <c r="BB96" s="32"/>
      <c r="BC96" s="32"/>
      <c r="BD96" s="32"/>
      <c r="BE96" s="32"/>
      <c r="BF96" s="32"/>
      <c r="BG96" s="32"/>
      <c r="BH96" s="32"/>
      <c r="BI96" s="32"/>
      <c r="BJ96" s="32"/>
      <c r="BK96" s="32"/>
      <c r="BL96" s="32"/>
      <c r="BM96" s="32"/>
      <c r="BN96" s="32"/>
      <c r="BO96" s="165"/>
      <c r="BP96" s="165"/>
      <c r="BQ96" s="165"/>
      <c r="BR96" s="165"/>
      <c r="BS96" s="165"/>
      <c r="BT96" s="165"/>
      <c r="BU96" s="165"/>
      <c r="BV96" s="55"/>
      <c r="BW96" s="160"/>
      <c r="BX96" s="32"/>
      <c r="BY96" s="24"/>
      <c r="BZ96" s="24"/>
      <c r="CA96" s="24"/>
      <c r="CB96" s="24"/>
      <c r="CC96" s="24"/>
      <c r="CD96" s="24"/>
      <c r="CE96" s="24"/>
    </row>
    <row r="97" spans="1:83" ht="15" customHeight="1">
      <c r="A97" s="4"/>
      <c r="B97" s="317">
        <f>IF($Q$8=$Q$7,CENY!B196,IF($Q$7=$Q$9,CENY!B214,CENY!B232))</f>
        <v>9255032</v>
      </c>
      <c r="C97" s="43" t="str">
        <f>VLOOKUP(B97,CENY!$B$11:$G$1054,2,FALSE)</f>
        <v>AvanY-bok ľavý /v139/h400/ strieborná</v>
      </c>
      <c r="D97" s="353">
        <f>VLOOKUP(B97,CENY!$B$11:$G$1054,3,FALSE)</f>
        <v>20</v>
      </c>
      <c r="E97" s="56" t="str">
        <f>IF(VLOOKUP(B97,CENY!$B$11:$G$1054,4,FALSE)=0,"",VLOOKUP(B97,CENY!$B$11:$G$1054,4,FALSE))</f>
        <v/>
      </c>
      <c r="F97" s="40" t="str">
        <f t="shared" si="24"/>
        <v/>
      </c>
      <c r="G97" s="52">
        <f>VLOOKUP(B97,CENY!$B$11:$M$1054,12,FALSE)</f>
        <v>277.95048000000003</v>
      </c>
      <c r="H97" s="54" t="str">
        <f t="shared" si="25"/>
        <v xml:space="preserve"> CZK</v>
      </c>
      <c r="I97" s="41" t="str">
        <f t="shared" si="26"/>
        <v/>
      </c>
      <c r="J97" s="122"/>
      <c r="K97" s="42" t="str">
        <f>VLOOKUP(B97,CENY!$B$11:$M$1054,8,FALSE)</f>
        <v xml:space="preserve"> </v>
      </c>
      <c r="L97" s="42" t="str">
        <f>VLOOKUP(B97,CENY!$B$11:$M$1054,9,FALSE)</f>
        <v>396742</v>
      </c>
      <c r="M97" s="32"/>
      <c r="N97" s="35">
        <f t="shared" si="27"/>
        <v>0</v>
      </c>
      <c r="O97" s="36">
        <v>0</v>
      </c>
      <c r="P97" s="32"/>
      <c r="Q97" s="32"/>
      <c r="R97" s="32"/>
      <c r="S97" s="325">
        <f>'AVT139'!BI11</f>
        <v>0</v>
      </c>
      <c r="T97" s="32"/>
      <c r="U97" s="32"/>
      <c r="V97" s="32"/>
      <c r="W97" s="32"/>
      <c r="X97" s="32"/>
      <c r="Y97" s="32"/>
      <c r="Z97" s="32"/>
      <c r="AA97" s="32"/>
      <c r="AB97" s="32"/>
      <c r="AC97" s="325">
        <f>'AVT139(vn-A)'!BI11</f>
        <v>0</v>
      </c>
      <c r="AD97" s="32"/>
      <c r="AE97" s="32"/>
      <c r="AF97" s="32"/>
      <c r="AG97" s="32"/>
      <c r="AH97" s="32"/>
      <c r="AI97" s="32"/>
      <c r="AJ97" s="32"/>
      <c r="AK97" s="32"/>
      <c r="AL97" s="32"/>
      <c r="AM97" s="32"/>
      <c r="AN97" s="32"/>
      <c r="AO97" s="32"/>
      <c r="AP97" s="32"/>
      <c r="AQ97" s="325">
        <f>'AVT-celny-139+187'!BI9</f>
        <v>0</v>
      </c>
      <c r="AR97" s="32"/>
      <c r="AS97" s="32"/>
      <c r="AT97" s="32"/>
      <c r="AU97" s="32"/>
      <c r="AV97" s="32"/>
      <c r="AW97" s="32"/>
      <c r="AX97" s="32"/>
      <c r="AY97" s="32"/>
      <c r="AZ97" s="32"/>
      <c r="BA97" s="32"/>
      <c r="BB97" s="32"/>
      <c r="BC97" s="32"/>
      <c r="BD97" s="32"/>
      <c r="BE97" s="32"/>
      <c r="BF97" s="32"/>
      <c r="BG97" s="32"/>
      <c r="BH97" s="32"/>
      <c r="BI97" s="32"/>
      <c r="BJ97" s="32"/>
      <c r="BK97" s="32"/>
      <c r="BL97" s="32"/>
      <c r="BM97" s="32"/>
      <c r="BN97" s="32"/>
      <c r="BO97" s="165"/>
      <c r="BP97" s="165"/>
      <c r="BQ97" s="165"/>
      <c r="BR97" s="165"/>
      <c r="BS97" s="165"/>
      <c r="BT97" s="165"/>
      <c r="BU97" s="165"/>
      <c r="BV97" s="55"/>
      <c r="BW97" s="160"/>
      <c r="BX97" s="32"/>
      <c r="BY97" s="24"/>
      <c r="BZ97" s="24"/>
      <c r="CA97" s="24"/>
      <c r="CB97" s="24"/>
      <c r="CC97" s="24"/>
      <c r="CD97" s="24"/>
      <c r="CE97" s="24"/>
    </row>
    <row r="98" spans="1:83" ht="15" customHeight="1">
      <c r="A98" s="4"/>
      <c r="B98" s="317">
        <f>IF($Q$8=$Q$7,CENY!B197,IF($Q$7=$Q$9,CENY!B215,CENY!B233))</f>
        <v>9255033</v>
      </c>
      <c r="C98" s="43" t="str">
        <f>VLOOKUP(B98,CENY!$B$11:$G$1054,2,FALSE)</f>
        <v>AvanY-bok pravý /v139/h400/ strieborná</v>
      </c>
      <c r="D98" s="353">
        <f>VLOOKUP(B98,CENY!$B$11:$G$1054,3,FALSE)</f>
        <v>20</v>
      </c>
      <c r="E98" s="56" t="str">
        <f>IF(VLOOKUP(B98,CENY!$B$11:$G$1054,4,FALSE)=0,"",VLOOKUP(B98,CENY!$B$11:$G$1054,4,FALSE))</f>
        <v/>
      </c>
      <c r="F98" s="40" t="str">
        <f t="shared" si="24"/>
        <v/>
      </c>
      <c r="G98" s="52">
        <f>VLOOKUP(B98,CENY!$B$11:$M$1054,12,FALSE)</f>
        <v>277.95048000000003</v>
      </c>
      <c r="H98" s="54" t="str">
        <f t="shared" si="25"/>
        <v xml:space="preserve"> CZK</v>
      </c>
      <c r="I98" s="41" t="str">
        <f t="shared" si="26"/>
        <v/>
      </c>
      <c r="J98" s="122"/>
      <c r="K98" s="42" t="str">
        <f>VLOOKUP(B98,CENY!$B$11:$M$1054,8,FALSE)</f>
        <v xml:space="preserve"> </v>
      </c>
      <c r="L98" s="42" t="str">
        <f>VLOOKUP(B98,CENY!$B$11:$M$1054,9,FALSE)</f>
        <v>396743</v>
      </c>
      <c r="M98" s="32"/>
      <c r="N98" s="35">
        <f t="shared" si="27"/>
        <v>0</v>
      </c>
      <c r="O98" s="36">
        <v>0</v>
      </c>
      <c r="P98" s="32"/>
      <c r="Q98" s="32"/>
      <c r="R98" s="32"/>
      <c r="S98" s="325">
        <f>'AVT139'!BI12</f>
        <v>0</v>
      </c>
      <c r="T98" s="32"/>
      <c r="U98" s="32"/>
      <c r="V98" s="32"/>
      <c r="W98" s="32"/>
      <c r="X98" s="32"/>
      <c r="Y98" s="32"/>
      <c r="Z98" s="32"/>
      <c r="AA98" s="32"/>
      <c r="AB98" s="32"/>
      <c r="AC98" s="325">
        <f>'AVT139(vn-A)'!BI12</f>
        <v>0</v>
      </c>
      <c r="AD98" s="32"/>
      <c r="AE98" s="32"/>
      <c r="AF98" s="32"/>
      <c r="AG98" s="32"/>
      <c r="AH98" s="32"/>
      <c r="AI98" s="32"/>
      <c r="AJ98" s="32"/>
      <c r="AK98" s="32"/>
      <c r="AL98" s="32"/>
      <c r="AM98" s="32"/>
      <c r="AN98" s="32"/>
      <c r="AO98" s="32"/>
      <c r="AP98" s="32"/>
      <c r="AQ98" s="325">
        <f>'AVT-celny-139+187'!BI10</f>
        <v>0</v>
      </c>
      <c r="AR98" s="32"/>
      <c r="AS98" s="32"/>
      <c r="AT98" s="32"/>
      <c r="AU98" s="32"/>
      <c r="AV98" s="32"/>
      <c r="AW98" s="32"/>
      <c r="AX98" s="32"/>
      <c r="AY98" s="32"/>
      <c r="AZ98" s="32"/>
      <c r="BA98" s="32"/>
      <c r="BB98" s="32"/>
      <c r="BC98" s="32"/>
      <c r="BD98" s="32"/>
      <c r="BE98" s="32"/>
      <c r="BF98" s="32"/>
      <c r="BG98" s="32"/>
      <c r="BH98" s="32"/>
      <c r="BI98" s="32"/>
      <c r="BJ98" s="32"/>
      <c r="BK98" s="32"/>
      <c r="BL98" s="32"/>
      <c r="BM98" s="32"/>
      <c r="BN98" s="32"/>
      <c r="BO98" s="165"/>
      <c r="BP98" s="165"/>
      <c r="BQ98" s="165"/>
      <c r="BR98" s="165"/>
      <c r="BS98" s="165"/>
      <c r="BT98" s="165"/>
      <c r="BU98" s="165"/>
      <c r="BV98" s="55"/>
      <c r="BW98" s="160"/>
      <c r="BX98" s="32"/>
      <c r="BY98" s="24"/>
      <c r="BZ98" s="24"/>
      <c r="CA98" s="24"/>
      <c r="CB98" s="24"/>
      <c r="CC98" s="24"/>
      <c r="CD98" s="24"/>
      <c r="CE98" s="24"/>
    </row>
    <row r="99" spans="1:83" ht="15" customHeight="1">
      <c r="A99" s="4"/>
      <c r="B99" s="317">
        <f>IF($Q$8=$Q$7,CENY!B198,IF($Q$7=$Q$9,CENY!B216,CENY!B234))</f>
        <v>9255034</v>
      </c>
      <c r="C99" s="43" t="str">
        <f>VLOOKUP(B99,CENY!$B$11:$G$1054,2,FALSE)</f>
        <v>AvanY-bok ľavý /v139/h450/ strieborná</v>
      </c>
      <c r="D99" s="353">
        <f>VLOOKUP(B99,CENY!$B$11:$G$1054,3,FALSE)</f>
        <v>20</v>
      </c>
      <c r="E99" s="56" t="str">
        <f>IF(VLOOKUP(B99,CENY!$B$11:$G$1054,4,FALSE)=0,"",VLOOKUP(B99,CENY!$B$11:$G$1054,4,FALSE))</f>
        <v/>
      </c>
      <c r="F99" s="40" t="str">
        <f t="shared" si="24"/>
        <v/>
      </c>
      <c r="G99" s="52">
        <f>VLOOKUP(B99,CENY!$B$11:$M$1054,12,FALSE)</f>
        <v>282.88328000000001</v>
      </c>
      <c r="H99" s="54" t="str">
        <f t="shared" si="25"/>
        <v xml:space="preserve"> CZK</v>
      </c>
      <c r="I99" s="41" t="str">
        <f t="shared" si="26"/>
        <v/>
      </c>
      <c r="J99" s="122"/>
      <c r="K99" s="42" t="str">
        <f>VLOOKUP(B99,CENY!$B$11:$M$1054,8,FALSE)</f>
        <v xml:space="preserve"> </v>
      </c>
      <c r="L99" s="42" t="str">
        <f>VLOOKUP(B99,CENY!$B$11:$M$1054,9,FALSE)</f>
        <v>396744</v>
      </c>
      <c r="M99" s="32"/>
      <c r="N99" s="35">
        <f t="shared" si="27"/>
        <v>0</v>
      </c>
      <c r="O99" s="36">
        <v>0</v>
      </c>
      <c r="P99" s="32"/>
      <c r="Q99" s="32"/>
      <c r="R99" s="32"/>
      <c r="S99" s="325">
        <f>'AVT139'!BI13</f>
        <v>0</v>
      </c>
      <c r="T99" s="32"/>
      <c r="U99" s="32"/>
      <c r="V99" s="32"/>
      <c r="W99" s="32"/>
      <c r="X99" s="32"/>
      <c r="Y99" s="32"/>
      <c r="Z99" s="32"/>
      <c r="AA99" s="32"/>
      <c r="AB99" s="32"/>
      <c r="AC99" s="325">
        <f>'AVT139(vn-A)'!BI13</f>
        <v>0</v>
      </c>
      <c r="AD99" s="32"/>
      <c r="AE99" s="32"/>
      <c r="AF99" s="32"/>
      <c r="AG99" s="32"/>
      <c r="AH99" s="32"/>
      <c r="AI99" s="32"/>
      <c r="AJ99" s="32"/>
      <c r="AK99" s="32"/>
      <c r="AL99" s="32"/>
      <c r="AM99" s="32"/>
      <c r="AN99" s="32"/>
      <c r="AO99" s="32"/>
      <c r="AP99" s="32"/>
      <c r="AQ99" s="325">
        <f>'AVT-celny-139+187'!BI11</f>
        <v>0</v>
      </c>
      <c r="AR99" s="32"/>
      <c r="AS99" s="32"/>
      <c r="AT99" s="32"/>
      <c r="AU99" s="32"/>
      <c r="AV99" s="32"/>
      <c r="AW99" s="32"/>
      <c r="AX99" s="32"/>
      <c r="AY99" s="32"/>
      <c r="AZ99" s="32"/>
      <c r="BA99" s="32"/>
      <c r="BB99" s="32"/>
      <c r="BC99" s="32"/>
      <c r="BD99" s="32"/>
      <c r="BE99" s="32"/>
      <c r="BF99" s="32"/>
      <c r="BG99" s="32"/>
      <c r="BH99" s="32"/>
      <c r="BI99" s="32"/>
      <c r="BJ99" s="32"/>
      <c r="BK99" s="32"/>
      <c r="BL99" s="32"/>
      <c r="BM99" s="32"/>
      <c r="BN99" s="32"/>
      <c r="BO99" s="165"/>
      <c r="BP99" s="165"/>
      <c r="BQ99" s="165"/>
      <c r="BR99" s="165"/>
      <c r="BS99" s="165"/>
      <c r="BT99" s="165"/>
      <c r="BU99" s="165"/>
      <c r="BV99" s="55"/>
      <c r="BW99" s="160"/>
      <c r="BX99" s="32"/>
      <c r="BY99" s="24"/>
      <c r="BZ99" s="24"/>
      <c r="CA99" s="24"/>
      <c r="CB99" s="24"/>
      <c r="CC99" s="24"/>
      <c r="CD99" s="24"/>
      <c r="CE99" s="24"/>
    </row>
    <row r="100" spans="1:83" ht="15" customHeight="1">
      <c r="A100" s="4"/>
      <c r="B100" s="317">
        <f>IF($Q$8=$Q$7,CENY!B199,IF($Q$7=$Q$9,CENY!B217,CENY!B235))</f>
        <v>9255035</v>
      </c>
      <c r="C100" s="43" t="str">
        <f>VLOOKUP(B100,CENY!$B$11:$G$1054,2,FALSE)</f>
        <v>AvanY-bok pravý /v139/h450/ strieborná</v>
      </c>
      <c r="D100" s="353">
        <f>VLOOKUP(B100,CENY!$B$11:$G$1054,3,FALSE)</f>
        <v>20</v>
      </c>
      <c r="E100" s="56" t="str">
        <f>IF(VLOOKUP(B100,CENY!$B$11:$G$1054,4,FALSE)=0,"",VLOOKUP(B100,CENY!$B$11:$G$1054,4,FALSE))</f>
        <v/>
      </c>
      <c r="F100" s="40" t="str">
        <f t="shared" si="24"/>
        <v/>
      </c>
      <c r="G100" s="52">
        <f>VLOOKUP(B100,CENY!$B$11:$M$1054,12,FALSE)</f>
        <v>282.88328000000001</v>
      </c>
      <c r="H100" s="54" t="str">
        <f t="shared" si="25"/>
        <v xml:space="preserve"> CZK</v>
      </c>
      <c r="I100" s="41" t="str">
        <f t="shared" si="26"/>
        <v/>
      </c>
      <c r="J100" s="122"/>
      <c r="K100" s="42" t="str">
        <f>VLOOKUP(B100,CENY!$B$11:$M$1054,8,FALSE)</f>
        <v xml:space="preserve"> </v>
      </c>
      <c r="L100" s="42" t="str">
        <f>VLOOKUP(B100,CENY!$B$11:$M$1054,9,FALSE)</f>
        <v>396745</v>
      </c>
      <c r="M100" s="32"/>
      <c r="N100" s="35">
        <f t="shared" si="27"/>
        <v>0</v>
      </c>
      <c r="O100" s="36">
        <v>0</v>
      </c>
      <c r="P100" s="32"/>
      <c r="Q100" s="32"/>
      <c r="R100" s="32"/>
      <c r="S100" s="325">
        <f>'AVT139'!BI14</f>
        <v>0</v>
      </c>
      <c r="T100" s="32"/>
      <c r="U100" s="32"/>
      <c r="V100" s="32"/>
      <c r="W100" s="32"/>
      <c r="X100" s="32"/>
      <c r="Y100" s="32"/>
      <c r="Z100" s="32"/>
      <c r="AA100" s="32"/>
      <c r="AB100" s="32"/>
      <c r="AC100" s="325">
        <f>'AVT139(vn-A)'!BI14</f>
        <v>0</v>
      </c>
      <c r="AD100" s="32"/>
      <c r="AE100" s="32"/>
      <c r="AF100" s="32"/>
      <c r="AG100" s="32"/>
      <c r="AH100" s="32"/>
      <c r="AI100" s="32"/>
      <c r="AJ100" s="32"/>
      <c r="AK100" s="32"/>
      <c r="AL100" s="32"/>
      <c r="AM100" s="32"/>
      <c r="AN100" s="32"/>
      <c r="AO100" s="32"/>
      <c r="AP100" s="32"/>
      <c r="AQ100" s="325">
        <f>'AVT-celny-139+187'!BI12</f>
        <v>0</v>
      </c>
      <c r="AR100" s="32"/>
      <c r="AS100" s="32"/>
      <c r="AT100" s="32"/>
      <c r="AU100" s="32"/>
      <c r="AV100" s="32"/>
      <c r="AW100" s="32"/>
      <c r="AX100" s="32"/>
      <c r="AY100" s="32"/>
      <c r="AZ100" s="32"/>
      <c r="BA100" s="32"/>
      <c r="BB100" s="32"/>
      <c r="BC100" s="32"/>
      <c r="BD100" s="32"/>
      <c r="BE100" s="32"/>
      <c r="BF100" s="32"/>
      <c r="BG100" s="32"/>
      <c r="BH100" s="32"/>
      <c r="BI100" s="32"/>
      <c r="BJ100" s="32"/>
      <c r="BK100" s="32"/>
      <c r="BL100" s="32"/>
      <c r="BM100" s="32"/>
      <c r="BN100" s="32"/>
      <c r="BO100" s="165"/>
      <c r="BP100" s="165"/>
      <c r="BQ100" s="165"/>
      <c r="BR100" s="165"/>
      <c r="BS100" s="165"/>
      <c r="BT100" s="165"/>
      <c r="BU100" s="165"/>
      <c r="BV100" s="55"/>
      <c r="BW100" s="160"/>
      <c r="BX100" s="32"/>
      <c r="BY100" s="24"/>
      <c r="BZ100" s="24"/>
      <c r="CA100" s="24"/>
      <c r="CB100" s="24"/>
      <c r="CC100" s="24"/>
      <c r="CD100" s="24"/>
      <c r="CE100" s="24"/>
    </row>
    <row r="101" spans="1:83" ht="15" customHeight="1">
      <c r="A101" s="4"/>
      <c r="B101" s="317">
        <f>IF($Q$8=$Q$7,CENY!B200,IF($Q$7=$Q$9,CENY!B218,CENY!B236))</f>
        <v>9255036</v>
      </c>
      <c r="C101" s="43" t="str">
        <f>VLOOKUP(B101,CENY!$B$11:$G$1054,2,FALSE)</f>
        <v>AvanY-bok ľavý /v139/h500/ strieborná</v>
      </c>
      <c r="D101" s="353">
        <f>VLOOKUP(B101,CENY!$B$11:$G$1054,3,FALSE)</f>
        <v>20</v>
      </c>
      <c r="E101" s="56" t="str">
        <f>IF(VLOOKUP(B101,CENY!$B$11:$G$1054,4,FALSE)=0,"",VLOOKUP(B101,CENY!$B$11:$G$1054,4,FALSE))</f>
        <v/>
      </c>
      <c r="F101" s="40" t="str">
        <f t="shared" si="24"/>
        <v/>
      </c>
      <c r="G101" s="52">
        <f>VLOOKUP(B101,CENY!$B$11:$M$1054,12,FALSE)</f>
        <v>280.16149000000001</v>
      </c>
      <c r="H101" s="54" t="str">
        <f t="shared" si="25"/>
        <v xml:space="preserve"> CZK</v>
      </c>
      <c r="I101" s="41" t="str">
        <f t="shared" si="26"/>
        <v/>
      </c>
      <c r="J101" s="122"/>
      <c r="K101" s="42" t="str">
        <f>VLOOKUP(B101,CENY!$B$11:$M$1054,8,FALSE)</f>
        <v xml:space="preserve"> </v>
      </c>
      <c r="L101" s="42" t="str">
        <f>VLOOKUP(B101,CENY!$B$11:$M$1054,9,FALSE)</f>
        <v>396746</v>
      </c>
      <c r="M101" s="32"/>
      <c r="N101" s="35">
        <f t="shared" si="27"/>
        <v>0</v>
      </c>
      <c r="O101" s="36">
        <v>0</v>
      </c>
      <c r="P101" s="32"/>
      <c r="Q101" s="32"/>
      <c r="R101" s="32"/>
      <c r="S101" s="325">
        <f>'AVT139'!BI15</f>
        <v>0</v>
      </c>
      <c r="T101" s="32"/>
      <c r="U101" s="32"/>
      <c r="V101" s="32"/>
      <c r="W101" s="32"/>
      <c r="X101" s="32"/>
      <c r="Y101" s="32"/>
      <c r="Z101" s="32"/>
      <c r="AA101" s="32"/>
      <c r="AB101" s="32"/>
      <c r="AC101" s="325">
        <f>'AVT139(vn-A)'!BI15</f>
        <v>0</v>
      </c>
      <c r="AD101" s="32"/>
      <c r="AE101" s="32"/>
      <c r="AF101" s="32"/>
      <c r="AG101" s="32"/>
      <c r="AH101" s="32"/>
      <c r="AI101" s="32"/>
      <c r="AJ101" s="32"/>
      <c r="AK101" s="32"/>
      <c r="AL101" s="32"/>
      <c r="AM101" s="32"/>
      <c r="AN101" s="32"/>
      <c r="AO101" s="32"/>
      <c r="AP101" s="32"/>
      <c r="AQ101" s="325">
        <f>'AVT-celny-139+187'!BI13</f>
        <v>0</v>
      </c>
      <c r="AR101" s="32"/>
      <c r="AS101" s="32"/>
      <c r="AT101" s="32"/>
      <c r="AU101" s="32"/>
      <c r="AV101" s="32"/>
      <c r="AW101" s="32"/>
      <c r="AX101" s="32"/>
      <c r="AY101" s="32"/>
      <c r="AZ101" s="32"/>
      <c r="BA101" s="32"/>
      <c r="BB101" s="32"/>
      <c r="BC101" s="32"/>
      <c r="BD101" s="32"/>
      <c r="BE101" s="32"/>
      <c r="BF101" s="32"/>
      <c r="BG101" s="32"/>
      <c r="BH101" s="32"/>
      <c r="BI101" s="32"/>
      <c r="BJ101" s="32"/>
      <c r="BK101" s="32"/>
      <c r="BL101" s="32"/>
      <c r="BM101" s="32"/>
      <c r="BN101" s="32"/>
      <c r="BO101" s="165"/>
      <c r="BP101" s="165"/>
      <c r="BQ101" s="165"/>
      <c r="BR101" s="165"/>
      <c r="BS101" s="165"/>
      <c r="BT101" s="165"/>
      <c r="BU101" s="165"/>
      <c r="BV101" s="55"/>
      <c r="BW101" s="160"/>
      <c r="BX101" s="32"/>
      <c r="BY101" s="24"/>
      <c r="BZ101" s="24"/>
      <c r="CA101" s="24"/>
      <c r="CB101" s="24"/>
      <c r="CC101" s="24"/>
      <c r="CD101" s="24"/>
      <c r="CE101" s="24"/>
    </row>
    <row r="102" spans="1:83" ht="15" customHeight="1">
      <c r="A102" s="4"/>
      <c r="B102" s="317">
        <f>IF($Q$8=$Q$7,CENY!B201,IF($Q$7=$Q$9,CENY!B219,CENY!B237))</f>
        <v>9255037</v>
      </c>
      <c r="C102" s="43" t="str">
        <f>VLOOKUP(B102,CENY!$B$11:$G$1054,2,FALSE)</f>
        <v>AvanY-bok pravý /v139/h500/ strieborná</v>
      </c>
      <c r="D102" s="353">
        <f>VLOOKUP(B102,CENY!$B$11:$G$1054,3,FALSE)</f>
        <v>20</v>
      </c>
      <c r="E102" s="56" t="str">
        <f>IF(VLOOKUP(B102,CENY!$B$11:$G$1054,4,FALSE)=0,"",VLOOKUP(B102,CENY!$B$11:$G$1054,4,FALSE))</f>
        <v/>
      </c>
      <c r="F102" s="40" t="str">
        <f t="shared" si="24"/>
        <v/>
      </c>
      <c r="G102" s="52">
        <f>VLOOKUP(B102,CENY!$B$11:$M$1054,12,FALSE)</f>
        <v>280.16149000000001</v>
      </c>
      <c r="H102" s="54" t="str">
        <f t="shared" si="25"/>
        <v xml:space="preserve"> CZK</v>
      </c>
      <c r="I102" s="41" t="str">
        <f t="shared" si="26"/>
        <v/>
      </c>
      <c r="J102" s="122"/>
      <c r="K102" s="42" t="str">
        <f>VLOOKUP(B102,CENY!$B$11:$M$1054,8,FALSE)</f>
        <v xml:space="preserve"> </v>
      </c>
      <c r="L102" s="42" t="str">
        <f>VLOOKUP(B102,CENY!$B$11:$M$1054,9,FALSE)</f>
        <v>396747</v>
      </c>
      <c r="M102" s="32"/>
      <c r="N102" s="35">
        <f t="shared" si="27"/>
        <v>0</v>
      </c>
      <c r="O102" s="36">
        <v>0</v>
      </c>
      <c r="P102" s="32"/>
      <c r="Q102" s="32"/>
      <c r="R102" s="32"/>
      <c r="S102" s="325">
        <f>'AVT139'!BI16</f>
        <v>0</v>
      </c>
      <c r="T102" s="32"/>
      <c r="U102" s="32"/>
      <c r="V102" s="32"/>
      <c r="W102" s="32"/>
      <c r="X102" s="32"/>
      <c r="Y102" s="32"/>
      <c r="Z102" s="32"/>
      <c r="AA102" s="32"/>
      <c r="AB102" s="32"/>
      <c r="AC102" s="325">
        <f>'AVT139(vn-A)'!BI16</f>
        <v>0</v>
      </c>
      <c r="AD102" s="32"/>
      <c r="AE102" s="32"/>
      <c r="AF102" s="32"/>
      <c r="AG102" s="32"/>
      <c r="AH102" s="32"/>
      <c r="AI102" s="32"/>
      <c r="AJ102" s="32"/>
      <c r="AK102" s="32"/>
      <c r="AL102" s="32"/>
      <c r="AM102" s="32"/>
      <c r="AN102" s="32"/>
      <c r="AO102" s="32"/>
      <c r="AP102" s="32"/>
      <c r="AQ102" s="325">
        <f>'AVT-celny-139+187'!BI14</f>
        <v>0</v>
      </c>
      <c r="AR102" s="32"/>
      <c r="AS102" s="32"/>
      <c r="AT102" s="32"/>
      <c r="AU102" s="32"/>
      <c r="AV102" s="32"/>
      <c r="AW102" s="32"/>
      <c r="AX102" s="32"/>
      <c r="AY102" s="32"/>
      <c r="AZ102" s="32"/>
      <c r="BA102" s="32"/>
      <c r="BB102" s="32"/>
      <c r="BC102" s="32"/>
      <c r="BD102" s="32"/>
      <c r="BE102" s="32"/>
      <c r="BF102" s="32"/>
      <c r="BG102" s="32"/>
      <c r="BH102" s="32"/>
      <c r="BI102" s="32"/>
      <c r="BJ102" s="32"/>
      <c r="BK102" s="32"/>
      <c r="BL102" s="32"/>
      <c r="BM102" s="32"/>
      <c r="BN102" s="32"/>
      <c r="BO102" s="165"/>
      <c r="BP102" s="165"/>
      <c r="BQ102" s="165"/>
      <c r="BR102" s="165"/>
      <c r="BS102" s="165"/>
      <c r="BT102" s="165"/>
      <c r="BU102" s="165"/>
      <c r="BV102" s="55"/>
      <c r="BW102" s="160"/>
      <c r="BX102" s="32"/>
      <c r="BY102" s="24"/>
      <c r="BZ102" s="24"/>
      <c r="CA102" s="24"/>
      <c r="CB102" s="24"/>
      <c r="CC102" s="24"/>
      <c r="CD102" s="24"/>
      <c r="CE102" s="24"/>
    </row>
    <row r="103" spans="1:83" ht="15" customHeight="1">
      <c r="A103" s="4"/>
      <c r="B103" s="317">
        <f>IF($Q$8=$Q$7,CENY!B202,IF($Q$7=$Q$9,CENY!B220,CENY!B238))</f>
        <v>9255038</v>
      </c>
      <c r="C103" s="43" t="str">
        <f>VLOOKUP(B103,CENY!$B$11:$G$1054,2,FALSE)</f>
        <v>AvanY-bok ľavý /v139/h550/ strieborná</v>
      </c>
      <c r="D103" s="353">
        <f>VLOOKUP(B103,CENY!$B$11:$G$1054,3,FALSE)</f>
        <v>20</v>
      </c>
      <c r="E103" s="56" t="str">
        <f>IF(VLOOKUP(B103,CENY!$B$11:$G$1054,4,FALSE)=0,"",VLOOKUP(B103,CENY!$B$11:$G$1054,4,FALSE))</f>
        <v/>
      </c>
      <c r="F103" s="40" t="str">
        <f t="shared" si="24"/>
        <v/>
      </c>
      <c r="G103" s="52">
        <f>VLOOKUP(B103,CENY!$B$11:$M$1054,12,FALSE)</f>
        <v>292.74898000000002</v>
      </c>
      <c r="H103" s="54" t="str">
        <f t="shared" si="25"/>
        <v xml:space="preserve"> CZK</v>
      </c>
      <c r="I103" s="41" t="str">
        <f t="shared" si="26"/>
        <v/>
      </c>
      <c r="J103" s="122"/>
      <c r="K103" s="42" t="str">
        <f>VLOOKUP(B103,CENY!$B$11:$M$1054,8,FALSE)</f>
        <v xml:space="preserve"> </v>
      </c>
      <c r="L103" s="42" t="str">
        <f>VLOOKUP(B103,CENY!$B$11:$M$1054,9,FALSE)</f>
        <v>396748</v>
      </c>
      <c r="M103" s="32"/>
      <c r="N103" s="35">
        <f t="shared" si="27"/>
        <v>0</v>
      </c>
      <c r="O103" s="36">
        <v>0</v>
      </c>
      <c r="P103" s="32"/>
      <c r="Q103" s="32"/>
      <c r="R103" s="32"/>
      <c r="S103" s="325">
        <f>'AVT139'!BI17</f>
        <v>0</v>
      </c>
      <c r="T103" s="32"/>
      <c r="U103" s="32"/>
      <c r="V103" s="32"/>
      <c r="W103" s="32"/>
      <c r="X103" s="32"/>
      <c r="Y103" s="32"/>
      <c r="Z103" s="32"/>
      <c r="AA103" s="32"/>
      <c r="AB103" s="32"/>
      <c r="AC103" s="325">
        <f>'AVT139(vn-A)'!BI17</f>
        <v>0</v>
      </c>
      <c r="AD103" s="32"/>
      <c r="AE103" s="32"/>
      <c r="AF103" s="32"/>
      <c r="AG103" s="32"/>
      <c r="AH103" s="32"/>
      <c r="AI103" s="32"/>
      <c r="AJ103" s="32"/>
      <c r="AK103" s="32"/>
      <c r="AL103" s="32"/>
      <c r="AM103" s="32"/>
      <c r="AN103" s="32"/>
      <c r="AO103" s="32"/>
      <c r="AP103" s="32"/>
      <c r="AQ103" s="325">
        <f>'AVT-celny-139+187'!BI15</f>
        <v>0</v>
      </c>
      <c r="AR103" s="32"/>
      <c r="AS103" s="32"/>
      <c r="AT103" s="32"/>
      <c r="AU103" s="32"/>
      <c r="AV103" s="32"/>
      <c r="AW103" s="32"/>
      <c r="AX103" s="32"/>
      <c r="AY103" s="32"/>
      <c r="AZ103" s="32"/>
      <c r="BA103" s="32"/>
      <c r="BB103" s="32"/>
      <c r="BC103" s="32"/>
      <c r="BD103" s="32"/>
      <c r="BE103" s="32"/>
      <c r="BF103" s="32"/>
      <c r="BG103" s="32"/>
      <c r="BH103" s="32"/>
      <c r="BI103" s="32"/>
      <c r="BJ103" s="32"/>
      <c r="BK103" s="32"/>
      <c r="BL103" s="32"/>
      <c r="BM103" s="32"/>
      <c r="BN103" s="32"/>
      <c r="BO103" s="165"/>
      <c r="BP103" s="165"/>
      <c r="BQ103" s="165"/>
      <c r="BR103" s="165"/>
      <c r="BS103" s="165"/>
      <c r="BT103" s="165"/>
      <c r="BU103" s="165"/>
      <c r="BV103" s="55"/>
      <c r="BW103" s="160"/>
      <c r="BX103" s="32"/>
      <c r="BY103" s="24"/>
      <c r="BZ103" s="24"/>
      <c r="CA103" s="24"/>
      <c r="CB103" s="24"/>
      <c r="CC103" s="24"/>
      <c r="CD103" s="24"/>
      <c r="CE103" s="24"/>
    </row>
    <row r="104" spans="1:83" ht="15" customHeight="1">
      <c r="A104" s="4"/>
      <c r="B104" s="317">
        <f>IF($Q$8=$Q$7,CENY!B203,IF($Q$7=$Q$9,CENY!B221,CENY!B239))</f>
        <v>9255039</v>
      </c>
      <c r="C104" s="43" t="str">
        <f>VLOOKUP(B104,CENY!$B$11:$G$1054,2,FALSE)</f>
        <v>AvanY-bok pravý /v139/h550/ strieborná</v>
      </c>
      <c r="D104" s="353">
        <f>VLOOKUP(B104,CENY!$B$11:$G$1054,3,FALSE)</f>
        <v>20</v>
      </c>
      <c r="E104" s="56" t="str">
        <f>IF(VLOOKUP(B104,CENY!$B$11:$G$1054,4,FALSE)=0,"",VLOOKUP(B104,CENY!$B$11:$G$1054,4,FALSE))</f>
        <v/>
      </c>
      <c r="F104" s="40" t="str">
        <f t="shared" si="24"/>
        <v/>
      </c>
      <c r="G104" s="52">
        <f>VLOOKUP(B104,CENY!$B$11:$M$1054,12,FALSE)</f>
        <v>292.74898000000002</v>
      </c>
      <c r="H104" s="54" t="str">
        <f t="shared" si="25"/>
        <v xml:space="preserve"> CZK</v>
      </c>
      <c r="I104" s="41" t="str">
        <f t="shared" si="26"/>
        <v/>
      </c>
      <c r="J104" s="122"/>
      <c r="K104" s="42" t="str">
        <f>VLOOKUP(B104,CENY!$B$11:$M$1054,8,FALSE)</f>
        <v xml:space="preserve"> </v>
      </c>
      <c r="L104" s="42" t="str">
        <f>VLOOKUP(B104,CENY!$B$11:$M$1054,9,FALSE)</f>
        <v>396749</v>
      </c>
      <c r="M104" s="32"/>
      <c r="N104" s="35">
        <f t="shared" si="27"/>
        <v>0</v>
      </c>
      <c r="O104" s="36">
        <v>0</v>
      </c>
      <c r="P104" s="32"/>
      <c r="Q104" s="32"/>
      <c r="R104" s="32"/>
      <c r="S104" s="325">
        <f>'AVT139'!BI18</f>
        <v>0</v>
      </c>
      <c r="T104" s="32"/>
      <c r="U104" s="32"/>
      <c r="V104" s="32"/>
      <c r="W104" s="32"/>
      <c r="X104" s="32"/>
      <c r="Y104" s="32"/>
      <c r="Z104" s="32"/>
      <c r="AA104" s="32"/>
      <c r="AB104" s="32"/>
      <c r="AC104" s="325">
        <f>'AVT139(vn-A)'!BI18</f>
        <v>0</v>
      </c>
      <c r="AD104" s="32"/>
      <c r="AE104" s="32"/>
      <c r="AF104" s="32"/>
      <c r="AG104" s="32"/>
      <c r="AH104" s="32"/>
      <c r="AI104" s="32"/>
      <c r="AJ104" s="32"/>
      <c r="AK104" s="32"/>
      <c r="AL104" s="32"/>
      <c r="AM104" s="32"/>
      <c r="AN104" s="32"/>
      <c r="AO104" s="32"/>
      <c r="AP104" s="32"/>
      <c r="AQ104" s="325">
        <f>'AVT-celny-139+187'!BI16</f>
        <v>0</v>
      </c>
      <c r="AR104" s="32"/>
      <c r="AS104" s="32"/>
      <c r="AT104" s="32"/>
      <c r="AU104" s="32"/>
      <c r="AV104" s="32"/>
      <c r="AW104" s="32"/>
      <c r="AX104" s="32"/>
      <c r="AY104" s="32"/>
      <c r="AZ104" s="32"/>
      <c r="BA104" s="32"/>
      <c r="BB104" s="32"/>
      <c r="BC104" s="32"/>
      <c r="BD104" s="32"/>
      <c r="BE104" s="32"/>
      <c r="BF104" s="32"/>
      <c r="BG104" s="32"/>
      <c r="BH104" s="32"/>
      <c r="BI104" s="32"/>
      <c r="BJ104" s="32"/>
      <c r="BK104" s="32"/>
      <c r="BL104" s="32"/>
      <c r="BM104" s="32"/>
      <c r="BN104" s="32"/>
      <c r="BO104" s="165"/>
      <c r="BP104" s="165"/>
      <c r="BQ104" s="165"/>
      <c r="BR104" s="165"/>
      <c r="BS104" s="165"/>
      <c r="BT104" s="165"/>
      <c r="BU104" s="165"/>
      <c r="BV104" s="55"/>
      <c r="BW104" s="160"/>
      <c r="BX104" s="32"/>
      <c r="BY104" s="24"/>
      <c r="BZ104" s="24"/>
      <c r="CA104" s="24"/>
      <c r="CB104" s="24"/>
      <c r="CC104" s="24"/>
      <c r="CD104" s="24"/>
      <c r="CE104" s="24"/>
    </row>
    <row r="105" spans="1:83" ht="15" customHeight="1">
      <c r="A105" s="4"/>
      <c r="B105" s="317">
        <f>IF($Q$8=$Q$7,CENY!B204,IF($Q$7=$Q$9,CENY!B222,CENY!B240))</f>
        <v>9255040</v>
      </c>
      <c r="C105" s="43" t="str">
        <f>VLOOKUP(B105,CENY!$B$11:$G$1054,2,FALSE)</f>
        <v>AvanY-bok ľavý /v139/h600/ strieborná</v>
      </c>
      <c r="D105" s="353">
        <f>VLOOKUP(B105,CENY!$B$11:$G$1054,3,FALSE)</f>
        <v>20</v>
      </c>
      <c r="E105" s="56" t="str">
        <f>IF(VLOOKUP(B105,CENY!$B$11:$G$1054,4,FALSE)=0,"",VLOOKUP(B105,CENY!$B$11:$G$1054,4,FALSE))</f>
        <v/>
      </c>
      <c r="F105" s="40" t="str">
        <f t="shared" si="24"/>
        <v/>
      </c>
      <c r="G105" s="52">
        <f>VLOOKUP(B105,CENY!$B$11:$M$1054,12,FALSE)</f>
        <v>300.18995999999999</v>
      </c>
      <c r="H105" s="54" t="str">
        <f t="shared" si="25"/>
        <v xml:space="preserve"> CZK</v>
      </c>
      <c r="I105" s="41" t="str">
        <f t="shared" si="26"/>
        <v/>
      </c>
      <c r="J105" s="122"/>
      <c r="K105" s="42" t="str">
        <f>VLOOKUP(B105,CENY!$B$11:$M$1054,8,FALSE)</f>
        <v xml:space="preserve"> </v>
      </c>
      <c r="L105" s="42" t="str">
        <f>VLOOKUP(B105,CENY!$B$11:$M$1054,9,FALSE)</f>
        <v>396750</v>
      </c>
      <c r="M105" s="32"/>
      <c r="N105" s="35">
        <f t="shared" si="27"/>
        <v>0</v>
      </c>
      <c r="O105" s="36">
        <v>0</v>
      </c>
      <c r="P105" s="32"/>
      <c r="Q105" s="32"/>
      <c r="R105" s="32"/>
      <c r="S105" s="325">
        <f>'AVT139'!BI19</f>
        <v>0</v>
      </c>
      <c r="T105" s="32"/>
      <c r="U105" s="32"/>
      <c r="V105" s="32"/>
      <c r="W105" s="32"/>
      <c r="X105" s="32"/>
      <c r="Y105" s="32"/>
      <c r="Z105" s="32"/>
      <c r="AA105" s="32"/>
      <c r="AB105" s="32"/>
      <c r="AC105" s="325">
        <f>'AVT139(vn-A)'!BI19</f>
        <v>0</v>
      </c>
      <c r="AD105" s="32"/>
      <c r="AE105" s="32"/>
      <c r="AF105" s="32"/>
      <c r="AG105" s="32"/>
      <c r="AH105" s="32"/>
      <c r="AI105" s="32"/>
      <c r="AJ105" s="32"/>
      <c r="AK105" s="32"/>
      <c r="AL105" s="32"/>
      <c r="AM105" s="32"/>
      <c r="AN105" s="32"/>
      <c r="AO105" s="32"/>
      <c r="AP105" s="32"/>
      <c r="AQ105" s="325">
        <f>'AVT-celny-139+187'!BI17</f>
        <v>0</v>
      </c>
      <c r="AR105" s="32"/>
      <c r="AS105" s="32"/>
      <c r="AT105" s="32"/>
      <c r="AU105" s="32"/>
      <c r="AV105" s="32"/>
      <c r="AW105" s="32"/>
      <c r="AX105" s="32"/>
      <c r="AY105" s="32"/>
      <c r="AZ105" s="32"/>
      <c r="BA105" s="32"/>
      <c r="BB105" s="32"/>
      <c r="BC105" s="32"/>
      <c r="BD105" s="32"/>
      <c r="BE105" s="32"/>
      <c r="BF105" s="32"/>
      <c r="BG105" s="32"/>
      <c r="BH105" s="32"/>
      <c r="BI105" s="32"/>
      <c r="BJ105" s="32"/>
      <c r="BK105" s="32"/>
      <c r="BL105" s="32"/>
      <c r="BM105" s="32"/>
      <c r="BN105" s="32"/>
      <c r="BO105" s="165"/>
      <c r="BP105" s="165"/>
      <c r="BQ105" s="165"/>
      <c r="BR105" s="165"/>
      <c r="BS105" s="165"/>
      <c r="BT105" s="165"/>
      <c r="BU105" s="165"/>
      <c r="BV105" s="55"/>
      <c r="BW105" s="160"/>
      <c r="BX105" s="32"/>
      <c r="BY105" s="24"/>
      <c r="BZ105" s="24"/>
      <c r="CA105" s="24"/>
      <c r="CB105" s="24"/>
      <c r="CC105" s="24"/>
      <c r="CD105" s="24"/>
      <c r="CE105" s="24"/>
    </row>
    <row r="106" spans="1:83" ht="15" customHeight="1">
      <c r="A106" s="4"/>
      <c r="B106" s="317">
        <f>IF($Q$8=$Q$7,CENY!B205,IF($Q$7=$Q$9,CENY!B223,CENY!B241))</f>
        <v>9255041</v>
      </c>
      <c r="C106" s="43" t="str">
        <f>VLOOKUP(B106,CENY!$B$11:$G$1054,2,FALSE)</f>
        <v>AvanY-bok pravý /v139/h600/ strieborná</v>
      </c>
      <c r="D106" s="353">
        <f>VLOOKUP(B106,CENY!$B$11:$G$1054,3,FALSE)</f>
        <v>20</v>
      </c>
      <c r="E106" s="56" t="str">
        <f>IF(VLOOKUP(B106,CENY!$B$11:$G$1054,4,FALSE)=0,"",VLOOKUP(B106,CENY!$B$11:$G$1054,4,FALSE))</f>
        <v/>
      </c>
      <c r="F106" s="40" t="str">
        <f t="shared" si="24"/>
        <v/>
      </c>
      <c r="G106" s="52">
        <f>VLOOKUP(B106,CENY!$B$11:$M$1054,12,FALSE)</f>
        <v>300.18995999999999</v>
      </c>
      <c r="H106" s="54" t="str">
        <f t="shared" si="25"/>
        <v xml:space="preserve"> CZK</v>
      </c>
      <c r="I106" s="41" t="str">
        <f t="shared" si="26"/>
        <v/>
      </c>
      <c r="J106" s="122"/>
      <c r="K106" s="42" t="str">
        <f>VLOOKUP(B106,CENY!$B$11:$M$1054,8,FALSE)</f>
        <v xml:space="preserve"> </v>
      </c>
      <c r="L106" s="42" t="str">
        <f>VLOOKUP(B106,CENY!$B$11:$M$1054,9,FALSE)</f>
        <v>396751</v>
      </c>
      <c r="M106" s="32"/>
      <c r="N106" s="35">
        <f t="shared" si="27"/>
        <v>0</v>
      </c>
      <c r="O106" s="36">
        <v>0</v>
      </c>
      <c r="P106" s="32"/>
      <c r="Q106" s="32"/>
      <c r="R106" s="32"/>
      <c r="S106" s="325">
        <f>'AVT139'!BI20</f>
        <v>0</v>
      </c>
      <c r="T106" s="32"/>
      <c r="U106" s="32"/>
      <c r="V106" s="32"/>
      <c r="W106" s="32"/>
      <c r="X106" s="32"/>
      <c r="Y106" s="32"/>
      <c r="Z106" s="32"/>
      <c r="AA106" s="32"/>
      <c r="AB106" s="32"/>
      <c r="AC106" s="325">
        <f>'AVT139(vn-A)'!BI20</f>
        <v>0</v>
      </c>
      <c r="AD106" s="32"/>
      <c r="AE106" s="32"/>
      <c r="AF106" s="32"/>
      <c r="AG106" s="32"/>
      <c r="AH106" s="32"/>
      <c r="AI106" s="32"/>
      <c r="AJ106" s="32"/>
      <c r="AK106" s="32"/>
      <c r="AL106" s="32"/>
      <c r="AM106" s="32"/>
      <c r="AN106" s="32"/>
      <c r="AO106" s="32"/>
      <c r="AP106" s="32"/>
      <c r="AQ106" s="325">
        <f>'AVT-celny-139+187'!BI18</f>
        <v>0</v>
      </c>
      <c r="AR106" s="32"/>
      <c r="AS106" s="32"/>
      <c r="AT106" s="32"/>
      <c r="AU106" s="32"/>
      <c r="AV106" s="32"/>
      <c r="AW106" s="32"/>
      <c r="AX106" s="32"/>
      <c r="AY106" s="32"/>
      <c r="AZ106" s="32"/>
      <c r="BA106" s="32"/>
      <c r="BB106" s="32"/>
      <c r="BC106" s="32"/>
      <c r="BD106" s="32"/>
      <c r="BE106" s="32"/>
      <c r="BF106" s="32"/>
      <c r="BG106" s="32"/>
      <c r="BH106" s="32"/>
      <c r="BI106" s="32"/>
      <c r="BJ106" s="32"/>
      <c r="BK106" s="32"/>
      <c r="BL106" s="32"/>
      <c r="BM106" s="32"/>
      <c r="BN106" s="32"/>
      <c r="BO106" s="165"/>
      <c r="BP106" s="165"/>
      <c r="BQ106" s="165"/>
      <c r="BR106" s="165"/>
      <c r="BS106" s="165"/>
      <c r="BT106" s="165"/>
      <c r="BU106" s="165"/>
      <c r="BV106" s="55"/>
      <c r="BW106" s="160"/>
      <c r="BX106" s="32"/>
      <c r="BY106" s="24"/>
      <c r="BZ106" s="24"/>
      <c r="CA106" s="24"/>
      <c r="CB106" s="24"/>
      <c r="CC106" s="24"/>
      <c r="CD106" s="24"/>
      <c r="CE106" s="24"/>
    </row>
    <row r="107" spans="1:83" ht="15" customHeight="1">
      <c r="A107" s="4"/>
      <c r="B107" s="317">
        <f>IF($Q$8=$Q$7,CENY!B206,IF($Q$7=$Q$9,CENY!B224,CENY!B242))</f>
        <v>9255042</v>
      </c>
      <c r="C107" s="43" t="str">
        <f>VLOOKUP(B107,CENY!$B$11:$G$1054,2,FALSE)</f>
        <v>AvanY-bok ľavý /v139/h650/ strieborná</v>
      </c>
      <c r="D107" s="353">
        <f>VLOOKUP(B107,CENY!$B$11:$G$1054,3,FALSE)</f>
        <v>20</v>
      </c>
      <c r="E107" s="56" t="str">
        <f>IF(VLOOKUP(B107,CENY!$B$11:$G$1054,4,FALSE)=0,"",VLOOKUP(B107,CENY!$B$11:$G$1054,4,FALSE))</f>
        <v/>
      </c>
      <c r="F107" s="40" t="str">
        <f t="shared" si="24"/>
        <v/>
      </c>
      <c r="G107" s="52">
        <f>VLOOKUP(B107,CENY!$B$11:$M$1054,12,FALSE)</f>
        <v>308.13261999999997</v>
      </c>
      <c r="H107" s="54" t="str">
        <f t="shared" ref="H107:H108" si="28">IF(G107="","",$H$22)</f>
        <v xml:space="preserve"> CZK</v>
      </c>
      <c r="I107" s="41" t="str">
        <f t="shared" ref="I107:I108" si="29">IF(F107="","",G107*F107)</f>
        <v/>
      </c>
      <c r="J107" s="122"/>
      <c r="K107" s="42" t="str">
        <f>VLOOKUP(B107,CENY!$B$11:$M$1054,8,FALSE)</f>
        <v xml:space="preserve"> </v>
      </c>
      <c r="L107" s="42" t="str">
        <f>VLOOKUP(B107,CENY!$B$11:$M$1054,9,FALSE)</f>
        <v>470810</v>
      </c>
      <c r="M107" s="32"/>
      <c r="N107" s="35">
        <f t="shared" ref="N107:N108" si="30">SUM(P107:BW107)</f>
        <v>0</v>
      </c>
      <c r="O107" s="36">
        <v>0</v>
      </c>
      <c r="P107" s="32"/>
      <c r="Q107" s="32"/>
      <c r="R107" s="32"/>
      <c r="S107" s="325">
        <f>'AVT139'!BI21</f>
        <v>0</v>
      </c>
      <c r="T107" s="32"/>
      <c r="U107" s="32"/>
      <c r="V107" s="32"/>
      <c r="W107" s="32"/>
      <c r="X107" s="32"/>
      <c r="Y107" s="32"/>
      <c r="Z107" s="32"/>
      <c r="AA107" s="32"/>
      <c r="AB107" s="32"/>
      <c r="AC107" s="325">
        <f>'AVT139(vn-A)'!BI21</f>
        <v>0</v>
      </c>
      <c r="AD107" s="32"/>
      <c r="AE107" s="32"/>
      <c r="AF107" s="32"/>
      <c r="AG107" s="32"/>
      <c r="AH107" s="32"/>
      <c r="AI107" s="32"/>
      <c r="AJ107" s="32"/>
      <c r="AK107" s="32"/>
      <c r="AL107" s="32"/>
      <c r="AM107" s="32"/>
      <c r="AN107" s="32"/>
      <c r="AO107" s="32"/>
      <c r="AP107" s="32"/>
      <c r="AQ107" s="460"/>
      <c r="AR107" s="32"/>
      <c r="AS107" s="32"/>
      <c r="AT107" s="32"/>
      <c r="AU107" s="32"/>
      <c r="AV107" s="32"/>
      <c r="AW107" s="32"/>
      <c r="AX107" s="32"/>
      <c r="AY107" s="32"/>
      <c r="AZ107" s="32"/>
      <c r="BA107" s="32"/>
      <c r="BB107" s="32"/>
      <c r="BC107" s="32"/>
      <c r="BD107" s="32"/>
      <c r="BE107" s="32"/>
      <c r="BF107" s="32"/>
      <c r="BG107" s="32"/>
      <c r="BH107" s="32"/>
      <c r="BI107" s="32"/>
      <c r="BJ107" s="32"/>
      <c r="BK107" s="32"/>
      <c r="BL107" s="32"/>
      <c r="BM107" s="32"/>
      <c r="BN107" s="32"/>
      <c r="BO107" s="165"/>
      <c r="BP107" s="165"/>
      <c r="BQ107" s="165"/>
      <c r="BR107" s="165"/>
      <c r="BS107" s="165"/>
      <c r="BT107" s="165"/>
      <c r="BU107" s="165"/>
      <c r="BV107" s="55"/>
      <c r="BW107" s="160"/>
      <c r="BX107" s="32"/>
      <c r="BY107" s="24"/>
      <c r="BZ107" s="24"/>
      <c r="CA107" s="24"/>
      <c r="CB107" s="24"/>
      <c r="CC107" s="24"/>
      <c r="CD107" s="24"/>
      <c r="CE107" s="24"/>
    </row>
    <row r="108" spans="1:83" ht="15" customHeight="1">
      <c r="A108" s="4"/>
      <c r="B108" s="317">
        <f>IF($Q$8=$Q$7,CENY!B207,IF($Q$7=$Q$9,CENY!B225,CENY!B243))</f>
        <v>9255043</v>
      </c>
      <c r="C108" s="43" t="str">
        <f>VLOOKUP(B108,CENY!$B$11:$G$1054,2,FALSE)</f>
        <v>AvanY-bok pravý /v139/h650/ strieborná</v>
      </c>
      <c r="D108" s="353">
        <f>VLOOKUP(B108,CENY!$B$11:$G$1054,3,FALSE)</f>
        <v>20</v>
      </c>
      <c r="E108" s="56" t="str">
        <f>IF(VLOOKUP(B108,CENY!$B$11:$G$1054,4,FALSE)=0,"",VLOOKUP(B108,CENY!$B$11:$G$1054,4,FALSE))</f>
        <v/>
      </c>
      <c r="F108" s="40" t="str">
        <f t="shared" si="24"/>
        <v/>
      </c>
      <c r="G108" s="52">
        <f>VLOOKUP(B108,CENY!$B$11:$M$1054,12,FALSE)</f>
        <v>308.13261999999997</v>
      </c>
      <c r="H108" s="54" t="str">
        <f t="shared" si="28"/>
        <v xml:space="preserve"> CZK</v>
      </c>
      <c r="I108" s="41" t="str">
        <f t="shared" si="29"/>
        <v/>
      </c>
      <c r="J108" s="122"/>
      <c r="K108" s="42" t="str">
        <f>VLOOKUP(B108,CENY!$B$11:$M$1054,8,FALSE)</f>
        <v xml:space="preserve"> </v>
      </c>
      <c r="L108" s="42" t="str">
        <f>VLOOKUP(B108,CENY!$B$11:$M$1054,9,FALSE)</f>
        <v>470811</v>
      </c>
      <c r="M108" s="32"/>
      <c r="N108" s="35">
        <f t="shared" si="30"/>
        <v>0</v>
      </c>
      <c r="O108" s="36">
        <v>0</v>
      </c>
      <c r="P108" s="32"/>
      <c r="Q108" s="32"/>
      <c r="R108" s="32"/>
      <c r="S108" s="325">
        <f>'AVT139'!BI22</f>
        <v>0</v>
      </c>
      <c r="T108" s="32"/>
      <c r="U108" s="32"/>
      <c r="V108" s="32"/>
      <c r="W108" s="32"/>
      <c r="X108" s="32"/>
      <c r="Y108" s="32"/>
      <c r="Z108" s="32"/>
      <c r="AA108" s="32"/>
      <c r="AB108" s="32"/>
      <c r="AC108" s="325">
        <f>'AVT139(vn-A)'!BI22</f>
        <v>0</v>
      </c>
      <c r="AD108" s="32"/>
      <c r="AE108" s="32"/>
      <c r="AF108" s="32"/>
      <c r="AG108" s="32"/>
      <c r="AH108" s="32"/>
      <c r="AI108" s="32"/>
      <c r="AJ108" s="32"/>
      <c r="AK108" s="32"/>
      <c r="AL108" s="32"/>
      <c r="AM108" s="32"/>
      <c r="AN108" s="32"/>
      <c r="AO108" s="32"/>
      <c r="AP108" s="32"/>
      <c r="AQ108" s="460"/>
      <c r="AR108" s="32"/>
      <c r="AS108" s="32"/>
      <c r="AT108" s="32"/>
      <c r="AU108" s="32"/>
      <c r="AV108" s="32"/>
      <c r="AW108" s="32"/>
      <c r="AX108" s="32"/>
      <c r="AY108" s="32"/>
      <c r="AZ108" s="32"/>
      <c r="BA108" s="32"/>
      <c r="BB108" s="32"/>
      <c r="BC108" s="32"/>
      <c r="BD108" s="32"/>
      <c r="BE108" s="32"/>
      <c r="BF108" s="32"/>
      <c r="BG108" s="32"/>
      <c r="BH108" s="32"/>
      <c r="BI108" s="32"/>
      <c r="BJ108" s="32"/>
      <c r="BK108" s="32"/>
      <c r="BL108" s="32"/>
      <c r="BM108" s="32"/>
      <c r="BN108" s="32"/>
      <c r="BO108" s="165"/>
      <c r="BP108" s="165"/>
      <c r="BQ108" s="165"/>
      <c r="BR108" s="165"/>
      <c r="BS108" s="165"/>
      <c r="BT108" s="165"/>
      <c r="BU108" s="165"/>
      <c r="BV108" s="55"/>
      <c r="BW108" s="160"/>
      <c r="BX108" s="32"/>
      <c r="BY108" s="24"/>
      <c r="BZ108" s="24"/>
      <c r="CA108" s="24"/>
      <c r="CB108" s="24"/>
      <c r="CC108" s="24"/>
      <c r="CD108" s="24"/>
      <c r="CE108" s="24"/>
    </row>
    <row r="109" spans="1:83" ht="15" customHeight="1">
      <c r="A109" s="4"/>
      <c r="B109" s="317">
        <f>CENY!B244</f>
        <v>9257884</v>
      </c>
      <c r="C109" s="43" t="str">
        <f>VLOOKUP(B109,CENY!$B$11:$G$1054,2,FALSE)</f>
        <v>AvanY-príchytka čela k naskrutk./ v139</v>
      </c>
      <c r="D109" s="353">
        <f>VLOOKUP(B109,CENY!$B$11:$G$1054,3,FALSE)</f>
        <v>200</v>
      </c>
      <c r="E109" s="56" t="str">
        <f>IF(VLOOKUP(B109,CENY!$B$11:$G$1054,4,FALSE)=0,"",VLOOKUP(B109,CENY!$B$11:$G$1054,4,FALSE))</f>
        <v/>
      </c>
      <c r="F109" s="40" t="str">
        <f t="shared" si="24"/>
        <v/>
      </c>
      <c r="G109" s="52">
        <f>VLOOKUP(B109,CENY!$B$11:$M$1054,12,FALSE)</f>
        <v>32.920310000000001</v>
      </c>
      <c r="H109" s="54" t="str">
        <f>IF(G109="","",$H$22)</f>
        <v xml:space="preserve"> CZK</v>
      </c>
      <c r="I109" s="41" t="str">
        <f>IF(F109="","",G109*F109)</f>
        <v/>
      </c>
      <c r="J109" s="122"/>
      <c r="K109" s="42" t="str">
        <f>VLOOKUP(B109,CENY!$B$11:$M$1054,8,FALSE)</f>
        <v xml:space="preserve"> </v>
      </c>
      <c r="L109" s="42" t="str">
        <f>VLOOKUP(B109,CENY!$B$11:$M$1054,9,FALSE)</f>
        <v>396780</v>
      </c>
      <c r="M109" s="32"/>
      <c r="N109" s="35">
        <f t="shared" si="27"/>
        <v>0</v>
      </c>
      <c r="O109" s="36">
        <v>0</v>
      </c>
      <c r="P109" s="32"/>
      <c r="Q109" s="32"/>
      <c r="R109" s="32"/>
      <c r="S109" s="32"/>
      <c r="T109" s="32"/>
      <c r="U109" s="32"/>
      <c r="V109" s="32"/>
      <c r="W109" s="32"/>
      <c r="X109" s="32"/>
      <c r="Y109" s="32"/>
      <c r="Z109" s="32"/>
      <c r="AA109" s="32"/>
      <c r="AB109" s="32"/>
      <c r="AC109" s="325">
        <f>'AVT139(vn-A)'!BI24</f>
        <v>0</v>
      </c>
      <c r="AD109" s="32"/>
      <c r="AE109" s="32"/>
      <c r="AF109" s="32"/>
      <c r="AG109" s="32"/>
      <c r="AH109" s="32"/>
      <c r="AI109" s="32"/>
      <c r="AJ109" s="32"/>
      <c r="AK109" s="32"/>
      <c r="AL109" s="32"/>
      <c r="AM109" s="32"/>
      <c r="AN109" s="32"/>
      <c r="AO109" s="32"/>
      <c r="AP109" s="32"/>
      <c r="AQ109" s="32"/>
      <c r="AR109" s="32"/>
      <c r="AS109" s="32"/>
      <c r="AT109" s="32"/>
      <c r="AU109" s="32"/>
      <c r="AV109" s="32"/>
      <c r="AW109" s="32"/>
      <c r="AX109" s="32"/>
      <c r="AY109" s="32"/>
      <c r="AZ109" s="32"/>
      <c r="BA109" s="32"/>
      <c r="BB109" s="32"/>
      <c r="BC109" s="32"/>
      <c r="BD109" s="32"/>
      <c r="BE109" s="32"/>
      <c r="BF109" s="32"/>
      <c r="BG109" s="32"/>
      <c r="BH109" s="32"/>
      <c r="BI109" s="32"/>
      <c r="BJ109" s="32"/>
      <c r="BK109" s="32"/>
      <c r="BL109" s="32"/>
      <c r="BM109" s="32"/>
      <c r="BN109" s="32"/>
      <c r="BO109" s="165"/>
      <c r="BP109" s="165"/>
      <c r="BQ109" s="165"/>
      <c r="BR109" s="165"/>
      <c r="BS109" s="165"/>
      <c r="BT109" s="165"/>
      <c r="BU109" s="165"/>
      <c r="BV109" s="55"/>
      <c r="BW109" s="160"/>
      <c r="BX109" s="32"/>
      <c r="BY109" s="24"/>
      <c r="BZ109" s="24"/>
      <c r="CA109" s="24"/>
      <c r="CB109" s="24"/>
      <c r="CC109" s="24"/>
      <c r="CD109" s="24"/>
      <c r="CE109" s="24"/>
    </row>
    <row r="110" spans="1:83" ht="15" customHeight="1">
      <c r="A110" s="4"/>
      <c r="B110" s="317">
        <f>IF($T$7=$T$8,CENY!B244,CENY!B245)</f>
        <v>9257884</v>
      </c>
      <c r="C110" s="43" t="str">
        <f>VLOOKUP(B110,CENY!$B$11:$G$1054,2,FALSE)</f>
        <v>AvanY-príchytka čela k naskrutk./ v139</v>
      </c>
      <c r="D110" s="353">
        <f>VLOOKUP(B110,CENY!$B$11:$G$1054,3,FALSE)</f>
        <v>200</v>
      </c>
      <c r="E110" s="56" t="str">
        <f>IF(VLOOKUP(B110,CENY!$B$11:$G$1054,4,FALSE)=0,"",VLOOKUP(B110,CENY!$B$11:$G$1054,4,FALSE))</f>
        <v/>
      </c>
      <c r="F110" s="40" t="str">
        <f>IF(J110&lt;&gt;"",J110,IF(B109=B110,IF(N110+N109=0,"",N110+N109),IF(N110=0,"",N110)))</f>
        <v/>
      </c>
      <c r="G110" s="52">
        <f>VLOOKUP(B110,CENY!$B$11:$M$1054,12,FALSE)</f>
        <v>32.920310000000001</v>
      </c>
      <c r="H110" s="54" t="str">
        <f t="shared" si="25"/>
        <v xml:space="preserve"> CZK</v>
      </c>
      <c r="I110" s="41" t="str">
        <f t="shared" si="26"/>
        <v/>
      </c>
      <c r="J110" s="122"/>
      <c r="K110" s="42" t="str">
        <f>VLOOKUP(B110,CENY!$B$11:$M$1054,8,FALSE)</f>
        <v xml:space="preserve"> </v>
      </c>
      <c r="L110" s="42" t="str">
        <f>VLOOKUP(B110,CENY!$B$11:$M$1054,9,FALSE)</f>
        <v>396780</v>
      </c>
      <c r="M110" s="32"/>
      <c r="N110" s="35">
        <f t="shared" si="27"/>
        <v>0</v>
      </c>
      <c r="O110" s="36">
        <v>0</v>
      </c>
      <c r="P110" s="32"/>
      <c r="Q110" s="32"/>
      <c r="R110" s="325">
        <f>'AVT139'!AZ78</f>
        <v>0</v>
      </c>
      <c r="S110" s="325">
        <f>'AVT139'!BI24</f>
        <v>0</v>
      </c>
      <c r="T110" s="32"/>
      <c r="U110" s="32"/>
      <c r="V110" s="32"/>
      <c r="W110" s="32"/>
      <c r="X110" s="32"/>
      <c r="Y110" s="32"/>
      <c r="Z110" s="32"/>
      <c r="AA110" s="32"/>
      <c r="AB110" s="32"/>
      <c r="AC110" s="32"/>
      <c r="AD110" s="32"/>
      <c r="AE110" s="32"/>
      <c r="AF110" s="32"/>
      <c r="AG110" s="32"/>
      <c r="AH110" s="32"/>
      <c r="AI110" s="32"/>
      <c r="AJ110" s="32"/>
      <c r="AK110" s="32"/>
      <c r="AL110" s="32"/>
      <c r="AM110" s="32"/>
      <c r="AN110" s="32"/>
      <c r="AO110" s="32"/>
      <c r="AP110" s="325">
        <f>'AVT-celny-139+187'!AZ50</f>
        <v>0</v>
      </c>
      <c r="AQ110" s="325">
        <f>'AVT-celny-139+187'!BI35</f>
        <v>0</v>
      </c>
      <c r="AR110" s="32"/>
      <c r="AS110" s="32"/>
      <c r="AT110" s="32"/>
      <c r="AU110" s="32"/>
      <c r="AV110" s="32"/>
      <c r="AW110" s="32"/>
      <c r="AX110" s="32"/>
      <c r="AY110" s="32"/>
      <c r="AZ110" s="32"/>
      <c r="BA110" s="32"/>
      <c r="BB110" s="32"/>
      <c r="BC110" s="32"/>
      <c r="BD110" s="32"/>
      <c r="BE110" s="32"/>
      <c r="BF110" s="32"/>
      <c r="BG110" s="32"/>
      <c r="BH110" s="32"/>
      <c r="BI110" s="32"/>
      <c r="BJ110" s="32"/>
      <c r="BK110" s="32"/>
      <c r="BL110" s="32"/>
      <c r="BM110" s="32"/>
      <c r="BN110" s="32"/>
      <c r="BO110" s="165"/>
      <c r="BP110" s="165"/>
      <c r="BQ110" s="165"/>
      <c r="BR110" s="165"/>
      <c r="BS110" s="165"/>
      <c r="BT110" s="165"/>
      <c r="BU110" s="165"/>
      <c r="BV110" s="55"/>
      <c r="BW110" s="160"/>
      <c r="BX110" s="32"/>
      <c r="BY110" s="24"/>
      <c r="BZ110" s="24"/>
      <c r="CA110" s="24"/>
      <c r="CB110" s="24"/>
      <c r="CC110" s="24"/>
      <c r="CD110" s="24"/>
      <c r="CE110" s="24"/>
    </row>
    <row r="111" spans="1:83" ht="8.1" customHeight="1">
      <c r="A111" s="4"/>
      <c r="B111" s="317"/>
      <c r="C111" s="43"/>
      <c r="D111" s="39"/>
      <c r="E111" s="56"/>
      <c r="F111" s="40"/>
      <c r="G111" s="52"/>
      <c r="H111" s="54"/>
      <c r="I111" s="41"/>
      <c r="J111" s="122"/>
      <c r="K111" s="42"/>
      <c r="L111" s="42"/>
      <c r="M111" s="32"/>
      <c r="N111" s="35"/>
      <c r="O111" s="36">
        <v>0</v>
      </c>
      <c r="P111" s="32"/>
      <c r="Q111" s="32"/>
      <c r="R111" s="32"/>
      <c r="S111" s="32"/>
      <c r="T111" s="32"/>
      <c r="U111" s="32"/>
      <c r="V111" s="32"/>
      <c r="W111" s="32"/>
      <c r="X111" s="32"/>
      <c r="Y111" s="32"/>
      <c r="Z111" s="32"/>
      <c r="AA111" s="32"/>
      <c r="AB111" s="32"/>
      <c r="AC111" s="32"/>
      <c r="AD111" s="32"/>
      <c r="AE111" s="32"/>
      <c r="AF111" s="32"/>
      <c r="AG111" s="32"/>
      <c r="AH111" s="32"/>
      <c r="AI111" s="32"/>
      <c r="AJ111" s="32"/>
      <c r="AK111" s="32"/>
      <c r="AL111" s="32"/>
      <c r="AM111" s="32"/>
      <c r="AN111" s="32"/>
      <c r="AO111" s="32"/>
      <c r="AP111" s="32"/>
      <c r="AQ111" s="32"/>
      <c r="AR111" s="32"/>
      <c r="AS111" s="32"/>
      <c r="AT111" s="32"/>
      <c r="AU111" s="32"/>
      <c r="AV111" s="32"/>
      <c r="AW111" s="32"/>
      <c r="AX111" s="32"/>
      <c r="AY111" s="32"/>
      <c r="AZ111" s="32"/>
      <c r="BA111" s="32"/>
      <c r="BB111" s="32"/>
      <c r="BC111" s="32"/>
      <c r="BD111" s="32"/>
      <c r="BE111" s="32"/>
      <c r="BF111" s="32"/>
      <c r="BG111" s="32"/>
      <c r="BH111" s="32"/>
      <c r="BI111" s="32"/>
      <c r="BJ111" s="32"/>
      <c r="BK111" s="32"/>
      <c r="BL111" s="32"/>
      <c r="BM111" s="32"/>
      <c r="BN111" s="32"/>
      <c r="BO111" s="165"/>
      <c r="BP111" s="165"/>
      <c r="BQ111" s="165"/>
      <c r="BR111" s="165"/>
      <c r="BS111" s="165"/>
      <c r="BT111" s="165"/>
      <c r="BU111" s="165"/>
      <c r="BV111" s="55"/>
      <c r="BW111" s="160"/>
      <c r="BX111" s="32"/>
      <c r="BY111" s="24"/>
      <c r="BZ111" s="24"/>
      <c r="CA111" s="24"/>
      <c r="CB111" s="24"/>
      <c r="CC111" s="24"/>
      <c r="CD111" s="24"/>
      <c r="CE111" s="24"/>
    </row>
    <row r="112" spans="1:83" ht="15" customHeight="1">
      <c r="A112" s="4"/>
      <c r="B112" s="317">
        <f>IF($Q$8=$Q$7,CENY!B247,IF($Q$7=$Q$9,CENY!B256,CENY!B265))</f>
        <v>9353353</v>
      </c>
      <c r="C112" s="43" t="str">
        <f>VLOOKUP(B112,CENY!$B$11:$G$1054,2,FALSE)</f>
        <v>AvanY-sólo oceľ.boky-NW 187/270mm/strieb.</v>
      </c>
      <c r="D112" s="364">
        <f>VLOOKUP(B112,CENY!$B$11:$G$1054,3,FALSE)</f>
        <v>1</v>
      </c>
      <c r="E112" s="56" t="str">
        <f>IF(VLOOKUP(B112,CENY!$B$11:$G$1054,4,FALSE)=0,"",VLOOKUP(B112,CENY!$B$11:$G$1054,4,FALSE))</f>
        <v/>
      </c>
      <c r="F112" s="40" t="str">
        <f t="shared" ref="F112:F120" si="31">IF(J112&lt;&gt;"",J112,IF(N112=0,"",N112))</f>
        <v/>
      </c>
      <c r="G112" s="52">
        <f>VLOOKUP(B112,CENY!$B$11:$M$1054,12,FALSE)</f>
        <v>781.77286000000004</v>
      </c>
      <c r="H112" s="54" t="str">
        <f t="shared" si="25"/>
        <v xml:space="preserve"> CZK</v>
      </c>
      <c r="I112" s="41" t="str">
        <f t="shared" si="26"/>
        <v/>
      </c>
      <c r="J112" s="122"/>
      <c r="K112" s="42" t="str">
        <f>VLOOKUP(B112,CENY!$B$11:$M$1054,8,FALSE)</f>
        <v xml:space="preserve"> </v>
      </c>
      <c r="L112" s="42" t="str">
        <f>VLOOKUP(B112,CENY!$B$11:$M$1054,9,FALSE)</f>
        <v>530061</v>
      </c>
      <c r="M112" s="32"/>
      <c r="N112" s="35">
        <f t="shared" ref="N112:N120" si="32">SUM(P112:BW112)</f>
        <v>0</v>
      </c>
      <c r="O112" s="36">
        <v>0</v>
      </c>
      <c r="P112" s="32"/>
      <c r="Q112" s="32"/>
      <c r="R112" s="32"/>
      <c r="S112" s="32"/>
      <c r="T112" s="325">
        <f>'AVT187'!AZ5</f>
        <v>0</v>
      </c>
      <c r="U112" s="32"/>
      <c r="V112" s="32"/>
      <c r="W112" s="32"/>
      <c r="X112" s="32"/>
      <c r="Y112" s="32"/>
      <c r="Z112" s="32"/>
      <c r="AA112" s="32"/>
      <c r="AB112" s="32"/>
      <c r="AC112" s="32"/>
      <c r="AD112" s="325">
        <f>'AVT187(vn-A)'!AZ5</f>
        <v>0</v>
      </c>
      <c r="AE112" s="32"/>
      <c r="AF112" s="32"/>
      <c r="AG112" s="32"/>
      <c r="AH112" s="325">
        <f>'AVT187(vn-S)'!AZ5</f>
        <v>0</v>
      </c>
      <c r="AI112" s="32"/>
      <c r="AJ112" s="32"/>
      <c r="AK112" s="32"/>
      <c r="AL112" s="32"/>
      <c r="AM112" s="32"/>
      <c r="AN112" s="325">
        <f>'AVT-celny-101+187'!AZ15</f>
        <v>0</v>
      </c>
      <c r="AO112" s="32"/>
      <c r="AP112" s="32"/>
      <c r="AQ112" s="32"/>
      <c r="AR112" s="325">
        <f>'AVT-celny-2x187'!AZ5</f>
        <v>0</v>
      </c>
      <c r="AS112" s="32"/>
      <c r="AT112" s="32"/>
      <c r="AU112" s="32"/>
      <c r="AV112" s="32"/>
      <c r="AW112" s="32"/>
      <c r="AX112" s="32"/>
      <c r="AY112" s="32"/>
      <c r="AZ112" s="32"/>
      <c r="BA112" s="32"/>
      <c r="BB112" s="32"/>
      <c r="BC112" s="32"/>
      <c r="BD112" s="32"/>
      <c r="BE112" s="32"/>
      <c r="BF112" s="32"/>
      <c r="BG112" s="32"/>
      <c r="BH112" s="32"/>
      <c r="BI112" s="32"/>
      <c r="BJ112" s="32"/>
      <c r="BK112" s="32"/>
      <c r="BL112" s="32"/>
      <c r="BM112" s="32"/>
      <c r="BN112" s="32"/>
      <c r="BO112" s="165"/>
      <c r="BP112" s="165"/>
      <c r="BQ112" s="165"/>
      <c r="BR112" s="165"/>
      <c r="BS112" s="165"/>
      <c r="BT112" s="165"/>
      <c r="BU112" s="165"/>
      <c r="BV112" s="55"/>
      <c r="BW112" s="160"/>
      <c r="BX112" s="32"/>
      <c r="BY112" s="24"/>
      <c r="BZ112" s="24"/>
      <c r="CA112" s="24"/>
      <c r="CB112" s="24"/>
      <c r="CC112" s="24"/>
      <c r="CD112" s="24"/>
      <c r="CE112" s="24"/>
    </row>
    <row r="113" spans="1:83" ht="15" customHeight="1">
      <c r="A113" s="4"/>
      <c r="B113" s="317">
        <f>IF($Q$8=$Q$7,CENY!B248,IF($Q$7=$Q$9,CENY!B257,CENY!B266))</f>
        <v>9353354</v>
      </c>
      <c r="C113" s="43" t="str">
        <f>VLOOKUP(B113,CENY!$B$11:$G$1054,2,FALSE)</f>
        <v>AvanY-sólo oceľ.boky-NW 187/300mm/strieb.</v>
      </c>
      <c r="D113" s="364">
        <f>VLOOKUP(B113,CENY!$B$11:$G$1054,3,FALSE)</f>
        <v>1</v>
      </c>
      <c r="E113" s="56" t="str">
        <f>IF(VLOOKUP(B113,CENY!$B$11:$G$1054,4,FALSE)=0,"",VLOOKUP(B113,CENY!$B$11:$G$1054,4,FALSE))</f>
        <v/>
      </c>
      <c r="F113" s="40" t="str">
        <f t="shared" si="31"/>
        <v/>
      </c>
      <c r="G113" s="52">
        <f>VLOOKUP(B113,CENY!$B$11:$M$1054,12,FALSE)</f>
        <v>788.96299999999997</v>
      </c>
      <c r="H113" s="54" t="str">
        <f t="shared" si="25"/>
        <v xml:space="preserve"> CZK</v>
      </c>
      <c r="I113" s="41" t="str">
        <f t="shared" si="26"/>
        <v/>
      </c>
      <c r="J113" s="122"/>
      <c r="K113" s="42" t="str">
        <f>VLOOKUP(B113,CENY!$B$11:$M$1054,8,FALSE)</f>
        <v xml:space="preserve"> </v>
      </c>
      <c r="L113" s="42" t="str">
        <f>VLOOKUP(B113,CENY!$B$11:$M$1054,9,FALSE)</f>
        <v>530062</v>
      </c>
      <c r="M113" s="32"/>
      <c r="N113" s="35">
        <f t="shared" si="32"/>
        <v>0</v>
      </c>
      <c r="O113" s="36">
        <v>0</v>
      </c>
      <c r="P113" s="32"/>
      <c r="Q113" s="32"/>
      <c r="R113" s="32"/>
      <c r="S113" s="32"/>
      <c r="T113" s="325">
        <f>'AVT187'!AZ6</f>
        <v>0</v>
      </c>
      <c r="U113" s="32"/>
      <c r="V113" s="32"/>
      <c r="W113" s="32"/>
      <c r="X113" s="32"/>
      <c r="Y113" s="32"/>
      <c r="Z113" s="32"/>
      <c r="AA113" s="32"/>
      <c r="AB113" s="32"/>
      <c r="AC113" s="32"/>
      <c r="AD113" s="325">
        <f>'AVT187(vn-A)'!AZ6</f>
        <v>0</v>
      </c>
      <c r="AE113" s="32"/>
      <c r="AF113" s="32"/>
      <c r="AG113" s="32"/>
      <c r="AH113" s="325">
        <f>'AVT187(vn-S)'!AZ6</f>
        <v>0</v>
      </c>
      <c r="AI113" s="32"/>
      <c r="AJ113" s="32"/>
      <c r="AK113" s="32"/>
      <c r="AL113" s="32"/>
      <c r="AM113" s="32"/>
      <c r="AN113" s="325">
        <f>'AVT-celny-101+187'!AZ16</f>
        <v>0</v>
      </c>
      <c r="AO113" s="32"/>
      <c r="AP113" s="325">
        <f>'AVT-celny-139+187'!AZ13</f>
        <v>0</v>
      </c>
      <c r="AQ113" s="32"/>
      <c r="AR113" s="325">
        <f>'AVT-celny-2x187'!AZ6</f>
        <v>0</v>
      </c>
      <c r="AS113" s="32"/>
      <c r="AT113" s="32"/>
      <c r="AU113" s="32"/>
      <c r="AV113" s="32"/>
      <c r="AW113" s="32"/>
      <c r="AX113" s="32"/>
      <c r="AY113" s="32"/>
      <c r="AZ113" s="32"/>
      <c r="BA113" s="32"/>
      <c r="BB113" s="32"/>
      <c r="BC113" s="32"/>
      <c r="BD113" s="32"/>
      <c r="BE113" s="32"/>
      <c r="BF113" s="32"/>
      <c r="BG113" s="32"/>
      <c r="BH113" s="32"/>
      <c r="BI113" s="32"/>
      <c r="BJ113" s="32"/>
      <c r="BK113" s="32"/>
      <c r="BL113" s="32"/>
      <c r="BM113" s="32"/>
      <c r="BN113" s="32"/>
      <c r="BO113" s="165"/>
      <c r="BP113" s="165"/>
      <c r="BQ113" s="165"/>
      <c r="BR113" s="165"/>
      <c r="BS113" s="165"/>
      <c r="BT113" s="165"/>
      <c r="BU113" s="165"/>
      <c r="BV113" s="55"/>
      <c r="BW113" s="160"/>
      <c r="BX113" s="32"/>
      <c r="BY113" s="24"/>
      <c r="BZ113" s="24"/>
      <c r="CA113" s="24"/>
      <c r="CB113" s="24"/>
      <c r="CC113" s="24"/>
      <c r="CD113" s="24"/>
      <c r="CE113" s="24"/>
    </row>
    <row r="114" spans="1:83" ht="15" customHeight="1">
      <c r="A114" s="4"/>
      <c r="B114" s="317">
        <f>IF($Q$8=$Q$7,CENY!B249,IF($Q$7=$Q$9,CENY!B258,CENY!B267))</f>
        <v>9353355</v>
      </c>
      <c r="C114" s="43" t="str">
        <f>VLOOKUP(B114,CENY!$B$11:$G$1054,2,FALSE)</f>
        <v>AvanY-sólo oceľ.boky-NW 187/350mm/strieb.</v>
      </c>
      <c r="D114" s="364">
        <f>VLOOKUP(B114,CENY!$B$11:$G$1054,3,FALSE)</f>
        <v>1</v>
      </c>
      <c r="E114" s="56" t="str">
        <f>IF(VLOOKUP(B114,CENY!$B$11:$G$1054,4,FALSE)=0,"",VLOOKUP(B114,CENY!$B$11:$G$1054,4,FALSE))</f>
        <v/>
      </c>
      <c r="F114" s="40" t="str">
        <f t="shared" si="31"/>
        <v/>
      </c>
      <c r="G114" s="52">
        <f>VLOOKUP(B114,CENY!$B$11:$M$1054,12,FALSE)</f>
        <v>800.95977000000005</v>
      </c>
      <c r="H114" s="54" t="str">
        <f t="shared" si="25"/>
        <v xml:space="preserve"> CZK</v>
      </c>
      <c r="I114" s="41" t="str">
        <f t="shared" si="26"/>
        <v/>
      </c>
      <c r="J114" s="122"/>
      <c r="K114" s="42" t="str">
        <f>VLOOKUP(B114,CENY!$B$11:$M$1054,8,FALSE)</f>
        <v xml:space="preserve"> </v>
      </c>
      <c r="L114" s="42" t="str">
        <f>VLOOKUP(B114,CENY!$B$11:$M$1054,9,FALSE)</f>
        <v>530063</v>
      </c>
      <c r="M114" s="32"/>
      <c r="N114" s="35">
        <f t="shared" si="32"/>
        <v>0</v>
      </c>
      <c r="O114" s="36">
        <v>0</v>
      </c>
      <c r="P114" s="32"/>
      <c r="Q114" s="32"/>
      <c r="R114" s="32"/>
      <c r="S114" s="32"/>
      <c r="T114" s="325">
        <f>'AVT187'!AZ7</f>
        <v>0</v>
      </c>
      <c r="U114" s="32"/>
      <c r="V114" s="32"/>
      <c r="W114" s="32"/>
      <c r="X114" s="32"/>
      <c r="Y114" s="32"/>
      <c r="Z114" s="32"/>
      <c r="AA114" s="32"/>
      <c r="AB114" s="32"/>
      <c r="AC114" s="32"/>
      <c r="AD114" s="325">
        <f>'AVT187(vn-A)'!AZ7</f>
        <v>0</v>
      </c>
      <c r="AE114" s="32"/>
      <c r="AF114" s="32"/>
      <c r="AG114" s="32"/>
      <c r="AH114" s="325">
        <f>'AVT187(vn-S)'!AZ7</f>
        <v>0</v>
      </c>
      <c r="AI114" s="32"/>
      <c r="AJ114" s="32"/>
      <c r="AK114" s="32"/>
      <c r="AL114" s="32"/>
      <c r="AM114" s="32"/>
      <c r="AN114" s="325">
        <f>'AVT-celny-101+187'!AZ17</f>
        <v>0</v>
      </c>
      <c r="AO114" s="32"/>
      <c r="AP114" s="325">
        <f>'AVT-celny-139+187'!AZ14</f>
        <v>0</v>
      </c>
      <c r="AQ114" s="32"/>
      <c r="AR114" s="325">
        <f>'AVT-celny-2x187'!AZ7</f>
        <v>0</v>
      </c>
      <c r="AS114" s="32"/>
      <c r="AT114" s="32"/>
      <c r="AU114" s="32"/>
      <c r="AV114" s="32"/>
      <c r="AW114" s="32"/>
      <c r="AX114" s="32"/>
      <c r="AY114" s="32"/>
      <c r="AZ114" s="32"/>
      <c r="BA114" s="32"/>
      <c r="BB114" s="32"/>
      <c r="BC114" s="32"/>
      <c r="BD114" s="32"/>
      <c r="BE114" s="32"/>
      <c r="BF114" s="32"/>
      <c r="BG114" s="32"/>
      <c r="BH114" s="32"/>
      <c r="BI114" s="32"/>
      <c r="BJ114" s="32"/>
      <c r="BK114" s="32"/>
      <c r="BL114" s="32"/>
      <c r="BM114" s="32"/>
      <c r="BN114" s="32"/>
      <c r="BO114" s="165"/>
      <c r="BP114" s="165"/>
      <c r="BQ114" s="165"/>
      <c r="BR114" s="165"/>
      <c r="BS114" s="165"/>
      <c r="BT114" s="165"/>
      <c r="BU114" s="165"/>
      <c r="BV114" s="55"/>
      <c r="BW114" s="160"/>
      <c r="BX114" s="32"/>
      <c r="BY114" s="24"/>
      <c r="BZ114" s="24"/>
      <c r="CA114" s="24"/>
      <c r="CB114" s="24"/>
      <c r="CC114" s="24"/>
      <c r="CD114" s="24"/>
      <c r="CE114" s="24"/>
    </row>
    <row r="115" spans="1:83" ht="15" customHeight="1">
      <c r="A115" s="4"/>
      <c r="B115" s="317">
        <f>IF($Q$8=$Q$7,CENY!B250,IF($Q$7=$Q$9,CENY!B259,CENY!B268))</f>
        <v>9353356</v>
      </c>
      <c r="C115" s="43" t="str">
        <f>VLOOKUP(B115,CENY!$B$11:$G$1054,2,FALSE)</f>
        <v>AvanY-sólo oceľ.boky-NW 187/400mm/strieb.</v>
      </c>
      <c r="D115" s="364">
        <f>VLOOKUP(B115,CENY!$B$11:$G$1054,3,FALSE)</f>
        <v>1</v>
      </c>
      <c r="E115" s="56" t="str">
        <f>IF(VLOOKUP(B115,CENY!$B$11:$G$1054,4,FALSE)=0,"",VLOOKUP(B115,CENY!$B$11:$G$1054,4,FALSE))</f>
        <v/>
      </c>
      <c r="F115" s="40" t="str">
        <f t="shared" si="31"/>
        <v/>
      </c>
      <c r="G115" s="52">
        <f>VLOOKUP(B115,CENY!$B$11:$M$1054,12,FALSE)</f>
        <v>812.95644000000004</v>
      </c>
      <c r="H115" s="54" t="str">
        <f t="shared" si="25"/>
        <v xml:space="preserve"> CZK</v>
      </c>
      <c r="I115" s="41" t="str">
        <f t="shared" si="26"/>
        <v/>
      </c>
      <c r="J115" s="122"/>
      <c r="K115" s="42" t="str">
        <f>VLOOKUP(B115,CENY!$B$11:$M$1054,8,FALSE)</f>
        <v xml:space="preserve"> </v>
      </c>
      <c r="L115" s="42" t="str">
        <f>VLOOKUP(B115,CENY!$B$11:$M$1054,9,FALSE)</f>
        <v>530064</v>
      </c>
      <c r="M115" s="32"/>
      <c r="N115" s="35">
        <f t="shared" si="32"/>
        <v>0</v>
      </c>
      <c r="O115" s="36">
        <v>0</v>
      </c>
      <c r="P115" s="32"/>
      <c r="Q115" s="32"/>
      <c r="R115" s="32"/>
      <c r="S115" s="32"/>
      <c r="T115" s="325">
        <f>'AVT187'!AZ8</f>
        <v>0</v>
      </c>
      <c r="U115" s="32"/>
      <c r="V115" s="32"/>
      <c r="W115" s="32"/>
      <c r="X115" s="32"/>
      <c r="Y115" s="32"/>
      <c r="Z115" s="32"/>
      <c r="AA115" s="32"/>
      <c r="AB115" s="32"/>
      <c r="AC115" s="32"/>
      <c r="AD115" s="325">
        <f>'AVT187(vn-A)'!AZ8</f>
        <v>0</v>
      </c>
      <c r="AE115" s="32"/>
      <c r="AF115" s="32"/>
      <c r="AG115" s="32"/>
      <c r="AH115" s="325">
        <f>'AVT187(vn-S)'!AZ8</f>
        <v>0</v>
      </c>
      <c r="AI115" s="32"/>
      <c r="AJ115" s="32"/>
      <c r="AK115" s="32"/>
      <c r="AL115" s="32"/>
      <c r="AM115" s="32"/>
      <c r="AN115" s="325">
        <f>'AVT-celny-101+187'!AZ18</f>
        <v>0</v>
      </c>
      <c r="AO115" s="32"/>
      <c r="AP115" s="325">
        <f>'AVT-celny-139+187'!AZ15</f>
        <v>0</v>
      </c>
      <c r="AQ115" s="32"/>
      <c r="AR115" s="325">
        <f>'AVT-celny-2x187'!AZ8</f>
        <v>0</v>
      </c>
      <c r="AS115" s="32"/>
      <c r="AT115" s="32"/>
      <c r="AU115" s="32"/>
      <c r="AV115" s="32"/>
      <c r="AW115" s="32"/>
      <c r="AX115" s="32"/>
      <c r="AY115" s="32"/>
      <c r="AZ115" s="32"/>
      <c r="BA115" s="32"/>
      <c r="BB115" s="32"/>
      <c r="BC115" s="32"/>
      <c r="BD115" s="32"/>
      <c r="BE115" s="32"/>
      <c r="BF115" s="32"/>
      <c r="BG115" s="32"/>
      <c r="BH115" s="32"/>
      <c r="BI115" s="32"/>
      <c r="BJ115" s="32"/>
      <c r="BK115" s="32"/>
      <c r="BL115" s="32"/>
      <c r="BM115" s="32"/>
      <c r="BN115" s="32"/>
      <c r="BO115" s="165"/>
      <c r="BP115" s="165"/>
      <c r="BQ115" s="165"/>
      <c r="BR115" s="165"/>
      <c r="BS115" s="165"/>
      <c r="BT115" s="165"/>
      <c r="BU115" s="165"/>
      <c r="BV115" s="55"/>
      <c r="BW115" s="160"/>
      <c r="BX115" s="32"/>
      <c r="BY115" s="24"/>
      <c r="BZ115" s="24"/>
      <c r="CA115" s="24"/>
      <c r="CB115" s="24"/>
      <c r="CC115" s="24"/>
      <c r="CD115" s="24"/>
      <c r="CE115" s="24"/>
    </row>
    <row r="116" spans="1:83" ht="15" customHeight="1">
      <c r="A116" s="4"/>
      <c r="B116" s="317">
        <f>IF($Q$8=$Q$7,CENY!B251,IF($Q$7=$Q$9,CENY!B260,CENY!B269))</f>
        <v>9353357</v>
      </c>
      <c r="C116" s="43" t="str">
        <f>VLOOKUP(B116,CENY!$B$11:$G$1054,2,FALSE)</f>
        <v>AvanY-sólo oceľ.boky-NW 187/450mm/strieb.</v>
      </c>
      <c r="D116" s="364">
        <f>VLOOKUP(B116,CENY!$B$11:$G$1054,3,FALSE)</f>
        <v>1</v>
      </c>
      <c r="E116" s="56" t="str">
        <f>IF(VLOOKUP(B116,CENY!$B$11:$G$1054,4,FALSE)=0,"",VLOOKUP(B116,CENY!$B$11:$G$1054,4,FALSE))</f>
        <v/>
      </c>
      <c r="F116" s="40" t="str">
        <f t="shared" si="31"/>
        <v/>
      </c>
      <c r="G116" s="52">
        <f>VLOOKUP(B116,CENY!$B$11:$M$1054,12,FALSE)</f>
        <v>803.01720999999998</v>
      </c>
      <c r="H116" s="54" t="str">
        <f t="shared" si="25"/>
        <v xml:space="preserve"> CZK</v>
      </c>
      <c r="I116" s="41" t="str">
        <f t="shared" si="26"/>
        <v/>
      </c>
      <c r="J116" s="122"/>
      <c r="K116" s="42" t="str">
        <f>VLOOKUP(B116,CENY!$B$11:$M$1054,8,FALSE)</f>
        <v xml:space="preserve"> </v>
      </c>
      <c r="L116" s="42" t="str">
        <f>VLOOKUP(B116,CENY!$B$11:$M$1054,9,FALSE)</f>
        <v>530065</v>
      </c>
      <c r="M116" s="32"/>
      <c r="N116" s="35">
        <f t="shared" si="32"/>
        <v>0</v>
      </c>
      <c r="O116" s="36">
        <v>0</v>
      </c>
      <c r="P116" s="32"/>
      <c r="Q116" s="32"/>
      <c r="R116" s="32"/>
      <c r="S116" s="32"/>
      <c r="T116" s="325">
        <f>'AVT187'!AZ9</f>
        <v>0</v>
      </c>
      <c r="U116" s="32"/>
      <c r="V116" s="32"/>
      <c r="W116" s="32"/>
      <c r="X116" s="32"/>
      <c r="Y116" s="32"/>
      <c r="Z116" s="32"/>
      <c r="AA116" s="32"/>
      <c r="AB116" s="32"/>
      <c r="AC116" s="32"/>
      <c r="AD116" s="325">
        <f>'AVT187(vn-A)'!AZ9</f>
        <v>0</v>
      </c>
      <c r="AE116" s="32"/>
      <c r="AF116" s="32"/>
      <c r="AG116" s="32"/>
      <c r="AH116" s="325">
        <f>'AVT187(vn-S)'!AZ9</f>
        <v>0</v>
      </c>
      <c r="AI116" s="32"/>
      <c r="AJ116" s="32"/>
      <c r="AK116" s="32"/>
      <c r="AL116" s="32"/>
      <c r="AM116" s="32"/>
      <c r="AN116" s="325">
        <f>'AVT-celny-101+187'!AZ19</f>
        <v>0</v>
      </c>
      <c r="AO116" s="32"/>
      <c r="AP116" s="325">
        <f>'AVT-celny-139+187'!AZ16</f>
        <v>0</v>
      </c>
      <c r="AQ116" s="32"/>
      <c r="AR116" s="325">
        <f>'AVT-celny-2x187'!AZ9</f>
        <v>0</v>
      </c>
      <c r="AS116" s="32"/>
      <c r="AT116" s="32"/>
      <c r="AU116" s="32"/>
      <c r="AV116" s="325">
        <f>'potr-v101+187'!AZ15</f>
        <v>0</v>
      </c>
      <c r="AW116" s="32"/>
      <c r="AX116" s="32"/>
      <c r="AY116" s="32"/>
      <c r="AZ116" s="32"/>
      <c r="BA116" s="32"/>
      <c r="BB116" s="32"/>
      <c r="BC116" s="32"/>
      <c r="BD116" s="32"/>
      <c r="BE116" s="32"/>
      <c r="BF116" s="32"/>
      <c r="BG116" s="32"/>
      <c r="BH116" s="32"/>
      <c r="BI116" s="32"/>
      <c r="BJ116" s="32"/>
      <c r="BK116" s="32"/>
      <c r="BL116" s="32"/>
      <c r="BM116" s="32"/>
      <c r="BN116" s="32"/>
      <c r="BO116" s="165"/>
      <c r="BP116" s="165"/>
      <c r="BQ116" s="165"/>
      <c r="BR116" s="165"/>
      <c r="BS116" s="165"/>
      <c r="BT116" s="165"/>
      <c r="BU116" s="165"/>
      <c r="BV116" s="55"/>
      <c r="BW116" s="160"/>
      <c r="BX116" s="32"/>
      <c r="BY116" s="24"/>
      <c r="BZ116" s="24"/>
      <c r="CA116" s="24"/>
      <c r="CB116" s="24"/>
      <c r="CC116" s="24"/>
      <c r="CD116" s="24"/>
      <c r="CE116" s="24"/>
    </row>
    <row r="117" spans="1:83" ht="15" customHeight="1">
      <c r="A117" s="4"/>
      <c r="B117" s="317">
        <f>IF($Q$8=$Q$7,CENY!B252,IF($Q$7=$Q$9,CENY!B261,CENY!B270))</f>
        <v>9353358</v>
      </c>
      <c r="C117" s="43" t="str">
        <f>VLOOKUP(B117,CENY!$B$11:$G$1054,2,FALSE)</f>
        <v>AvanY-sólo oceľ.boky-NW 187/500mm/strieb.</v>
      </c>
      <c r="D117" s="364">
        <f>VLOOKUP(B117,CENY!$B$11:$G$1054,3,FALSE)</f>
        <v>1</v>
      </c>
      <c r="E117" s="56" t="str">
        <f>IF(VLOOKUP(B117,CENY!$B$11:$G$1054,4,FALSE)=0,"",VLOOKUP(B117,CENY!$B$11:$G$1054,4,FALSE))</f>
        <v/>
      </c>
      <c r="F117" s="40" t="str">
        <f t="shared" si="31"/>
        <v/>
      </c>
      <c r="G117" s="52">
        <f>VLOOKUP(B117,CENY!$B$11:$M$1054,12,FALSE)</f>
        <v>814.69060000000002</v>
      </c>
      <c r="H117" s="54" t="str">
        <f t="shared" si="25"/>
        <v xml:space="preserve"> CZK</v>
      </c>
      <c r="I117" s="41" t="str">
        <f t="shared" si="26"/>
        <v/>
      </c>
      <c r="J117" s="122"/>
      <c r="K117" s="42" t="str">
        <f>VLOOKUP(B117,CENY!$B$11:$M$1054,8,FALSE)</f>
        <v xml:space="preserve"> </v>
      </c>
      <c r="L117" s="42" t="str">
        <f>VLOOKUP(B117,CENY!$B$11:$M$1054,9,FALSE)</f>
        <v>530066</v>
      </c>
      <c r="M117" s="32"/>
      <c r="N117" s="35">
        <f t="shared" si="32"/>
        <v>0</v>
      </c>
      <c r="O117" s="36">
        <v>0</v>
      </c>
      <c r="P117" s="32"/>
      <c r="Q117" s="32"/>
      <c r="R117" s="32"/>
      <c r="S117" s="32"/>
      <c r="T117" s="325">
        <f>'AVT187'!AZ10</f>
        <v>0</v>
      </c>
      <c r="U117" s="32"/>
      <c r="V117" s="32"/>
      <c r="W117" s="32"/>
      <c r="X117" s="32"/>
      <c r="Y117" s="32"/>
      <c r="Z117" s="32"/>
      <c r="AA117" s="32"/>
      <c r="AB117" s="32"/>
      <c r="AC117" s="32"/>
      <c r="AD117" s="325">
        <f>'AVT187(vn-A)'!AZ10</f>
        <v>0</v>
      </c>
      <c r="AE117" s="32"/>
      <c r="AF117" s="32"/>
      <c r="AG117" s="32"/>
      <c r="AH117" s="325">
        <f>'AVT187(vn-S)'!AZ10</f>
        <v>0</v>
      </c>
      <c r="AI117" s="32"/>
      <c r="AJ117" s="32"/>
      <c r="AK117" s="32"/>
      <c r="AL117" s="32"/>
      <c r="AM117" s="32"/>
      <c r="AN117" s="325">
        <f>'AVT-celny-101+187'!AZ20</f>
        <v>0</v>
      </c>
      <c r="AO117" s="32"/>
      <c r="AP117" s="325">
        <f>'AVT-celny-139+187'!AZ17</f>
        <v>0</v>
      </c>
      <c r="AQ117" s="32"/>
      <c r="AR117" s="325">
        <f>'AVT-celny-2x187'!AZ10</f>
        <v>0</v>
      </c>
      <c r="AS117" s="32"/>
      <c r="AT117" s="32"/>
      <c r="AU117" s="32"/>
      <c r="AV117" s="325">
        <f>'potr-v101+187'!AZ16</f>
        <v>0</v>
      </c>
      <c r="AW117" s="32"/>
      <c r="AX117" s="32"/>
      <c r="AY117" s="32"/>
      <c r="AZ117" s="32"/>
      <c r="BA117" s="32"/>
      <c r="BB117" s="32"/>
      <c r="BC117" s="32"/>
      <c r="BD117" s="32"/>
      <c r="BE117" s="32"/>
      <c r="BF117" s="32"/>
      <c r="BG117" s="32"/>
      <c r="BH117" s="32"/>
      <c r="BI117" s="32"/>
      <c r="BJ117" s="32"/>
      <c r="BK117" s="32"/>
      <c r="BL117" s="32"/>
      <c r="BM117" s="32"/>
      <c r="BN117" s="32"/>
      <c r="BO117" s="165"/>
      <c r="BP117" s="165"/>
      <c r="BQ117" s="165"/>
      <c r="BR117" s="165"/>
      <c r="BS117" s="165"/>
      <c r="BT117" s="165"/>
      <c r="BU117" s="165"/>
      <c r="BV117" s="55"/>
      <c r="BW117" s="160"/>
      <c r="BX117" s="32"/>
      <c r="BY117" s="24"/>
      <c r="BZ117" s="24"/>
      <c r="CA117" s="24"/>
      <c r="CB117" s="24"/>
      <c r="CC117" s="24"/>
      <c r="CD117" s="24"/>
      <c r="CE117" s="24"/>
    </row>
    <row r="118" spans="1:83" ht="15" customHeight="1">
      <c r="A118" s="4"/>
      <c r="B118" s="317">
        <f>IF($Q$8=$Q$7,CENY!B253,IF($Q$7=$Q$9,CENY!B262,CENY!B271))</f>
        <v>9353359</v>
      </c>
      <c r="C118" s="43" t="str">
        <f>VLOOKUP(B118,CENY!$B$11:$G$1054,2,FALSE)</f>
        <v>AvanY-sólo oceľ.boky-NW 187/550mm/strieb.</v>
      </c>
      <c r="D118" s="364">
        <f>VLOOKUP(B118,CENY!$B$11:$G$1054,3,FALSE)</f>
        <v>1</v>
      </c>
      <c r="E118" s="56" t="str">
        <f>IF(VLOOKUP(B118,CENY!$B$11:$G$1054,4,FALSE)=0,"",VLOOKUP(B118,CENY!$B$11:$G$1054,4,FALSE))</f>
        <v/>
      </c>
      <c r="F118" s="40" t="str">
        <f t="shared" si="31"/>
        <v/>
      </c>
      <c r="G118" s="52">
        <f>VLOOKUP(B118,CENY!$B$11:$M$1054,12,FALSE)</f>
        <v>848.94223999999997</v>
      </c>
      <c r="H118" s="54" t="str">
        <f t="shared" si="25"/>
        <v xml:space="preserve"> CZK</v>
      </c>
      <c r="I118" s="41" t="str">
        <f t="shared" si="26"/>
        <v/>
      </c>
      <c r="J118" s="122"/>
      <c r="K118" s="42" t="str">
        <f>VLOOKUP(B118,CENY!$B$11:$M$1054,8,FALSE)</f>
        <v xml:space="preserve"> </v>
      </c>
      <c r="L118" s="42" t="str">
        <f>VLOOKUP(B118,CENY!$B$11:$M$1054,9,FALSE)</f>
        <v>530067</v>
      </c>
      <c r="M118" s="32"/>
      <c r="N118" s="35">
        <f t="shared" si="32"/>
        <v>0</v>
      </c>
      <c r="O118" s="36">
        <v>0</v>
      </c>
      <c r="P118" s="32"/>
      <c r="Q118" s="32"/>
      <c r="R118" s="32"/>
      <c r="S118" s="32"/>
      <c r="T118" s="325">
        <f>'AVT187'!AZ11</f>
        <v>0</v>
      </c>
      <c r="U118" s="32"/>
      <c r="V118" s="32"/>
      <c r="W118" s="32"/>
      <c r="X118" s="32"/>
      <c r="Y118" s="32"/>
      <c r="Z118" s="32"/>
      <c r="AA118" s="32"/>
      <c r="AB118" s="32"/>
      <c r="AC118" s="32"/>
      <c r="AD118" s="325">
        <f>'AVT187(vn-A)'!AZ11</f>
        <v>0</v>
      </c>
      <c r="AE118" s="32"/>
      <c r="AF118" s="32"/>
      <c r="AG118" s="32"/>
      <c r="AH118" s="325">
        <f>'AVT187(vn-S)'!AZ11</f>
        <v>0</v>
      </c>
      <c r="AI118" s="32"/>
      <c r="AJ118" s="32"/>
      <c r="AK118" s="32"/>
      <c r="AL118" s="32"/>
      <c r="AM118" s="32"/>
      <c r="AN118" s="325">
        <f>'AVT-celny-101+187'!AZ21</f>
        <v>0</v>
      </c>
      <c r="AO118" s="32"/>
      <c r="AP118" s="325">
        <f>'AVT-celny-139+187'!AZ18</f>
        <v>0</v>
      </c>
      <c r="AQ118" s="32"/>
      <c r="AR118" s="325">
        <f>'AVT-celny-2x187'!AZ11</f>
        <v>0</v>
      </c>
      <c r="AS118" s="32"/>
      <c r="AT118" s="32"/>
      <c r="AU118" s="32"/>
      <c r="AV118" s="325">
        <f>'potr-v101+187'!AZ17</f>
        <v>0</v>
      </c>
      <c r="AW118" s="32"/>
      <c r="AX118" s="32"/>
      <c r="AY118" s="32"/>
      <c r="AZ118" s="32"/>
      <c r="BA118" s="32"/>
      <c r="BB118" s="32"/>
      <c r="BC118" s="32"/>
      <c r="BD118" s="32"/>
      <c r="BE118" s="32"/>
      <c r="BF118" s="32"/>
      <c r="BG118" s="32"/>
      <c r="BH118" s="32"/>
      <c r="BI118" s="32"/>
      <c r="BJ118" s="32"/>
      <c r="BK118" s="32"/>
      <c r="BL118" s="32"/>
      <c r="BM118" s="32"/>
      <c r="BN118" s="32"/>
      <c r="BO118" s="165"/>
      <c r="BP118" s="165"/>
      <c r="BQ118" s="165"/>
      <c r="BR118" s="165"/>
      <c r="BS118" s="165"/>
      <c r="BT118" s="165"/>
      <c r="BU118" s="165"/>
      <c r="BV118" s="55"/>
      <c r="BW118" s="160"/>
      <c r="BX118" s="32"/>
      <c r="BY118" s="24"/>
      <c r="BZ118" s="24"/>
      <c r="CA118" s="24"/>
      <c r="CB118" s="24"/>
      <c r="CC118" s="24"/>
      <c r="CD118" s="24"/>
      <c r="CE118" s="24"/>
    </row>
    <row r="119" spans="1:83" ht="15" customHeight="1">
      <c r="A119" s="4"/>
      <c r="B119" s="317">
        <f>IF($Q$8=$Q$7,CENY!B254,IF($Q$7=$Q$9,CENY!B263,CENY!B272))</f>
        <v>9353360</v>
      </c>
      <c r="C119" s="43" t="str">
        <f>VLOOKUP(B119,CENY!$B$11:$G$1054,2,FALSE)</f>
        <v>AvanY-sólo oceľ.boky-NW 187/600mm/strieb.</v>
      </c>
      <c r="D119" s="364">
        <f>VLOOKUP(B119,CENY!$B$11:$G$1054,3,FALSE)</f>
        <v>1</v>
      </c>
      <c r="E119" s="56" t="str">
        <f>IF(VLOOKUP(B119,CENY!$B$11:$G$1054,4,FALSE)=0,"",VLOOKUP(B119,CENY!$B$11:$G$1054,4,FALSE))</f>
        <v/>
      </c>
      <c r="F119" s="40" t="str">
        <f t="shared" si="31"/>
        <v/>
      </c>
      <c r="G119" s="52">
        <f>VLOOKUP(B119,CENY!$B$11:$M$1054,12,FALSE)</f>
        <v>867.96834999999999</v>
      </c>
      <c r="H119" s="54" t="str">
        <f t="shared" si="25"/>
        <v xml:space="preserve"> CZK</v>
      </c>
      <c r="I119" s="41" t="str">
        <f t="shared" si="26"/>
        <v/>
      </c>
      <c r="J119" s="122"/>
      <c r="K119" s="42" t="str">
        <f>VLOOKUP(B119,CENY!$B$11:$M$1054,8,FALSE)</f>
        <v xml:space="preserve"> </v>
      </c>
      <c r="L119" s="42" t="str">
        <f>VLOOKUP(B119,CENY!$B$11:$M$1054,9,FALSE)</f>
        <v>530068</v>
      </c>
      <c r="M119" s="32"/>
      <c r="N119" s="35">
        <f t="shared" si="32"/>
        <v>0</v>
      </c>
      <c r="O119" s="36">
        <v>0</v>
      </c>
      <c r="P119" s="32"/>
      <c r="Q119" s="32"/>
      <c r="R119" s="32"/>
      <c r="S119" s="32"/>
      <c r="T119" s="325">
        <f>'AVT187'!AZ12</f>
        <v>0</v>
      </c>
      <c r="U119" s="32"/>
      <c r="V119" s="32"/>
      <c r="W119" s="32"/>
      <c r="X119" s="32"/>
      <c r="Y119" s="32"/>
      <c r="Z119" s="32"/>
      <c r="AA119" s="32"/>
      <c r="AB119" s="32"/>
      <c r="AC119" s="32"/>
      <c r="AD119" s="325">
        <f>'AVT187(vn-A)'!AZ12</f>
        <v>0</v>
      </c>
      <c r="AE119" s="32"/>
      <c r="AF119" s="32"/>
      <c r="AG119" s="32"/>
      <c r="AH119" s="325">
        <f>'AVT187(vn-S)'!AZ12</f>
        <v>0</v>
      </c>
      <c r="AI119" s="32"/>
      <c r="AJ119" s="32"/>
      <c r="AK119" s="32"/>
      <c r="AL119" s="32"/>
      <c r="AM119" s="32"/>
      <c r="AN119" s="325">
        <f>'AVT-celny-101+187'!AZ22</f>
        <v>0</v>
      </c>
      <c r="AO119" s="32"/>
      <c r="AP119" s="325">
        <f>'AVT-celny-139+187'!AZ19</f>
        <v>0</v>
      </c>
      <c r="AQ119" s="32"/>
      <c r="AR119" s="325">
        <f>'AVT-celny-2x187'!AZ12</f>
        <v>0</v>
      </c>
      <c r="AS119" s="32"/>
      <c r="AT119" s="32"/>
      <c r="AU119" s="32"/>
      <c r="AV119" s="325">
        <f>'potr-v101+187'!AZ18</f>
        <v>0</v>
      </c>
      <c r="AW119" s="32"/>
      <c r="AX119" s="32"/>
      <c r="AY119" s="32"/>
      <c r="AZ119" s="32"/>
      <c r="BA119" s="32"/>
      <c r="BB119" s="32"/>
      <c r="BC119" s="32"/>
      <c r="BD119" s="32"/>
      <c r="BE119" s="32"/>
      <c r="BF119" s="32"/>
      <c r="BG119" s="32"/>
      <c r="BH119" s="32"/>
      <c r="BI119" s="32"/>
      <c r="BJ119" s="32"/>
      <c r="BK119" s="32"/>
      <c r="BL119" s="32"/>
      <c r="BM119" s="32"/>
      <c r="BN119" s="32"/>
      <c r="BO119" s="165"/>
      <c r="BP119" s="165"/>
      <c r="BQ119" s="165"/>
      <c r="BR119" s="165"/>
      <c r="BS119" s="165"/>
      <c r="BT119" s="165"/>
      <c r="BU119" s="165"/>
      <c r="BV119" s="55"/>
      <c r="BW119" s="160"/>
      <c r="BX119" s="32"/>
      <c r="BY119" s="24"/>
      <c r="BZ119" s="24"/>
      <c r="CA119" s="24"/>
      <c r="CB119" s="24"/>
      <c r="CC119" s="24"/>
      <c r="CD119" s="24"/>
      <c r="CE119" s="24"/>
    </row>
    <row r="120" spans="1:83" ht="15" customHeight="1">
      <c r="A120" s="4"/>
      <c r="B120" s="317">
        <f>IF($Q$8=$Q$7,CENY!B255,IF($Q$7=$Q$9,CENY!B264,CENY!B273))</f>
        <v>9353371</v>
      </c>
      <c r="C120" s="43" t="str">
        <f>VLOOKUP(B120,CENY!$B$11:$G$1054,2,FALSE)</f>
        <v>AvanY-sólo oceľ.boky-NW 187/650mm/strieb.</v>
      </c>
      <c r="D120" s="364">
        <f>VLOOKUP(B120,CENY!$B$11:$G$1054,3,FALSE)</f>
        <v>1</v>
      </c>
      <c r="E120" s="56" t="str">
        <f>IF(VLOOKUP(B120,CENY!$B$11:$G$1054,4,FALSE)=0,"",VLOOKUP(B120,CENY!$B$11:$G$1054,4,FALSE))</f>
        <v/>
      </c>
      <c r="F120" s="40" t="str">
        <f t="shared" si="31"/>
        <v/>
      </c>
      <c r="G120" s="52">
        <f>VLOOKUP(B120,CENY!$B$11:$M$1054,12,FALSE)</f>
        <v>895.00838999999996</v>
      </c>
      <c r="H120" s="54" t="str">
        <f t="shared" si="25"/>
        <v xml:space="preserve"> CZK</v>
      </c>
      <c r="I120" s="41" t="str">
        <f t="shared" si="26"/>
        <v/>
      </c>
      <c r="J120" s="122"/>
      <c r="K120" s="42" t="str">
        <f>VLOOKUP(B120,CENY!$B$11:$M$1054,8,FALSE)</f>
        <v xml:space="preserve"> </v>
      </c>
      <c r="L120" s="42" t="str">
        <f>VLOOKUP(B120,CENY!$B$11:$M$1054,9,FALSE)</f>
        <v>530069</v>
      </c>
      <c r="M120" s="32"/>
      <c r="N120" s="35">
        <f t="shared" si="32"/>
        <v>0</v>
      </c>
      <c r="O120" s="36">
        <v>0</v>
      </c>
      <c r="P120" s="32"/>
      <c r="Q120" s="32"/>
      <c r="R120" s="32"/>
      <c r="S120" s="32"/>
      <c r="T120" s="325">
        <f>'AVT187'!AZ13</f>
        <v>0</v>
      </c>
      <c r="U120" s="32"/>
      <c r="V120" s="32"/>
      <c r="W120" s="32"/>
      <c r="X120" s="32"/>
      <c r="Y120" s="32"/>
      <c r="Z120" s="32"/>
      <c r="AA120" s="32"/>
      <c r="AB120" s="32"/>
      <c r="AC120" s="32"/>
      <c r="AD120" s="325">
        <f>'AVT187(vn-A)'!AZ13</f>
        <v>0</v>
      </c>
      <c r="AE120" s="32"/>
      <c r="AF120" s="32"/>
      <c r="AG120" s="32"/>
      <c r="AH120" s="325">
        <f>'AVT187(vn-S)'!AZ13</f>
        <v>0</v>
      </c>
      <c r="AI120" s="32"/>
      <c r="AJ120" s="32"/>
      <c r="AK120" s="32"/>
      <c r="AL120" s="32"/>
      <c r="AM120" s="32"/>
      <c r="AN120" s="325">
        <f>'AVT-celny-101+187'!AZ23</f>
        <v>0</v>
      </c>
      <c r="AO120" s="32"/>
      <c r="AP120" s="32"/>
      <c r="AQ120" s="32"/>
      <c r="AR120" s="325">
        <f>'AVT-celny-2x187'!AZ13</f>
        <v>0</v>
      </c>
      <c r="AS120" s="32"/>
      <c r="AT120" s="32"/>
      <c r="AU120" s="32"/>
      <c r="AV120" s="325">
        <f>'potr-v101+187'!AZ19</f>
        <v>0</v>
      </c>
      <c r="AW120" s="32"/>
      <c r="AX120" s="32"/>
      <c r="AY120" s="32"/>
      <c r="AZ120" s="32"/>
      <c r="BA120" s="32"/>
      <c r="BB120" s="32"/>
      <c r="BC120" s="32"/>
      <c r="BD120" s="32"/>
      <c r="BE120" s="32"/>
      <c r="BF120" s="32"/>
      <c r="BG120" s="32"/>
      <c r="BH120" s="32"/>
      <c r="BI120" s="32"/>
      <c r="BJ120" s="32"/>
      <c r="BK120" s="32"/>
      <c r="BL120" s="32"/>
      <c r="BM120" s="32"/>
      <c r="BN120" s="32"/>
      <c r="BO120" s="165"/>
      <c r="BP120" s="165"/>
      <c r="BQ120" s="165"/>
      <c r="BR120" s="165"/>
      <c r="BS120" s="165"/>
      <c r="BT120" s="165"/>
      <c r="BU120" s="165"/>
      <c r="BV120" s="55"/>
      <c r="BW120" s="160"/>
      <c r="BX120" s="32"/>
      <c r="BY120" s="24"/>
      <c r="BZ120" s="24"/>
      <c r="CA120" s="24"/>
      <c r="CB120" s="24"/>
      <c r="CC120" s="24"/>
      <c r="CD120" s="24"/>
      <c r="CE120" s="24"/>
    </row>
    <row r="121" spans="1:83" ht="8.1" customHeight="1">
      <c r="A121" s="4"/>
      <c r="B121" s="317"/>
      <c r="C121" s="43"/>
      <c r="D121" s="39"/>
      <c r="E121" s="56"/>
      <c r="F121" s="40"/>
      <c r="G121" s="52"/>
      <c r="H121" s="54"/>
      <c r="I121" s="41"/>
      <c r="J121" s="122"/>
      <c r="K121" s="42"/>
      <c r="L121" s="42"/>
      <c r="M121" s="32"/>
      <c r="N121" s="35"/>
      <c r="O121" s="36">
        <v>0</v>
      </c>
      <c r="P121" s="32"/>
      <c r="Q121" s="32"/>
      <c r="R121" s="32"/>
      <c r="S121" s="32"/>
      <c r="T121" s="32"/>
      <c r="U121" s="32"/>
      <c r="V121" s="32"/>
      <c r="W121" s="32"/>
      <c r="X121" s="32"/>
      <c r="Y121" s="32"/>
      <c r="Z121" s="32"/>
      <c r="AA121" s="32"/>
      <c r="AB121" s="32"/>
      <c r="AC121" s="32"/>
      <c r="AD121" s="32"/>
      <c r="AE121" s="32"/>
      <c r="AF121" s="32"/>
      <c r="AG121" s="32"/>
      <c r="AH121" s="32"/>
      <c r="AI121" s="32"/>
      <c r="AJ121" s="32"/>
      <c r="AK121" s="32"/>
      <c r="AL121" s="32"/>
      <c r="AM121" s="32"/>
      <c r="AN121" s="32"/>
      <c r="AO121" s="32"/>
      <c r="AP121" s="32"/>
      <c r="AQ121" s="32"/>
      <c r="AR121" s="32"/>
      <c r="AS121" s="32"/>
      <c r="AT121" s="32"/>
      <c r="AU121" s="32"/>
      <c r="AV121" s="32"/>
      <c r="AW121" s="32"/>
      <c r="AX121" s="32"/>
      <c r="AY121" s="32"/>
      <c r="AZ121" s="32"/>
      <c r="BA121" s="32"/>
      <c r="BB121" s="32"/>
      <c r="BC121" s="32"/>
      <c r="BD121" s="32"/>
      <c r="BE121" s="32"/>
      <c r="BF121" s="32"/>
      <c r="BG121" s="32"/>
      <c r="BH121" s="32"/>
      <c r="BI121" s="32"/>
      <c r="BJ121" s="32"/>
      <c r="BK121" s="32"/>
      <c r="BL121" s="32"/>
      <c r="BM121" s="32"/>
      <c r="BN121" s="32"/>
      <c r="BO121" s="165"/>
      <c r="BP121" s="165"/>
      <c r="BQ121" s="165"/>
      <c r="BR121" s="165"/>
      <c r="BS121" s="165"/>
      <c r="BT121" s="165"/>
      <c r="BU121" s="165"/>
      <c r="BV121" s="55"/>
      <c r="BW121" s="160"/>
      <c r="BX121" s="32"/>
      <c r="BY121" s="24"/>
      <c r="BZ121" s="24"/>
      <c r="CA121" s="24"/>
      <c r="CB121" s="24"/>
      <c r="CC121" s="24"/>
      <c r="CD121" s="24"/>
      <c r="CE121" s="24"/>
    </row>
    <row r="122" spans="1:83" ht="15" customHeight="1">
      <c r="A122" s="4"/>
      <c r="B122" s="317">
        <f>IF($Q$8=$Q$7,CENY!B274,IF($Q$7=$Q$9,CENY!B292,CENY!B310))</f>
        <v>9255044</v>
      </c>
      <c r="C122" s="43" t="str">
        <f>VLOOKUP(B122,CENY!$B$11:$G$1054,2,FALSE)</f>
        <v>AvanY-bok ľavý /v187/h270/ strieborná</v>
      </c>
      <c r="D122" s="353">
        <f>VLOOKUP(B122,CENY!$B$11:$G$1054,3,FALSE)</f>
        <v>10</v>
      </c>
      <c r="E122" s="56" t="str">
        <f>IF(VLOOKUP(B122,CENY!$B$11:$G$1054,4,FALSE)=0,"",VLOOKUP(B122,CENY!$B$11:$G$1054,4,FALSE))</f>
        <v/>
      </c>
      <c r="F122" s="40" t="str">
        <f t="shared" ref="F122:F139" si="33">IF(J122&lt;&gt;"",J122,IF(N122=0,"",N122))</f>
        <v/>
      </c>
      <c r="G122" s="52">
        <f>VLOOKUP(B122,CENY!$B$11:$M$1054,12,FALSE)</f>
        <v>343.85318000000001</v>
      </c>
      <c r="H122" s="54" t="str">
        <f t="shared" si="25"/>
        <v xml:space="preserve"> CZK</v>
      </c>
      <c r="I122" s="41" t="str">
        <f t="shared" si="26"/>
        <v/>
      </c>
      <c r="J122" s="122"/>
      <c r="K122" s="42" t="str">
        <f>VLOOKUP(B122,CENY!$B$11:$M$1054,8,FALSE)</f>
        <v xml:space="preserve"> </v>
      </c>
      <c r="L122" s="42" t="str">
        <f>VLOOKUP(B122,CENY!$B$11:$M$1054,9,FALSE)</f>
        <v>396809</v>
      </c>
      <c r="M122" s="32"/>
      <c r="N122" s="35">
        <f t="shared" ref="N122:N141" si="34">SUM(P122:BW122)</f>
        <v>0</v>
      </c>
      <c r="O122" s="36">
        <v>0</v>
      </c>
      <c r="P122" s="32"/>
      <c r="Q122" s="32"/>
      <c r="R122" s="32"/>
      <c r="S122" s="32"/>
      <c r="T122" s="32"/>
      <c r="U122" s="325">
        <f>'AVT187'!BI5</f>
        <v>0</v>
      </c>
      <c r="V122" s="32"/>
      <c r="W122" s="32"/>
      <c r="X122" s="32"/>
      <c r="Y122" s="32"/>
      <c r="Z122" s="32"/>
      <c r="AA122" s="32"/>
      <c r="AB122" s="32"/>
      <c r="AC122" s="32"/>
      <c r="AD122" s="32"/>
      <c r="AE122" s="325">
        <f>'AVT187(vn-A)'!BI5</f>
        <v>0</v>
      </c>
      <c r="AF122" s="32"/>
      <c r="AG122" s="32"/>
      <c r="AH122" s="32"/>
      <c r="AI122" s="325">
        <f>'AVT187(vn-S)'!BI5</f>
        <v>0</v>
      </c>
      <c r="AJ122" s="32"/>
      <c r="AK122" s="32"/>
      <c r="AL122" s="32"/>
      <c r="AM122" s="32"/>
      <c r="AN122" s="32"/>
      <c r="AO122" s="325">
        <f>'AVT-celny-101+187'!BI24</f>
        <v>0</v>
      </c>
      <c r="AP122" s="32"/>
      <c r="AQ122" s="32"/>
      <c r="AR122" s="32"/>
      <c r="AS122" s="325">
        <f>'AVT-celny-2x187'!BI5</f>
        <v>0</v>
      </c>
      <c r="AT122" s="32"/>
      <c r="AU122" s="32"/>
      <c r="AV122" s="32"/>
      <c r="AW122" s="32"/>
      <c r="AX122" s="32"/>
      <c r="AY122" s="32"/>
      <c r="AZ122" s="32"/>
      <c r="BA122" s="32"/>
      <c r="BB122" s="32"/>
      <c r="BC122" s="32"/>
      <c r="BD122" s="32"/>
      <c r="BE122" s="32"/>
      <c r="BF122" s="32"/>
      <c r="BG122" s="32"/>
      <c r="BH122" s="32"/>
      <c r="BI122" s="32"/>
      <c r="BJ122" s="32"/>
      <c r="BK122" s="32"/>
      <c r="BL122" s="32"/>
      <c r="BM122" s="32"/>
      <c r="BN122" s="32"/>
      <c r="BO122" s="165"/>
      <c r="BP122" s="165"/>
      <c r="BQ122" s="165"/>
      <c r="BR122" s="165"/>
      <c r="BS122" s="165"/>
      <c r="BT122" s="165"/>
      <c r="BU122" s="165"/>
      <c r="BV122" s="55"/>
      <c r="BW122" s="160"/>
      <c r="BX122" s="32"/>
      <c r="BY122" s="24"/>
      <c r="BZ122" s="24"/>
      <c r="CA122" s="24"/>
      <c r="CB122" s="24"/>
      <c r="CC122" s="24"/>
      <c r="CD122" s="24"/>
      <c r="CE122" s="24"/>
    </row>
    <row r="123" spans="1:83" ht="15" customHeight="1">
      <c r="A123" s="4"/>
      <c r="B123" s="317">
        <f>IF($Q$8=$Q$7,CENY!B275,IF($Q$7=$Q$9,CENY!B293,CENY!B311))</f>
        <v>9255045</v>
      </c>
      <c r="C123" s="43" t="str">
        <f>VLOOKUP(B123,CENY!$B$11:$G$1054,2,FALSE)</f>
        <v>AvanY-bok pravý /v187/h270/ strieborná</v>
      </c>
      <c r="D123" s="353">
        <f>VLOOKUP(B123,CENY!$B$11:$G$1054,3,FALSE)</f>
        <v>10</v>
      </c>
      <c r="E123" s="56" t="str">
        <f>IF(VLOOKUP(B123,CENY!$B$11:$G$1054,4,FALSE)=0,"",VLOOKUP(B123,CENY!$B$11:$G$1054,4,FALSE))</f>
        <v/>
      </c>
      <c r="F123" s="40" t="str">
        <f t="shared" si="33"/>
        <v/>
      </c>
      <c r="G123" s="52">
        <f>VLOOKUP(B123,CENY!$B$11:$M$1054,12,FALSE)</f>
        <v>343.85318000000001</v>
      </c>
      <c r="H123" s="54" t="str">
        <f t="shared" si="25"/>
        <v xml:space="preserve"> CZK</v>
      </c>
      <c r="I123" s="41" t="str">
        <f t="shared" si="26"/>
        <v/>
      </c>
      <c r="J123" s="122"/>
      <c r="K123" s="42" t="str">
        <f>VLOOKUP(B123,CENY!$B$11:$M$1054,8,FALSE)</f>
        <v xml:space="preserve"> </v>
      </c>
      <c r="L123" s="42" t="str">
        <f>VLOOKUP(B123,CENY!$B$11:$M$1054,9,FALSE)</f>
        <v>396810</v>
      </c>
      <c r="M123" s="32"/>
      <c r="N123" s="35">
        <f t="shared" si="34"/>
        <v>0</v>
      </c>
      <c r="O123" s="36">
        <v>0</v>
      </c>
      <c r="P123" s="32"/>
      <c r="Q123" s="32"/>
      <c r="R123" s="32"/>
      <c r="S123" s="32"/>
      <c r="T123" s="32"/>
      <c r="U123" s="325">
        <f>'AVT187'!BI6</f>
        <v>0</v>
      </c>
      <c r="V123" s="32"/>
      <c r="W123" s="32"/>
      <c r="X123" s="32"/>
      <c r="Y123" s="32"/>
      <c r="Z123" s="32"/>
      <c r="AA123" s="32"/>
      <c r="AB123" s="32"/>
      <c r="AC123" s="32"/>
      <c r="AD123" s="32"/>
      <c r="AE123" s="325">
        <f>'AVT187(vn-A)'!BI6</f>
        <v>0</v>
      </c>
      <c r="AF123" s="32"/>
      <c r="AG123" s="32"/>
      <c r="AH123" s="32"/>
      <c r="AI123" s="325">
        <f>'AVT187(vn-S)'!BI6</f>
        <v>0</v>
      </c>
      <c r="AJ123" s="32"/>
      <c r="AK123" s="32"/>
      <c r="AL123" s="32"/>
      <c r="AM123" s="32"/>
      <c r="AN123" s="32"/>
      <c r="AO123" s="325">
        <f>'AVT-celny-101+187'!BI25</f>
        <v>0</v>
      </c>
      <c r="AP123" s="32"/>
      <c r="AQ123" s="32"/>
      <c r="AR123" s="32"/>
      <c r="AS123" s="325">
        <f>'AVT-celny-2x187'!BI6</f>
        <v>0</v>
      </c>
      <c r="AT123" s="32"/>
      <c r="AU123" s="32"/>
      <c r="AV123" s="32"/>
      <c r="AW123" s="32"/>
      <c r="AX123" s="32"/>
      <c r="AY123" s="32"/>
      <c r="AZ123" s="32"/>
      <c r="BA123" s="32"/>
      <c r="BB123" s="32"/>
      <c r="BC123" s="32"/>
      <c r="BD123" s="32"/>
      <c r="BE123" s="32"/>
      <c r="BF123" s="32"/>
      <c r="BG123" s="32"/>
      <c r="BH123" s="32"/>
      <c r="BI123" s="32"/>
      <c r="BJ123" s="32"/>
      <c r="BK123" s="32"/>
      <c r="BL123" s="32"/>
      <c r="BM123" s="32"/>
      <c r="BN123" s="32"/>
      <c r="BO123" s="165"/>
      <c r="BP123" s="165"/>
      <c r="BQ123" s="165"/>
      <c r="BR123" s="165"/>
      <c r="BS123" s="165"/>
      <c r="BT123" s="165"/>
      <c r="BU123" s="165"/>
      <c r="BV123" s="55"/>
      <c r="BW123" s="160"/>
      <c r="BX123" s="32"/>
      <c r="BY123" s="24"/>
      <c r="BZ123" s="24"/>
      <c r="CA123" s="24"/>
      <c r="CB123" s="24"/>
      <c r="CC123" s="24"/>
      <c r="CD123" s="24"/>
      <c r="CE123" s="24"/>
    </row>
    <row r="124" spans="1:83" ht="15" customHeight="1">
      <c r="A124" s="4"/>
      <c r="B124" s="317">
        <f>IF($Q$8=$Q$7,CENY!B276,IF($Q$7=$Q$9,CENY!B294,CENY!B312))</f>
        <v>9255046</v>
      </c>
      <c r="C124" s="43" t="str">
        <f>VLOOKUP(B124,CENY!$B$11:$G$1054,2,FALSE)</f>
        <v>AvanY-bok ľavý /v187/h300/ strieborná</v>
      </c>
      <c r="D124" s="353">
        <f>VLOOKUP(B124,CENY!$B$11:$G$1054,3,FALSE)</f>
        <v>10</v>
      </c>
      <c r="E124" s="56" t="str">
        <f>IF(VLOOKUP(B124,CENY!$B$11:$G$1054,4,FALSE)=0,"",VLOOKUP(B124,CENY!$B$11:$G$1054,4,FALSE))</f>
        <v/>
      </c>
      <c r="F124" s="40" t="str">
        <f t="shared" si="33"/>
        <v/>
      </c>
      <c r="G124" s="52">
        <f>VLOOKUP(B124,CENY!$B$11:$M$1054,12,FALSE)</f>
        <v>347.69150999999999</v>
      </c>
      <c r="H124" s="54" t="str">
        <f t="shared" si="25"/>
        <v xml:space="preserve"> CZK</v>
      </c>
      <c r="I124" s="41" t="str">
        <f t="shared" si="26"/>
        <v/>
      </c>
      <c r="J124" s="122"/>
      <c r="K124" s="42" t="str">
        <f>VLOOKUP(B124,CENY!$B$11:$M$1054,8,FALSE)</f>
        <v xml:space="preserve"> </v>
      </c>
      <c r="L124" s="42" t="str">
        <f>VLOOKUP(B124,CENY!$B$11:$M$1054,9,FALSE)</f>
        <v>396811</v>
      </c>
      <c r="M124" s="32"/>
      <c r="N124" s="35">
        <f t="shared" si="34"/>
        <v>0</v>
      </c>
      <c r="O124" s="36">
        <v>0</v>
      </c>
      <c r="P124" s="32"/>
      <c r="Q124" s="32"/>
      <c r="R124" s="32"/>
      <c r="S124" s="32"/>
      <c r="T124" s="32"/>
      <c r="U124" s="325">
        <f>'AVT187'!BI7</f>
        <v>0</v>
      </c>
      <c r="V124" s="32"/>
      <c r="W124" s="32"/>
      <c r="X124" s="32"/>
      <c r="Y124" s="32"/>
      <c r="Z124" s="32"/>
      <c r="AA124" s="32"/>
      <c r="AB124" s="32"/>
      <c r="AC124" s="32"/>
      <c r="AD124" s="32"/>
      <c r="AE124" s="325">
        <f>'AVT187(vn-A)'!BI7</f>
        <v>0</v>
      </c>
      <c r="AF124" s="32"/>
      <c r="AG124" s="32"/>
      <c r="AH124" s="32"/>
      <c r="AI124" s="325">
        <f>'AVT187(vn-S)'!BI7</f>
        <v>0</v>
      </c>
      <c r="AJ124" s="32"/>
      <c r="AK124" s="32"/>
      <c r="AL124" s="32"/>
      <c r="AM124" s="32"/>
      <c r="AN124" s="32"/>
      <c r="AO124" s="325">
        <f>'AVT-celny-101+187'!BI26</f>
        <v>0</v>
      </c>
      <c r="AP124" s="32"/>
      <c r="AQ124" s="325">
        <f>'AVT-celny-139+187'!BI20</f>
        <v>0</v>
      </c>
      <c r="AR124" s="32"/>
      <c r="AS124" s="325">
        <f>'AVT-celny-2x187'!BI7</f>
        <v>0</v>
      </c>
      <c r="AT124" s="32"/>
      <c r="AU124" s="32"/>
      <c r="AV124" s="32"/>
      <c r="AW124" s="32"/>
      <c r="AX124" s="32"/>
      <c r="AY124" s="32"/>
      <c r="AZ124" s="32"/>
      <c r="BA124" s="32"/>
      <c r="BB124" s="32"/>
      <c r="BC124" s="32"/>
      <c r="BD124" s="32"/>
      <c r="BE124" s="32"/>
      <c r="BF124" s="32"/>
      <c r="BG124" s="32"/>
      <c r="BH124" s="32"/>
      <c r="BI124" s="32"/>
      <c r="BJ124" s="32"/>
      <c r="BK124" s="32"/>
      <c r="BL124" s="32"/>
      <c r="BM124" s="32"/>
      <c r="BN124" s="32"/>
      <c r="BO124" s="165"/>
      <c r="BP124" s="165"/>
      <c r="BQ124" s="165"/>
      <c r="BR124" s="165"/>
      <c r="BS124" s="165"/>
      <c r="BT124" s="165"/>
      <c r="BU124" s="165"/>
      <c r="BV124" s="55"/>
      <c r="BW124" s="160"/>
      <c r="BX124" s="32"/>
      <c r="BY124" s="24"/>
      <c r="BZ124" s="24"/>
      <c r="CA124" s="24"/>
      <c r="CB124" s="24"/>
      <c r="CC124" s="24"/>
      <c r="CD124" s="24"/>
      <c r="CE124" s="24"/>
    </row>
    <row r="125" spans="1:83" ht="15" customHeight="1">
      <c r="A125" s="4"/>
      <c r="B125" s="317">
        <f>IF($Q$8=$Q$7,CENY!B277,IF($Q$7=$Q$9,CENY!B295,CENY!B313))</f>
        <v>9255047</v>
      </c>
      <c r="C125" s="43" t="str">
        <f>VLOOKUP(B125,CENY!$B$11:$G$1054,2,FALSE)</f>
        <v>AvanY-bok pravý /v187/h300/ strieborná</v>
      </c>
      <c r="D125" s="353">
        <f>VLOOKUP(B125,CENY!$B$11:$G$1054,3,FALSE)</f>
        <v>10</v>
      </c>
      <c r="E125" s="56" t="str">
        <f>IF(VLOOKUP(B125,CENY!$B$11:$G$1054,4,FALSE)=0,"",VLOOKUP(B125,CENY!$B$11:$G$1054,4,FALSE))</f>
        <v/>
      </c>
      <c r="F125" s="40" t="str">
        <f t="shared" si="33"/>
        <v/>
      </c>
      <c r="G125" s="52">
        <f>VLOOKUP(B125,CENY!$B$11:$M$1054,12,FALSE)</f>
        <v>347.69150999999999</v>
      </c>
      <c r="H125" s="54" t="str">
        <f t="shared" si="25"/>
        <v xml:space="preserve"> CZK</v>
      </c>
      <c r="I125" s="41" t="str">
        <f t="shared" si="26"/>
        <v/>
      </c>
      <c r="J125" s="122"/>
      <c r="K125" s="42" t="str">
        <f>VLOOKUP(B125,CENY!$B$11:$M$1054,8,FALSE)</f>
        <v xml:space="preserve"> </v>
      </c>
      <c r="L125" s="42" t="str">
        <f>VLOOKUP(B125,CENY!$B$11:$M$1054,9,FALSE)</f>
        <v>396812</v>
      </c>
      <c r="M125" s="32"/>
      <c r="N125" s="35">
        <f t="shared" si="34"/>
        <v>0</v>
      </c>
      <c r="O125" s="36">
        <v>0</v>
      </c>
      <c r="P125" s="32"/>
      <c r="Q125" s="32"/>
      <c r="R125" s="32"/>
      <c r="S125" s="32"/>
      <c r="T125" s="32"/>
      <c r="U125" s="325">
        <f>'AVT187'!BI8</f>
        <v>0</v>
      </c>
      <c r="V125" s="32"/>
      <c r="W125" s="32"/>
      <c r="X125" s="32"/>
      <c r="Y125" s="32"/>
      <c r="Z125" s="32"/>
      <c r="AA125" s="32"/>
      <c r="AB125" s="32"/>
      <c r="AC125" s="32"/>
      <c r="AD125" s="32"/>
      <c r="AE125" s="325">
        <f>'AVT187(vn-A)'!BI8</f>
        <v>0</v>
      </c>
      <c r="AF125" s="32"/>
      <c r="AG125" s="32"/>
      <c r="AH125" s="32"/>
      <c r="AI125" s="325">
        <f>'AVT187(vn-S)'!BI8</f>
        <v>0</v>
      </c>
      <c r="AJ125" s="32"/>
      <c r="AK125" s="32"/>
      <c r="AL125" s="32"/>
      <c r="AM125" s="32"/>
      <c r="AN125" s="32"/>
      <c r="AO125" s="325">
        <f>'AVT-celny-101+187'!BI27</f>
        <v>0</v>
      </c>
      <c r="AP125" s="32"/>
      <c r="AQ125" s="325">
        <f>'AVT-celny-139+187'!BI21</f>
        <v>0</v>
      </c>
      <c r="AR125" s="32"/>
      <c r="AS125" s="325">
        <f>'AVT-celny-2x187'!BI8</f>
        <v>0</v>
      </c>
      <c r="AT125" s="32"/>
      <c r="AU125" s="32"/>
      <c r="AV125" s="32"/>
      <c r="AW125" s="32"/>
      <c r="AX125" s="32"/>
      <c r="AY125" s="32"/>
      <c r="AZ125" s="32"/>
      <c r="BA125" s="32"/>
      <c r="BB125" s="32"/>
      <c r="BC125" s="32"/>
      <c r="BD125" s="32"/>
      <c r="BE125" s="32"/>
      <c r="BF125" s="32"/>
      <c r="BG125" s="32"/>
      <c r="BH125" s="32"/>
      <c r="BI125" s="32"/>
      <c r="BJ125" s="32"/>
      <c r="BK125" s="32"/>
      <c r="BL125" s="32"/>
      <c r="BM125" s="32"/>
      <c r="BN125" s="32"/>
      <c r="BO125" s="165"/>
      <c r="BP125" s="165"/>
      <c r="BQ125" s="165"/>
      <c r="BR125" s="165"/>
      <c r="BS125" s="165"/>
      <c r="BT125" s="165"/>
      <c r="BU125" s="165"/>
      <c r="BV125" s="55"/>
      <c r="BW125" s="160"/>
      <c r="BX125" s="32"/>
      <c r="BY125" s="24"/>
      <c r="BZ125" s="24"/>
      <c r="CA125" s="24"/>
      <c r="CB125" s="24"/>
      <c r="CC125" s="24"/>
      <c r="CD125" s="24"/>
      <c r="CE125" s="24"/>
    </row>
    <row r="126" spans="1:83" ht="15" customHeight="1">
      <c r="A126" s="4"/>
      <c r="B126" s="317">
        <f>IF($Q$8=$Q$7,CENY!B278,IF($Q$7=$Q$9,CENY!B296,CENY!B314))</f>
        <v>9255048</v>
      </c>
      <c r="C126" s="43" t="str">
        <f>VLOOKUP(B126,CENY!$B$11:$G$1054,2,FALSE)</f>
        <v>AvanY-bok ľavý /v187/h350/ strieborná</v>
      </c>
      <c r="D126" s="353">
        <f>VLOOKUP(B126,CENY!$B$11:$G$1054,3,FALSE)</f>
        <v>10</v>
      </c>
      <c r="E126" s="56" t="str">
        <f>IF(VLOOKUP(B126,CENY!$B$11:$G$1054,4,FALSE)=0,"",VLOOKUP(B126,CENY!$B$11:$G$1054,4,FALSE))</f>
        <v/>
      </c>
      <c r="F126" s="40" t="str">
        <f t="shared" si="33"/>
        <v/>
      </c>
      <c r="G126" s="52">
        <f>VLOOKUP(B126,CENY!$B$11:$M$1054,12,FALSE)</f>
        <v>354.09370999999999</v>
      </c>
      <c r="H126" s="54" t="str">
        <f t="shared" si="25"/>
        <v xml:space="preserve"> CZK</v>
      </c>
      <c r="I126" s="41" t="str">
        <f t="shared" si="26"/>
        <v/>
      </c>
      <c r="J126" s="122"/>
      <c r="K126" s="42" t="str">
        <f>VLOOKUP(B126,CENY!$B$11:$M$1054,8,FALSE)</f>
        <v xml:space="preserve"> </v>
      </c>
      <c r="L126" s="42" t="str">
        <f>VLOOKUP(B126,CENY!$B$11:$M$1054,9,FALSE)</f>
        <v>396813</v>
      </c>
      <c r="M126" s="32"/>
      <c r="N126" s="35">
        <f t="shared" si="34"/>
        <v>0</v>
      </c>
      <c r="O126" s="36">
        <v>0</v>
      </c>
      <c r="P126" s="32"/>
      <c r="Q126" s="32"/>
      <c r="R126" s="32"/>
      <c r="S126" s="32"/>
      <c r="T126" s="32"/>
      <c r="U126" s="325">
        <f>'AVT187'!BI9</f>
        <v>0</v>
      </c>
      <c r="V126" s="32"/>
      <c r="W126" s="32"/>
      <c r="X126" s="32"/>
      <c r="Y126" s="32"/>
      <c r="Z126" s="32"/>
      <c r="AA126" s="32"/>
      <c r="AB126" s="32"/>
      <c r="AC126" s="32"/>
      <c r="AD126" s="32"/>
      <c r="AE126" s="325">
        <f>'AVT187(vn-A)'!BI9</f>
        <v>0</v>
      </c>
      <c r="AF126" s="32"/>
      <c r="AG126" s="32"/>
      <c r="AH126" s="32"/>
      <c r="AI126" s="325">
        <f>'AVT187(vn-S)'!BI9</f>
        <v>0</v>
      </c>
      <c r="AJ126" s="32"/>
      <c r="AK126" s="32"/>
      <c r="AL126" s="32"/>
      <c r="AM126" s="32"/>
      <c r="AN126" s="32"/>
      <c r="AO126" s="325">
        <f>'AVT-celny-101+187'!BI28</f>
        <v>0</v>
      </c>
      <c r="AP126" s="32"/>
      <c r="AQ126" s="325">
        <f>'AVT-celny-139+187'!BI22</f>
        <v>0</v>
      </c>
      <c r="AR126" s="32"/>
      <c r="AS126" s="325">
        <f>'AVT-celny-2x187'!BI9</f>
        <v>0</v>
      </c>
      <c r="AT126" s="32"/>
      <c r="AU126" s="32"/>
      <c r="AV126" s="32"/>
      <c r="AW126" s="32"/>
      <c r="AX126" s="32"/>
      <c r="AY126" s="32"/>
      <c r="AZ126" s="32"/>
      <c r="BA126" s="32"/>
      <c r="BB126" s="32"/>
      <c r="BC126" s="32"/>
      <c r="BD126" s="32"/>
      <c r="BE126" s="32"/>
      <c r="BF126" s="32"/>
      <c r="BG126" s="32"/>
      <c r="BH126" s="32"/>
      <c r="BI126" s="32"/>
      <c r="BJ126" s="32"/>
      <c r="BK126" s="32"/>
      <c r="BL126" s="32"/>
      <c r="BM126" s="32"/>
      <c r="BN126" s="32"/>
      <c r="BO126" s="165"/>
      <c r="BP126" s="165"/>
      <c r="BQ126" s="165"/>
      <c r="BR126" s="165"/>
      <c r="BS126" s="165"/>
      <c r="BT126" s="165"/>
      <c r="BU126" s="165"/>
      <c r="BV126" s="55"/>
      <c r="BW126" s="160"/>
      <c r="BX126" s="32"/>
      <c r="BY126" s="24"/>
      <c r="BZ126" s="24"/>
      <c r="CA126" s="24"/>
      <c r="CB126" s="24"/>
      <c r="CC126" s="24"/>
      <c r="CD126" s="24"/>
      <c r="CE126" s="24"/>
    </row>
    <row r="127" spans="1:83" ht="15" customHeight="1">
      <c r="A127" s="4"/>
      <c r="B127" s="317">
        <f>IF($Q$8=$Q$7,CENY!B279,IF($Q$7=$Q$9,CENY!B297,CENY!B315))</f>
        <v>9255049</v>
      </c>
      <c r="C127" s="43" t="str">
        <f>VLOOKUP(B127,CENY!$B$11:$G$1054,2,FALSE)</f>
        <v>AvanY-bok pravý /v187/h350/ strieborná</v>
      </c>
      <c r="D127" s="353">
        <f>VLOOKUP(B127,CENY!$B$11:$G$1054,3,FALSE)</f>
        <v>10</v>
      </c>
      <c r="E127" s="56" t="str">
        <f>IF(VLOOKUP(B127,CENY!$B$11:$G$1054,4,FALSE)=0,"",VLOOKUP(B127,CENY!$B$11:$G$1054,4,FALSE))</f>
        <v/>
      </c>
      <c r="F127" s="40" t="str">
        <f t="shared" si="33"/>
        <v/>
      </c>
      <c r="G127" s="52">
        <f>VLOOKUP(B127,CENY!$B$11:$M$1054,12,FALSE)</f>
        <v>354.09370999999999</v>
      </c>
      <c r="H127" s="54" t="str">
        <f t="shared" si="25"/>
        <v xml:space="preserve"> CZK</v>
      </c>
      <c r="I127" s="41" t="str">
        <f t="shared" si="26"/>
        <v/>
      </c>
      <c r="J127" s="122"/>
      <c r="K127" s="42" t="str">
        <f>VLOOKUP(B127,CENY!$B$11:$M$1054,8,FALSE)</f>
        <v xml:space="preserve"> </v>
      </c>
      <c r="L127" s="42" t="str">
        <f>VLOOKUP(B127,CENY!$B$11:$M$1054,9,FALSE)</f>
        <v>396814</v>
      </c>
      <c r="M127" s="32"/>
      <c r="N127" s="35">
        <f t="shared" si="34"/>
        <v>0</v>
      </c>
      <c r="O127" s="36">
        <v>0</v>
      </c>
      <c r="P127" s="32"/>
      <c r="Q127" s="32"/>
      <c r="R127" s="32"/>
      <c r="S127" s="32"/>
      <c r="T127" s="32"/>
      <c r="U127" s="325">
        <f>'AVT187'!BI10</f>
        <v>0</v>
      </c>
      <c r="V127" s="32"/>
      <c r="W127" s="32"/>
      <c r="X127" s="32"/>
      <c r="Y127" s="32"/>
      <c r="Z127" s="32"/>
      <c r="AA127" s="32"/>
      <c r="AB127" s="32"/>
      <c r="AC127" s="32"/>
      <c r="AD127" s="32"/>
      <c r="AE127" s="325">
        <f>'AVT187(vn-A)'!BI10</f>
        <v>0</v>
      </c>
      <c r="AF127" s="32"/>
      <c r="AG127" s="32"/>
      <c r="AH127" s="32"/>
      <c r="AI127" s="325">
        <f>'AVT187(vn-S)'!BI10</f>
        <v>0</v>
      </c>
      <c r="AJ127" s="32"/>
      <c r="AK127" s="32"/>
      <c r="AL127" s="32"/>
      <c r="AM127" s="32"/>
      <c r="AN127" s="32"/>
      <c r="AO127" s="325">
        <f>'AVT-celny-101+187'!BI29</f>
        <v>0</v>
      </c>
      <c r="AP127" s="32"/>
      <c r="AQ127" s="325">
        <f>'AVT-celny-139+187'!BI23</f>
        <v>0</v>
      </c>
      <c r="AR127" s="32"/>
      <c r="AS127" s="325">
        <f>'AVT-celny-2x187'!BI10</f>
        <v>0</v>
      </c>
      <c r="AT127" s="32"/>
      <c r="AU127" s="32"/>
      <c r="AV127" s="32"/>
      <c r="AW127" s="32"/>
      <c r="AX127" s="32"/>
      <c r="AY127" s="32"/>
      <c r="AZ127" s="32"/>
      <c r="BA127" s="32"/>
      <c r="BB127" s="32"/>
      <c r="BC127" s="32"/>
      <c r="BD127" s="32"/>
      <c r="BE127" s="32"/>
      <c r="BF127" s="32"/>
      <c r="BG127" s="32"/>
      <c r="BH127" s="32"/>
      <c r="BI127" s="32"/>
      <c r="BJ127" s="32"/>
      <c r="BK127" s="32"/>
      <c r="BL127" s="32"/>
      <c r="BM127" s="32"/>
      <c r="BN127" s="32"/>
      <c r="BO127" s="165"/>
      <c r="BP127" s="165"/>
      <c r="BQ127" s="165"/>
      <c r="BR127" s="165"/>
      <c r="BS127" s="165"/>
      <c r="BT127" s="165"/>
      <c r="BU127" s="165"/>
      <c r="BV127" s="55"/>
      <c r="BW127" s="160"/>
      <c r="BX127" s="32"/>
      <c r="BY127" s="24"/>
      <c r="BZ127" s="24"/>
      <c r="CA127" s="24"/>
      <c r="CB127" s="24"/>
      <c r="CC127" s="24"/>
      <c r="CD127" s="24"/>
      <c r="CE127" s="24"/>
    </row>
    <row r="128" spans="1:83" ht="15" customHeight="1">
      <c r="A128" s="4"/>
      <c r="B128" s="317">
        <f>IF($Q$8=$Q$7,CENY!B280,IF($Q$7=$Q$9,CENY!B298,CENY!B316))</f>
        <v>9255050</v>
      </c>
      <c r="C128" s="43" t="str">
        <f>VLOOKUP(B128,CENY!$B$11:$G$1054,2,FALSE)</f>
        <v>AvanY-bok ľavý /v187/h400/ strieborná</v>
      </c>
      <c r="D128" s="353">
        <f>VLOOKUP(B128,CENY!$B$11:$G$1054,3,FALSE)</f>
        <v>10</v>
      </c>
      <c r="E128" s="56" t="str">
        <f>IF(VLOOKUP(B128,CENY!$B$11:$G$1054,4,FALSE)=0,"",VLOOKUP(B128,CENY!$B$11:$G$1054,4,FALSE))</f>
        <v/>
      </c>
      <c r="F128" s="40" t="str">
        <f t="shared" si="33"/>
        <v/>
      </c>
      <c r="G128" s="52">
        <f>VLOOKUP(B128,CENY!$B$11:$M$1054,12,FALSE)</f>
        <v>360.48838000000001</v>
      </c>
      <c r="H128" s="54" t="str">
        <f t="shared" si="25"/>
        <v xml:space="preserve"> CZK</v>
      </c>
      <c r="I128" s="41" t="str">
        <f t="shared" si="26"/>
        <v/>
      </c>
      <c r="J128" s="122"/>
      <c r="K128" s="42" t="str">
        <f>VLOOKUP(B128,CENY!$B$11:$M$1054,8,FALSE)</f>
        <v xml:space="preserve"> </v>
      </c>
      <c r="L128" s="42" t="str">
        <f>VLOOKUP(B128,CENY!$B$11:$M$1054,9,FALSE)</f>
        <v>396815</v>
      </c>
      <c r="M128" s="32"/>
      <c r="N128" s="35">
        <f t="shared" si="34"/>
        <v>0</v>
      </c>
      <c r="O128" s="36">
        <v>0</v>
      </c>
      <c r="P128" s="32"/>
      <c r="Q128" s="32"/>
      <c r="R128" s="32"/>
      <c r="S128" s="32"/>
      <c r="T128" s="32"/>
      <c r="U128" s="325">
        <f>'AVT187'!BI11</f>
        <v>0</v>
      </c>
      <c r="V128" s="32"/>
      <c r="W128" s="32"/>
      <c r="X128" s="32"/>
      <c r="Y128" s="32"/>
      <c r="Z128" s="32"/>
      <c r="AA128" s="32"/>
      <c r="AB128" s="32"/>
      <c r="AC128" s="32"/>
      <c r="AD128" s="32"/>
      <c r="AE128" s="325">
        <f>'AVT187(vn-A)'!BI11</f>
        <v>0</v>
      </c>
      <c r="AF128" s="32"/>
      <c r="AG128" s="32"/>
      <c r="AH128" s="32"/>
      <c r="AI128" s="325">
        <f>'AVT187(vn-S)'!BI11</f>
        <v>0</v>
      </c>
      <c r="AJ128" s="32"/>
      <c r="AK128" s="32"/>
      <c r="AL128" s="32"/>
      <c r="AM128" s="32"/>
      <c r="AN128" s="32"/>
      <c r="AO128" s="325">
        <f>'AVT-celny-101+187'!BI30</f>
        <v>0</v>
      </c>
      <c r="AP128" s="32"/>
      <c r="AQ128" s="325">
        <f>'AVT-celny-139+187'!BI24</f>
        <v>0</v>
      </c>
      <c r="AR128" s="32"/>
      <c r="AS128" s="325">
        <f>'AVT-celny-2x187'!BI11</f>
        <v>0</v>
      </c>
      <c r="AT128" s="32"/>
      <c r="AU128" s="32"/>
      <c r="AV128" s="32"/>
      <c r="AW128" s="32"/>
      <c r="AX128" s="32"/>
      <c r="AY128" s="32"/>
      <c r="AZ128" s="32"/>
      <c r="BA128" s="32"/>
      <c r="BB128" s="32"/>
      <c r="BC128" s="32"/>
      <c r="BD128" s="32"/>
      <c r="BE128" s="32"/>
      <c r="BF128" s="32"/>
      <c r="BG128" s="32"/>
      <c r="BH128" s="32"/>
      <c r="BI128" s="32"/>
      <c r="BJ128" s="32"/>
      <c r="BK128" s="32"/>
      <c r="BL128" s="32"/>
      <c r="BM128" s="32"/>
      <c r="BN128" s="32"/>
      <c r="BO128" s="165"/>
      <c r="BP128" s="165"/>
      <c r="BQ128" s="165"/>
      <c r="BR128" s="165"/>
      <c r="BS128" s="165"/>
      <c r="BT128" s="165"/>
      <c r="BU128" s="165"/>
      <c r="BV128" s="55"/>
      <c r="BW128" s="160"/>
      <c r="BX128" s="32"/>
      <c r="BY128" s="24"/>
      <c r="BZ128" s="24"/>
      <c r="CA128" s="24"/>
      <c r="CB128" s="24"/>
      <c r="CC128" s="24"/>
      <c r="CD128" s="24"/>
      <c r="CE128" s="24"/>
    </row>
    <row r="129" spans="1:83" ht="15" customHeight="1">
      <c r="A129" s="4"/>
      <c r="B129" s="317">
        <f>IF($Q$8=$Q$7,CENY!B281,IF($Q$7=$Q$9,CENY!B299,CENY!B317))</f>
        <v>9255051</v>
      </c>
      <c r="C129" s="43" t="str">
        <f>VLOOKUP(B129,CENY!$B$11:$G$1054,2,FALSE)</f>
        <v>AvanY-bok pravý /v187/h400/ strieborná</v>
      </c>
      <c r="D129" s="353">
        <f>VLOOKUP(B129,CENY!$B$11:$G$1054,3,FALSE)</f>
        <v>10</v>
      </c>
      <c r="E129" s="56" t="str">
        <f>IF(VLOOKUP(B129,CENY!$B$11:$G$1054,4,FALSE)=0,"",VLOOKUP(B129,CENY!$B$11:$G$1054,4,FALSE))</f>
        <v/>
      </c>
      <c r="F129" s="40" t="str">
        <f t="shared" si="33"/>
        <v/>
      </c>
      <c r="G129" s="52">
        <f>VLOOKUP(B129,CENY!$B$11:$M$1054,12,FALSE)</f>
        <v>360.48838000000001</v>
      </c>
      <c r="H129" s="54" t="str">
        <f t="shared" si="25"/>
        <v xml:space="preserve"> CZK</v>
      </c>
      <c r="I129" s="41" t="str">
        <f t="shared" si="26"/>
        <v/>
      </c>
      <c r="J129" s="122"/>
      <c r="K129" s="42" t="str">
        <f>VLOOKUP(B129,CENY!$B$11:$M$1054,8,FALSE)</f>
        <v xml:space="preserve"> </v>
      </c>
      <c r="L129" s="42" t="str">
        <f>VLOOKUP(B129,CENY!$B$11:$M$1054,9,FALSE)</f>
        <v>396816</v>
      </c>
      <c r="M129" s="32"/>
      <c r="N129" s="35">
        <f t="shared" si="34"/>
        <v>0</v>
      </c>
      <c r="O129" s="36">
        <v>0</v>
      </c>
      <c r="P129" s="32"/>
      <c r="Q129" s="32"/>
      <c r="R129" s="32"/>
      <c r="S129" s="32"/>
      <c r="T129" s="32"/>
      <c r="U129" s="325">
        <f>'AVT187'!BI12</f>
        <v>0</v>
      </c>
      <c r="V129" s="32"/>
      <c r="W129" s="32"/>
      <c r="X129" s="32"/>
      <c r="Y129" s="32"/>
      <c r="Z129" s="32"/>
      <c r="AA129" s="32"/>
      <c r="AB129" s="32"/>
      <c r="AC129" s="32"/>
      <c r="AD129" s="32"/>
      <c r="AE129" s="325">
        <f>'AVT187(vn-A)'!BI12</f>
        <v>0</v>
      </c>
      <c r="AF129" s="32"/>
      <c r="AG129" s="32"/>
      <c r="AH129" s="32"/>
      <c r="AI129" s="325">
        <f>'AVT187(vn-S)'!BI12</f>
        <v>0</v>
      </c>
      <c r="AJ129" s="32"/>
      <c r="AK129" s="32"/>
      <c r="AL129" s="32"/>
      <c r="AM129" s="32"/>
      <c r="AN129" s="32"/>
      <c r="AO129" s="325">
        <f>'AVT-celny-101+187'!BI31</f>
        <v>0</v>
      </c>
      <c r="AP129" s="32"/>
      <c r="AQ129" s="325">
        <f>'AVT-celny-139+187'!BI25</f>
        <v>0</v>
      </c>
      <c r="AR129" s="32"/>
      <c r="AS129" s="325">
        <f>'AVT-celny-2x187'!BI12</f>
        <v>0</v>
      </c>
      <c r="AT129" s="32"/>
      <c r="AU129" s="32"/>
      <c r="AV129" s="32"/>
      <c r="AW129" s="32"/>
      <c r="AX129" s="32"/>
      <c r="AY129" s="32"/>
      <c r="AZ129" s="32"/>
      <c r="BA129" s="32"/>
      <c r="BB129" s="32"/>
      <c r="BC129" s="32"/>
      <c r="BD129" s="32"/>
      <c r="BE129" s="32"/>
      <c r="BF129" s="32"/>
      <c r="BG129" s="32"/>
      <c r="BH129" s="32"/>
      <c r="BI129" s="32"/>
      <c r="BJ129" s="32"/>
      <c r="BK129" s="32"/>
      <c r="BL129" s="32"/>
      <c r="BM129" s="32"/>
      <c r="BN129" s="32"/>
      <c r="BO129" s="165"/>
      <c r="BP129" s="165"/>
      <c r="BQ129" s="165"/>
      <c r="BR129" s="165"/>
      <c r="BS129" s="165"/>
      <c r="BT129" s="165"/>
      <c r="BU129" s="165"/>
      <c r="BV129" s="55"/>
      <c r="BW129" s="160"/>
      <c r="BX129" s="32"/>
      <c r="BY129" s="24"/>
      <c r="BZ129" s="24"/>
      <c r="CA129" s="24"/>
      <c r="CB129" s="24"/>
      <c r="CC129" s="24"/>
      <c r="CD129" s="24"/>
      <c r="CE129" s="24"/>
    </row>
    <row r="130" spans="1:83" ht="15" customHeight="1">
      <c r="A130" s="4"/>
      <c r="B130" s="317">
        <f>IF($Q$8=$Q$7,CENY!B282,IF($Q$7=$Q$9,CENY!B300,CENY!B318))</f>
        <v>9255052</v>
      </c>
      <c r="C130" s="43" t="str">
        <f>VLOOKUP(B130,CENY!$B$11:$G$1054,2,FALSE)</f>
        <v>AvanY-bok ľavý /v187/h450/ strieborná</v>
      </c>
      <c r="D130" s="353">
        <f>VLOOKUP(B130,CENY!$B$11:$G$1054,3,FALSE)</f>
        <v>10</v>
      </c>
      <c r="E130" s="56" t="str">
        <f>IF(VLOOKUP(B130,CENY!$B$11:$G$1054,4,FALSE)=0,"",VLOOKUP(B130,CENY!$B$11:$G$1054,4,FALSE))</f>
        <v/>
      </c>
      <c r="F130" s="40" t="str">
        <f t="shared" si="33"/>
        <v/>
      </c>
      <c r="G130" s="52">
        <f>VLOOKUP(B130,CENY!$B$11:$M$1054,12,FALSE)</f>
        <v>357.13297</v>
      </c>
      <c r="H130" s="54" t="str">
        <f t="shared" si="25"/>
        <v xml:space="preserve"> CZK</v>
      </c>
      <c r="I130" s="41" t="str">
        <f t="shared" si="26"/>
        <v/>
      </c>
      <c r="J130" s="122"/>
      <c r="K130" s="42" t="str">
        <f>VLOOKUP(B130,CENY!$B$11:$M$1054,8,FALSE)</f>
        <v xml:space="preserve"> </v>
      </c>
      <c r="L130" s="42" t="str">
        <f>VLOOKUP(B130,CENY!$B$11:$M$1054,9,FALSE)</f>
        <v>396817</v>
      </c>
      <c r="M130" s="32"/>
      <c r="N130" s="35">
        <f t="shared" si="34"/>
        <v>0</v>
      </c>
      <c r="O130" s="36">
        <v>0</v>
      </c>
      <c r="P130" s="32"/>
      <c r="Q130" s="32"/>
      <c r="R130" s="32"/>
      <c r="S130" s="32"/>
      <c r="T130" s="32"/>
      <c r="U130" s="325">
        <f>'AVT187'!BI13</f>
        <v>0</v>
      </c>
      <c r="V130" s="32"/>
      <c r="W130" s="32"/>
      <c r="X130" s="32"/>
      <c r="Y130" s="32"/>
      <c r="Z130" s="32"/>
      <c r="AA130" s="32"/>
      <c r="AB130" s="32"/>
      <c r="AC130" s="32"/>
      <c r="AD130" s="32"/>
      <c r="AE130" s="325">
        <f>'AVT187(vn-A)'!BI13</f>
        <v>0</v>
      </c>
      <c r="AF130" s="32"/>
      <c r="AG130" s="32"/>
      <c r="AH130" s="32"/>
      <c r="AI130" s="325">
        <f>'AVT187(vn-S)'!BI13</f>
        <v>0</v>
      </c>
      <c r="AJ130" s="32"/>
      <c r="AK130" s="32"/>
      <c r="AL130" s="32"/>
      <c r="AM130" s="32"/>
      <c r="AN130" s="32"/>
      <c r="AO130" s="325">
        <f>'AVT-celny-101+187'!BI32</f>
        <v>0</v>
      </c>
      <c r="AP130" s="32"/>
      <c r="AQ130" s="325">
        <f>'AVT-celny-139+187'!BI26</f>
        <v>0</v>
      </c>
      <c r="AR130" s="32"/>
      <c r="AS130" s="325">
        <f>'AVT-celny-2x187'!BI13</f>
        <v>0</v>
      </c>
      <c r="AT130" s="32"/>
      <c r="AU130" s="32"/>
      <c r="AV130" s="32"/>
      <c r="AW130" s="325">
        <f>'potr-v101+187'!BI24</f>
        <v>0</v>
      </c>
      <c r="AX130" s="32"/>
      <c r="AY130" s="32"/>
      <c r="AZ130" s="32"/>
      <c r="BA130" s="32"/>
      <c r="BB130" s="32"/>
      <c r="BC130" s="32"/>
      <c r="BD130" s="32"/>
      <c r="BE130" s="32"/>
      <c r="BF130" s="32"/>
      <c r="BG130" s="32"/>
      <c r="BH130" s="32"/>
      <c r="BI130" s="32"/>
      <c r="BJ130" s="32"/>
      <c r="BK130" s="32"/>
      <c r="BL130" s="32"/>
      <c r="BM130" s="32"/>
      <c r="BN130" s="32"/>
      <c r="BO130" s="165"/>
      <c r="BP130" s="165"/>
      <c r="BQ130" s="165"/>
      <c r="BR130" s="165"/>
      <c r="BS130" s="165"/>
      <c r="BT130" s="165"/>
      <c r="BU130" s="165"/>
      <c r="BV130" s="55"/>
      <c r="BW130" s="160"/>
      <c r="BX130" s="32"/>
      <c r="BY130" s="24"/>
      <c r="BZ130" s="24"/>
      <c r="CA130" s="24"/>
      <c r="CB130" s="24"/>
      <c r="CC130" s="24"/>
      <c r="CD130" s="24"/>
      <c r="CE130" s="24"/>
    </row>
    <row r="131" spans="1:83" ht="15" customHeight="1">
      <c r="A131" s="4"/>
      <c r="B131" s="317">
        <f>IF($Q$8=$Q$7,CENY!B283,IF($Q$7=$Q$9,CENY!B301,CENY!B319))</f>
        <v>9255053</v>
      </c>
      <c r="C131" s="43" t="str">
        <f>VLOOKUP(B131,CENY!$B$11:$G$1054,2,FALSE)</f>
        <v>AvanY-bok pravý /v187/h450/ strieborná</v>
      </c>
      <c r="D131" s="353">
        <f>VLOOKUP(B131,CENY!$B$11:$G$1054,3,FALSE)</f>
        <v>10</v>
      </c>
      <c r="E131" s="56" t="str">
        <f>IF(VLOOKUP(B131,CENY!$B$11:$G$1054,4,FALSE)=0,"",VLOOKUP(B131,CENY!$B$11:$G$1054,4,FALSE))</f>
        <v/>
      </c>
      <c r="F131" s="40" t="str">
        <f t="shared" si="33"/>
        <v/>
      </c>
      <c r="G131" s="52">
        <f>VLOOKUP(B131,CENY!$B$11:$M$1054,12,FALSE)</f>
        <v>357.13297</v>
      </c>
      <c r="H131" s="54" t="str">
        <f t="shared" si="25"/>
        <v xml:space="preserve"> CZK</v>
      </c>
      <c r="I131" s="41" t="str">
        <f t="shared" si="26"/>
        <v/>
      </c>
      <c r="J131" s="122"/>
      <c r="K131" s="42" t="str">
        <f>VLOOKUP(B131,CENY!$B$11:$M$1054,8,FALSE)</f>
        <v xml:space="preserve"> </v>
      </c>
      <c r="L131" s="42" t="str">
        <f>VLOOKUP(B131,CENY!$B$11:$M$1054,9,FALSE)</f>
        <v>396818</v>
      </c>
      <c r="M131" s="32"/>
      <c r="N131" s="35">
        <f t="shared" si="34"/>
        <v>0</v>
      </c>
      <c r="O131" s="36">
        <v>0</v>
      </c>
      <c r="P131" s="32"/>
      <c r="Q131" s="32"/>
      <c r="R131" s="32"/>
      <c r="S131" s="32"/>
      <c r="T131" s="32"/>
      <c r="U131" s="325">
        <f>'AVT187'!BI14</f>
        <v>0</v>
      </c>
      <c r="V131" s="32"/>
      <c r="W131" s="32"/>
      <c r="X131" s="32"/>
      <c r="Y131" s="32"/>
      <c r="Z131" s="32"/>
      <c r="AA131" s="32"/>
      <c r="AB131" s="32"/>
      <c r="AC131" s="32"/>
      <c r="AD131" s="32"/>
      <c r="AE131" s="325">
        <f>'AVT187(vn-A)'!BI14</f>
        <v>0</v>
      </c>
      <c r="AF131" s="32"/>
      <c r="AG131" s="32"/>
      <c r="AH131" s="32"/>
      <c r="AI131" s="325">
        <f>'AVT187(vn-S)'!BI14</f>
        <v>0</v>
      </c>
      <c r="AJ131" s="32"/>
      <c r="AK131" s="32"/>
      <c r="AL131" s="32"/>
      <c r="AM131" s="32"/>
      <c r="AN131" s="32"/>
      <c r="AO131" s="325">
        <f>'AVT-celny-101+187'!BI33</f>
        <v>0</v>
      </c>
      <c r="AP131" s="32"/>
      <c r="AQ131" s="325">
        <f>'AVT-celny-139+187'!BI27</f>
        <v>0</v>
      </c>
      <c r="AR131" s="32"/>
      <c r="AS131" s="325">
        <f>'AVT-celny-2x187'!BI14</f>
        <v>0</v>
      </c>
      <c r="AT131" s="32"/>
      <c r="AU131" s="32"/>
      <c r="AV131" s="32"/>
      <c r="AW131" s="325">
        <f>'potr-v101+187'!BI25</f>
        <v>0</v>
      </c>
      <c r="AX131" s="32"/>
      <c r="AY131" s="32"/>
      <c r="AZ131" s="32"/>
      <c r="BA131" s="32"/>
      <c r="BB131" s="32"/>
      <c r="BC131" s="32"/>
      <c r="BD131" s="32"/>
      <c r="BE131" s="32"/>
      <c r="BF131" s="32"/>
      <c r="BG131" s="32"/>
      <c r="BH131" s="32"/>
      <c r="BI131" s="32"/>
      <c r="BJ131" s="32"/>
      <c r="BK131" s="32"/>
      <c r="BL131" s="32"/>
      <c r="BM131" s="32"/>
      <c r="BN131" s="32"/>
      <c r="BO131" s="165"/>
      <c r="BP131" s="165"/>
      <c r="BQ131" s="165"/>
      <c r="BR131" s="165"/>
      <c r="BS131" s="165"/>
      <c r="BT131" s="165"/>
      <c r="BU131" s="165"/>
      <c r="BV131" s="55"/>
      <c r="BW131" s="160"/>
      <c r="BX131" s="32"/>
      <c r="BY131" s="24"/>
      <c r="BZ131" s="24"/>
      <c r="CA131" s="24"/>
      <c r="CB131" s="24"/>
      <c r="CC131" s="24"/>
      <c r="CD131" s="24"/>
      <c r="CE131" s="24"/>
    </row>
    <row r="132" spans="1:83" ht="15" customHeight="1">
      <c r="A132" s="4"/>
      <c r="B132" s="317">
        <f>IF($Q$8=$Q$7,CENY!B284,IF($Q$7=$Q$9,CENY!B302,CENY!B320))</f>
        <v>9255054</v>
      </c>
      <c r="C132" s="43" t="str">
        <f>VLOOKUP(B132,CENY!$B$11:$G$1054,2,FALSE)</f>
        <v>AvanY-bok ľavý /v187/h500/ strieborná</v>
      </c>
      <c r="D132" s="353">
        <f>VLOOKUP(B132,CENY!$B$11:$G$1054,3,FALSE)</f>
        <v>10</v>
      </c>
      <c r="E132" s="56" t="str">
        <f>IF(VLOOKUP(B132,CENY!$B$11:$G$1054,4,FALSE)=0,"",VLOOKUP(B132,CENY!$B$11:$G$1054,4,FALSE))</f>
        <v/>
      </c>
      <c r="F132" s="40" t="str">
        <f t="shared" si="33"/>
        <v/>
      </c>
      <c r="G132" s="52">
        <f>VLOOKUP(B132,CENY!$B$11:$M$1054,12,FALSE)</f>
        <v>363.36250999999999</v>
      </c>
      <c r="H132" s="54" t="str">
        <f t="shared" si="25"/>
        <v xml:space="preserve"> CZK</v>
      </c>
      <c r="I132" s="41" t="str">
        <f t="shared" si="26"/>
        <v/>
      </c>
      <c r="J132" s="122"/>
      <c r="K132" s="42" t="str">
        <f>VLOOKUP(B132,CENY!$B$11:$M$1054,8,FALSE)</f>
        <v xml:space="preserve"> </v>
      </c>
      <c r="L132" s="42" t="str">
        <f>VLOOKUP(B132,CENY!$B$11:$M$1054,9,FALSE)</f>
        <v>396819</v>
      </c>
      <c r="M132" s="32"/>
      <c r="N132" s="35">
        <f t="shared" si="34"/>
        <v>0</v>
      </c>
      <c r="O132" s="36">
        <v>0</v>
      </c>
      <c r="P132" s="32"/>
      <c r="Q132" s="32"/>
      <c r="R132" s="32"/>
      <c r="S132" s="32"/>
      <c r="T132" s="32"/>
      <c r="U132" s="325">
        <f>'AVT187'!BI15</f>
        <v>0</v>
      </c>
      <c r="V132" s="32"/>
      <c r="W132" s="32"/>
      <c r="X132" s="32"/>
      <c r="Y132" s="32"/>
      <c r="Z132" s="32"/>
      <c r="AA132" s="32"/>
      <c r="AB132" s="32"/>
      <c r="AC132" s="32"/>
      <c r="AD132" s="32"/>
      <c r="AE132" s="325">
        <f>'AVT187(vn-A)'!BI15</f>
        <v>0</v>
      </c>
      <c r="AF132" s="32"/>
      <c r="AG132" s="32"/>
      <c r="AH132" s="32"/>
      <c r="AI132" s="325">
        <f>'AVT187(vn-S)'!BI15</f>
        <v>0</v>
      </c>
      <c r="AJ132" s="32"/>
      <c r="AK132" s="32"/>
      <c r="AL132" s="32"/>
      <c r="AM132" s="32"/>
      <c r="AN132" s="32"/>
      <c r="AO132" s="325">
        <f>'AVT-celny-101+187'!BI34</f>
        <v>0</v>
      </c>
      <c r="AP132" s="32"/>
      <c r="AQ132" s="325">
        <f>'AVT-celny-139+187'!BI28</f>
        <v>0</v>
      </c>
      <c r="AR132" s="32"/>
      <c r="AS132" s="325">
        <f>'AVT-celny-2x187'!BI15</f>
        <v>0</v>
      </c>
      <c r="AT132" s="32"/>
      <c r="AU132" s="32"/>
      <c r="AV132" s="32"/>
      <c r="AW132" s="325">
        <f>'potr-v101+187'!BI26</f>
        <v>0</v>
      </c>
      <c r="AX132" s="32"/>
      <c r="AY132" s="32"/>
      <c r="AZ132" s="32"/>
      <c r="BA132" s="32"/>
      <c r="BB132" s="32"/>
      <c r="BC132" s="32"/>
      <c r="BD132" s="32"/>
      <c r="BE132" s="32"/>
      <c r="BF132" s="32"/>
      <c r="BG132" s="32"/>
      <c r="BH132" s="32"/>
      <c r="BI132" s="32"/>
      <c r="BJ132" s="32"/>
      <c r="BK132" s="32"/>
      <c r="BL132" s="32"/>
      <c r="BM132" s="32"/>
      <c r="BN132" s="32"/>
      <c r="BO132" s="165"/>
      <c r="BP132" s="165"/>
      <c r="BQ132" s="165"/>
      <c r="BR132" s="165"/>
      <c r="BS132" s="165"/>
      <c r="BT132" s="165"/>
      <c r="BU132" s="165"/>
      <c r="BV132" s="55"/>
      <c r="BW132" s="160"/>
      <c r="BX132" s="32"/>
      <c r="BY132" s="24"/>
      <c r="BZ132" s="24"/>
      <c r="CA132" s="24"/>
      <c r="CB132" s="24"/>
      <c r="CC132" s="24"/>
      <c r="CD132" s="24"/>
      <c r="CE132" s="24"/>
    </row>
    <row r="133" spans="1:83" ht="15" customHeight="1">
      <c r="A133" s="4"/>
      <c r="B133" s="317">
        <f>IF($Q$8=$Q$7,CENY!B285,IF($Q$7=$Q$9,CENY!B303,CENY!B321))</f>
        <v>9255055</v>
      </c>
      <c r="C133" s="43" t="str">
        <f>VLOOKUP(B133,CENY!$B$11:$G$1054,2,FALSE)</f>
        <v>AvanY-bok pravý /v187/h500/ strieborná</v>
      </c>
      <c r="D133" s="353">
        <f>VLOOKUP(B133,CENY!$B$11:$G$1054,3,FALSE)</f>
        <v>10</v>
      </c>
      <c r="E133" s="56" t="str">
        <f>IF(VLOOKUP(B133,CENY!$B$11:$G$1054,4,FALSE)=0,"",VLOOKUP(B133,CENY!$B$11:$G$1054,4,FALSE))</f>
        <v/>
      </c>
      <c r="F133" s="40" t="str">
        <f t="shared" si="33"/>
        <v/>
      </c>
      <c r="G133" s="52">
        <f>VLOOKUP(B133,CENY!$B$11:$M$1054,12,FALSE)</f>
        <v>363.36250999999999</v>
      </c>
      <c r="H133" s="54" t="str">
        <f t="shared" si="25"/>
        <v xml:space="preserve"> CZK</v>
      </c>
      <c r="I133" s="41" t="str">
        <f t="shared" si="26"/>
        <v/>
      </c>
      <c r="J133" s="122"/>
      <c r="K133" s="42" t="str">
        <f>VLOOKUP(B133,CENY!$B$11:$M$1054,8,FALSE)</f>
        <v xml:space="preserve"> </v>
      </c>
      <c r="L133" s="42" t="str">
        <f>VLOOKUP(B133,CENY!$B$11:$M$1054,9,FALSE)</f>
        <v>396820</v>
      </c>
      <c r="M133" s="32"/>
      <c r="N133" s="35">
        <f t="shared" si="34"/>
        <v>0</v>
      </c>
      <c r="O133" s="36">
        <v>0</v>
      </c>
      <c r="P133" s="32"/>
      <c r="Q133" s="32"/>
      <c r="R133" s="32"/>
      <c r="S133" s="32"/>
      <c r="T133" s="32"/>
      <c r="U133" s="325">
        <f>'AVT187'!BI16</f>
        <v>0</v>
      </c>
      <c r="V133" s="32"/>
      <c r="W133" s="32"/>
      <c r="X133" s="32"/>
      <c r="Y133" s="32"/>
      <c r="Z133" s="32"/>
      <c r="AA133" s="32"/>
      <c r="AB133" s="32"/>
      <c r="AC133" s="32"/>
      <c r="AD133" s="32"/>
      <c r="AE133" s="325">
        <f>'AVT187(vn-A)'!BI16</f>
        <v>0</v>
      </c>
      <c r="AF133" s="32"/>
      <c r="AG133" s="32"/>
      <c r="AH133" s="32"/>
      <c r="AI133" s="325">
        <f>'AVT187(vn-S)'!BI16</f>
        <v>0</v>
      </c>
      <c r="AJ133" s="32"/>
      <c r="AK133" s="32"/>
      <c r="AL133" s="32"/>
      <c r="AM133" s="32"/>
      <c r="AN133" s="32"/>
      <c r="AO133" s="325">
        <f>'AVT-celny-101+187'!BI35</f>
        <v>0</v>
      </c>
      <c r="AP133" s="32"/>
      <c r="AQ133" s="325">
        <f>'AVT-celny-139+187'!BI29</f>
        <v>0</v>
      </c>
      <c r="AR133" s="32"/>
      <c r="AS133" s="325">
        <f>'AVT-celny-2x187'!BI16</f>
        <v>0</v>
      </c>
      <c r="AT133" s="32"/>
      <c r="AU133" s="32"/>
      <c r="AV133" s="32"/>
      <c r="AW133" s="325">
        <f>'potr-v101+187'!BI27</f>
        <v>0</v>
      </c>
      <c r="AX133" s="32"/>
      <c r="AY133" s="32"/>
      <c r="AZ133" s="32"/>
      <c r="BA133" s="32"/>
      <c r="BB133" s="32"/>
      <c r="BC133" s="32"/>
      <c r="BD133" s="32"/>
      <c r="BE133" s="32"/>
      <c r="BF133" s="32"/>
      <c r="BG133" s="32"/>
      <c r="BH133" s="32"/>
      <c r="BI133" s="32"/>
      <c r="BJ133" s="32"/>
      <c r="BK133" s="32"/>
      <c r="BL133" s="32"/>
      <c r="BM133" s="32"/>
      <c r="BN133" s="32"/>
      <c r="BO133" s="165"/>
      <c r="BP133" s="165"/>
      <c r="BQ133" s="165"/>
      <c r="BR133" s="165"/>
      <c r="BS133" s="165"/>
      <c r="BT133" s="165"/>
      <c r="BU133" s="165"/>
      <c r="BV133" s="55"/>
      <c r="BW133" s="160"/>
      <c r="BX133" s="32"/>
      <c r="BY133" s="24"/>
      <c r="BZ133" s="24"/>
      <c r="CA133" s="24"/>
      <c r="CB133" s="24"/>
      <c r="CC133" s="24"/>
      <c r="CD133" s="24"/>
      <c r="CE133" s="24"/>
    </row>
    <row r="134" spans="1:83" ht="15" customHeight="1">
      <c r="A134" s="4"/>
      <c r="B134" s="317">
        <f>IF($Q$8=$Q$7,CENY!B286,IF($Q$7=$Q$9,CENY!B304,CENY!B322))</f>
        <v>9255056</v>
      </c>
      <c r="C134" s="43" t="str">
        <f>VLOOKUP(B134,CENY!$B$11:$G$1054,2,FALSE)</f>
        <v>AvanY-bok ľavý /v187/h550/ strieborná</v>
      </c>
      <c r="D134" s="353">
        <f>VLOOKUP(B134,CENY!$B$11:$G$1054,3,FALSE)</f>
        <v>10</v>
      </c>
      <c r="E134" s="56" t="str">
        <f>IF(VLOOKUP(B134,CENY!$B$11:$G$1054,4,FALSE)=0,"",VLOOKUP(B134,CENY!$B$11:$G$1054,4,FALSE))</f>
        <v/>
      </c>
      <c r="F134" s="40" t="str">
        <f t="shared" si="33"/>
        <v/>
      </c>
      <c r="G134" s="52">
        <f>VLOOKUP(B134,CENY!$B$11:$M$1054,12,FALSE)</f>
        <v>379.68511999999998</v>
      </c>
      <c r="H134" s="54" t="str">
        <f t="shared" si="25"/>
        <v xml:space="preserve"> CZK</v>
      </c>
      <c r="I134" s="41" t="str">
        <f t="shared" si="26"/>
        <v/>
      </c>
      <c r="J134" s="122"/>
      <c r="K134" s="42" t="str">
        <f>VLOOKUP(B134,CENY!$B$11:$M$1054,8,FALSE)</f>
        <v xml:space="preserve"> </v>
      </c>
      <c r="L134" s="42" t="str">
        <f>VLOOKUP(B134,CENY!$B$11:$M$1054,9,FALSE)</f>
        <v>396821</v>
      </c>
      <c r="M134" s="32"/>
      <c r="N134" s="35">
        <f t="shared" si="34"/>
        <v>0</v>
      </c>
      <c r="O134" s="36">
        <v>0</v>
      </c>
      <c r="P134" s="32"/>
      <c r="Q134" s="32"/>
      <c r="R134" s="32"/>
      <c r="S134" s="32"/>
      <c r="T134" s="32"/>
      <c r="U134" s="325">
        <f>'AVT187'!BI17</f>
        <v>0</v>
      </c>
      <c r="V134" s="32"/>
      <c r="W134" s="32"/>
      <c r="X134" s="32"/>
      <c r="Y134" s="32"/>
      <c r="Z134" s="32"/>
      <c r="AA134" s="32"/>
      <c r="AB134" s="32"/>
      <c r="AC134" s="32"/>
      <c r="AD134" s="32"/>
      <c r="AE134" s="325">
        <f>'AVT187(vn-A)'!BI17</f>
        <v>0</v>
      </c>
      <c r="AF134" s="32"/>
      <c r="AG134" s="32"/>
      <c r="AH134" s="32"/>
      <c r="AI134" s="325">
        <f>'AVT187(vn-S)'!BI17</f>
        <v>0</v>
      </c>
      <c r="AJ134" s="32"/>
      <c r="AK134" s="32"/>
      <c r="AL134" s="32"/>
      <c r="AM134" s="32"/>
      <c r="AN134" s="32"/>
      <c r="AO134" s="325">
        <f>'AVT-celny-101+187'!BI36</f>
        <v>0</v>
      </c>
      <c r="AP134" s="32"/>
      <c r="AQ134" s="325">
        <f>'AVT-celny-139+187'!BI30</f>
        <v>0</v>
      </c>
      <c r="AR134" s="32"/>
      <c r="AS134" s="325">
        <f>'AVT-celny-2x187'!BI17</f>
        <v>0</v>
      </c>
      <c r="AT134" s="32"/>
      <c r="AU134" s="32"/>
      <c r="AV134" s="32"/>
      <c r="AW134" s="325">
        <f>'potr-v101+187'!BI28</f>
        <v>0</v>
      </c>
      <c r="AX134" s="32"/>
      <c r="AY134" s="32"/>
      <c r="AZ134" s="32"/>
      <c r="BA134" s="32"/>
      <c r="BB134" s="32"/>
      <c r="BC134" s="32"/>
      <c r="BD134" s="32"/>
      <c r="BE134" s="32"/>
      <c r="BF134" s="32"/>
      <c r="BG134" s="32"/>
      <c r="BH134" s="32"/>
      <c r="BI134" s="32"/>
      <c r="BJ134" s="32"/>
      <c r="BK134" s="32"/>
      <c r="BL134" s="32"/>
      <c r="BM134" s="32"/>
      <c r="BN134" s="32"/>
      <c r="BO134" s="165"/>
      <c r="BP134" s="165"/>
      <c r="BQ134" s="165"/>
      <c r="BR134" s="165"/>
      <c r="BS134" s="165"/>
      <c r="BT134" s="165"/>
      <c r="BU134" s="165"/>
      <c r="BV134" s="55"/>
      <c r="BW134" s="160"/>
      <c r="BX134" s="32"/>
      <c r="BY134" s="24"/>
      <c r="BZ134" s="24"/>
      <c r="CA134" s="24"/>
      <c r="CB134" s="24"/>
      <c r="CC134" s="24"/>
      <c r="CD134" s="24"/>
      <c r="CE134" s="24"/>
    </row>
    <row r="135" spans="1:83" ht="15" customHeight="1">
      <c r="A135" s="4"/>
      <c r="B135" s="317">
        <f>IF($Q$8=$Q$7,CENY!B287,IF($Q$7=$Q$9,CENY!B305,CENY!B323))</f>
        <v>9255057</v>
      </c>
      <c r="C135" s="43" t="str">
        <f>VLOOKUP(B135,CENY!$B$11:$G$1054,2,FALSE)</f>
        <v>AvanY-bok pravý /v187/h550/ strieborná</v>
      </c>
      <c r="D135" s="353">
        <f>VLOOKUP(B135,CENY!$B$11:$G$1054,3,FALSE)</f>
        <v>10</v>
      </c>
      <c r="E135" s="56" t="str">
        <f>IF(VLOOKUP(B135,CENY!$B$11:$G$1054,4,FALSE)=0,"",VLOOKUP(B135,CENY!$B$11:$G$1054,4,FALSE))</f>
        <v/>
      </c>
      <c r="F135" s="40" t="str">
        <f t="shared" si="33"/>
        <v/>
      </c>
      <c r="G135" s="52">
        <f>VLOOKUP(B135,CENY!$B$11:$M$1054,12,FALSE)</f>
        <v>379.68511999999998</v>
      </c>
      <c r="H135" s="54" t="str">
        <f t="shared" si="25"/>
        <v xml:space="preserve"> CZK</v>
      </c>
      <c r="I135" s="41" t="str">
        <f t="shared" si="26"/>
        <v/>
      </c>
      <c r="J135" s="122"/>
      <c r="K135" s="42" t="str">
        <f>VLOOKUP(B135,CENY!$B$11:$M$1054,8,FALSE)</f>
        <v xml:space="preserve"> </v>
      </c>
      <c r="L135" s="42" t="str">
        <f>VLOOKUP(B135,CENY!$B$11:$M$1054,9,FALSE)</f>
        <v>396822</v>
      </c>
      <c r="M135" s="32"/>
      <c r="N135" s="35">
        <f t="shared" si="34"/>
        <v>0</v>
      </c>
      <c r="O135" s="36">
        <v>0</v>
      </c>
      <c r="P135" s="32"/>
      <c r="Q135" s="32"/>
      <c r="R135" s="32"/>
      <c r="S135" s="32"/>
      <c r="T135" s="32"/>
      <c r="U135" s="325">
        <f>'AVT187'!BI18</f>
        <v>0</v>
      </c>
      <c r="V135" s="32"/>
      <c r="W135" s="32"/>
      <c r="X135" s="32"/>
      <c r="Y135" s="32"/>
      <c r="Z135" s="32"/>
      <c r="AA135" s="32"/>
      <c r="AB135" s="32"/>
      <c r="AC135" s="32"/>
      <c r="AD135" s="32"/>
      <c r="AE135" s="325">
        <f>'AVT187(vn-A)'!BI18</f>
        <v>0</v>
      </c>
      <c r="AF135" s="32"/>
      <c r="AG135" s="32"/>
      <c r="AH135" s="32"/>
      <c r="AI135" s="325">
        <f>'AVT187(vn-S)'!BI18</f>
        <v>0</v>
      </c>
      <c r="AJ135" s="32"/>
      <c r="AK135" s="32"/>
      <c r="AL135" s="32"/>
      <c r="AM135" s="32"/>
      <c r="AN135" s="32"/>
      <c r="AO135" s="325">
        <f>'AVT-celny-101+187'!BI37</f>
        <v>0</v>
      </c>
      <c r="AP135" s="32"/>
      <c r="AQ135" s="325">
        <f>'AVT-celny-139+187'!BI31</f>
        <v>0</v>
      </c>
      <c r="AR135" s="32"/>
      <c r="AS135" s="325">
        <f>'AVT-celny-2x187'!BI18</f>
        <v>0</v>
      </c>
      <c r="AT135" s="32"/>
      <c r="AU135" s="32"/>
      <c r="AV135" s="32"/>
      <c r="AW135" s="325">
        <f>'potr-v101+187'!BI29</f>
        <v>0</v>
      </c>
      <c r="AX135" s="32"/>
      <c r="AY135" s="32"/>
      <c r="AZ135" s="32"/>
      <c r="BA135" s="32"/>
      <c r="BB135" s="32"/>
      <c r="BC135" s="32"/>
      <c r="BD135" s="32"/>
      <c r="BE135" s="32"/>
      <c r="BF135" s="32"/>
      <c r="BG135" s="32"/>
      <c r="BH135" s="32"/>
      <c r="BI135" s="32"/>
      <c r="BJ135" s="32"/>
      <c r="BK135" s="32"/>
      <c r="BL135" s="32"/>
      <c r="BM135" s="32"/>
      <c r="BN135" s="32"/>
      <c r="BO135" s="165"/>
      <c r="BP135" s="165"/>
      <c r="BQ135" s="165"/>
      <c r="BR135" s="165"/>
      <c r="BS135" s="165"/>
      <c r="BT135" s="165"/>
      <c r="BU135" s="165"/>
      <c r="BV135" s="55"/>
      <c r="BW135" s="160"/>
      <c r="BX135" s="32"/>
      <c r="BY135" s="24"/>
      <c r="BZ135" s="24"/>
      <c r="CA135" s="24"/>
      <c r="CB135" s="24"/>
      <c r="CC135" s="24"/>
      <c r="CD135" s="24"/>
      <c r="CE135" s="24"/>
    </row>
    <row r="136" spans="1:83" ht="15" customHeight="1">
      <c r="A136" s="4"/>
      <c r="B136" s="317">
        <f>IF($Q$8=$Q$7,CENY!B288,IF($Q$7=$Q$9,CENY!B306,CENY!B324))</f>
        <v>9255058</v>
      </c>
      <c r="C136" s="43" t="str">
        <f>VLOOKUP(B136,CENY!$B$11:$G$1054,2,FALSE)</f>
        <v>AvanY-bok ľavý /v187/h600/ strieborná</v>
      </c>
      <c r="D136" s="353">
        <f>VLOOKUP(B136,CENY!$B$11:$G$1054,3,FALSE)</f>
        <v>10</v>
      </c>
      <c r="E136" s="56" t="str">
        <f>IF(VLOOKUP(B136,CENY!$B$11:$G$1054,4,FALSE)=0,"",VLOOKUP(B136,CENY!$B$11:$G$1054,4,FALSE))</f>
        <v/>
      </c>
      <c r="F136" s="40" t="str">
        <f t="shared" si="33"/>
        <v/>
      </c>
      <c r="G136" s="52">
        <f>VLOOKUP(B136,CENY!$B$11:$M$1054,12,FALSE)</f>
        <v>389.34050000000002</v>
      </c>
      <c r="H136" s="54" t="str">
        <f t="shared" si="25"/>
        <v xml:space="preserve"> CZK</v>
      </c>
      <c r="I136" s="41" t="str">
        <f t="shared" si="26"/>
        <v/>
      </c>
      <c r="J136" s="122"/>
      <c r="K136" s="42" t="str">
        <f>VLOOKUP(B136,CENY!$B$11:$M$1054,8,FALSE)</f>
        <v xml:space="preserve"> </v>
      </c>
      <c r="L136" s="42" t="str">
        <f>VLOOKUP(B136,CENY!$B$11:$M$1054,9,FALSE)</f>
        <v>396823</v>
      </c>
      <c r="M136" s="32"/>
      <c r="N136" s="35">
        <f t="shared" si="34"/>
        <v>0</v>
      </c>
      <c r="O136" s="36">
        <v>0</v>
      </c>
      <c r="P136" s="32"/>
      <c r="Q136" s="32"/>
      <c r="R136" s="32"/>
      <c r="S136" s="32"/>
      <c r="T136" s="32"/>
      <c r="U136" s="325">
        <f>'AVT187'!BI19</f>
        <v>0</v>
      </c>
      <c r="V136" s="32"/>
      <c r="W136" s="32"/>
      <c r="X136" s="32"/>
      <c r="Y136" s="32"/>
      <c r="Z136" s="32"/>
      <c r="AA136" s="32"/>
      <c r="AB136" s="32"/>
      <c r="AC136" s="32"/>
      <c r="AD136" s="32"/>
      <c r="AE136" s="325">
        <f>'AVT187(vn-A)'!BI19</f>
        <v>0</v>
      </c>
      <c r="AF136" s="32"/>
      <c r="AG136" s="32"/>
      <c r="AH136" s="32"/>
      <c r="AI136" s="325">
        <f>'AVT187(vn-S)'!BI19</f>
        <v>0</v>
      </c>
      <c r="AJ136" s="32"/>
      <c r="AK136" s="32"/>
      <c r="AL136" s="32"/>
      <c r="AM136" s="32"/>
      <c r="AN136" s="32"/>
      <c r="AO136" s="325">
        <f>'AVT-celny-101+187'!BI38</f>
        <v>0</v>
      </c>
      <c r="AP136" s="32"/>
      <c r="AQ136" s="325">
        <f>'AVT-celny-139+187'!BI32</f>
        <v>0</v>
      </c>
      <c r="AR136" s="32"/>
      <c r="AS136" s="325">
        <f>'AVT-celny-2x187'!BI19</f>
        <v>0</v>
      </c>
      <c r="AT136" s="32"/>
      <c r="AU136" s="32"/>
      <c r="AV136" s="32"/>
      <c r="AW136" s="325">
        <f>'potr-v101+187'!BI30</f>
        <v>0</v>
      </c>
      <c r="AX136" s="32"/>
      <c r="AY136" s="32"/>
      <c r="AZ136" s="32"/>
      <c r="BA136" s="32"/>
      <c r="BB136" s="32"/>
      <c r="BC136" s="32"/>
      <c r="BD136" s="32"/>
      <c r="BE136" s="32"/>
      <c r="BF136" s="32"/>
      <c r="BG136" s="32"/>
      <c r="BH136" s="32"/>
      <c r="BI136" s="32"/>
      <c r="BJ136" s="32"/>
      <c r="BK136" s="32"/>
      <c r="BL136" s="32"/>
      <c r="BM136" s="32"/>
      <c r="BN136" s="32"/>
      <c r="BO136" s="165"/>
      <c r="BP136" s="165"/>
      <c r="BQ136" s="165"/>
      <c r="BR136" s="165"/>
      <c r="BS136" s="165"/>
      <c r="BT136" s="165"/>
      <c r="BU136" s="165"/>
      <c r="BV136" s="55"/>
      <c r="BW136" s="160"/>
      <c r="BX136" s="32"/>
      <c r="BY136" s="24"/>
      <c r="BZ136" s="24"/>
      <c r="CA136" s="24"/>
      <c r="CB136" s="24"/>
      <c r="CC136" s="24"/>
      <c r="CD136" s="24"/>
      <c r="CE136" s="24"/>
    </row>
    <row r="137" spans="1:83" ht="15" customHeight="1">
      <c r="A137" s="4"/>
      <c r="B137" s="317">
        <f>IF($Q$8=$Q$7,CENY!B289,IF($Q$7=$Q$9,CENY!B307,CENY!B325))</f>
        <v>9255059</v>
      </c>
      <c r="C137" s="43" t="str">
        <f>VLOOKUP(B137,CENY!$B$11:$G$1054,2,FALSE)</f>
        <v>AvanY-bok pravý /v187/h600/ strieborná</v>
      </c>
      <c r="D137" s="353">
        <f>VLOOKUP(B137,CENY!$B$11:$G$1054,3,FALSE)</f>
        <v>10</v>
      </c>
      <c r="E137" s="56" t="str">
        <f>IF(VLOOKUP(B137,CENY!$B$11:$G$1054,4,FALSE)=0,"",VLOOKUP(B137,CENY!$B$11:$G$1054,4,FALSE))</f>
        <v/>
      </c>
      <c r="F137" s="40" t="str">
        <f t="shared" si="33"/>
        <v/>
      </c>
      <c r="G137" s="52">
        <f>VLOOKUP(B137,CENY!$B$11:$M$1054,12,FALSE)</f>
        <v>389.34050000000002</v>
      </c>
      <c r="H137" s="54" t="str">
        <f t="shared" si="25"/>
        <v xml:space="preserve"> CZK</v>
      </c>
      <c r="I137" s="41" t="str">
        <f t="shared" si="26"/>
        <v/>
      </c>
      <c r="J137" s="122"/>
      <c r="K137" s="42" t="str">
        <f>VLOOKUP(B137,CENY!$B$11:$M$1054,8,FALSE)</f>
        <v xml:space="preserve"> </v>
      </c>
      <c r="L137" s="42" t="str">
        <f>VLOOKUP(B137,CENY!$B$11:$M$1054,9,FALSE)</f>
        <v>396824</v>
      </c>
      <c r="M137" s="32"/>
      <c r="N137" s="35">
        <f t="shared" si="34"/>
        <v>0</v>
      </c>
      <c r="O137" s="36">
        <v>0</v>
      </c>
      <c r="P137" s="32"/>
      <c r="Q137" s="32"/>
      <c r="R137" s="32"/>
      <c r="S137" s="32"/>
      <c r="T137" s="32"/>
      <c r="U137" s="325">
        <f>'AVT187'!BI20</f>
        <v>0</v>
      </c>
      <c r="V137" s="32"/>
      <c r="W137" s="32"/>
      <c r="X137" s="32"/>
      <c r="Y137" s="32"/>
      <c r="Z137" s="32"/>
      <c r="AA137" s="32"/>
      <c r="AB137" s="32"/>
      <c r="AC137" s="32"/>
      <c r="AD137" s="32"/>
      <c r="AE137" s="325">
        <f>'AVT187(vn-A)'!BI20</f>
        <v>0</v>
      </c>
      <c r="AF137" s="32"/>
      <c r="AG137" s="32"/>
      <c r="AH137" s="32"/>
      <c r="AI137" s="325">
        <f>'AVT187(vn-S)'!BI20</f>
        <v>0</v>
      </c>
      <c r="AJ137" s="32"/>
      <c r="AK137" s="32"/>
      <c r="AL137" s="32"/>
      <c r="AM137" s="32"/>
      <c r="AN137" s="32"/>
      <c r="AO137" s="325">
        <f>'AVT-celny-101+187'!BI39</f>
        <v>0</v>
      </c>
      <c r="AP137" s="32"/>
      <c r="AQ137" s="325">
        <f>'AVT-celny-139+187'!BI33</f>
        <v>0</v>
      </c>
      <c r="AR137" s="32"/>
      <c r="AS137" s="325">
        <f>'AVT-celny-2x187'!BI20</f>
        <v>0</v>
      </c>
      <c r="AT137" s="32"/>
      <c r="AU137" s="32"/>
      <c r="AV137" s="32"/>
      <c r="AW137" s="325">
        <f>'potr-v101+187'!BI31</f>
        <v>0</v>
      </c>
      <c r="AX137" s="32"/>
      <c r="AY137" s="32"/>
      <c r="AZ137" s="32"/>
      <c r="BA137" s="32"/>
      <c r="BB137" s="32"/>
      <c r="BC137" s="32"/>
      <c r="BD137" s="32"/>
      <c r="BE137" s="32"/>
      <c r="BF137" s="32"/>
      <c r="BG137" s="32"/>
      <c r="BH137" s="32"/>
      <c r="BI137" s="32"/>
      <c r="BJ137" s="32"/>
      <c r="BK137" s="32"/>
      <c r="BL137" s="32"/>
      <c r="BM137" s="32"/>
      <c r="BN137" s="32"/>
      <c r="BO137" s="165"/>
      <c r="BP137" s="165"/>
      <c r="BQ137" s="165"/>
      <c r="BR137" s="165"/>
      <c r="BS137" s="165"/>
      <c r="BT137" s="165"/>
      <c r="BU137" s="165"/>
      <c r="BV137" s="55"/>
      <c r="BW137" s="160"/>
      <c r="BX137" s="32"/>
      <c r="BY137" s="24"/>
      <c r="BZ137" s="24"/>
      <c r="CA137" s="24"/>
      <c r="CB137" s="24"/>
      <c r="CC137" s="24"/>
      <c r="CD137" s="24"/>
      <c r="CE137" s="24"/>
    </row>
    <row r="138" spans="1:83" ht="15" customHeight="1">
      <c r="A138" s="4"/>
      <c r="B138" s="317">
        <f>IF($Q$8=$Q$7,CENY!B290,IF($Q$7=$Q$9,CENY!B308,CENY!B326))</f>
        <v>9255060</v>
      </c>
      <c r="C138" s="43" t="str">
        <f>VLOOKUP(B138,CENY!$B$11:$G$1054,2,FALSE)</f>
        <v>AvanY-bok ľavý /v187/h650/ strieborná</v>
      </c>
      <c r="D138" s="353">
        <f>VLOOKUP(B138,CENY!$B$11:$G$1054,3,FALSE)</f>
        <v>10</v>
      </c>
      <c r="E138" s="56" t="str">
        <f>IF(VLOOKUP(B138,CENY!$B$11:$G$1054,4,FALSE)=0,"",VLOOKUP(B138,CENY!$B$11:$G$1054,4,FALSE))</f>
        <v/>
      </c>
      <c r="F138" s="40" t="str">
        <f t="shared" si="33"/>
        <v/>
      </c>
      <c r="G138" s="52">
        <f>VLOOKUP(B138,CENY!$B$11:$M$1054,12,FALSE)</f>
        <v>402.46422999999999</v>
      </c>
      <c r="H138" s="54" t="str">
        <f t="shared" si="25"/>
        <v xml:space="preserve"> CZK</v>
      </c>
      <c r="I138" s="41" t="str">
        <f t="shared" si="26"/>
        <v/>
      </c>
      <c r="J138" s="122"/>
      <c r="K138" s="42" t="str">
        <f>VLOOKUP(B138,CENY!$B$11:$M$1054,8,FALSE)</f>
        <v xml:space="preserve"> </v>
      </c>
      <c r="L138" s="42" t="str">
        <f>VLOOKUP(B138,CENY!$B$11:$M$1054,9,FALSE)</f>
        <v>396825</v>
      </c>
      <c r="M138" s="32"/>
      <c r="N138" s="35">
        <f t="shared" si="34"/>
        <v>0</v>
      </c>
      <c r="O138" s="36">
        <v>0</v>
      </c>
      <c r="P138" s="32"/>
      <c r="Q138" s="32"/>
      <c r="R138" s="32"/>
      <c r="S138" s="32"/>
      <c r="T138" s="32"/>
      <c r="U138" s="325">
        <f>'AVT187'!BI21</f>
        <v>0</v>
      </c>
      <c r="V138" s="32"/>
      <c r="W138" s="32"/>
      <c r="X138" s="32"/>
      <c r="Y138" s="32"/>
      <c r="Z138" s="32"/>
      <c r="AA138" s="32"/>
      <c r="AB138" s="32"/>
      <c r="AC138" s="32"/>
      <c r="AD138" s="32"/>
      <c r="AE138" s="325">
        <f>'AVT187(vn-A)'!BI21</f>
        <v>0</v>
      </c>
      <c r="AF138" s="32"/>
      <c r="AG138" s="32"/>
      <c r="AH138" s="32"/>
      <c r="AI138" s="325">
        <f>'AVT187(vn-S)'!BI21</f>
        <v>0</v>
      </c>
      <c r="AJ138" s="32"/>
      <c r="AK138" s="32"/>
      <c r="AL138" s="32"/>
      <c r="AM138" s="32"/>
      <c r="AN138" s="32"/>
      <c r="AO138" s="325">
        <f>'AVT-celny-101+187'!BI40</f>
        <v>0</v>
      </c>
      <c r="AP138" s="32"/>
      <c r="AQ138" s="32"/>
      <c r="AR138" s="32"/>
      <c r="AS138" s="325">
        <f>'AVT-celny-2x187'!BI21</f>
        <v>0</v>
      </c>
      <c r="AT138" s="32"/>
      <c r="AU138" s="32"/>
      <c r="AV138" s="32"/>
      <c r="AW138" s="325">
        <f>'potr-v101+187'!BI32</f>
        <v>0</v>
      </c>
      <c r="AX138" s="32"/>
      <c r="AY138" s="32"/>
      <c r="AZ138" s="32"/>
      <c r="BA138" s="32"/>
      <c r="BB138" s="32"/>
      <c r="BC138" s="32"/>
      <c r="BD138" s="32"/>
      <c r="BE138" s="32"/>
      <c r="BF138" s="32"/>
      <c r="BG138" s="32"/>
      <c r="BH138" s="32"/>
      <c r="BI138" s="32"/>
      <c r="BJ138" s="32"/>
      <c r="BK138" s="32"/>
      <c r="BL138" s="32"/>
      <c r="BM138" s="32"/>
      <c r="BN138" s="32"/>
      <c r="BO138" s="165"/>
      <c r="BP138" s="165"/>
      <c r="BQ138" s="165"/>
      <c r="BR138" s="165"/>
      <c r="BS138" s="165"/>
      <c r="BT138" s="165"/>
      <c r="BU138" s="165"/>
      <c r="BV138" s="55"/>
      <c r="BW138" s="160"/>
      <c r="BX138" s="32"/>
      <c r="BY138" s="24"/>
      <c r="BZ138" s="24"/>
      <c r="CA138" s="24"/>
      <c r="CB138" s="24"/>
      <c r="CC138" s="24"/>
      <c r="CD138" s="24"/>
      <c r="CE138" s="24"/>
    </row>
    <row r="139" spans="1:83" ht="15" customHeight="1">
      <c r="A139" s="4"/>
      <c r="B139" s="317">
        <f>IF($Q$8=$Q$7,CENY!B291,IF($Q$7=$Q$9,CENY!B309,CENY!B327))</f>
        <v>9255061</v>
      </c>
      <c r="C139" s="43" t="str">
        <f>VLOOKUP(B139,CENY!$B$11:$G$1054,2,FALSE)</f>
        <v>AvanY-bok pravý /v187/h650/ strieborná</v>
      </c>
      <c r="D139" s="353">
        <f>VLOOKUP(B139,CENY!$B$11:$G$1054,3,FALSE)</f>
        <v>10</v>
      </c>
      <c r="E139" s="56" t="str">
        <f>IF(VLOOKUP(B139,CENY!$B$11:$G$1054,4,FALSE)=0,"",VLOOKUP(B139,CENY!$B$11:$G$1054,4,FALSE))</f>
        <v/>
      </c>
      <c r="F139" s="40" t="str">
        <f t="shared" si="33"/>
        <v/>
      </c>
      <c r="G139" s="52">
        <f>VLOOKUP(B139,CENY!$B$11:$M$1054,12,FALSE)</f>
        <v>402.46422999999999</v>
      </c>
      <c r="H139" s="54" t="str">
        <f t="shared" si="25"/>
        <v xml:space="preserve"> CZK</v>
      </c>
      <c r="I139" s="41" t="str">
        <f t="shared" si="26"/>
        <v/>
      </c>
      <c r="J139" s="122"/>
      <c r="K139" s="42" t="str">
        <f>VLOOKUP(B139,CENY!$B$11:$M$1054,8,FALSE)</f>
        <v xml:space="preserve"> </v>
      </c>
      <c r="L139" s="42" t="str">
        <f>VLOOKUP(B139,CENY!$B$11:$M$1054,9,FALSE)</f>
        <v>396826</v>
      </c>
      <c r="M139" s="32"/>
      <c r="N139" s="35">
        <f t="shared" si="34"/>
        <v>0</v>
      </c>
      <c r="O139" s="36">
        <v>0</v>
      </c>
      <c r="P139" s="32"/>
      <c r="Q139" s="32"/>
      <c r="R139" s="32"/>
      <c r="S139" s="32"/>
      <c r="T139" s="32"/>
      <c r="U139" s="325">
        <f>'AVT187'!BI22</f>
        <v>0</v>
      </c>
      <c r="V139" s="32"/>
      <c r="W139" s="32"/>
      <c r="X139" s="32"/>
      <c r="Y139" s="32"/>
      <c r="Z139" s="32"/>
      <c r="AA139" s="32"/>
      <c r="AB139" s="32"/>
      <c r="AC139" s="32"/>
      <c r="AD139" s="32"/>
      <c r="AE139" s="325">
        <f>'AVT187(vn-A)'!BI22</f>
        <v>0</v>
      </c>
      <c r="AF139" s="32"/>
      <c r="AG139" s="32"/>
      <c r="AH139" s="32"/>
      <c r="AI139" s="325">
        <f>'AVT187(vn-S)'!BI22</f>
        <v>0</v>
      </c>
      <c r="AJ139" s="32"/>
      <c r="AK139" s="32"/>
      <c r="AL139" s="32"/>
      <c r="AM139" s="32"/>
      <c r="AN139" s="32"/>
      <c r="AO139" s="325">
        <f>'AVT-celny-101+187'!BI41</f>
        <v>0</v>
      </c>
      <c r="AP139" s="32"/>
      <c r="AQ139" s="32"/>
      <c r="AR139" s="32"/>
      <c r="AS139" s="325">
        <f>'AVT-celny-2x187'!BI22</f>
        <v>0</v>
      </c>
      <c r="AT139" s="32"/>
      <c r="AU139" s="32"/>
      <c r="AV139" s="32"/>
      <c r="AW139" s="325">
        <f>'potr-v101+187'!BI33</f>
        <v>0</v>
      </c>
      <c r="AX139" s="32"/>
      <c r="AY139" s="32"/>
      <c r="AZ139" s="32"/>
      <c r="BA139" s="32"/>
      <c r="BB139" s="32"/>
      <c r="BC139" s="32"/>
      <c r="BD139" s="32"/>
      <c r="BE139" s="32"/>
      <c r="BF139" s="32"/>
      <c r="BG139" s="32"/>
      <c r="BH139" s="32"/>
      <c r="BI139" s="32"/>
      <c r="BJ139" s="32"/>
      <c r="BK139" s="32"/>
      <c r="BL139" s="32"/>
      <c r="BM139" s="32"/>
      <c r="BN139" s="32"/>
      <c r="BO139" s="165"/>
      <c r="BP139" s="165"/>
      <c r="BQ139" s="165"/>
      <c r="BR139" s="165"/>
      <c r="BS139" s="165"/>
      <c r="BT139" s="165"/>
      <c r="BU139" s="165"/>
      <c r="BV139" s="55"/>
      <c r="BW139" s="160"/>
      <c r="BX139" s="32"/>
      <c r="BY139" s="24"/>
      <c r="BZ139" s="24"/>
      <c r="CA139" s="24"/>
      <c r="CB139" s="24"/>
      <c r="CC139" s="24"/>
      <c r="CD139" s="24"/>
      <c r="CE139" s="24"/>
    </row>
    <row r="140" spans="1:83" ht="15" customHeight="1">
      <c r="A140" s="4"/>
      <c r="B140" s="317">
        <f>CENY!B328</f>
        <v>9255838</v>
      </c>
      <c r="C140" s="43" t="str">
        <f>VLOOKUP(B140,CENY!$B$11:$G$1054,2,FALSE)</f>
        <v>AvanY-prích.čela k naskrutk./ v187-251</v>
      </c>
      <c r="D140" s="353">
        <f>VLOOKUP(B140,CENY!$B$11:$G$1054,3,FALSE)</f>
        <v>200</v>
      </c>
      <c r="E140" s="56" t="str">
        <f>IF(VLOOKUP(B140,CENY!$B$11:$G$1054,4,FALSE)=0,"",VLOOKUP(B140,CENY!$B$11:$G$1054,4,FALSE))</f>
        <v/>
      </c>
      <c r="F140" s="40" t="str">
        <f>IF(J140&lt;&gt;"",J140,IF(N140=0,"",IF(B140=B141,"",N140)))</f>
        <v/>
      </c>
      <c r="G140" s="52">
        <f>VLOOKUP(B140,CENY!$B$11:$M$1054,12,FALSE)</f>
        <v>49.383429999999997</v>
      </c>
      <c r="H140" s="54" t="str">
        <f>IF(G140="","",$H$22)</f>
        <v xml:space="preserve"> CZK</v>
      </c>
      <c r="I140" s="41" t="str">
        <f>IF(F140="","",G140*F140)</f>
        <v/>
      </c>
      <c r="J140" s="122"/>
      <c r="K140" s="42" t="str">
        <f>VLOOKUP(B140,CENY!$B$11:$M$1054,8,FALSE)</f>
        <v xml:space="preserve"> </v>
      </c>
      <c r="L140" s="42" t="str">
        <f>VLOOKUP(B140,CENY!$B$11:$M$1054,9,FALSE)</f>
        <v>396863</v>
      </c>
      <c r="M140" s="32"/>
      <c r="N140" s="35">
        <f t="shared" si="34"/>
        <v>0</v>
      </c>
      <c r="O140" s="36">
        <v>0</v>
      </c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  <c r="AA140" s="32"/>
      <c r="AB140" s="32"/>
      <c r="AC140" s="32"/>
      <c r="AD140" s="32"/>
      <c r="AE140" s="325">
        <f>'AVT187(vn-A)'!BI24</f>
        <v>0</v>
      </c>
      <c r="AF140" s="32"/>
      <c r="AG140" s="32"/>
      <c r="AH140" s="32"/>
      <c r="AI140" s="32"/>
      <c r="AJ140" s="32"/>
      <c r="AK140" s="32"/>
      <c r="AL140" s="32"/>
      <c r="AM140" s="32"/>
      <c r="AN140" s="32"/>
      <c r="AO140" s="32"/>
      <c r="AP140" s="32"/>
      <c r="AQ140" s="32"/>
      <c r="AR140" s="32"/>
      <c r="AS140" s="32"/>
      <c r="AT140" s="32"/>
      <c r="AU140" s="32"/>
      <c r="AV140" s="32"/>
      <c r="AW140" s="325">
        <f>'potr-v101+187'!BI38</f>
        <v>0</v>
      </c>
      <c r="AX140" s="32"/>
      <c r="AY140" s="32"/>
      <c r="AZ140" s="32"/>
      <c r="BA140" s="32"/>
      <c r="BB140" s="32"/>
      <c r="BC140" s="32"/>
      <c r="BD140" s="32"/>
      <c r="BE140" s="32"/>
      <c r="BF140" s="32"/>
      <c r="BG140" s="32"/>
      <c r="BH140" s="32"/>
      <c r="BI140" s="32"/>
      <c r="BJ140" s="32"/>
      <c r="BK140" s="32"/>
      <c r="BL140" s="32"/>
      <c r="BM140" s="32"/>
      <c r="BN140" s="32"/>
      <c r="BO140" s="165"/>
      <c r="BP140" s="165"/>
      <c r="BQ140" s="165"/>
      <c r="BR140" s="165"/>
      <c r="BS140" s="165"/>
      <c r="BT140" s="165"/>
      <c r="BU140" s="165"/>
      <c r="BV140" s="55"/>
      <c r="BW140" s="160"/>
      <c r="BX140" s="32"/>
      <c r="BY140" s="24"/>
      <c r="BZ140" s="24"/>
      <c r="CA140" s="24"/>
      <c r="CB140" s="24"/>
      <c r="CC140" s="24"/>
      <c r="CD140" s="24"/>
      <c r="CE140" s="24"/>
    </row>
    <row r="141" spans="1:83" ht="15" customHeight="1">
      <c r="A141" s="4"/>
      <c r="B141" s="317">
        <f>IF($T$7=$T$8,CENY!B328,CENY!B329)</f>
        <v>9255838</v>
      </c>
      <c r="C141" s="43" t="str">
        <f>VLOOKUP(B141,CENY!$B$11:$G$1054,2,FALSE)</f>
        <v>AvanY-prích.čela k naskrutk./ v187-251</v>
      </c>
      <c r="D141" s="353">
        <f>VLOOKUP(B141,CENY!$B$11:$G$1054,3,FALSE)</f>
        <v>200</v>
      </c>
      <c r="E141" s="56" t="str">
        <f>IF(VLOOKUP(B141,CENY!$B$11:$G$1054,4,FALSE)=0,"",VLOOKUP(B141,CENY!$B$11:$G$1054,4,FALSE))</f>
        <v/>
      </c>
      <c r="F141" s="40" t="str">
        <f>IF(J141&lt;&gt;"",J141,IF(B140=B141,IF(N141+N140=0,"",N141+N140),IF(N141=0,"",N141)))</f>
        <v/>
      </c>
      <c r="G141" s="52">
        <f>VLOOKUP(B141,CENY!$B$11:$M$1054,12,FALSE)</f>
        <v>49.383429999999997</v>
      </c>
      <c r="H141" s="54" t="str">
        <f t="shared" si="25"/>
        <v xml:space="preserve"> CZK</v>
      </c>
      <c r="I141" s="41" t="str">
        <f t="shared" si="26"/>
        <v/>
      </c>
      <c r="J141" s="122"/>
      <c r="K141" s="42" t="str">
        <f>VLOOKUP(B141,CENY!$B$11:$M$1054,8,FALSE)</f>
        <v xml:space="preserve"> </v>
      </c>
      <c r="L141" s="42" t="str">
        <f>VLOOKUP(B141,CENY!$B$11:$M$1054,9,FALSE)</f>
        <v>396863</v>
      </c>
      <c r="M141" s="32"/>
      <c r="N141" s="35">
        <f t="shared" si="34"/>
        <v>0</v>
      </c>
      <c r="O141" s="36">
        <v>0</v>
      </c>
      <c r="P141" s="32"/>
      <c r="Q141" s="32"/>
      <c r="R141" s="32"/>
      <c r="S141" s="32"/>
      <c r="T141" s="325">
        <f>'AVT187'!AZ78</f>
        <v>0</v>
      </c>
      <c r="U141" s="325">
        <f>'AVT187'!BI24</f>
        <v>0</v>
      </c>
      <c r="V141" s="32"/>
      <c r="W141" s="325">
        <f>'AVT251'!BI20</f>
        <v>0</v>
      </c>
      <c r="X141" s="32"/>
      <c r="Y141" s="32"/>
      <c r="Z141" s="32"/>
      <c r="AA141" s="32"/>
      <c r="AB141" s="32"/>
      <c r="AC141" s="32"/>
      <c r="AD141" s="32"/>
      <c r="AE141" s="32"/>
      <c r="AF141" s="32"/>
      <c r="AG141" s="32"/>
      <c r="AH141" s="32"/>
      <c r="AI141" s="32"/>
      <c r="AJ141" s="32"/>
      <c r="AK141" s="32"/>
      <c r="AL141" s="32"/>
      <c r="AM141" s="32"/>
      <c r="AN141" s="325">
        <f>'AVT-celny-101+187'!AZ60</f>
        <v>0</v>
      </c>
      <c r="AO141" s="325">
        <f>'AVT-celny-101+187'!BI44</f>
        <v>0</v>
      </c>
      <c r="AP141" s="325">
        <f>'AVT-celny-139+187'!AZ51</f>
        <v>0</v>
      </c>
      <c r="AQ141" s="325">
        <f>'AVT-celny-139+187'!BI36</f>
        <v>0</v>
      </c>
      <c r="AR141" s="325">
        <f>'AVT-celny-2x187'!AZ49</f>
        <v>0</v>
      </c>
      <c r="AS141" s="325">
        <f>'AVT-celny-2x187'!BI24</f>
        <v>0</v>
      </c>
      <c r="AT141" s="32"/>
      <c r="AU141" s="32"/>
      <c r="AV141" s="325">
        <f>'potr-v101+187'!AZ85</f>
        <v>0</v>
      </c>
      <c r="AW141" s="325">
        <f>'potr-v101+187'!BI36</f>
        <v>0</v>
      </c>
      <c r="AX141" s="32"/>
      <c r="AY141" s="32"/>
      <c r="AZ141" s="32"/>
      <c r="BA141" s="32"/>
      <c r="BB141" s="32"/>
      <c r="BC141" s="32"/>
      <c r="BD141" s="32"/>
      <c r="BE141" s="32"/>
      <c r="BF141" s="32"/>
      <c r="BG141" s="32"/>
      <c r="BH141" s="32"/>
      <c r="BI141" s="32"/>
      <c r="BJ141" s="32"/>
      <c r="BK141" s="32"/>
      <c r="BL141" s="32"/>
      <c r="BM141" s="32"/>
      <c r="BN141" s="32"/>
      <c r="BO141" s="165"/>
      <c r="BP141" s="165"/>
      <c r="BQ141" s="165"/>
      <c r="BR141" s="165"/>
      <c r="BS141" s="165"/>
      <c r="BT141" s="165"/>
      <c r="BU141" s="165"/>
      <c r="BV141" s="55"/>
      <c r="BW141" s="160"/>
      <c r="BX141" s="32"/>
      <c r="BY141" s="24"/>
      <c r="BZ141" s="24"/>
      <c r="CA141" s="24"/>
      <c r="CB141" s="24"/>
      <c r="CC141" s="24"/>
      <c r="CD141" s="24"/>
      <c r="CE141" s="24"/>
    </row>
    <row r="142" spans="1:83" ht="7.5" customHeight="1">
      <c r="A142" s="4"/>
      <c r="B142" s="317"/>
      <c r="C142" s="43"/>
      <c r="D142" s="39"/>
      <c r="E142" s="56"/>
      <c r="F142" s="60"/>
      <c r="G142" s="52"/>
      <c r="H142" s="54"/>
      <c r="I142" s="41"/>
      <c r="J142" s="122"/>
      <c r="K142" s="42"/>
      <c r="L142" s="42"/>
      <c r="M142" s="32"/>
      <c r="N142" s="35"/>
      <c r="O142" s="36">
        <v>0</v>
      </c>
      <c r="P142" s="32"/>
      <c r="Q142" s="32"/>
      <c r="R142" s="32"/>
      <c r="S142" s="32"/>
      <c r="T142" s="32"/>
      <c r="U142" s="32"/>
      <c r="V142" s="32"/>
      <c r="W142" s="32"/>
      <c r="X142" s="32"/>
      <c r="Y142" s="32"/>
      <c r="Z142" s="32"/>
      <c r="AA142" s="32"/>
      <c r="AB142" s="32"/>
      <c r="AC142" s="32"/>
      <c r="AD142" s="32"/>
      <c r="AE142" s="32"/>
      <c r="AF142" s="32"/>
      <c r="AG142" s="32"/>
      <c r="AH142" s="32"/>
      <c r="AI142" s="32"/>
      <c r="AJ142" s="32"/>
      <c r="AK142" s="32"/>
      <c r="AL142" s="32"/>
      <c r="AM142" s="32"/>
      <c r="AN142" s="32"/>
      <c r="AO142" s="32"/>
      <c r="AP142" s="32"/>
      <c r="AQ142" s="32"/>
      <c r="AR142" s="32"/>
      <c r="AS142" s="32"/>
      <c r="AT142" s="32"/>
      <c r="AU142" s="32"/>
      <c r="AV142" s="32"/>
      <c r="AW142" s="32"/>
      <c r="AX142" s="32"/>
      <c r="AY142" s="32"/>
      <c r="AZ142" s="32"/>
      <c r="BA142" s="32"/>
      <c r="BB142" s="32"/>
      <c r="BC142" s="32"/>
      <c r="BD142" s="32"/>
      <c r="BE142" s="32"/>
      <c r="BF142" s="32"/>
      <c r="BG142" s="32"/>
      <c r="BH142" s="32"/>
      <c r="BI142" s="32"/>
      <c r="BJ142" s="32"/>
      <c r="BK142" s="32"/>
      <c r="BL142" s="32"/>
      <c r="BM142" s="32"/>
      <c r="BN142" s="32"/>
      <c r="BO142" s="165"/>
      <c r="BP142" s="165"/>
      <c r="BQ142" s="165"/>
      <c r="BR142" s="165"/>
      <c r="BS142" s="165"/>
      <c r="BT142" s="165"/>
      <c r="BU142" s="165"/>
      <c r="BV142" s="55"/>
      <c r="BW142" s="160"/>
      <c r="BX142" s="32"/>
      <c r="BY142" s="24"/>
      <c r="BZ142" s="24"/>
      <c r="CA142" s="24"/>
      <c r="CB142" s="24"/>
      <c r="CC142" s="24"/>
      <c r="CD142" s="24"/>
      <c r="CE142" s="24"/>
    </row>
    <row r="143" spans="1:83" ht="15" customHeight="1">
      <c r="A143" s="4"/>
      <c r="B143" s="317">
        <f>IF($Q$8=$Q$7,CENY!B331,IF($Q$7=$Q$9,CENY!B338,CENY!B345))</f>
        <v>9353372</v>
      </c>
      <c r="C143" s="43" t="str">
        <f>VLOOKUP(B143,CENY!$B$11:$G$1054,2,FALSE)</f>
        <v>AvanY-sólo oceľ.boky-NW 251/350mm/strieb.</v>
      </c>
      <c r="D143" s="364">
        <f>VLOOKUP(B143,CENY!$B$11:$G$1054,3,FALSE)</f>
        <v>1</v>
      </c>
      <c r="E143" s="56" t="str">
        <f>IF(VLOOKUP(B143,CENY!$B$11:$G$1054,4,FALSE)=0,"",VLOOKUP(B143,CENY!$B$11:$G$1054,4,FALSE))</f>
        <v/>
      </c>
      <c r="F143" s="40" t="str">
        <f t="shared" ref="F143:F150" si="35">IF(J143&lt;&gt;"",J143,IF(N143=0,"",N143))</f>
        <v/>
      </c>
      <c r="G143" s="52">
        <f>VLOOKUP(B143,CENY!$B$11:$M$1054,12,FALSE)</f>
        <v>1154.06167</v>
      </c>
      <c r="H143" s="54" t="str">
        <f t="shared" si="25"/>
        <v xml:space="preserve"> CZK</v>
      </c>
      <c r="I143" s="41" t="str">
        <f t="shared" si="26"/>
        <v/>
      </c>
      <c r="J143" s="122"/>
      <c r="K143" s="42" t="str">
        <f>VLOOKUP(B143,CENY!$B$11:$M$1054,8,FALSE)</f>
        <v xml:space="preserve"> </v>
      </c>
      <c r="L143" s="42" t="str">
        <f>VLOOKUP(B143,CENY!$B$11:$M$1054,9,FALSE)</f>
        <v>530088</v>
      </c>
      <c r="M143" s="32"/>
      <c r="N143" s="35">
        <f t="shared" ref="N143:N149" si="36">SUM(P143:BW143)</f>
        <v>0</v>
      </c>
      <c r="O143" s="36">
        <v>0</v>
      </c>
      <c r="P143" s="32"/>
      <c r="Q143" s="32"/>
      <c r="R143" s="32"/>
      <c r="S143" s="32"/>
      <c r="T143" s="32"/>
      <c r="U143" s="32"/>
      <c r="V143" s="325">
        <f>'AVT251'!AZ5</f>
        <v>0</v>
      </c>
      <c r="W143" s="32"/>
      <c r="X143" s="32"/>
      <c r="Y143" s="32"/>
      <c r="Z143" s="32"/>
      <c r="AA143" s="32"/>
      <c r="AB143" s="32"/>
      <c r="AC143" s="32"/>
      <c r="AD143" s="32"/>
      <c r="AE143" s="32"/>
      <c r="AF143" s="32"/>
      <c r="AG143" s="32"/>
      <c r="AH143" s="32"/>
      <c r="AI143" s="32"/>
      <c r="AJ143" s="32"/>
      <c r="AK143" s="32"/>
      <c r="AL143" s="32"/>
      <c r="AM143" s="32"/>
      <c r="AN143" s="32"/>
      <c r="AO143" s="32"/>
      <c r="AP143" s="32"/>
      <c r="AQ143" s="32"/>
      <c r="AR143" s="32"/>
      <c r="AS143" s="32"/>
      <c r="AT143" s="32"/>
      <c r="AU143" s="32"/>
      <c r="AV143" s="32"/>
      <c r="AW143" s="32"/>
      <c r="AX143" s="32"/>
      <c r="AY143" s="32"/>
      <c r="AZ143" s="32"/>
      <c r="BA143" s="32"/>
      <c r="BB143" s="32"/>
      <c r="BC143" s="32"/>
      <c r="BD143" s="32"/>
      <c r="BE143" s="32"/>
      <c r="BF143" s="32"/>
      <c r="BG143" s="32"/>
      <c r="BH143" s="32"/>
      <c r="BI143" s="32"/>
      <c r="BJ143" s="32"/>
      <c r="BK143" s="32"/>
      <c r="BL143" s="32"/>
      <c r="BM143" s="32"/>
      <c r="BN143" s="32"/>
      <c r="BO143" s="165"/>
      <c r="BP143" s="165"/>
      <c r="BQ143" s="165"/>
      <c r="BR143" s="165"/>
      <c r="BS143" s="165"/>
      <c r="BT143" s="165"/>
      <c r="BU143" s="165"/>
      <c r="BV143" s="55"/>
      <c r="BW143" s="160"/>
      <c r="BX143" s="32"/>
      <c r="BY143" s="24"/>
      <c r="BZ143" s="24"/>
      <c r="CA143" s="24"/>
      <c r="CB143" s="24"/>
      <c r="CC143" s="24"/>
      <c r="CD143" s="24"/>
      <c r="CE143" s="24"/>
    </row>
    <row r="144" spans="1:83" ht="15" customHeight="1">
      <c r="A144" s="4"/>
      <c r="B144" s="317">
        <f>IF($Q$8=$Q$7,CENY!B332,IF($Q$7=$Q$9,CENY!B339,CENY!B346))</f>
        <v>9353373</v>
      </c>
      <c r="C144" s="43" t="str">
        <f>VLOOKUP(B144,CENY!$B$11:$G$1054,2,FALSE)</f>
        <v>AvanY-sólo oceľ.boky-NW 251/400mm/strieb.</v>
      </c>
      <c r="D144" s="364">
        <f>VLOOKUP(B144,CENY!$B$11:$G$1054,3,FALSE)</f>
        <v>1</v>
      </c>
      <c r="E144" s="56" t="str">
        <f>IF(VLOOKUP(B144,CENY!$B$11:$G$1054,4,FALSE)=0,"",VLOOKUP(B144,CENY!$B$11:$G$1054,4,FALSE))</f>
        <v/>
      </c>
      <c r="F144" s="40" t="str">
        <f t="shared" si="35"/>
        <v/>
      </c>
      <c r="G144" s="52">
        <f>VLOOKUP(B144,CENY!$B$11:$M$1054,12,FALSE)</f>
        <v>1172.4555</v>
      </c>
      <c r="H144" s="54" t="str">
        <f t="shared" si="25"/>
        <v xml:space="preserve"> CZK</v>
      </c>
      <c r="I144" s="41" t="str">
        <f t="shared" si="26"/>
        <v/>
      </c>
      <c r="J144" s="122"/>
      <c r="K144" s="42" t="str">
        <f>VLOOKUP(B144,CENY!$B$11:$M$1054,8,FALSE)</f>
        <v xml:space="preserve"> </v>
      </c>
      <c r="L144" s="42" t="str">
        <f>VLOOKUP(B144,CENY!$B$11:$M$1054,9,FALSE)</f>
        <v>530089</v>
      </c>
      <c r="M144" s="32"/>
      <c r="N144" s="35">
        <f t="shared" si="36"/>
        <v>0</v>
      </c>
      <c r="O144" s="36">
        <v>0</v>
      </c>
      <c r="P144" s="32"/>
      <c r="Q144" s="32"/>
      <c r="R144" s="32"/>
      <c r="S144" s="32"/>
      <c r="T144" s="32"/>
      <c r="U144" s="32"/>
      <c r="V144" s="325">
        <f>'AVT251'!AZ6</f>
        <v>0</v>
      </c>
      <c r="W144" s="32"/>
      <c r="X144" s="32"/>
      <c r="Y144" s="32"/>
      <c r="Z144" s="32"/>
      <c r="AA144" s="32"/>
      <c r="AB144" s="32"/>
      <c r="AC144" s="32"/>
      <c r="AD144" s="32"/>
      <c r="AE144" s="32"/>
      <c r="AF144" s="32"/>
      <c r="AG144" s="32"/>
      <c r="AH144" s="32"/>
      <c r="AI144" s="32"/>
      <c r="AJ144" s="32"/>
      <c r="AK144" s="32"/>
      <c r="AL144" s="32"/>
      <c r="AM144" s="32"/>
      <c r="AN144" s="32"/>
      <c r="AO144" s="32"/>
      <c r="AP144" s="32"/>
      <c r="AQ144" s="32"/>
      <c r="AR144" s="32"/>
      <c r="AS144" s="32"/>
      <c r="AT144" s="32"/>
      <c r="AU144" s="32"/>
      <c r="AV144" s="32"/>
      <c r="AW144" s="32"/>
      <c r="AX144" s="32"/>
      <c r="AY144" s="32"/>
      <c r="AZ144" s="32"/>
      <c r="BA144" s="32"/>
      <c r="BB144" s="32"/>
      <c r="BC144" s="32"/>
      <c r="BD144" s="32"/>
      <c r="BE144" s="32"/>
      <c r="BF144" s="32"/>
      <c r="BG144" s="32"/>
      <c r="BH144" s="32"/>
      <c r="BI144" s="32"/>
      <c r="BJ144" s="32"/>
      <c r="BK144" s="32"/>
      <c r="BL144" s="32"/>
      <c r="BM144" s="32"/>
      <c r="BN144" s="32"/>
      <c r="BO144" s="165"/>
      <c r="BP144" s="165"/>
      <c r="BQ144" s="165"/>
      <c r="BR144" s="165"/>
      <c r="BS144" s="165"/>
      <c r="BT144" s="165"/>
      <c r="BU144" s="165"/>
      <c r="BV144" s="55"/>
      <c r="BW144" s="160"/>
      <c r="BX144" s="32"/>
      <c r="BY144" s="24"/>
      <c r="BZ144" s="24"/>
      <c r="CA144" s="24"/>
      <c r="CB144" s="24"/>
      <c r="CC144" s="24"/>
      <c r="CD144" s="24"/>
      <c r="CE144" s="24"/>
    </row>
    <row r="145" spans="1:83" ht="15" customHeight="1">
      <c r="A145" s="4"/>
      <c r="B145" s="317">
        <f>IF($Q$8=$Q$7,CENY!B333,IF($Q$7=$Q$9,CENY!B340,CENY!B347))</f>
        <v>9353374</v>
      </c>
      <c r="C145" s="43" t="str">
        <f>VLOOKUP(B145,CENY!$B$11:$G$1054,2,FALSE)</f>
        <v>AvanY-sólo oceľ.boky-NW 251/450mm/strieb.</v>
      </c>
      <c r="D145" s="364">
        <f>VLOOKUP(B145,CENY!$B$11:$G$1054,3,FALSE)</f>
        <v>1</v>
      </c>
      <c r="E145" s="56" t="str">
        <f>IF(VLOOKUP(B145,CENY!$B$11:$G$1054,4,FALSE)=0,"",VLOOKUP(B145,CENY!$B$11:$G$1054,4,FALSE))</f>
        <v/>
      </c>
      <c r="F145" s="40" t="str">
        <f t="shared" si="35"/>
        <v/>
      </c>
      <c r="G145" s="52">
        <f>VLOOKUP(B145,CENY!$B$11:$M$1054,12,FALSE)</f>
        <v>1159.16713</v>
      </c>
      <c r="H145" s="54" t="str">
        <f t="shared" si="25"/>
        <v xml:space="preserve"> CZK</v>
      </c>
      <c r="I145" s="41" t="str">
        <f t="shared" si="26"/>
        <v/>
      </c>
      <c r="J145" s="122"/>
      <c r="K145" s="42" t="str">
        <f>VLOOKUP(B145,CENY!$B$11:$M$1054,8,FALSE)</f>
        <v xml:space="preserve"> </v>
      </c>
      <c r="L145" s="42" t="str">
        <f>VLOOKUP(B145,CENY!$B$11:$M$1054,9,FALSE)</f>
        <v>530090</v>
      </c>
      <c r="M145" s="32"/>
      <c r="N145" s="35">
        <f t="shared" si="36"/>
        <v>0</v>
      </c>
      <c r="O145" s="36">
        <v>0</v>
      </c>
      <c r="P145" s="32"/>
      <c r="Q145" s="32"/>
      <c r="R145" s="32"/>
      <c r="S145" s="32"/>
      <c r="T145" s="32"/>
      <c r="U145" s="32"/>
      <c r="V145" s="325">
        <f>'AVT251'!AZ7</f>
        <v>0</v>
      </c>
      <c r="W145" s="32"/>
      <c r="X145" s="32"/>
      <c r="Y145" s="32"/>
      <c r="Z145" s="32"/>
      <c r="AA145" s="32"/>
      <c r="AB145" s="32"/>
      <c r="AC145" s="32"/>
      <c r="AD145" s="32"/>
      <c r="AE145" s="32"/>
      <c r="AF145" s="32"/>
      <c r="AG145" s="32"/>
      <c r="AH145" s="32"/>
      <c r="AI145" s="32"/>
      <c r="AJ145" s="32"/>
      <c r="AK145" s="32"/>
      <c r="AL145" s="32"/>
      <c r="AM145" s="32"/>
      <c r="AN145" s="32"/>
      <c r="AO145" s="32"/>
      <c r="AP145" s="32"/>
      <c r="AQ145" s="32"/>
      <c r="AR145" s="32"/>
      <c r="AS145" s="32"/>
      <c r="AT145" s="32"/>
      <c r="AU145" s="32"/>
      <c r="AV145" s="32"/>
      <c r="AW145" s="32"/>
      <c r="AX145" s="32"/>
      <c r="AY145" s="32"/>
      <c r="AZ145" s="32"/>
      <c r="BA145" s="32"/>
      <c r="BB145" s="32"/>
      <c r="BC145" s="32"/>
      <c r="BD145" s="32"/>
      <c r="BE145" s="32"/>
      <c r="BF145" s="32"/>
      <c r="BG145" s="32"/>
      <c r="BH145" s="32"/>
      <c r="BI145" s="32"/>
      <c r="BJ145" s="32"/>
      <c r="BK145" s="32"/>
      <c r="BL145" s="32"/>
      <c r="BM145" s="32"/>
      <c r="BN145" s="32"/>
      <c r="BO145" s="165"/>
      <c r="BP145" s="165"/>
      <c r="BQ145" s="165"/>
      <c r="BR145" s="165"/>
      <c r="BS145" s="165"/>
      <c r="BT145" s="165"/>
      <c r="BU145" s="165"/>
      <c r="BV145" s="55"/>
      <c r="BW145" s="160"/>
      <c r="BX145" s="32"/>
      <c r="BY145" s="24"/>
      <c r="BZ145" s="24"/>
      <c r="CA145" s="24"/>
      <c r="CB145" s="24"/>
      <c r="CC145" s="24"/>
      <c r="CD145" s="24"/>
      <c r="CE145" s="24"/>
    </row>
    <row r="146" spans="1:83" ht="15" customHeight="1">
      <c r="A146" s="4"/>
      <c r="B146" s="317">
        <f>IF($Q$8=$Q$7,CENY!B334,IF($Q$7=$Q$9,CENY!B341,CENY!B348))</f>
        <v>9353375</v>
      </c>
      <c r="C146" s="43" t="str">
        <f>VLOOKUP(B146,CENY!$B$11:$G$1054,2,FALSE)</f>
        <v>AvanY-sólo oceľ.boky-NW 251/500mm/strieb.</v>
      </c>
      <c r="D146" s="364"/>
      <c r="E146" s="56" t="str">
        <f>IF(VLOOKUP(B146,CENY!$B$11:$G$1054,4,FALSE)=0,"",VLOOKUP(B146,CENY!$B$11:$G$1054,4,FALSE))</f>
        <v/>
      </c>
      <c r="F146" s="40" t="str">
        <f t="shared" si="35"/>
        <v/>
      </c>
      <c r="G146" s="52">
        <f>VLOOKUP(B146,CENY!$B$11:$M$1054,12,FALSE)</f>
        <v>1177.06744</v>
      </c>
      <c r="H146" s="54" t="str">
        <f t="shared" si="25"/>
        <v xml:space="preserve"> CZK</v>
      </c>
      <c r="I146" s="41" t="str">
        <f t="shared" si="26"/>
        <v/>
      </c>
      <c r="J146" s="122"/>
      <c r="K146" s="42" t="str">
        <f>VLOOKUP(B146,CENY!$B$11:$M$1054,8,FALSE)</f>
        <v xml:space="preserve"> </v>
      </c>
      <c r="L146" s="42" t="str">
        <f>VLOOKUP(B146,CENY!$B$11:$M$1054,9,FALSE)</f>
        <v>530091</v>
      </c>
      <c r="M146" s="32"/>
      <c r="N146" s="35">
        <f t="shared" si="36"/>
        <v>0</v>
      </c>
      <c r="O146" s="36">
        <v>0</v>
      </c>
      <c r="P146" s="32"/>
      <c r="Q146" s="32"/>
      <c r="R146" s="32"/>
      <c r="S146" s="32"/>
      <c r="T146" s="32"/>
      <c r="U146" s="32"/>
      <c r="V146" s="325">
        <f>'AVT251'!AZ8</f>
        <v>0</v>
      </c>
      <c r="W146" s="32"/>
      <c r="X146" s="32"/>
      <c r="Y146" s="32"/>
      <c r="Z146" s="32"/>
      <c r="AA146" s="32"/>
      <c r="AB146" s="32"/>
      <c r="AC146" s="32"/>
      <c r="AD146" s="32"/>
      <c r="AE146" s="32"/>
      <c r="AF146" s="32"/>
      <c r="AG146" s="32"/>
      <c r="AH146" s="32"/>
      <c r="AI146" s="32"/>
      <c r="AJ146" s="32"/>
      <c r="AK146" s="32"/>
      <c r="AL146" s="32"/>
      <c r="AM146" s="32"/>
      <c r="AN146" s="32"/>
      <c r="AO146" s="32"/>
      <c r="AP146" s="32"/>
      <c r="AQ146" s="32"/>
      <c r="AR146" s="32"/>
      <c r="AS146" s="32"/>
      <c r="AT146" s="32"/>
      <c r="AU146" s="32"/>
      <c r="AV146" s="32"/>
      <c r="AW146" s="32"/>
      <c r="AX146" s="32"/>
      <c r="AY146" s="32"/>
      <c r="AZ146" s="32"/>
      <c r="BA146" s="32"/>
      <c r="BB146" s="32"/>
      <c r="BC146" s="32"/>
      <c r="BD146" s="32"/>
      <c r="BE146" s="32"/>
      <c r="BF146" s="32"/>
      <c r="BG146" s="32"/>
      <c r="BH146" s="32"/>
      <c r="BI146" s="32"/>
      <c r="BJ146" s="32"/>
      <c r="BK146" s="32"/>
      <c r="BL146" s="32"/>
      <c r="BM146" s="32"/>
      <c r="BN146" s="32"/>
      <c r="BO146" s="165"/>
      <c r="BP146" s="165"/>
      <c r="BQ146" s="165"/>
      <c r="BR146" s="165"/>
      <c r="BS146" s="165"/>
      <c r="BT146" s="165"/>
      <c r="BU146" s="165"/>
      <c r="BV146" s="55"/>
      <c r="BW146" s="160"/>
      <c r="BX146" s="32"/>
      <c r="BY146" s="24"/>
      <c r="BZ146" s="24"/>
      <c r="CA146" s="24"/>
      <c r="CB146" s="24"/>
      <c r="CC146" s="24"/>
      <c r="CD146" s="24"/>
      <c r="CE146" s="24"/>
    </row>
    <row r="147" spans="1:83" ht="15" customHeight="1">
      <c r="A147" s="4"/>
      <c r="B147" s="317">
        <f>IF($Q$8=$Q$7,CENY!B335,IF($Q$7=$Q$9,CENY!B342,CENY!B349))</f>
        <v>9353376</v>
      </c>
      <c r="C147" s="43" t="str">
        <f>VLOOKUP(B147,CENY!$B$11:$G$1054,2,FALSE)</f>
        <v>AvanY-sólo oceľ.boky-NW 251/550mm/strieb.</v>
      </c>
      <c r="D147" s="364">
        <f>VLOOKUP(B147,CENY!$B$11:$G$1054,3,FALSE)</f>
        <v>1</v>
      </c>
      <c r="E147" s="56" t="str">
        <f>IF(VLOOKUP(B147,CENY!$B$11:$G$1054,4,FALSE)=0,"",VLOOKUP(B147,CENY!$B$11:$G$1054,4,FALSE))</f>
        <v/>
      </c>
      <c r="F147" s="40" t="str">
        <f t="shared" si="35"/>
        <v/>
      </c>
      <c r="G147" s="52">
        <f>VLOOKUP(B147,CENY!$B$11:$M$1054,12,FALSE)</f>
        <v>1227.6127799999999</v>
      </c>
      <c r="H147" s="54" t="str">
        <f t="shared" si="25"/>
        <v xml:space="preserve"> CZK</v>
      </c>
      <c r="I147" s="41" t="str">
        <f t="shared" si="26"/>
        <v/>
      </c>
      <c r="J147" s="122"/>
      <c r="K147" s="42" t="str">
        <f>VLOOKUP(B147,CENY!$B$11:$M$1054,8,FALSE)</f>
        <v xml:space="preserve"> </v>
      </c>
      <c r="L147" s="42" t="str">
        <f>VLOOKUP(B147,CENY!$B$11:$M$1054,9,FALSE)</f>
        <v>530092</v>
      </c>
      <c r="M147" s="32"/>
      <c r="N147" s="35">
        <f t="shared" si="36"/>
        <v>0</v>
      </c>
      <c r="O147" s="36">
        <v>0</v>
      </c>
      <c r="P147" s="32"/>
      <c r="Q147" s="32"/>
      <c r="R147" s="32"/>
      <c r="S147" s="32"/>
      <c r="T147" s="32"/>
      <c r="U147" s="32"/>
      <c r="V147" s="325">
        <f>'AVT251'!AZ9</f>
        <v>0</v>
      </c>
      <c r="W147" s="32"/>
      <c r="X147" s="32"/>
      <c r="Y147" s="32"/>
      <c r="Z147" s="32"/>
      <c r="AA147" s="32"/>
      <c r="AB147" s="32"/>
      <c r="AC147" s="32"/>
      <c r="AD147" s="32"/>
      <c r="AE147" s="32"/>
      <c r="AF147" s="32"/>
      <c r="AG147" s="32"/>
      <c r="AH147" s="32"/>
      <c r="AI147" s="32"/>
      <c r="AJ147" s="32"/>
      <c r="AK147" s="32"/>
      <c r="AL147" s="32"/>
      <c r="AM147" s="32"/>
      <c r="AN147" s="32"/>
      <c r="AO147" s="32"/>
      <c r="AP147" s="32"/>
      <c r="AQ147" s="32"/>
      <c r="AR147" s="32"/>
      <c r="AS147" s="32"/>
      <c r="AT147" s="32"/>
      <c r="AU147" s="32"/>
      <c r="AV147" s="32"/>
      <c r="AW147" s="32"/>
      <c r="AX147" s="32"/>
      <c r="AY147" s="32"/>
      <c r="AZ147" s="32"/>
      <c r="BA147" s="32"/>
      <c r="BB147" s="32"/>
      <c r="BC147" s="32"/>
      <c r="BD147" s="32"/>
      <c r="BE147" s="32"/>
      <c r="BF147" s="32"/>
      <c r="BG147" s="32"/>
      <c r="BH147" s="32"/>
      <c r="BI147" s="32"/>
      <c r="BJ147" s="32"/>
      <c r="BK147" s="32"/>
      <c r="BL147" s="32"/>
      <c r="BM147" s="32"/>
      <c r="BN147" s="32"/>
      <c r="BO147" s="165"/>
      <c r="BP147" s="165"/>
      <c r="BQ147" s="165"/>
      <c r="BR147" s="165"/>
      <c r="BS147" s="165"/>
      <c r="BT147" s="165"/>
      <c r="BU147" s="165"/>
      <c r="BV147" s="55"/>
      <c r="BW147" s="160"/>
      <c r="BX147" s="32"/>
      <c r="BY147" s="24"/>
      <c r="BZ147" s="24"/>
      <c r="CA147" s="24"/>
      <c r="CB147" s="24"/>
      <c r="CC147" s="24"/>
      <c r="CD147" s="24"/>
      <c r="CE147" s="24"/>
    </row>
    <row r="148" spans="1:83" ht="15" customHeight="1">
      <c r="A148" s="4"/>
      <c r="B148" s="317">
        <f>IF($Q$8=$Q$7,CENY!B336,IF($Q$7=$Q$9,CENY!B343,CENY!B350))</f>
        <v>9353377</v>
      </c>
      <c r="C148" s="43" t="str">
        <f>VLOOKUP(B148,CENY!$B$11:$G$1054,2,FALSE)</f>
        <v>AvanY-sólo oceľ.boky-NW 251/600mm/strieb.</v>
      </c>
      <c r="D148" s="364">
        <f>VLOOKUP(B148,CENY!$B$11:$G$1054,3,FALSE)</f>
        <v>1</v>
      </c>
      <c r="E148" s="56" t="str">
        <f>IF(VLOOKUP(B148,CENY!$B$11:$G$1054,4,FALSE)=0,"",VLOOKUP(B148,CENY!$B$11:$G$1054,4,FALSE))</f>
        <v/>
      </c>
      <c r="F148" s="40" t="str">
        <f t="shared" si="35"/>
        <v/>
      </c>
      <c r="G148" s="52">
        <f>VLOOKUP(B148,CENY!$B$11:$M$1054,12,FALSE)</f>
        <v>1255.0867800000001</v>
      </c>
      <c r="H148" s="54" t="str">
        <f t="shared" si="25"/>
        <v xml:space="preserve"> CZK</v>
      </c>
      <c r="I148" s="41" t="str">
        <f t="shared" si="26"/>
        <v/>
      </c>
      <c r="J148" s="122"/>
      <c r="K148" s="42" t="str">
        <f>VLOOKUP(B148,CENY!$B$11:$M$1054,8,FALSE)</f>
        <v xml:space="preserve"> </v>
      </c>
      <c r="L148" s="42" t="str">
        <f>VLOOKUP(B148,CENY!$B$11:$M$1054,9,FALSE)</f>
        <v>530093</v>
      </c>
      <c r="M148" s="32"/>
      <c r="N148" s="35">
        <f t="shared" si="36"/>
        <v>0</v>
      </c>
      <c r="O148" s="36">
        <v>0</v>
      </c>
      <c r="P148" s="32"/>
      <c r="Q148" s="32"/>
      <c r="R148" s="32"/>
      <c r="S148" s="32"/>
      <c r="T148" s="32"/>
      <c r="U148" s="32"/>
      <c r="V148" s="325">
        <f>'AVT251'!AZ10</f>
        <v>0</v>
      </c>
      <c r="W148" s="32"/>
      <c r="X148" s="32"/>
      <c r="Y148" s="32"/>
      <c r="Z148" s="32"/>
      <c r="AA148" s="32"/>
      <c r="AB148" s="32"/>
      <c r="AC148" s="32"/>
      <c r="AD148" s="32"/>
      <c r="AE148" s="32"/>
      <c r="AF148" s="32"/>
      <c r="AG148" s="32"/>
      <c r="AH148" s="32"/>
      <c r="AI148" s="32"/>
      <c r="AJ148" s="32"/>
      <c r="AK148" s="32"/>
      <c r="AL148" s="32"/>
      <c r="AM148" s="32"/>
      <c r="AN148" s="32"/>
      <c r="AO148" s="32"/>
      <c r="AP148" s="32"/>
      <c r="AQ148" s="32"/>
      <c r="AR148" s="32"/>
      <c r="AS148" s="32"/>
      <c r="AT148" s="32"/>
      <c r="AU148" s="32"/>
      <c r="AV148" s="32"/>
      <c r="AW148" s="32"/>
      <c r="AX148" s="32"/>
      <c r="AY148" s="32"/>
      <c r="AZ148" s="32"/>
      <c r="BA148" s="32"/>
      <c r="BB148" s="32"/>
      <c r="BC148" s="32"/>
      <c r="BD148" s="32"/>
      <c r="BE148" s="32"/>
      <c r="BF148" s="32"/>
      <c r="BG148" s="32"/>
      <c r="BH148" s="32"/>
      <c r="BI148" s="32"/>
      <c r="BJ148" s="32"/>
      <c r="BK148" s="32"/>
      <c r="BL148" s="32"/>
      <c r="BM148" s="32"/>
      <c r="BN148" s="32"/>
      <c r="BO148" s="165"/>
      <c r="BP148" s="165"/>
      <c r="BQ148" s="165"/>
      <c r="BR148" s="165"/>
      <c r="BS148" s="165"/>
      <c r="BT148" s="165"/>
      <c r="BU148" s="165"/>
      <c r="BV148" s="55"/>
      <c r="BW148" s="160"/>
      <c r="BX148" s="32"/>
      <c r="BY148" s="24"/>
      <c r="BZ148" s="24"/>
      <c r="CA148" s="24"/>
      <c r="CB148" s="24"/>
      <c r="CC148" s="24"/>
      <c r="CD148" s="24"/>
      <c r="CE148" s="24"/>
    </row>
    <row r="149" spans="1:83" ht="15" customHeight="1">
      <c r="A149" s="4"/>
      <c r="B149" s="317">
        <f>IF($Q$8=$Q$7,CENY!B337,IF($Q$7=$Q$9,CENY!B344,CENY!B351))</f>
        <v>9353378</v>
      </c>
      <c r="C149" s="43" t="str">
        <f>VLOOKUP(B149,CENY!$B$11:$G$1054,2,FALSE)</f>
        <v>AvanY-sólo oceľ.boky-NW 251/650mm/strieb.</v>
      </c>
      <c r="D149" s="364">
        <f>VLOOKUP(B149,CENY!$B$11:$G$1054,3,FALSE)</f>
        <v>1</v>
      </c>
      <c r="E149" s="56" t="str">
        <f>IF(VLOOKUP(B149,CENY!$B$11:$G$1054,4,FALSE)=0,"",VLOOKUP(B149,CENY!$B$11:$G$1054,4,FALSE))</f>
        <v/>
      </c>
      <c r="F149" s="40" t="str">
        <f t="shared" si="35"/>
        <v/>
      </c>
      <c r="G149" s="52">
        <f>VLOOKUP(B149,CENY!$B$11:$M$1054,12,FALSE)</f>
        <v>1293.44064</v>
      </c>
      <c r="H149" s="54" t="str">
        <f t="shared" si="25"/>
        <v xml:space="preserve"> CZK</v>
      </c>
      <c r="I149" s="41" t="str">
        <f t="shared" si="26"/>
        <v/>
      </c>
      <c r="J149" s="122"/>
      <c r="K149" s="42" t="str">
        <f>VLOOKUP(B149,CENY!$B$11:$M$1054,8,FALSE)</f>
        <v xml:space="preserve"> </v>
      </c>
      <c r="L149" s="42" t="str">
        <f>VLOOKUP(B149,CENY!$B$11:$M$1054,9,FALSE)</f>
        <v>530094</v>
      </c>
      <c r="M149" s="32"/>
      <c r="N149" s="35">
        <f t="shared" si="36"/>
        <v>0</v>
      </c>
      <c r="O149" s="36">
        <v>0</v>
      </c>
      <c r="P149" s="32"/>
      <c r="Q149" s="32"/>
      <c r="R149" s="32"/>
      <c r="S149" s="32"/>
      <c r="T149" s="32"/>
      <c r="U149" s="32"/>
      <c r="V149" s="325">
        <f>'AVT251'!AZ11</f>
        <v>0</v>
      </c>
      <c r="W149" s="32"/>
      <c r="X149" s="32"/>
      <c r="Y149" s="32"/>
      <c r="Z149" s="32"/>
      <c r="AA149" s="32"/>
      <c r="AB149" s="32"/>
      <c r="AC149" s="32"/>
      <c r="AD149" s="32"/>
      <c r="AE149" s="32"/>
      <c r="AF149" s="32"/>
      <c r="AG149" s="32"/>
      <c r="AH149" s="32"/>
      <c r="AI149" s="32"/>
      <c r="AJ149" s="32"/>
      <c r="AK149" s="32"/>
      <c r="AL149" s="32"/>
      <c r="AM149" s="32"/>
      <c r="AN149" s="32"/>
      <c r="AO149" s="32"/>
      <c r="AP149" s="32"/>
      <c r="AQ149" s="32"/>
      <c r="AR149" s="32"/>
      <c r="AS149" s="32"/>
      <c r="AT149" s="32"/>
      <c r="AU149" s="32"/>
      <c r="AV149" s="32"/>
      <c r="AW149" s="32"/>
      <c r="AX149" s="32"/>
      <c r="AY149" s="32"/>
      <c r="AZ149" s="32"/>
      <c r="BA149" s="32"/>
      <c r="BB149" s="32"/>
      <c r="BC149" s="32"/>
      <c r="BD149" s="32"/>
      <c r="BE149" s="32"/>
      <c r="BF149" s="32"/>
      <c r="BG149" s="32"/>
      <c r="BH149" s="32"/>
      <c r="BI149" s="32"/>
      <c r="BJ149" s="32"/>
      <c r="BK149" s="32"/>
      <c r="BL149" s="32"/>
      <c r="BM149" s="32"/>
      <c r="BN149" s="32"/>
      <c r="BO149" s="165"/>
      <c r="BP149" s="165"/>
      <c r="BQ149" s="165"/>
      <c r="BR149" s="165"/>
      <c r="BS149" s="165"/>
      <c r="BT149" s="165"/>
      <c r="BU149" s="165"/>
      <c r="BV149" s="55"/>
      <c r="BW149" s="160"/>
      <c r="BX149" s="32"/>
      <c r="BY149" s="24"/>
      <c r="BZ149" s="24"/>
      <c r="CA149" s="24"/>
      <c r="CB149" s="24"/>
      <c r="CC149" s="24"/>
      <c r="CD149" s="24"/>
      <c r="CE149" s="24"/>
    </row>
    <row r="150" spans="1:83" ht="15" customHeight="1">
      <c r="A150" s="4"/>
      <c r="B150" s="317">
        <f>IF($T$7=$T$8,CENY!B394,CENY!B395)</f>
        <v>9359507</v>
      </c>
      <c r="C150" s="43" t="str">
        <f>VLOOKUP(B150,CENY!$B$11:$G$1054,2,FALSE)</f>
        <v>AvanY-prích.čela k naskrutk./ v251 (kompl)</v>
      </c>
      <c r="D150" s="364">
        <f>VLOOKUP(B150,CENY!$B$11:$G$1054,3,FALSE)</f>
        <v>1</v>
      </c>
      <c r="E150" s="56"/>
      <c r="F150" s="40" t="str">
        <f t="shared" si="35"/>
        <v/>
      </c>
      <c r="G150" s="52">
        <f>VLOOKUP(B150,CENY!$B$11:$M$1054,12,FALSE)</f>
        <v>28.618980000000001</v>
      </c>
      <c r="H150" s="54" t="str">
        <f t="shared" ref="H150" si="37">IF(G150="","",$H$22)</f>
        <v xml:space="preserve"> CZK</v>
      </c>
      <c r="I150" s="41" t="str">
        <f t="shared" ref="I150" si="38">IF(F150="","",G150*F150)</f>
        <v/>
      </c>
      <c r="J150" s="122"/>
      <c r="K150" s="42" t="str">
        <f>VLOOKUP(B150,CENY!$B$11:$M$1054,8,FALSE)</f>
        <v xml:space="preserve"> </v>
      </c>
      <c r="L150" s="42" t="str">
        <f>VLOOKUP(B150,CENY!$B$11:$M$1054,9,FALSE)</f>
        <v>537689</v>
      </c>
      <c r="M150" s="32"/>
      <c r="N150" s="35">
        <f t="shared" ref="N150" si="39">SUM(P150:BW150)</f>
        <v>0</v>
      </c>
      <c r="O150" s="36">
        <v>0</v>
      </c>
      <c r="P150" s="32"/>
      <c r="Q150" s="32"/>
      <c r="R150" s="32"/>
      <c r="S150" s="32"/>
      <c r="T150" s="32"/>
      <c r="U150" s="32"/>
      <c r="V150" s="325">
        <f>'AVT251'!AZ64</f>
        <v>0</v>
      </c>
      <c r="W150" s="32"/>
      <c r="X150" s="32"/>
      <c r="Y150" s="32"/>
      <c r="Z150" s="32"/>
      <c r="AA150" s="32"/>
      <c r="AB150" s="32"/>
      <c r="AC150" s="32"/>
      <c r="AD150" s="32"/>
      <c r="AE150" s="32"/>
      <c r="AF150" s="32"/>
      <c r="AG150" s="32"/>
      <c r="AH150" s="32"/>
      <c r="AI150" s="32"/>
      <c r="AJ150" s="32"/>
      <c r="AK150" s="32"/>
      <c r="AL150" s="32"/>
      <c r="AM150" s="32"/>
      <c r="AN150" s="32"/>
      <c r="AO150" s="32"/>
      <c r="AP150" s="32"/>
      <c r="AQ150" s="32"/>
      <c r="AR150" s="32"/>
      <c r="AS150" s="32"/>
      <c r="AT150" s="32"/>
      <c r="AU150" s="32"/>
      <c r="AV150" s="32"/>
      <c r="AW150" s="32"/>
      <c r="AX150" s="32"/>
      <c r="AY150" s="32"/>
      <c r="AZ150" s="32"/>
      <c r="BA150" s="32"/>
      <c r="BB150" s="32"/>
      <c r="BC150" s="32"/>
      <c r="BD150" s="32"/>
      <c r="BE150" s="32"/>
      <c r="BF150" s="32"/>
      <c r="BG150" s="32"/>
      <c r="BH150" s="32"/>
      <c r="BI150" s="32"/>
      <c r="BJ150" s="32"/>
      <c r="BK150" s="32"/>
      <c r="BL150" s="32"/>
      <c r="BM150" s="32"/>
      <c r="BN150" s="32"/>
      <c r="BO150" s="165"/>
      <c r="BP150" s="165"/>
      <c r="BQ150" s="165"/>
      <c r="BR150" s="165"/>
      <c r="BS150" s="165"/>
      <c r="BT150" s="165"/>
      <c r="BU150" s="165"/>
      <c r="BV150" s="55"/>
      <c r="BW150" s="160"/>
      <c r="BX150" s="32"/>
      <c r="BY150" s="24"/>
      <c r="BZ150" s="24"/>
      <c r="CA150" s="24"/>
      <c r="CB150" s="24"/>
      <c r="CC150" s="24"/>
      <c r="CD150" s="24"/>
      <c r="CE150" s="24"/>
    </row>
    <row r="151" spans="1:83" ht="8.1" customHeight="1">
      <c r="A151" s="4"/>
      <c r="B151" s="317"/>
      <c r="C151" s="43"/>
      <c r="D151" s="39"/>
      <c r="E151" s="56"/>
      <c r="F151" s="40"/>
      <c r="G151" s="52"/>
      <c r="H151" s="54"/>
      <c r="I151" s="41"/>
      <c r="J151" s="122"/>
      <c r="K151" s="42"/>
      <c r="L151" s="42"/>
      <c r="M151" s="32"/>
      <c r="N151" s="35"/>
      <c r="O151" s="36">
        <v>0</v>
      </c>
      <c r="P151" s="32"/>
      <c r="Q151" s="32"/>
      <c r="R151" s="32"/>
      <c r="S151" s="32"/>
      <c r="T151" s="32"/>
      <c r="U151" s="32"/>
      <c r="V151" s="32"/>
      <c r="W151" s="32"/>
      <c r="X151" s="32"/>
      <c r="Y151" s="32"/>
      <c r="Z151" s="32"/>
      <c r="AA151" s="32"/>
      <c r="AB151" s="32"/>
      <c r="AC151" s="32"/>
      <c r="AD151" s="32"/>
      <c r="AE151" s="32"/>
      <c r="AF151" s="32"/>
      <c r="AG151" s="32"/>
      <c r="AH151" s="32"/>
      <c r="AI151" s="32"/>
      <c r="AJ151" s="32"/>
      <c r="AK151" s="32"/>
      <c r="AL151" s="32"/>
      <c r="AM151" s="32"/>
      <c r="AN151" s="32"/>
      <c r="AO151" s="32"/>
      <c r="AP151" s="32"/>
      <c r="AQ151" s="32"/>
      <c r="AR151" s="32"/>
      <c r="AS151" s="32"/>
      <c r="AT151" s="32"/>
      <c r="AU151" s="32"/>
      <c r="AV151" s="32"/>
      <c r="AW151" s="32"/>
      <c r="AX151" s="32"/>
      <c r="AY151" s="32"/>
      <c r="AZ151" s="32"/>
      <c r="BA151" s="32"/>
      <c r="BB151" s="32"/>
      <c r="BC151" s="32"/>
      <c r="BD151" s="32"/>
      <c r="BE151" s="32"/>
      <c r="BF151" s="32"/>
      <c r="BG151" s="32"/>
      <c r="BH151" s="32"/>
      <c r="BI151" s="32"/>
      <c r="BJ151" s="32"/>
      <c r="BK151" s="32"/>
      <c r="BL151" s="32"/>
      <c r="BM151" s="32"/>
      <c r="BN151" s="32"/>
      <c r="BO151" s="165"/>
      <c r="BP151" s="165"/>
      <c r="BQ151" s="165"/>
      <c r="BR151" s="165"/>
      <c r="BS151" s="165"/>
      <c r="BT151" s="165"/>
      <c r="BU151" s="165"/>
      <c r="BV151" s="55"/>
      <c r="BW151" s="160"/>
      <c r="BX151" s="32"/>
      <c r="BY151" s="24"/>
      <c r="BZ151" s="24"/>
      <c r="CA151" s="24"/>
      <c r="CB151" s="24"/>
      <c r="CC151" s="24"/>
      <c r="CD151" s="24"/>
      <c r="CE151" s="24"/>
    </row>
    <row r="152" spans="1:83" ht="15" customHeight="1">
      <c r="A152" s="4"/>
      <c r="B152" s="317">
        <f>IF($Q$8=$Q$7,CENY!B352,IF($Q$7=$Q$9,CENY!B366,CENY!B380))</f>
        <v>9255066</v>
      </c>
      <c r="C152" s="43" t="str">
        <f>VLOOKUP(B152,CENY!$B$11:$G$1054,2,FALSE)</f>
        <v>AvanY-bok ľavý /v251/h350/ strieborná</v>
      </c>
      <c r="D152" s="353">
        <f>VLOOKUP(B152,CENY!$B$11:$G$1054,3,FALSE)</f>
        <v>10</v>
      </c>
      <c r="E152" s="56" t="str">
        <f>IF(VLOOKUP(B152,CENY!$B$11:$G$1054,4,FALSE)=0,"",VLOOKUP(B152,CENY!$B$11:$G$1054,4,FALSE))</f>
        <v/>
      </c>
      <c r="F152" s="40" t="str">
        <f t="shared" ref="F152:F166" si="40">IF(J152&lt;&gt;"",J152,IF(N152=0,"",N152))</f>
        <v/>
      </c>
      <c r="G152" s="52">
        <f>VLOOKUP(B152,CENY!$B$11:$M$1054,12,FALSE)</f>
        <v>557.43890999999996</v>
      </c>
      <c r="H152" s="54" t="str">
        <f t="shared" si="25"/>
        <v xml:space="preserve"> CZK</v>
      </c>
      <c r="I152" s="41" t="str">
        <f t="shared" si="26"/>
        <v/>
      </c>
      <c r="J152" s="122"/>
      <c r="K152" s="42" t="str">
        <f>VLOOKUP(B152,CENY!$B$11:$M$1054,8,FALSE)</f>
        <v xml:space="preserve"> </v>
      </c>
      <c r="L152" s="42" t="str">
        <f>VLOOKUP(B152,CENY!$B$11:$M$1054,9,FALSE)</f>
        <v>396886</v>
      </c>
      <c r="M152" s="32"/>
      <c r="N152" s="35">
        <f t="shared" ref="N152:N166" si="41">SUM(P152:BW152)</f>
        <v>0</v>
      </c>
      <c r="O152" s="36">
        <v>0</v>
      </c>
      <c r="P152" s="32"/>
      <c r="Q152" s="32"/>
      <c r="R152" s="32"/>
      <c r="S152" s="32"/>
      <c r="T152" s="32"/>
      <c r="U152" s="32"/>
      <c r="V152" s="32"/>
      <c r="W152" s="325">
        <f>'AVT251'!BI5</f>
        <v>0</v>
      </c>
      <c r="X152" s="32"/>
      <c r="Y152" s="32"/>
      <c r="Z152" s="32"/>
      <c r="AA152" s="32"/>
      <c r="AB152" s="32"/>
      <c r="AC152" s="32"/>
      <c r="AD152" s="32"/>
      <c r="AE152" s="32"/>
      <c r="AF152" s="32"/>
      <c r="AG152" s="32"/>
      <c r="AH152" s="32"/>
      <c r="AI152" s="32"/>
      <c r="AJ152" s="32"/>
      <c r="AK152" s="32"/>
      <c r="AL152" s="32"/>
      <c r="AM152" s="32"/>
      <c r="AN152" s="32"/>
      <c r="AO152" s="32"/>
      <c r="AP152" s="32"/>
      <c r="AQ152" s="32"/>
      <c r="AR152" s="32"/>
      <c r="AS152" s="32"/>
      <c r="AT152" s="32"/>
      <c r="AU152" s="32"/>
      <c r="AV152" s="32"/>
      <c r="AW152" s="32"/>
      <c r="AX152" s="32"/>
      <c r="AY152" s="32"/>
      <c r="AZ152" s="32"/>
      <c r="BA152" s="32"/>
      <c r="BB152" s="32"/>
      <c r="BC152" s="32"/>
      <c r="BD152" s="32"/>
      <c r="BE152" s="32"/>
      <c r="BF152" s="32"/>
      <c r="BG152" s="32"/>
      <c r="BH152" s="32"/>
      <c r="BI152" s="32"/>
      <c r="BJ152" s="32"/>
      <c r="BK152" s="32"/>
      <c r="BL152" s="32"/>
      <c r="BM152" s="32"/>
      <c r="BN152" s="32"/>
      <c r="BO152" s="165"/>
      <c r="BP152" s="165"/>
      <c r="BQ152" s="165"/>
      <c r="BR152" s="165"/>
      <c r="BS152" s="165"/>
      <c r="BT152" s="165"/>
      <c r="BU152" s="165"/>
      <c r="BV152" s="55"/>
      <c r="BW152" s="160"/>
      <c r="BX152" s="32"/>
      <c r="BY152" s="24"/>
      <c r="BZ152" s="24"/>
      <c r="CA152" s="24"/>
      <c r="CB152" s="24"/>
      <c r="CC152" s="24"/>
      <c r="CD152" s="24"/>
      <c r="CE152" s="24"/>
    </row>
    <row r="153" spans="1:83" ht="15" customHeight="1">
      <c r="A153" s="4"/>
      <c r="B153" s="317">
        <f>IF($Q$8=$Q$7,CENY!B353,IF($Q$7=$Q$9,CENY!B367,CENY!B381))</f>
        <v>9255067</v>
      </c>
      <c r="C153" s="43" t="str">
        <f>VLOOKUP(B153,CENY!$B$11:$G$1054,2,FALSE)</f>
        <v>AvanY-bok pravý /v251/h350/ strieborná</v>
      </c>
      <c r="D153" s="353">
        <f>VLOOKUP(B153,CENY!$B$11:$G$1054,3,FALSE)</f>
        <v>10</v>
      </c>
      <c r="E153" s="56" t="str">
        <f>IF(VLOOKUP(B153,CENY!$B$11:$G$1054,4,FALSE)=0,"",VLOOKUP(B153,CENY!$B$11:$G$1054,4,FALSE))</f>
        <v/>
      </c>
      <c r="F153" s="40" t="str">
        <f t="shared" si="40"/>
        <v/>
      </c>
      <c r="G153" s="52">
        <f>VLOOKUP(B153,CENY!$B$11:$M$1054,12,FALSE)</f>
        <v>557.43890999999996</v>
      </c>
      <c r="H153" s="54" t="str">
        <f t="shared" si="25"/>
        <v xml:space="preserve"> CZK</v>
      </c>
      <c r="I153" s="41" t="str">
        <f t="shared" si="26"/>
        <v/>
      </c>
      <c r="J153" s="122"/>
      <c r="K153" s="42" t="str">
        <f>VLOOKUP(B153,CENY!$B$11:$M$1054,8,FALSE)</f>
        <v xml:space="preserve"> </v>
      </c>
      <c r="L153" s="42" t="str">
        <f>VLOOKUP(B153,CENY!$B$11:$M$1054,9,FALSE)</f>
        <v>396887</v>
      </c>
      <c r="M153" s="32"/>
      <c r="N153" s="35">
        <f t="shared" si="41"/>
        <v>0</v>
      </c>
      <c r="O153" s="36">
        <v>0</v>
      </c>
      <c r="P153" s="32"/>
      <c r="Q153" s="32"/>
      <c r="R153" s="32"/>
      <c r="S153" s="32"/>
      <c r="T153" s="32"/>
      <c r="U153" s="32"/>
      <c r="V153" s="32"/>
      <c r="W153" s="325">
        <f>'AVT251'!BI6</f>
        <v>0</v>
      </c>
      <c r="X153" s="32"/>
      <c r="Y153" s="32"/>
      <c r="Z153" s="32"/>
      <c r="AA153" s="32"/>
      <c r="AB153" s="32"/>
      <c r="AC153" s="32"/>
      <c r="AD153" s="32"/>
      <c r="AE153" s="32"/>
      <c r="AF153" s="32"/>
      <c r="AG153" s="32"/>
      <c r="AH153" s="32"/>
      <c r="AI153" s="32"/>
      <c r="AJ153" s="32"/>
      <c r="AK153" s="32"/>
      <c r="AL153" s="32"/>
      <c r="AM153" s="32"/>
      <c r="AN153" s="32"/>
      <c r="AO153" s="32"/>
      <c r="AP153" s="32"/>
      <c r="AQ153" s="32"/>
      <c r="AR153" s="32"/>
      <c r="AS153" s="32"/>
      <c r="AT153" s="32"/>
      <c r="AU153" s="32"/>
      <c r="AV153" s="32"/>
      <c r="AW153" s="32"/>
      <c r="AX153" s="32"/>
      <c r="AY153" s="32"/>
      <c r="AZ153" s="32"/>
      <c r="BA153" s="32"/>
      <c r="BB153" s="32"/>
      <c r="BC153" s="32"/>
      <c r="BD153" s="32"/>
      <c r="BE153" s="32"/>
      <c r="BF153" s="32"/>
      <c r="BG153" s="32"/>
      <c r="BH153" s="32"/>
      <c r="BI153" s="32"/>
      <c r="BJ153" s="32"/>
      <c r="BK153" s="32"/>
      <c r="BL153" s="32"/>
      <c r="BM153" s="32"/>
      <c r="BN153" s="32"/>
      <c r="BO153" s="165"/>
      <c r="BP153" s="165"/>
      <c r="BQ153" s="165"/>
      <c r="BR153" s="165"/>
      <c r="BS153" s="165"/>
      <c r="BT153" s="165"/>
      <c r="BU153" s="165"/>
      <c r="BV153" s="55"/>
      <c r="BW153" s="160"/>
      <c r="BX153" s="32"/>
      <c r="BY153" s="24"/>
      <c r="BZ153" s="24"/>
      <c r="CA153" s="24"/>
      <c r="CB153" s="24"/>
      <c r="CC153" s="24"/>
      <c r="CD153" s="24"/>
      <c r="CE153" s="24"/>
    </row>
    <row r="154" spans="1:83" ht="15" customHeight="1">
      <c r="A154" s="4"/>
      <c r="B154" s="317">
        <f>IF($Q$8=$Q$7,CENY!B354,IF($Q$7=$Q$9,CENY!B368,CENY!B382))</f>
        <v>9255068</v>
      </c>
      <c r="C154" s="43" t="str">
        <f>VLOOKUP(B154,CENY!$B$11:$G$1054,2,FALSE)</f>
        <v>AvanY-bok ľavý /v251/h400/ strieborná</v>
      </c>
      <c r="D154" s="353">
        <f>VLOOKUP(B154,CENY!$B$11:$G$1054,3,FALSE)</f>
        <v>10</v>
      </c>
      <c r="E154" s="56" t="str">
        <f>IF(VLOOKUP(B154,CENY!$B$11:$G$1054,4,FALSE)=0,"",VLOOKUP(B154,CENY!$B$11:$G$1054,4,FALSE))</f>
        <v/>
      </c>
      <c r="F154" s="40" t="str">
        <f t="shared" si="40"/>
        <v/>
      </c>
      <c r="G154" s="52">
        <f>VLOOKUP(B154,CENY!$B$11:$M$1054,12,FALSE)</f>
        <v>567.51482999999996</v>
      </c>
      <c r="H154" s="54" t="str">
        <f t="shared" si="25"/>
        <v xml:space="preserve"> CZK</v>
      </c>
      <c r="I154" s="41" t="str">
        <f t="shared" si="26"/>
        <v/>
      </c>
      <c r="J154" s="122"/>
      <c r="K154" s="42" t="str">
        <f>VLOOKUP(B154,CENY!$B$11:$M$1054,8,FALSE)</f>
        <v xml:space="preserve"> </v>
      </c>
      <c r="L154" s="42" t="str">
        <f>VLOOKUP(B154,CENY!$B$11:$M$1054,9,FALSE)</f>
        <v>396888</v>
      </c>
      <c r="M154" s="32"/>
      <c r="N154" s="35">
        <f t="shared" si="41"/>
        <v>0</v>
      </c>
      <c r="O154" s="36">
        <v>0</v>
      </c>
      <c r="P154" s="32"/>
      <c r="Q154" s="32"/>
      <c r="R154" s="32"/>
      <c r="S154" s="32"/>
      <c r="T154" s="32"/>
      <c r="U154" s="32"/>
      <c r="V154" s="32"/>
      <c r="W154" s="325">
        <f>'AVT251'!BI7</f>
        <v>0</v>
      </c>
      <c r="X154" s="32"/>
      <c r="Y154" s="32"/>
      <c r="Z154" s="32"/>
      <c r="AA154" s="32"/>
      <c r="AB154" s="32"/>
      <c r="AC154" s="32"/>
      <c r="AD154" s="32"/>
      <c r="AE154" s="32"/>
      <c r="AF154" s="32"/>
      <c r="AG154" s="32"/>
      <c r="AH154" s="32"/>
      <c r="AI154" s="32"/>
      <c r="AJ154" s="32"/>
      <c r="AK154" s="32"/>
      <c r="AL154" s="32"/>
      <c r="AM154" s="32"/>
      <c r="AN154" s="32"/>
      <c r="AO154" s="32"/>
      <c r="AP154" s="32"/>
      <c r="AQ154" s="32"/>
      <c r="AR154" s="32"/>
      <c r="AS154" s="32"/>
      <c r="AT154" s="32"/>
      <c r="AU154" s="32"/>
      <c r="AV154" s="32"/>
      <c r="AW154" s="32"/>
      <c r="AX154" s="32"/>
      <c r="AY154" s="32"/>
      <c r="AZ154" s="32"/>
      <c r="BA154" s="32"/>
      <c r="BB154" s="32"/>
      <c r="BC154" s="32"/>
      <c r="BD154" s="32"/>
      <c r="BE154" s="32"/>
      <c r="BF154" s="32"/>
      <c r="BG154" s="32"/>
      <c r="BH154" s="32"/>
      <c r="BI154" s="32"/>
      <c r="BJ154" s="32"/>
      <c r="BK154" s="32"/>
      <c r="BL154" s="32"/>
      <c r="BM154" s="32"/>
      <c r="BN154" s="32"/>
      <c r="BO154" s="165"/>
      <c r="BP154" s="165"/>
      <c r="BQ154" s="165"/>
      <c r="BR154" s="165"/>
      <c r="BS154" s="165"/>
      <c r="BT154" s="165"/>
      <c r="BU154" s="165"/>
      <c r="BV154" s="55"/>
      <c r="BW154" s="160"/>
      <c r="BX154" s="32"/>
      <c r="BY154" s="24"/>
      <c r="BZ154" s="24"/>
      <c r="CA154" s="24"/>
      <c r="CB154" s="24"/>
      <c r="CC154" s="24"/>
      <c r="CD154" s="24"/>
      <c r="CE154" s="24"/>
    </row>
    <row r="155" spans="1:83" ht="15" customHeight="1">
      <c r="A155" s="4"/>
      <c r="B155" s="317">
        <f>IF($Q$8=$Q$7,CENY!B355,IF($Q$7=$Q$9,CENY!B369,CENY!B383))</f>
        <v>9255069</v>
      </c>
      <c r="C155" s="43" t="str">
        <f>VLOOKUP(B155,CENY!$B$11:$G$1054,2,FALSE)</f>
        <v>AvanY-bok pravý /v251/h400/ strieborná</v>
      </c>
      <c r="D155" s="353">
        <f>VLOOKUP(B155,CENY!$B$11:$G$1054,3,FALSE)</f>
        <v>10</v>
      </c>
      <c r="E155" s="56" t="str">
        <f>IF(VLOOKUP(B155,CENY!$B$11:$G$1054,4,FALSE)=0,"",VLOOKUP(B155,CENY!$B$11:$G$1054,4,FALSE))</f>
        <v/>
      </c>
      <c r="F155" s="40" t="str">
        <f t="shared" si="40"/>
        <v/>
      </c>
      <c r="G155" s="52">
        <f>VLOOKUP(B155,CENY!$B$11:$M$1054,12,FALSE)</f>
        <v>567.51482999999996</v>
      </c>
      <c r="H155" s="54" t="str">
        <f t="shared" si="25"/>
        <v xml:space="preserve"> CZK</v>
      </c>
      <c r="I155" s="41" t="str">
        <f t="shared" si="26"/>
        <v/>
      </c>
      <c r="J155" s="122"/>
      <c r="K155" s="42" t="str">
        <f>VLOOKUP(B155,CENY!$B$11:$M$1054,8,FALSE)</f>
        <v xml:space="preserve"> </v>
      </c>
      <c r="L155" s="42" t="str">
        <f>VLOOKUP(B155,CENY!$B$11:$M$1054,9,FALSE)</f>
        <v>396889</v>
      </c>
      <c r="M155" s="32"/>
      <c r="N155" s="35">
        <f t="shared" si="41"/>
        <v>0</v>
      </c>
      <c r="O155" s="36">
        <v>0</v>
      </c>
      <c r="P155" s="32"/>
      <c r="Q155" s="32"/>
      <c r="R155" s="32"/>
      <c r="S155" s="32"/>
      <c r="T155" s="32"/>
      <c r="U155" s="32"/>
      <c r="V155" s="32"/>
      <c r="W155" s="325">
        <f>'AVT251'!BI8</f>
        <v>0</v>
      </c>
      <c r="X155" s="32"/>
      <c r="Y155" s="32"/>
      <c r="Z155" s="32"/>
      <c r="AA155" s="32"/>
      <c r="AB155" s="32"/>
      <c r="AC155" s="32"/>
      <c r="AD155" s="32"/>
      <c r="AE155" s="32"/>
      <c r="AF155" s="32"/>
      <c r="AG155" s="32"/>
      <c r="AH155" s="32"/>
      <c r="AI155" s="32"/>
      <c r="AJ155" s="32"/>
      <c r="AK155" s="32"/>
      <c r="AL155" s="32"/>
      <c r="AM155" s="32"/>
      <c r="AN155" s="32"/>
      <c r="AO155" s="32"/>
      <c r="AP155" s="32"/>
      <c r="AQ155" s="32"/>
      <c r="AR155" s="32"/>
      <c r="AS155" s="32"/>
      <c r="AT155" s="32"/>
      <c r="AU155" s="32"/>
      <c r="AV155" s="32"/>
      <c r="AW155" s="32"/>
      <c r="AX155" s="32"/>
      <c r="AY155" s="32"/>
      <c r="AZ155" s="32"/>
      <c r="BA155" s="32"/>
      <c r="BB155" s="32"/>
      <c r="BC155" s="32"/>
      <c r="BD155" s="32"/>
      <c r="BE155" s="32"/>
      <c r="BF155" s="32"/>
      <c r="BG155" s="32"/>
      <c r="BH155" s="32"/>
      <c r="BI155" s="32"/>
      <c r="BJ155" s="32"/>
      <c r="BK155" s="32"/>
      <c r="BL155" s="32"/>
      <c r="BM155" s="32"/>
      <c r="BN155" s="32"/>
      <c r="BO155" s="165"/>
      <c r="BP155" s="165"/>
      <c r="BQ155" s="165"/>
      <c r="BR155" s="165"/>
      <c r="BS155" s="165"/>
      <c r="BT155" s="165"/>
      <c r="BU155" s="165"/>
      <c r="BV155" s="55"/>
      <c r="BW155" s="160"/>
      <c r="BX155" s="32"/>
      <c r="BY155" s="24"/>
      <c r="BZ155" s="24"/>
      <c r="CA155" s="24"/>
      <c r="CB155" s="24"/>
      <c r="CC155" s="24"/>
      <c r="CD155" s="24"/>
      <c r="CE155" s="24"/>
    </row>
    <row r="156" spans="1:83" ht="15" customHeight="1">
      <c r="A156" s="4"/>
      <c r="B156" s="317">
        <f>IF($Q$8=$Q$7,CENY!B356,IF($Q$7=$Q$9,CENY!B370,CENY!B384))</f>
        <v>9255070</v>
      </c>
      <c r="C156" s="43" t="str">
        <f>VLOOKUP(B156,CENY!$B$11:$G$1054,2,FALSE)</f>
        <v>AvanY-bok ľavý /v251/h450/ strieborná</v>
      </c>
      <c r="D156" s="353">
        <f>VLOOKUP(B156,CENY!$B$11:$G$1054,3,FALSE)</f>
        <v>10</v>
      </c>
      <c r="E156" s="56" t="str">
        <f>IF(VLOOKUP(B156,CENY!$B$11:$G$1054,4,FALSE)=0,"",VLOOKUP(B156,CENY!$B$11:$G$1054,4,FALSE))</f>
        <v/>
      </c>
      <c r="F156" s="40" t="str">
        <f t="shared" si="40"/>
        <v/>
      </c>
      <c r="G156" s="52">
        <f>VLOOKUP(B156,CENY!$B$11:$M$1054,12,FALSE)</f>
        <v>577.59074999999996</v>
      </c>
      <c r="H156" s="54" t="str">
        <f t="shared" si="25"/>
        <v xml:space="preserve"> CZK</v>
      </c>
      <c r="I156" s="41" t="str">
        <f t="shared" si="26"/>
        <v/>
      </c>
      <c r="J156" s="122"/>
      <c r="K156" s="42" t="str">
        <f>VLOOKUP(B156,CENY!$B$11:$M$1054,8,FALSE)</f>
        <v xml:space="preserve"> </v>
      </c>
      <c r="L156" s="42" t="str">
        <f>VLOOKUP(B156,CENY!$B$11:$M$1054,9,FALSE)</f>
        <v>396890</v>
      </c>
      <c r="M156" s="32"/>
      <c r="N156" s="35">
        <f t="shared" si="41"/>
        <v>0</v>
      </c>
      <c r="O156" s="36">
        <v>0</v>
      </c>
      <c r="P156" s="32"/>
      <c r="Q156" s="32"/>
      <c r="R156" s="32"/>
      <c r="S156" s="32"/>
      <c r="T156" s="32"/>
      <c r="U156" s="32"/>
      <c r="V156" s="32"/>
      <c r="W156" s="325">
        <f>'AVT251'!BI9</f>
        <v>0</v>
      </c>
      <c r="X156" s="32"/>
      <c r="Y156" s="32"/>
      <c r="Z156" s="32"/>
      <c r="AA156" s="32"/>
      <c r="AB156" s="32"/>
      <c r="AC156" s="32"/>
      <c r="AD156" s="32"/>
      <c r="AE156" s="32"/>
      <c r="AF156" s="32"/>
      <c r="AG156" s="32"/>
      <c r="AH156" s="32"/>
      <c r="AI156" s="32"/>
      <c r="AJ156" s="32"/>
      <c r="AK156" s="32"/>
      <c r="AL156" s="32"/>
      <c r="AM156" s="32"/>
      <c r="AN156" s="32"/>
      <c r="AO156" s="32"/>
      <c r="AP156" s="32"/>
      <c r="AQ156" s="32"/>
      <c r="AR156" s="32"/>
      <c r="AS156" s="32"/>
      <c r="AT156" s="32"/>
      <c r="AU156" s="32"/>
      <c r="AV156" s="32"/>
      <c r="AW156" s="32"/>
      <c r="AX156" s="32"/>
      <c r="AY156" s="32"/>
      <c r="AZ156" s="32"/>
      <c r="BA156" s="32"/>
      <c r="BB156" s="32"/>
      <c r="BC156" s="32"/>
      <c r="BD156" s="32"/>
      <c r="BE156" s="32"/>
      <c r="BF156" s="32"/>
      <c r="BG156" s="32"/>
      <c r="BH156" s="32"/>
      <c r="BI156" s="32"/>
      <c r="BJ156" s="32"/>
      <c r="BK156" s="32"/>
      <c r="BL156" s="32"/>
      <c r="BM156" s="32"/>
      <c r="BN156" s="32"/>
      <c r="BO156" s="165"/>
      <c r="BP156" s="165"/>
      <c r="BQ156" s="165"/>
      <c r="BR156" s="165"/>
      <c r="BS156" s="165"/>
      <c r="BT156" s="165"/>
      <c r="BU156" s="165"/>
      <c r="BV156" s="55"/>
      <c r="BW156" s="160"/>
      <c r="BX156" s="32"/>
      <c r="BY156" s="24"/>
      <c r="BZ156" s="24"/>
      <c r="CA156" s="24"/>
      <c r="CB156" s="24"/>
      <c r="CC156" s="24"/>
      <c r="CD156" s="24"/>
      <c r="CE156" s="24"/>
    </row>
    <row r="157" spans="1:83" ht="15" customHeight="1">
      <c r="A157" s="4"/>
      <c r="B157" s="317">
        <f>IF($Q$8=$Q$7,CENY!B357,IF($Q$7=$Q$9,CENY!B371,CENY!B385))</f>
        <v>9255071</v>
      </c>
      <c r="C157" s="43" t="str">
        <f>VLOOKUP(B157,CENY!$B$11:$G$1054,2,FALSE)</f>
        <v>AvanY-bok pravý /v251/h450/ strieborná</v>
      </c>
      <c r="D157" s="353">
        <f>VLOOKUP(B157,CENY!$B$11:$G$1054,3,FALSE)</f>
        <v>10</v>
      </c>
      <c r="E157" s="56" t="str">
        <f>IF(VLOOKUP(B157,CENY!$B$11:$G$1054,4,FALSE)=0,"",VLOOKUP(B157,CENY!$B$11:$G$1054,4,FALSE))</f>
        <v/>
      </c>
      <c r="F157" s="40" t="str">
        <f t="shared" si="40"/>
        <v/>
      </c>
      <c r="G157" s="52">
        <f>VLOOKUP(B157,CENY!$B$11:$M$1054,12,FALSE)</f>
        <v>577.59074999999996</v>
      </c>
      <c r="H157" s="54" t="str">
        <f t="shared" si="25"/>
        <v xml:space="preserve"> CZK</v>
      </c>
      <c r="I157" s="41" t="str">
        <f t="shared" si="26"/>
        <v/>
      </c>
      <c r="J157" s="122"/>
      <c r="K157" s="42" t="str">
        <f>VLOOKUP(B157,CENY!$B$11:$M$1054,8,FALSE)</f>
        <v xml:space="preserve"> </v>
      </c>
      <c r="L157" s="42" t="str">
        <f>VLOOKUP(B157,CENY!$B$11:$M$1054,9,FALSE)</f>
        <v>396891</v>
      </c>
      <c r="M157" s="32"/>
      <c r="N157" s="35">
        <f t="shared" si="41"/>
        <v>0</v>
      </c>
      <c r="O157" s="36">
        <v>0</v>
      </c>
      <c r="P157" s="32"/>
      <c r="Q157" s="32"/>
      <c r="R157" s="32"/>
      <c r="S157" s="32"/>
      <c r="T157" s="32"/>
      <c r="U157" s="32"/>
      <c r="V157" s="32"/>
      <c r="W157" s="325">
        <f>'AVT251'!BI10</f>
        <v>0</v>
      </c>
      <c r="X157" s="32"/>
      <c r="Y157" s="32"/>
      <c r="Z157" s="32"/>
      <c r="AA157" s="32"/>
      <c r="AB157" s="32"/>
      <c r="AC157" s="32"/>
      <c r="AD157" s="32"/>
      <c r="AE157" s="32"/>
      <c r="AF157" s="32"/>
      <c r="AG157" s="32"/>
      <c r="AH157" s="32"/>
      <c r="AI157" s="32"/>
      <c r="AJ157" s="32"/>
      <c r="AK157" s="32"/>
      <c r="AL157" s="32"/>
      <c r="AM157" s="32"/>
      <c r="AN157" s="32"/>
      <c r="AO157" s="32"/>
      <c r="AP157" s="32"/>
      <c r="AQ157" s="32"/>
      <c r="AR157" s="32"/>
      <c r="AS157" s="32"/>
      <c r="AT157" s="32"/>
      <c r="AU157" s="32"/>
      <c r="AV157" s="32"/>
      <c r="AW157" s="32"/>
      <c r="AX157" s="32"/>
      <c r="AY157" s="32"/>
      <c r="AZ157" s="32"/>
      <c r="BA157" s="32"/>
      <c r="BB157" s="32"/>
      <c r="BC157" s="32"/>
      <c r="BD157" s="32"/>
      <c r="BE157" s="32"/>
      <c r="BF157" s="32"/>
      <c r="BG157" s="32"/>
      <c r="BH157" s="32"/>
      <c r="BI157" s="32"/>
      <c r="BJ157" s="32"/>
      <c r="BK157" s="32"/>
      <c r="BL157" s="32"/>
      <c r="BM157" s="32"/>
      <c r="BN157" s="32"/>
      <c r="BO157" s="165"/>
      <c r="BP157" s="165"/>
      <c r="BQ157" s="165"/>
      <c r="BR157" s="165"/>
      <c r="BS157" s="165"/>
      <c r="BT157" s="165"/>
      <c r="BU157" s="165"/>
      <c r="BV157" s="55"/>
      <c r="BW157" s="160"/>
      <c r="BX157" s="32"/>
      <c r="BY157" s="24"/>
      <c r="BZ157" s="24"/>
      <c r="CA157" s="24"/>
      <c r="CB157" s="24"/>
      <c r="CC157" s="24"/>
      <c r="CD157" s="24"/>
      <c r="CE157" s="24"/>
    </row>
    <row r="158" spans="1:83" ht="15" customHeight="1">
      <c r="A158" s="4"/>
      <c r="B158" s="317">
        <f>IF($Q$8=$Q$7,CENY!B358,IF($Q$7=$Q$9,CENY!B372,CENY!B386))</f>
        <v>9255072</v>
      </c>
      <c r="C158" s="43" t="str">
        <f>VLOOKUP(B158,CENY!$B$11:$G$1054,2,FALSE)</f>
        <v>AvanY-bok ľavý /v251/h500/ strieborná</v>
      </c>
      <c r="D158" s="353">
        <f>VLOOKUP(B158,CENY!$B$11:$G$1054,3,FALSE)</f>
        <v>10</v>
      </c>
      <c r="E158" s="56" t="str">
        <f>IF(VLOOKUP(B158,CENY!$B$11:$G$1054,4,FALSE)=0,"",VLOOKUP(B158,CENY!$B$11:$G$1054,4,FALSE))</f>
        <v/>
      </c>
      <c r="F158" s="40" t="str">
        <f t="shared" si="40"/>
        <v/>
      </c>
      <c r="G158" s="52">
        <f>VLOOKUP(B158,CENY!$B$11:$M$1054,12,FALSE)</f>
        <v>572.03471999999999</v>
      </c>
      <c r="H158" s="54" t="str">
        <f t="shared" si="25"/>
        <v xml:space="preserve"> CZK</v>
      </c>
      <c r="I158" s="41" t="str">
        <f t="shared" si="26"/>
        <v/>
      </c>
      <c r="J158" s="122"/>
      <c r="K158" s="42" t="str">
        <f>VLOOKUP(B158,CENY!$B$11:$M$1054,8,FALSE)</f>
        <v xml:space="preserve"> </v>
      </c>
      <c r="L158" s="42" t="str">
        <f>VLOOKUP(B158,CENY!$B$11:$M$1054,9,FALSE)</f>
        <v>396892</v>
      </c>
      <c r="M158" s="32"/>
      <c r="N158" s="35">
        <f t="shared" si="41"/>
        <v>0</v>
      </c>
      <c r="O158" s="36">
        <v>0</v>
      </c>
      <c r="P158" s="32"/>
      <c r="Q158" s="32"/>
      <c r="R158" s="32"/>
      <c r="S158" s="32"/>
      <c r="T158" s="32"/>
      <c r="U158" s="32"/>
      <c r="V158" s="32"/>
      <c r="W158" s="325">
        <f>'AVT251'!BI11</f>
        <v>0</v>
      </c>
      <c r="X158" s="32"/>
      <c r="Y158" s="32"/>
      <c r="Z158" s="32"/>
      <c r="AA158" s="32"/>
      <c r="AB158" s="32"/>
      <c r="AC158" s="32"/>
      <c r="AD158" s="32"/>
      <c r="AE158" s="32"/>
      <c r="AF158" s="32"/>
      <c r="AG158" s="32"/>
      <c r="AH158" s="32"/>
      <c r="AI158" s="32"/>
      <c r="AJ158" s="32"/>
      <c r="AK158" s="32"/>
      <c r="AL158" s="32"/>
      <c r="AM158" s="32"/>
      <c r="AN158" s="32"/>
      <c r="AO158" s="32"/>
      <c r="AP158" s="32"/>
      <c r="AQ158" s="32"/>
      <c r="AR158" s="32"/>
      <c r="AS158" s="32"/>
      <c r="AT158" s="32"/>
      <c r="AU158" s="32"/>
      <c r="AV158" s="32"/>
      <c r="AW158" s="32"/>
      <c r="AX158" s="32"/>
      <c r="AY158" s="32"/>
      <c r="AZ158" s="32"/>
      <c r="BA158" s="32"/>
      <c r="BB158" s="32"/>
      <c r="BC158" s="32"/>
      <c r="BD158" s="32"/>
      <c r="BE158" s="32"/>
      <c r="BF158" s="32"/>
      <c r="BG158" s="32"/>
      <c r="BH158" s="32"/>
      <c r="BI158" s="32"/>
      <c r="BJ158" s="32"/>
      <c r="BK158" s="32"/>
      <c r="BL158" s="32"/>
      <c r="BM158" s="32"/>
      <c r="BN158" s="32"/>
      <c r="BO158" s="165"/>
      <c r="BP158" s="165"/>
      <c r="BQ158" s="165"/>
      <c r="BR158" s="165"/>
      <c r="BS158" s="165"/>
      <c r="BT158" s="165"/>
      <c r="BU158" s="165"/>
      <c r="BV158" s="55"/>
      <c r="BW158" s="160"/>
      <c r="BX158" s="32"/>
      <c r="BY158" s="24"/>
      <c r="BZ158" s="24"/>
      <c r="CA158" s="24"/>
      <c r="CB158" s="24"/>
      <c r="CC158" s="24"/>
      <c r="CD158" s="24"/>
      <c r="CE158" s="24"/>
    </row>
    <row r="159" spans="1:83" ht="15" customHeight="1">
      <c r="A159" s="4"/>
      <c r="B159" s="317">
        <f>IF($Q$8=$Q$7,CENY!B359,IF($Q$7=$Q$9,CENY!B373,CENY!B387))</f>
        <v>9255073</v>
      </c>
      <c r="C159" s="43" t="str">
        <f>VLOOKUP(B159,CENY!$B$11:$G$1054,2,FALSE)</f>
        <v>AvanY-bok pravý /v251/h500/ strieborná</v>
      </c>
      <c r="D159" s="353">
        <f>VLOOKUP(B159,CENY!$B$11:$G$1054,3,FALSE)</f>
        <v>10</v>
      </c>
      <c r="E159" s="56" t="str">
        <f>IF(VLOOKUP(B159,CENY!$B$11:$G$1054,4,FALSE)=0,"",VLOOKUP(B159,CENY!$B$11:$G$1054,4,FALSE))</f>
        <v/>
      </c>
      <c r="F159" s="40" t="str">
        <f t="shared" si="40"/>
        <v/>
      </c>
      <c r="G159" s="52">
        <f>VLOOKUP(B159,CENY!$B$11:$M$1054,12,FALSE)</f>
        <v>572.03471999999999</v>
      </c>
      <c r="H159" s="54" t="str">
        <f t="shared" ref="H159:H231" si="42">IF(G159="","",$H$22)</f>
        <v xml:space="preserve"> CZK</v>
      </c>
      <c r="I159" s="41" t="str">
        <f t="shared" ref="I159:I231" si="43">IF(F159="","",G159*F159)</f>
        <v/>
      </c>
      <c r="J159" s="122"/>
      <c r="K159" s="42" t="str">
        <f>VLOOKUP(B159,CENY!$B$11:$M$1054,8,FALSE)</f>
        <v xml:space="preserve"> </v>
      </c>
      <c r="L159" s="42" t="str">
        <f>VLOOKUP(B159,CENY!$B$11:$M$1054,9,FALSE)</f>
        <v>396893</v>
      </c>
      <c r="M159" s="32"/>
      <c r="N159" s="35">
        <f t="shared" si="41"/>
        <v>0</v>
      </c>
      <c r="O159" s="36">
        <v>0</v>
      </c>
      <c r="P159" s="32"/>
      <c r="Q159" s="32"/>
      <c r="R159" s="32"/>
      <c r="S159" s="32"/>
      <c r="T159" s="32"/>
      <c r="U159" s="32"/>
      <c r="V159" s="32"/>
      <c r="W159" s="325">
        <f>'AVT251'!BI12</f>
        <v>0</v>
      </c>
      <c r="X159" s="32"/>
      <c r="Y159" s="32"/>
      <c r="Z159" s="32"/>
      <c r="AA159" s="32"/>
      <c r="AB159" s="32"/>
      <c r="AC159" s="32"/>
      <c r="AD159" s="32"/>
      <c r="AE159" s="32"/>
      <c r="AF159" s="32"/>
      <c r="AG159" s="32"/>
      <c r="AH159" s="32"/>
      <c r="AI159" s="32"/>
      <c r="AJ159" s="32"/>
      <c r="AK159" s="32"/>
      <c r="AL159" s="32"/>
      <c r="AM159" s="32"/>
      <c r="AN159" s="32"/>
      <c r="AO159" s="32"/>
      <c r="AP159" s="32"/>
      <c r="AQ159" s="32"/>
      <c r="AR159" s="32"/>
      <c r="AS159" s="32"/>
      <c r="AT159" s="32"/>
      <c r="AU159" s="32"/>
      <c r="AV159" s="32"/>
      <c r="AW159" s="32"/>
      <c r="AX159" s="32"/>
      <c r="AY159" s="32"/>
      <c r="AZ159" s="32"/>
      <c r="BA159" s="32"/>
      <c r="BB159" s="32"/>
      <c r="BC159" s="32"/>
      <c r="BD159" s="32"/>
      <c r="BE159" s="32"/>
      <c r="BF159" s="32"/>
      <c r="BG159" s="32"/>
      <c r="BH159" s="32"/>
      <c r="BI159" s="32"/>
      <c r="BJ159" s="32"/>
      <c r="BK159" s="32"/>
      <c r="BL159" s="32"/>
      <c r="BM159" s="32"/>
      <c r="BN159" s="32"/>
      <c r="BO159" s="165"/>
      <c r="BP159" s="165"/>
      <c r="BQ159" s="165"/>
      <c r="BR159" s="165"/>
      <c r="BS159" s="165"/>
      <c r="BT159" s="165"/>
      <c r="BU159" s="165"/>
      <c r="BV159" s="55"/>
      <c r="BW159" s="160"/>
      <c r="BX159" s="32"/>
      <c r="BY159" s="24"/>
      <c r="BZ159" s="24"/>
      <c r="CA159" s="24"/>
      <c r="CB159" s="24"/>
      <c r="CC159" s="24"/>
      <c r="CD159" s="24"/>
      <c r="CE159" s="24"/>
    </row>
    <row r="160" spans="1:83" ht="15" customHeight="1">
      <c r="A160" s="4"/>
      <c r="B160" s="317">
        <f>IF($Q$8=$Q$7,CENY!B360,IF($Q$7=$Q$9,CENY!B374,CENY!B388))</f>
        <v>9255074</v>
      </c>
      <c r="C160" s="43" t="str">
        <f>VLOOKUP(B160,CENY!$B$11:$G$1054,2,FALSE)</f>
        <v>AvanY-bok ľavý /v251/h550/ strieborná</v>
      </c>
      <c r="D160" s="353">
        <f>VLOOKUP(B160,CENY!$B$11:$G$1054,3,FALSE)</f>
        <v>10</v>
      </c>
      <c r="E160" s="56" t="str">
        <f>IF(VLOOKUP(B160,CENY!$B$11:$G$1054,4,FALSE)=0,"",VLOOKUP(B160,CENY!$B$11:$G$1054,4,FALSE))</f>
        <v/>
      </c>
      <c r="F160" s="40" t="str">
        <f t="shared" si="40"/>
        <v/>
      </c>
      <c r="G160" s="52">
        <f>VLOOKUP(B160,CENY!$B$11:$M$1054,12,FALSE)</f>
        <v>597.74</v>
      </c>
      <c r="H160" s="54" t="str">
        <f t="shared" si="42"/>
        <v xml:space="preserve"> CZK</v>
      </c>
      <c r="I160" s="41" t="str">
        <f t="shared" si="43"/>
        <v/>
      </c>
      <c r="J160" s="122"/>
      <c r="K160" s="42" t="str">
        <f>VLOOKUP(B160,CENY!$B$11:$M$1054,8,FALSE)</f>
        <v xml:space="preserve"> </v>
      </c>
      <c r="L160" s="42" t="str">
        <f>VLOOKUP(B160,CENY!$B$11:$M$1054,9,FALSE)</f>
        <v>396894</v>
      </c>
      <c r="M160" s="32"/>
      <c r="N160" s="35">
        <f t="shared" si="41"/>
        <v>0</v>
      </c>
      <c r="O160" s="36">
        <v>0</v>
      </c>
      <c r="P160" s="32"/>
      <c r="Q160" s="32"/>
      <c r="R160" s="32"/>
      <c r="S160" s="32"/>
      <c r="T160" s="32"/>
      <c r="U160" s="32"/>
      <c r="V160" s="32"/>
      <c r="W160" s="325">
        <f>'AVT251'!BI13</f>
        <v>0</v>
      </c>
      <c r="X160" s="32"/>
      <c r="Y160" s="32"/>
      <c r="Z160" s="32"/>
      <c r="AA160" s="32"/>
      <c r="AB160" s="32"/>
      <c r="AC160" s="32"/>
      <c r="AD160" s="32"/>
      <c r="AE160" s="32"/>
      <c r="AF160" s="32"/>
      <c r="AG160" s="32"/>
      <c r="AH160" s="32"/>
      <c r="AI160" s="32"/>
      <c r="AJ160" s="32"/>
      <c r="AK160" s="32"/>
      <c r="AL160" s="32"/>
      <c r="AM160" s="32"/>
      <c r="AN160" s="32"/>
      <c r="AO160" s="32"/>
      <c r="AP160" s="32"/>
      <c r="AQ160" s="32"/>
      <c r="AR160" s="32"/>
      <c r="AS160" s="32"/>
      <c r="AT160" s="32"/>
      <c r="AU160" s="32"/>
      <c r="AV160" s="32"/>
      <c r="AW160" s="32"/>
      <c r="AX160" s="32"/>
      <c r="AY160" s="32"/>
      <c r="AZ160" s="32"/>
      <c r="BA160" s="32"/>
      <c r="BB160" s="32"/>
      <c r="BC160" s="32"/>
      <c r="BD160" s="32"/>
      <c r="BE160" s="32"/>
      <c r="BF160" s="32"/>
      <c r="BG160" s="32"/>
      <c r="BH160" s="32"/>
      <c r="BI160" s="32"/>
      <c r="BJ160" s="32"/>
      <c r="BK160" s="32"/>
      <c r="BL160" s="32"/>
      <c r="BM160" s="32"/>
      <c r="BN160" s="32"/>
      <c r="BO160" s="165"/>
      <c r="BP160" s="165"/>
      <c r="BQ160" s="165"/>
      <c r="BR160" s="165"/>
      <c r="BS160" s="165"/>
      <c r="BT160" s="165"/>
      <c r="BU160" s="165"/>
      <c r="BV160" s="55"/>
      <c r="BW160" s="160"/>
      <c r="BX160" s="32"/>
      <c r="BY160" s="24"/>
      <c r="BZ160" s="24"/>
      <c r="CA160" s="24"/>
      <c r="CB160" s="24"/>
      <c r="CC160" s="24"/>
      <c r="CD160" s="24"/>
      <c r="CE160" s="24"/>
    </row>
    <row r="161" spans="1:83" ht="15" customHeight="1">
      <c r="A161" s="4"/>
      <c r="B161" s="317">
        <f>IF($Q$8=$Q$7,CENY!B361,IF($Q$7=$Q$9,CENY!B375,CENY!B389))</f>
        <v>9255075</v>
      </c>
      <c r="C161" s="43" t="str">
        <f>VLOOKUP(B161,CENY!$B$11:$G$1054,2,FALSE)</f>
        <v>AvanY-bok pravý /v251/h550/ strieborná</v>
      </c>
      <c r="D161" s="353">
        <f>VLOOKUP(B161,CENY!$B$11:$G$1054,3,FALSE)</f>
        <v>10</v>
      </c>
      <c r="E161" s="56" t="str">
        <f>IF(VLOOKUP(B161,CENY!$B$11:$G$1054,4,FALSE)=0,"",VLOOKUP(B161,CENY!$B$11:$G$1054,4,FALSE))</f>
        <v/>
      </c>
      <c r="F161" s="40" t="str">
        <f t="shared" si="40"/>
        <v/>
      </c>
      <c r="G161" s="52">
        <f>VLOOKUP(B161,CENY!$B$11:$M$1054,12,FALSE)</f>
        <v>597.74</v>
      </c>
      <c r="H161" s="54" t="str">
        <f t="shared" si="42"/>
        <v xml:space="preserve"> CZK</v>
      </c>
      <c r="I161" s="41" t="str">
        <f t="shared" si="43"/>
        <v/>
      </c>
      <c r="J161" s="122"/>
      <c r="K161" s="42" t="str">
        <f>VLOOKUP(B161,CENY!$B$11:$M$1054,8,FALSE)</f>
        <v xml:space="preserve"> </v>
      </c>
      <c r="L161" s="42" t="str">
        <f>VLOOKUP(B161,CENY!$B$11:$M$1054,9,FALSE)</f>
        <v>396895</v>
      </c>
      <c r="M161" s="32"/>
      <c r="N161" s="35">
        <f t="shared" si="41"/>
        <v>0</v>
      </c>
      <c r="O161" s="36">
        <v>0</v>
      </c>
      <c r="P161" s="32"/>
      <c r="Q161" s="32"/>
      <c r="R161" s="32"/>
      <c r="S161" s="32"/>
      <c r="T161" s="32"/>
      <c r="U161" s="32"/>
      <c r="V161" s="32"/>
      <c r="W161" s="325">
        <f>'AVT251'!BI14</f>
        <v>0</v>
      </c>
      <c r="X161" s="32"/>
      <c r="Y161" s="32"/>
      <c r="Z161" s="32"/>
      <c r="AA161" s="32"/>
      <c r="AB161" s="32"/>
      <c r="AC161" s="32"/>
      <c r="AD161" s="32"/>
      <c r="AE161" s="32"/>
      <c r="AF161" s="32"/>
      <c r="AG161" s="32"/>
      <c r="AH161" s="32"/>
      <c r="AI161" s="32"/>
      <c r="AJ161" s="32"/>
      <c r="AK161" s="32"/>
      <c r="AL161" s="32"/>
      <c r="AM161" s="32"/>
      <c r="AN161" s="32"/>
      <c r="AO161" s="32"/>
      <c r="AP161" s="32"/>
      <c r="AQ161" s="32"/>
      <c r="AR161" s="32"/>
      <c r="AS161" s="32"/>
      <c r="AT161" s="32"/>
      <c r="AU161" s="32"/>
      <c r="AV161" s="32"/>
      <c r="AW161" s="32"/>
      <c r="AX161" s="32"/>
      <c r="AY161" s="32"/>
      <c r="AZ161" s="32"/>
      <c r="BA161" s="32"/>
      <c r="BB161" s="32"/>
      <c r="BC161" s="32"/>
      <c r="BD161" s="32"/>
      <c r="BE161" s="32"/>
      <c r="BF161" s="32"/>
      <c r="BG161" s="32"/>
      <c r="BH161" s="32"/>
      <c r="BI161" s="32"/>
      <c r="BJ161" s="32"/>
      <c r="BK161" s="32"/>
      <c r="BL161" s="32"/>
      <c r="BM161" s="32"/>
      <c r="BN161" s="32"/>
      <c r="BO161" s="165"/>
      <c r="BP161" s="165"/>
      <c r="BQ161" s="165"/>
      <c r="BR161" s="165"/>
      <c r="BS161" s="165"/>
      <c r="BT161" s="165"/>
      <c r="BU161" s="165"/>
      <c r="BV161" s="55"/>
      <c r="BW161" s="160"/>
      <c r="BX161" s="32"/>
      <c r="BY161" s="24"/>
      <c r="BZ161" s="24"/>
      <c r="CA161" s="24"/>
      <c r="CB161" s="24"/>
      <c r="CC161" s="24"/>
      <c r="CD161" s="24"/>
      <c r="CE161" s="24"/>
    </row>
    <row r="162" spans="1:83" ht="15" customHeight="1">
      <c r="A162" s="4"/>
      <c r="B162" s="317">
        <f>IF($Q$8=$Q$7,CENY!B362,IF($Q$7=$Q$9,CENY!B376,CENY!B390))</f>
        <v>9255076</v>
      </c>
      <c r="C162" s="43" t="str">
        <f>VLOOKUP(B162,CENY!$B$11:$G$1054,2,FALSE)</f>
        <v>AvanY-bok ľavý /v251/h600/ strieborná</v>
      </c>
      <c r="D162" s="353">
        <f>VLOOKUP(B162,CENY!$B$11:$G$1054,3,FALSE)</f>
        <v>10</v>
      </c>
      <c r="E162" s="56" t="str">
        <f>IF(VLOOKUP(B162,CENY!$B$11:$G$1054,4,FALSE)=0,"",VLOOKUP(B162,CENY!$B$11:$G$1054,4,FALSE))</f>
        <v/>
      </c>
      <c r="F162" s="40" t="str">
        <f t="shared" si="40"/>
        <v/>
      </c>
      <c r="G162" s="52">
        <f>VLOOKUP(B162,CENY!$B$11:$M$1054,12,FALSE)</f>
        <v>612.93876999999998</v>
      </c>
      <c r="H162" s="54" t="str">
        <f t="shared" si="42"/>
        <v xml:space="preserve"> CZK</v>
      </c>
      <c r="I162" s="41" t="str">
        <f t="shared" si="43"/>
        <v/>
      </c>
      <c r="J162" s="122"/>
      <c r="K162" s="42" t="str">
        <f>VLOOKUP(B162,CENY!$B$11:$M$1054,8,FALSE)</f>
        <v xml:space="preserve"> </v>
      </c>
      <c r="L162" s="42" t="str">
        <f>VLOOKUP(B162,CENY!$B$11:$M$1054,9,FALSE)</f>
        <v>396896</v>
      </c>
      <c r="M162" s="32"/>
      <c r="N162" s="35">
        <f t="shared" si="41"/>
        <v>0</v>
      </c>
      <c r="O162" s="36">
        <v>0</v>
      </c>
      <c r="P162" s="32"/>
      <c r="Q162" s="32"/>
      <c r="R162" s="32"/>
      <c r="S162" s="32"/>
      <c r="T162" s="32"/>
      <c r="U162" s="32"/>
      <c r="V162" s="32"/>
      <c r="W162" s="325">
        <f>'AVT251'!BI15</f>
        <v>0</v>
      </c>
      <c r="X162" s="32"/>
      <c r="Y162" s="32"/>
      <c r="Z162" s="32"/>
      <c r="AA162" s="32"/>
      <c r="AB162" s="32"/>
      <c r="AC162" s="32"/>
      <c r="AD162" s="32"/>
      <c r="AE162" s="32"/>
      <c r="AF162" s="32"/>
      <c r="AG162" s="32"/>
      <c r="AH162" s="32"/>
      <c r="AI162" s="32"/>
      <c r="AJ162" s="32"/>
      <c r="AK162" s="32"/>
      <c r="AL162" s="32"/>
      <c r="AM162" s="32"/>
      <c r="AN162" s="32"/>
      <c r="AO162" s="32"/>
      <c r="AP162" s="32"/>
      <c r="AQ162" s="32"/>
      <c r="AR162" s="32"/>
      <c r="AS162" s="32"/>
      <c r="AT162" s="32"/>
      <c r="AU162" s="32"/>
      <c r="AV162" s="32"/>
      <c r="AW162" s="32"/>
      <c r="AX162" s="32"/>
      <c r="AY162" s="32"/>
      <c r="AZ162" s="32"/>
      <c r="BA162" s="32"/>
      <c r="BB162" s="32"/>
      <c r="BC162" s="32"/>
      <c r="BD162" s="32"/>
      <c r="BE162" s="32"/>
      <c r="BF162" s="32"/>
      <c r="BG162" s="32"/>
      <c r="BH162" s="32"/>
      <c r="BI162" s="32"/>
      <c r="BJ162" s="32"/>
      <c r="BK162" s="32"/>
      <c r="BL162" s="32"/>
      <c r="BM162" s="32"/>
      <c r="BN162" s="32"/>
      <c r="BO162" s="165"/>
      <c r="BP162" s="165"/>
      <c r="BQ162" s="165"/>
      <c r="BR162" s="165"/>
      <c r="BS162" s="165"/>
      <c r="BT162" s="165"/>
      <c r="BU162" s="165"/>
      <c r="BV162" s="55"/>
      <c r="BW162" s="160"/>
      <c r="BX162" s="32"/>
      <c r="BY162" s="24"/>
      <c r="BZ162" s="24"/>
      <c r="CA162" s="24"/>
      <c r="CB162" s="24"/>
      <c r="CC162" s="24"/>
      <c r="CD162" s="24"/>
      <c r="CE162" s="24"/>
    </row>
    <row r="163" spans="1:83" ht="15" customHeight="1">
      <c r="A163" s="4"/>
      <c r="B163" s="317">
        <f>IF($Q$8=$Q$7,CENY!B363,IF($Q$7=$Q$9,CENY!B377,CENY!B391))</f>
        <v>9255077</v>
      </c>
      <c r="C163" s="43" t="str">
        <f>VLOOKUP(B163,CENY!$B$11:$G$1054,2,FALSE)</f>
        <v>AvanY-bok pravý /v251/h600/ strieborná</v>
      </c>
      <c r="D163" s="353">
        <f>VLOOKUP(B163,CENY!$B$11:$G$1054,3,FALSE)</f>
        <v>10</v>
      </c>
      <c r="E163" s="56" t="str">
        <f>IF(VLOOKUP(B163,CENY!$B$11:$G$1054,4,FALSE)=0,"",VLOOKUP(B163,CENY!$B$11:$G$1054,4,FALSE))</f>
        <v/>
      </c>
      <c r="F163" s="40" t="str">
        <f t="shared" si="40"/>
        <v/>
      </c>
      <c r="G163" s="52">
        <f>VLOOKUP(B163,CENY!$B$11:$M$1054,12,FALSE)</f>
        <v>612.93876999999998</v>
      </c>
      <c r="H163" s="54" t="str">
        <f t="shared" si="42"/>
        <v xml:space="preserve"> CZK</v>
      </c>
      <c r="I163" s="41" t="str">
        <f t="shared" si="43"/>
        <v/>
      </c>
      <c r="J163" s="122"/>
      <c r="K163" s="42" t="str">
        <f>VLOOKUP(B163,CENY!$B$11:$M$1054,8,FALSE)</f>
        <v xml:space="preserve"> </v>
      </c>
      <c r="L163" s="42" t="str">
        <f>VLOOKUP(B163,CENY!$B$11:$M$1054,9,FALSE)</f>
        <v>396897</v>
      </c>
      <c r="M163" s="32"/>
      <c r="N163" s="35">
        <f t="shared" si="41"/>
        <v>0</v>
      </c>
      <c r="O163" s="36">
        <v>0</v>
      </c>
      <c r="P163" s="32"/>
      <c r="Q163" s="32"/>
      <c r="R163" s="32"/>
      <c r="S163" s="32"/>
      <c r="T163" s="32"/>
      <c r="U163" s="32"/>
      <c r="V163" s="32"/>
      <c r="W163" s="325">
        <f>'AVT251'!BI16</f>
        <v>0</v>
      </c>
      <c r="X163" s="32"/>
      <c r="Y163" s="32"/>
      <c r="Z163" s="32"/>
      <c r="AA163" s="32"/>
      <c r="AB163" s="32"/>
      <c r="AC163" s="32"/>
      <c r="AD163" s="32"/>
      <c r="AE163" s="32"/>
      <c r="AF163" s="32"/>
      <c r="AG163" s="32"/>
      <c r="AH163" s="32"/>
      <c r="AI163" s="32"/>
      <c r="AJ163" s="32"/>
      <c r="AK163" s="32"/>
      <c r="AL163" s="32"/>
      <c r="AM163" s="32"/>
      <c r="AN163" s="32"/>
      <c r="AO163" s="32"/>
      <c r="AP163" s="32"/>
      <c r="AQ163" s="32"/>
      <c r="AR163" s="32"/>
      <c r="AS163" s="32"/>
      <c r="AT163" s="32"/>
      <c r="AU163" s="32"/>
      <c r="AV163" s="32"/>
      <c r="AW163" s="32"/>
      <c r="AX163" s="32"/>
      <c r="AY163" s="32"/>
      <c r="AZ163" s="32"/>
      <c r="BA163" s="32"/>
      <c r="BB163" s="32"/>
      <c r="BC163" s="32"/>
      <c r="BD163" s="32"/>
      <c r="BE163" s="32"/>
      <c r="BF163" s="32"/>
      <c r="BG163" s="32"/>
      <c r="BH163" s="32"/>
      <c r="BI163" s="32"/>
      <c r="BJ163" s="32"/>
      <c r="BK163" s="32"/>
      <c r="BL163" s="32"/>
      <c r="BM163" s="32"/>
      <c r="BN163" s="32"/>
      <c r="BO163" s="165"/>
      <c r="BP163" s="165"/>
      <c r="BQ163" s="165"/>
      <c r="BR163" s="165"/>
      <c r="BS163" s="165"/>
      <c r="BT163" s="165"/>
      <c r="BU163" s="165"/>
      <c r="BV163" s="55"/>
      <c r="BW163" s="160"/>
      <c r="BX163" s="32"/>
      <c r="BY163" s="24"/>
      <c r="BZ163" s="24"/>
      <c r="CA163" s="24"/>
      <c r="CB163" s="24"/>
      <c r="CC163" s="24"/>
      <c r="CD163" s="24"/>
      <c r="CE163" s="24"/>
    </row>
    <row r="164" spans="1:83" ht="15" customHeight="1">
      <c r="A164" s="4"/>
      <c r="B164" s="317">
        <f>IF($Q$8=$Q$7,CENY!B364,IF($Q$7=$Q$9,CENY!B378,CENY!B392))</f>
        <v>9255078</v>
      </c>
      <c r="C164" s="43" t="str">
        <f>VLOOKUP(B164,CENY!$B$11:$G$1054,2,FALSE)</f>
        <v>AvanY-bok ľavý /v251/h650/ strieborná</v>
      </c>
      <c r="D164" s="353">
        <f>VLOOKUP(B164,CENY!$B$11:$G$1054,3,FALSE)</f>
        <v>10</v>
      </c>
      <c r="E164" s="56" t="str">
        <f>IF(VLOOKUP(B164,CENY!$B$11:$G$1054,4,FALSE)=0,"",VLOOKUP(B164,CENY!$B$11:$G$1054,4,FALSE))</f>
        <v/>
      </c>
      <c r="F164" s="40" t="str">
        <f t="shared" si="40"/>
        <v/>
      </c>
      <c r="G164" s="52">
        <f>VLOOKUP(B164,CENY!$B$11:$M$1054,12,FALSE)</f>
        <v>633.59735999999998</v>
      </c>
      <c r="H164" s="54" t="str">
        <f t="shared" si="42"/>
        <v xml:space="preserve"> CZK</v>
      </c>
      <c r="I164" s="41" t="str">
        <f t="shared" si="43"/>
        <v/>
      </c>
      <c r="J164" s="122"/>
      <c r="K164" s="42" t="str">
        <f>VLOOKUP(B164,CENY!$B$11:$M$1054,8,FALSE)</f>
        <v xml:space="preserve"> </v>
      </c>
      <c r="L164" s="42" t="str">
        <f>VLOOKUP(B164,CENY!$B$11:$M$1054,9,FALSE)</f>
        <v>396898</v>
      </c>
      <c r="M164" s="32"/>
      <c r="N164" s="35">
        <f t="shared" si="41"/>
        <v>0</v>
      </c>
      <c r="O164" s="36">
        <v>0</v>
      </c>
      <c r="P164" s="32"/>
      <c r="Q164" s="32"/>
      <c r="R164" s="32"/>
      <c r="S164" s="32"/>
      <c r="T164" s="32"/>
      <c r="U164" s="32"/>
      <c r="V164" s="32"/>
      <c r="W164" s="325">
        <f>'AVT251'!BI17</f>
        <v>0</v>
      </c>
      <c r="X164" s="32"/>
      <c r="Y164" s="32"/>
      <c r="Z164" s="32"/>
      <c r="AA164" s="32"/>
      <c r="AB164" s="32"/>
      <c r="AC164" s="32"/>
      <c r="AD164" s="32"/>
      <c r="AE164" s="32"/>
      <c r="AF164" s="32"/>
      <c r="AG164" s="32"/>
      <c r="AH164" s="32"/>
      <c r="AI164" s="32"/>
      <c r="AJ164" s="32"/>
      <c r="AK164" s="32"/>
      <c r="AL164" s="32"/>
      <c r="AM164" s="32"/>
      <c r="AN164" s="32"/>
      <c r="AO164" s="32"/>
      <c r="AP164" s="32"/>
      <c r="AQ164" s="32"/>
      <c r="AR164" s="32"/>
      <c r="AS164" s="32"/>
      <c r="AT164" s="32"/>
      <c r="AU164" s="32"/>
      <c r="AV164" s="32"/>
      <c r="AW164" s="32"/>
      <c r="AX164" s="32"/>
      <c r="AY164" s="32"/>
      <c r="AZ164" s="32"/>
      <c r="BA164" s="32"/>
      <c r="BB164" s="32"/>
      <c r="BC164" s="32"/>
      <c r="BD164" s="32"/>
      <c r="BE164" s="32"/>
      <c r="BF164" s="32"/>
      <c r="BG164" s="32"/>
      <c r="BH164" s="32"/>
      <c r="BI164" s="32"/>
      <c r="BJ164" s="32"/>
      <c r="BK164" s="32"/>
      <c r="BL164" s="32"/>
      <c r="BM164" s="32"/>
      <c r="BN164" s="32"/>
      <c r="BO164" s="165"/>
      <c r="BP164" s="165"/>
      <c r="BQ164" s="165"/>
      <c r="BR164" s="165"/>
      <c r="BS164" s="165"/>
      <c r="BT164" s="165"/>
      <c r="BU164" s="165"/>
      <c r="BV164" s="55"/>
      <c r="BW164" s="160"/>
      <c r="BX164" s="32"/>
      <c r="BY164" s="24"/>
      <c r="BZ164" s="24"/>
      <c r="CA164" s="24"/>
      <c r="CB164" s="24"/>
      <c r="CC164" s="24"/>
      <c r="CD164" s="24"/>
      <c r="CE164" s="24"/>
    </row>
    <row r="165" spans="1:83" ht="15" customHeight="1">
      <c r="A165" s="4"/>
      <c r="B165" s="317">
        <f>IF($Q$8=$Q$7,CENY!B365,IF($Q$7=$Q$9,CENY!B379,CENY!B393))</f>
        <v>9255079</v>
      </c>
      <c r="C165" s="43" t="str">
        <f>VLOOKUP(B165,CENY!$B$11:$G$1054,2,FALSE)</f>
        <v>AvanY-bok pravý /v251/h650/ strieborná</v>
      </c>
      <c r="D165" s="353">
        <f>VLOOKUP(B165,CENY!$B$11:$G$1054,3,FALSE)</f>
        <v>10</v>
      </c>
      <c r="E165" s="56" t="str">
        <f>IF(VLOOKUP(B165,CENY!$B$11:$G$1054,4,FALSE)=0,"",VLOOKUP(B165,CENY!$B$11:$G$1054,4,FALSE))</f>
        <v/>
      </c>
      <c r="F165" s="40" t="str">
        <f t="shared" si="40"/>
        <v/>
      </c>
      <c r="G165" s="52">
        <f>VLOOKUP(B165,CENY!$B$11:$M$1054,12,FALSE)</f>
        <v>633.59735999999998</v>
      </c>
      <c r="H165" s="54" t="str">
        <f t="shared" si="42"/>
        <v xml:space="preserve"> CZK</v>
      </c>
      <c r="I165" s="41" t="str">
        <f t="shared" si="43"/>
        <v/>
      </c>
      <c r="J165" s="122"/>
      <c r="K165" s="42" t="str">
        <f>VLOOKUP(B165,CENY!$B$11:$M$1054,8,FALSE)</f>
        <v xml:space="preserve"> </v>
      </c>
      <c r="L165" s="42" t="str">
        <f>VLOOKUP(B165,CENY!$B$11:$M$1054,9,FALSE)</f>
        <v>396899</v>
      </c>
      <c r="M165" s="32"/>
      <c r="N165" s="35">
        <f t="shared" si="41"/>
        <v>0</v>
      </c>
      <c r="O165" s="36">
        <v>0</v>
      </c>
      <c r="P165" s="32"/>
      <c r="Q165" s="32"/>
      <c r="R165" s="32"/>
      <c r="S165" s="32"/>
      <c r="T165" s="32"/>
      <c r="U165" s="32"/>
      <c r="V165" s="32"/>
      <c r="W165" s="325">
        <f>'AVT251'!BI18</f>
        <v>0</v>
      </c>
      <c r="X165" s="32"/>
      <c r="Y165" s="32"/>
      <c r="Z165" s="32"/>
      <c r="AA165" s="32"/>
      <c r="AB165" s="32"/>
      <c r="AC165" s="32"/>
      <c r="AD165" s="32"/>
      <c r="AE165" s="32"/>
      <c r="AF165" s="32"/>
      <c r="AG165" s="32"/>
      <c r="AH165" s="32"/>
      <c r="AI165" s="32"/>
      <c r="AJ165" s="32"/>
      <c r="AK165" s="32"/>
      <c r="AL165" s="32"/>
      <c r="AM165" s="32"/>
      <c r="AN165" s="32"/>
      <c r="AO165" s="32"/>
      <c r="AP165" s="32"/>
      <c r="AQ165" s="32"/>
      <c r="AR165" s="32"/>
      <c r="AS165" s="32"/>
      <c r="AT165" s="32"/>
      <c r="AU165" s="32"/>
      <c r="AV165" s="32"/>
      <c r="AW165" s="32"/>
      <c r="AX165" s="32"/>
      <c r="AY165" s="32"/>
      <c r="AZ165" s="32"/>
      <c r="BA165" s="32"/>
      <c r="BB165" s="32"/>
      <c r="BC165" s="32"/>
      <c r="BD165" s="32"/>
      <c r="BE165" s="32"/>
      <c r="BF165" s="32"/>
      <c r="BG165" s="32"/>
      <c r="BH165" s="32"/>
      <c r="BI165" s="32"/>
      <c r="BJ165" s="32"/>
      <c r="BK165" s="32"/>
      <c r="BL165" s="32"/>
      <c r="BM165" s="32"/>
      <c r="BN165" s="32"/>
      <c r="BO165" s="165"/>
      <c r="BP165" s="165"/>
      <c r="BQ165" s="165"/>
      <c r="BR165" s="165"/>
      <c r="BS165" s="165"/>
      <c r="BT165" s="165"/>
      <c r="BU165" s="165"/>
      <c r="BV165" s="55"/>
      <c r="BW165" s="160"/>
      <c r="BX165" s="32"/>
      <c r="BY165" s="24"/>
      <c r="BZ165" s="24"/>
      <c r="CA165" s="24"/>
      <c r="CB165" s="24"/>
      <c r="CC165" s="24"/>
      <c r="CD165" s="24"/>
      <c r="CE165" s="24"/>
    </row>
    <row r="166" spans="1:83" ht="15" customHeight="1">
      <c r="A166" s="4"/>
      <c r="B166" s="317">
        <f>IF($T$7=$T$8,CENY!B396,CENY!B397)</f>
        <v>9257887</v>
      </c>
      <c r="C166" s="43" t="str">
        <f>VLOOKUP(B166,CENY!$B$11:$G$1054,2,FALSE)</f>
        <v>AvanY-stabiliz.čela k naskrutk./ v251</v>
      </c>
      <c r="D166" s="354">
        <f>VLOOKUP(B166,CENY!$B$11:$G$1054,3,FALSE)</f>
        <v>200</v>
      </c>
      <c r="E166" s="56" t="str">
        <f>IF(VLOOKUP(B166,CENY!$B$11:$G$1054,4,FALSE)=0,"",VLOOKUP(B166,CENY!$B$11:$G$1054,4,FALSE))</f>
        <v/>
      </c>
      <c r="F166" s="40" t="str">
        <f t="shared" si="40"/>
        <v/>
      </c>
      <c r="G166" s="52">
        <f>VLOOKUP(B166,CENY!$B$11:$M$1054,12,FALSE)</f>
        <v>10.61486</v>
      </c>
      <c r="H166" s="54" t="str">
        <f t="shared" si="42"/>
        <v xml:space="preserve"> CZK</v>
      </c>
      <c r="I166" s="41" t="str">
        <f t="shared" si="43"/>
        <v/>
      </c>
      <c r="J166" s="122"/>
      <c r="K166" s="42" t="str">
        <f>VLOOKUP(B166,CENY!$B$11:$M$1054,8,FALSE)</f>
        <v xml:space="preserve"> </v>
      </c>
      <c r="L166" s="42" t="str">
        <f>VLOOKUP(B166,CENY!$B$11:$M$1054,9,FALSE)</f>
        <v>396928</v>
      </c>
      <c r="M166" s="32"/>
      <c r="N166" s="35">
        <f t="shared" si="41"/>
        <v>0</v>
      </c>
      <c r="O166" s="36">
        <v>0</v>
      </c>
      <c r="P166" s="32"/>
      <c r="Q166" s="32"/>
      <c r="R166" s="32"/>
      <c r="S166" s="32"/>
      <c r="T166" s="32"/>
      <c r="U166" s="32"/>
      <c r="V166" s="325" t="str">
        <f>'AVT251'!AZ65</f>
        <v/>
      </c>
      <c r="W166" s="325">
        <f>'AVT251'!BI21</f>
        <v>0</v>
      </c>
      <c r="X166" s="32"/>
      <c r="Y166" s="32"/>
      <c r="Z166" s="32"/>
      <c r="AA166" s="32"/>
      <c r="AB166" s="32"/>
      <c r="AC166" s="32"/>
      <c r="AD166" s="32"/>
      <c r="AE166" s="32"/>
      <c r="AF166" s="32"/>
      <c r="AG166" s="32"/>
      <c r="AH166" s="32"/>
      <c r="AI166" s="32"/>
      <c r="AJ166" s="32"/>
      <c r="AK166" s="32"/>
      <c r="AL166" s="32"/>
      <c r="AM166" s="32"/>
      <c r="AN166" s="32"/>
      <c r="AO166" s="32"/>
      <c r="AP166" s="32"/>
      <c r="AQ166" s="32"/>
      <c r="AR166" s="32"/>
      <c r="AS166" s="32"/>
      <c r="AT166" s="32"/>
      <c r="AU166" s="32"/>
      <c r="AV166" s="32"/>
      <c r="AW166" s="32"/>
      <c r="AX166" s="32"/>
      <c r="AY166" s="32"/>
      <c r="AZ166" s="32"/>
      <c r="BA166" s="32"/>
      <c r="BB166" s="32"/>
      <c r="BC166" s="32"/>
      <c r="BD166" s="32"/>
      <c r="BE166" s="32"/>
      <c r="BF166" s="32"/>
      <c r="BG166" s="32"/>
      <c r="BH166" s="32"/>
      <c r="BI166" s="32"/>
      <c r="BJ166" s="32"/>
      <c r="BK166" s="32"/>
      <c r="BL166" s="32"/>
      <c r="BM166" s="32"/>
      <c r="BN166" s="32"/>
      <c r="BO166" s="165"/>
      <c r="BP166" s="165"/>
      <c r="BQ166" s="165"/>
      <c r="BR166" s="165"/>
      <c r="BS166" s="165"/>
      <c r="BT166" s="165"/>
      <c r="BU166" s="165"/>
      <c r="BV166" s="55"/>
      <c r="BW166" s="160"/>
      <c r="BX166" s="32"/>
      <c r="BY166" s="24"/>
      <c r="BZ166" s="24"/>
      <c r="CA166" s="24"/>
      <c r="CB166" s="24"/>
      <c r="CC166" s="24"/>
      <c r="CD166" s="24"/>
      <c r="CE166" s="24"/>
    </row>
    <row r="167" spans="1:83" ht="8.1" customHeight="1">
      <c r="A167" s="4"/>
      <c r="B167" s="317"/>
      <c r="C167" s="43"/>
      <c r="D167" s="39"/>
      <c r="E167" s="56"/>
      <c r="F167" s="40"/>
      <c r="G167" s="52"/>
      <c r="H167" s="54"/>
      <c r="I167" s="41"/>
      <c r="J167" s="122"/>
      <c r="K167" s="42"/>
      <c r="L167" s="42"/>
      <c r="M167" s="32"/>
      <c r="N167" s="35"/>
      <c r="O167" s="36">
        <v>0</v>
      </c>
      <c r="P167" s="32"/>
      <c r="Q167" s="32"/>
      <c r="R167" s="32"/>
      <c r="S167" s="32"/>
      <c r="T167" s="32"/>
      <c r="U167" s="32"/>
      <c r="V167" s="32"/>
      <c r="W167" s="32"/>
      <c r="X167" s="32"/>
      <c r="Y167" s="32"/>
      <c r="Z167" s="32"/>
      <c r="AA167" s="32"/>
      <c r="AB167" s="32"/>
      <c r="AC167" s="32"/>
      <c r="AD167" s="32"/>
      <c r="AE167" s="32"/>
      <c r="AF167" s="32"/>
      <c r="AG167" s="32"/>
      <c r="AH167" s="32"/>
      <c r="AI167" s="32"/>
      <c r="AJ167" s="32"/>
      <c r="AK167" s="32"/>
      <c r="AL167" s="32"/>
      <c r="AM167" s="32"/>
      <c r="AN167" s="32"/>
      <c r="AO167" s="32"/>
      <c r="AP167" s="32"/>
      <c r="AQ167" s="32"/>
      <c r="AR167" s="32"/>
      <c r="AS167" s="32"/>
      <c r="AT167" s="32"/>
      <c r="AU167" s="32"/>
      <c r="AV167" s="32"/>
      <c r="AW167" s="32"/>
      <c r="AX167" s="32"/>
      <c r="AY167" s="32"/>
      <c r="AZ167" s="32"/>
      <c r="BA167" s="32"/>
      <c r="BB167" s="32"/>
      <c r="BC167" s="32"/>
      <c r="BD167" s="32"/>
      <c r="BE167" s="32"/>
      <c r="BF167" s="32"/>
      <c r="BG167" s="32"/>
      <c r="BH167" s="32"/>
      <c r="BI167" s="32"/>
      <c r="BJ167" s="32"/>
      <c r="BK167" s="32"/>
      <c r="BL167" s="32"/>
      <c r="BM167" s="32"/>
      <c r="BN167" s="32"/>
      <c r="BO167" s="165"/>
      <c r="BP167" s="165"/>
      <c r="BQ167" s="165"/>
      <c r="BR167" s="165"/>
      <c r="BS167" s="165"/>
      <c r="BT167" s="165"/>
      <c r="BU167" s="165"/>
      <c r="BV167" s="55"/>
      <c r="BW167" s="160"/>
      <c r="BX167" s="32"/>
      <c r="BY167" s="24"/>
      <c r="BZ167" s="24"/>
      <c r="CA167" s="24"/>
      <c r="CB167" s="24"/>
      <c r="CC167" s="24"/>
      <c r="CD167" s="24"/>
      <c r="CE167" s="24"/>
    </row>
    <row r="168" spans="1:83" ht="15" customHeight="1">
      <c r="A168" s="4"/>
      <c r="B168" s="317">
        <f>IF($Q$8=$Q$7,CENY!B399,IF($Q$7=$Q$9,CENY!B406,CENY!B413))</f>
        <v>9353283</v>
      </c>
      <c r="C168" s="43" t="str">
        <f>VLOOKUP(B168,CENY!$B$11:$G$1054,2,FALSE)</f>
        <v>AvanY-sólo boky Inlay-NW 187/350mm/strieb.</v>
      </c>
      <c r="D168" s="364">
        <f>VLOOKUP(B168,CENY!$B$11:$G$1054,3,FALSE)</f>
        <v>1</v>
      </c>
      <c r="E168" s="56" t="str">
        <f>IF(VLOOKUP(B168,CENY!$B$11:$G$1054,4,FALSE)=0,"",VLOOKUP(B168,CENY!$B$11:$G$1054,4,FALSE))</f>
        <v/>
      </c>
      <c r="F168" s="40" t="str">
        <f t="shared" ref="F168:F174" si="44">IF(J168&lt;&gt;"",J168,IF(N168=0,"",N168))</f>
        <v/>
      </c>
      <c r="G168" s="52">
        <f>VLOOKUP(B168,CENY!$B$11:$M$1054,12,FALSE)</f>
        <v>840.18591000000004</v>
      </c>
      <c r="H168" s="54" t="str">
        <f t="shared" si="42"/>
        <v xml:space="preserve"> CZK</v>
      </c>
      <c r="I168" s="41" t="str">
        <f t="shared" si="43"/>
        <v/>
      </c>
      <c r="J168" s="122"/>
      <c r="K168" s="42" t="str">
        <f>VLOOKUP(B168,CENY!$B$11:$M$1054,8,FALSE)</f>
        <v xml:space="preserve"> </v>
      </c>
      <c r="L168" s="42" t="str">
        <f>VLOOKUP(B168,CENY!$B$11:$M$1054,9,FALSE)</f>
        <v>530109</v>
      </c>
      <c r="M168" s="32"/>
      <c r="N168" s="35">
        <f t="shared" ref="N168:N174" si="45">SUM(P168:BW168)</f>
        <v>0</v>
      </c>
      <c r="O168" s="36">
        <v>0</v>
      </c>
      <c r="P168" s="32"/>
      <c r="Q168" s="32"/>
      <c r="R168" s="32"/>
      <c r="S168" s="32"/>
      <c r="T168" s="32"/>
      <c r="U168" s="32"/>
      <c r="V168" s="32"/>
      <c r="W168" s="32"/>
      <c r="X168" s="325">
        <f>AVT187In!AZ5</f>
        <v>0</v>
      </c>
      <c r="Y168" s="32"/>
      <c r="Z168" s="32"/>
      <c r="AA168" s="32"/>
      <c r="AB168" s="32"/>
      <c r="AC168" s="32"/>
      <c r="AD168" s="32"/>
      <c r="AE168" s="32"/>
      <c r="AF168" s="325">
        <f>'AVT187In(vn-A)'!AZ5</f>
        <v>0</v>
      </c>
      <c r="AG168" s="32"/>
      <c r="AH168" s="32"/>
      <c r="AI168" s="32"/>
      <c r="AJ168" s="325">
        <f>'AVT187In(vn-S)'!AZ5</f>
        <v>0</v>
      </c>
      <c r="AK168" s="32"/>
      <c r="AL168" s="32"/>
      <c r="AM168" s="32"/>
      <c r="AN168" s="32"/>
      <c r="AO168" s="32"/>
      <c r="AP168" s="32"/>
      <c r="AQ168" s="32"/>
      <c r="AR168" s="32"/>
      <c r="AS168" s="32"/>
      <c r="AT168" s="325">
        <f>'AVT-celny-2x187In'!AZ5</f>
        <v>0</v>
      </c>
      <c r="AU168" s="32"/>
      <c r="AV168" s="32"/>
      <c r="AW168" s="32"/>
      <c r="AX168" s="32"/>
      <c r="AY168" s="32"/>
      <c r="AZ168" s="32"/>
      <c r="BA168" s="32"/>
      <c r="BB168" s="32"/>
      <c r="BC168" s="32"/>
      <c r="BD168" s="32"/>
      <c r="BE168" s="32"/>
      <c r="BF168" s="32"/>
      <c r="BG168" s="32"/>
      <c r="BH168" s="32"/>
      <c r="BI168" s="32"/>
      <c r="BJ168" s="32"/>
      <c r="BK168" s="32"/>
      <c r="BL168" s="32"/>
      <c r="BM168" s="32"/>
      <c r="BN168" s="32"/>
      <c r="BO168" s="165"/>
      <c r="BP168" s="165"/>
      <c r="BQ168" s="165"/>
      <c r="BR168" s="165"/>
      <c r="BS168" s="165"/>
      <c r="BT168" s="165"/>
      <c r="BU168" s="165"/>
      <c r="BV168" s="55"/>
      <c r="BW168" s="160"/>
      <c r="BX168" s="32"/>
      <c r="BY168" s="24"/>
      <c r="BZ168" s="24"/>
      <c r="CA168" s="24"/>
      <c r="CB168" s="24"/>
      <c r="CC168" s="24"/>
      <c r="CD168" s="24"/>
      <c r="CE168" s="24"/>
    </row>
    <row r="169" spans="1:83" ht="15" customHeight="1">
      <c r="A169" s="4"/>
      <c r="B169" s="317">
        <f>IF($Q$8=$Q$7,CENY!B400,IF($Q$7=$Q$9,CENY!B407,CENY!B414))</f>
        <v>9353284</v>
      </c>
      <c r="C169" s="43" t="str">
        <f>VLOOKUP(B169,CENY!$B$11:$G$1054,2,FALSE)</f>
        <v>AvanY-sólo boky Inlay-NW 187/400mm/strieb.</v>
      </c>
      <c r="D169" s="364">
        <f>VLOOKUP(B169,CENY!$B$11:$G$1054,3,FALSE)</f>
        <v>1</v>
      </c>
      <c r="E169" s="56" t="str">
        <f>IF(VLOOKUP(B169,CENY!$B$11:$G$1054,4,FALSE)=0,"",VLOOKUP(B169,CENY!$B$11:$G$1054,4,FALSE))</f>
        <v/>
      </c>
      <c r="F169" s="40" t="str">
        <f t="shared" si="44"/>
        <v/>
      </c>
      <c r="G169" s="52">
        <f>VLOOKUP(B169,CENY!$B$11:$M$1054,12,FALSE)</f>
        <v>852.13201000000004</v>
      </c>
      <c r="H169" s="54" t="str">
        <f t="shared" si="42"/>
        <v xml:space="preserve"> CZK</v>
      </c>
      <c r="I169" s="41" t="str">
        <f t="shared" si="43"/>
        <v/>
      </c>
      <c r="J169" s="122"/>
      <c r="K169" s="42" t="str">
        <f>VLOOKUP(B169,CENY!$B$11:$M$1054,8,FALSE)</f>
        <v xml:space="preserve"> </v>
      </c>
      <c r="L169" s="42" t="str">
        <f>VLOOKUP(B169,CENY!$B$11:$M$1054,9,FALSE)</f>
        <v>530110</v>
      </c>
      <c r="M169" s="32"/>
      <c r="N169" s="35">
        <f t="shared" si="45"/>
        <v>0</v>
      </c>
      <c r="O169" s="36">
        <v>0</v>
      </c>
      <c r="P169" s="32"/>
      <c r="Q169" s="32"/>
      <c r="R169" s="32"/>
      <c r="S169" s="32"/>
      <c r="T169" s="32"/>
      <c r="U169" s="32"/>
      <c r="V169" s="32"/>
      <c r="W169" s="32"/>
      <c r="X169" s="325">
        <f>AVT187In!AZ6</f>
        <v>0</v>
      </c>
      <c r="Y169" s="32"/>
      <c r="Z169" s="32"/>
      <c r="AA169" s="32"/>
      <c r="AB169" s="32"/>
      <c r="AC169" s="32"/>
      <c r="AD169" s="32"/>
      <c r="AE169" s="32"/>
      <c r="AF169" s="325">
        <f>'AVT187In(vn-A)'!AZ6</f>
        <v>0</v>
      </c>
      <c r="AG169" s="32"/>
      <c r="AH169" s="32"/>
      <c r="AI169" s="32"/>
      <c r="AJ169" s="325">
        <f>'AVT187In(vn-S)'!AZ6</f>
        <v>0</v>
      </c>
      <c r="AK169" s="32"/>
      <c r="AL169" s="32"/>
      <c r="AM169" s="32"/>
      <c r="AN169" s="32"/>
      <c r="AO169" s="32"/>
      <c r="AP169" s="32"/>
      <c r="AQ169" s="32"/>
      <c r="AR169" s="32"/>
      <c r="AS169" s="32"/>
      <c r="AT169" s="325">
        <f>'AVT-celny-2x187In'!AZ6</f>
        <v>0</v>
      </c>
      <c r="AU169" s="32"/>
      <c r="AV169" s="32"/>
      <c r="AW169" s="32"/>
      <c r="AX169" s="32"/>
      <c r="AY169" s="32"/>
      <c r="AZ169" s="32"/>
      <c r="BA169" s="32"/>
      <c r="BB169" s="32"/>
      <c r="BC169" s="32"/>
      <c r="BD169" s="32"/>
      <c r="BE169" s="32"/>
      <c r="BF169" s="32"/>
      <c r="BG169" s="32"/>
      <c r="BH169" s="32"/>
      <c r="BI169" s="32"/>
      <c r="BJ169" s="32"/>
      <c r="BK169" s="32"/>
      <c r="BL169" s="32"/>
      <c r="BM169" s="32"/>
      <c r="BN169" s="32"/>
      <c r="BO169" s="165"/>
      <c r="BP169" s="165"/>
      <c r="BQ169" s="165"/>
      <c r="BR169" s="165"/>
      <c r="BS169" s="165"/>
      <c r="BT169" s="165"/>
      <c r="BU169" s="165"/>
      <c r="BV169" s="55"/>
      <c r="BW169" s="160"/>
      <c r="BX169" s="32"/>
      <c r="BY169" s="24"/>
      <c r="BZ169" s="24"/>
      <c r="CA169" s="24"/>
      <c r="CB169" s="24"/>
      <c r="CC169" s="24"/>
      <c r="CD169" s="24"/>
      <c r="CE169" s="24"/>
    </row>
    <row r="170" spans="1:83" ht="15" customHeight="1">
      <c r="A170" s="4"/>
      <c r="B170" s="317">
        <f>IF($Q$8=$Q$7,CENY!B401,IF($Q$7=$Q$9,CENY!B408,CENY!B415))</f>
        <v>9353285</v>
      </c>
      <c r="C170" s="43" t="str">
        <f>VLOOKUP(B170,CENY!$B$11:$G$1054,2,FALSE)</f>
        <v>AvanY-sólo boky Inlay-NW 187/450mm/strieb.</v>
      </c>
      <c r="D170" s="364">
        <f>VLOOKUP(B170,CENY!$B$11:$G$1054,3,FALSE)</f>
        <v>1</v>
      </c>
      <c r="E170" s="56" t="str">
        <f>IF(VLOOKUP(B170,CENY!$B$11:$G$1054,4,FALSE)=0,"",VLOOKUP(B170,CENY!$B$11:$G$1054,4,FALSE))</f>
        <v/>
      </c>
      <c r="F170" s="40" t="str">
        <f t="shared" si="44"/>
        <v/>
      </c>
      <c r="G170" s="52">
        <f>VLOOKUP(B170,CENY!$B$11:$M$1054,12,FALSE)</f>
        <v>841.09733000000006</v>
      </c>
      <c r="H170" s="54" t="str">
        <f t="shared" si="42"/>
        <v xml:space="preserve"> CZK</v>
      </c>
      <c r="I170" s="41" t="str">
        <f t="shared" si="43"/>
        <v/>
      </c>
      <c r="J170" s="122"/>
      <c r="K170" s="42" t="str">
        <f>VLOOKUP(B170,CENY!$B$11:$M$1054,8,FALSE)</f>
        <v xml:space="preserve"> </v>
      </c>
      <c r="L170" s="42" t="str">
        <f>VLOOKUP(B170,CENY!$B$11:$M$1054,9,FALSE)</f>
        <v>530111</v>
      </c>
      <c r="M170" s="32"/>
      <c r="N170" s="35">
        <f t="shared" si="45"/>
        <v>0</v>
      </c>
      <c r="O170" s="36">
        <v>0</v>
      </c>
      <c r="P170" s="32"/>
      <c r="Q170" s="32"/>
      <c r="R170" s="32"/>
      <c r="S170" s="32"/>
      <c r="T170" s="32"/>
      <c r="U170" s="32"/>
      <c r="V170" s="32"/>
      <c r="W170" s="32"/>
      <c r="X170" s="325">
        <f>AVT187In!AZ7</f>
        <v>0</v>
      </c>
      <c r="Y170" s="32"/>
      <c r="Z170" s="32"/>
      <c r="AA170" s="32"/>
      <c r="AB170" s="32"/>
      <c r="AC170" s="32"/>
      <c r="AD170" s="32"/>
      <c r="AE170" s="32"/>
      <c r="AF170" s="325">
        <f>'AVT187In(vn-A)'!AZ7</f>
        <v>0</v>
      </c>
      <c r="AG170" s="32"/>
      <c r="AH170" s="32"/>
      <c r="AI170" s="32"/>
      <c r="AJ170" s="325">
        <f>'AVT187In(vn-S)'!AZ7</f>
        <v>0</v>
      </c>
      <c r="AK170" s="32"/>
      <c r="AL170" s="32"/>
      <c r="AM170" s="32"/>
      <c r="AN170" s="32"/>
      <c r="AO170" s="32"/>
      <c r="AP170" s="32"/>
      <c r="AQ170" s="32"/>
      <c r="AR170" s="32"/>
      <c r="AS170" s="32"/>
      <c r="AT170" s="325">
        <f>'AVT-celny-2x187In'!AZ7</f>
        <v>0</v>
      </c>
      <c r="AU170" s="32"/>
      <c r="AV170" s="32"/>
      <c r="AW170" s="32"/>
      <c r="AX170" s="325">
        <f>'potr-v101+187-IL'!AZ15</f>
        <v>0</v>
      </c>
      <c r="AY170" s="32"/>
      <c r="AZ170" s="32"/>
      <c r="BA170" s="32"/>
      <c r="BB170" s="32"/>
      <c r="BC170" s="32"/>
      <c r="BD170" s="32"/>
      <c r="BE170" s="32"/>
      <c r="BF170" s="32"/>
      <c r="BG170" s="32"/>
      <c r="BH170" s="32"/>
      <c r="BI170" s="32"/>
      <c r="BJ170" s="32"/>
      <c r="BK170" s="32"/>
      <c r="BL170" s="32"/>
      <c r="BM170" s="32"/>
      <c r="BN170" s="32"/>
      <c r="BO170" s="165"/>
      <c r="BP170" s="165"/>
      <c r="BQ170" s="165"/>
      <c r="BR170" s="165"/>
      <c r="BS170" s="165"/>
      <c r="BT170" s="165"/>
      <c r="BU170" s="165"/>
      <c r="BV170" s="55"/>
      <c r="BW170" s="160"/>
      <c r="BX170" s="32"/>
      <c r="BY170" s="24"/>
      <c r="BZ170" s="24"/>
      <c r="CA170" s="24"/>
      <c r="CB170" s="24"/>
      <c r="CC170" s="24"/>
      <c r="CD170" s="24"/>
      <c r="CE170" s="24"/>
    </row>
    <row r="171" spans="1:83" ht="15" customHeight="1">
      <c r="A171" s="4"/>
      <c r="B171" s="317">
        <f>IF($Q$8=$Q$7,CENY!B402,IF($Q$7=$Q$9,CENY!B409,CENY!B416))</f>
        <v>9353286</v>
      </c>
      <c r="C171" s="43" t="str">
        <f>VLOOKUP(B171,CENY!$B$11:$G$1054,2,FALSE)</f>
        <v>AvanY-sólo boky Inlay-NW 187/500mm/strieb.</v>
      </c>
      <c r="D171" s="364">
        <f>VLOOKUP(B171,CENY!$B$11:$G$1054,3,FALSE)</f>
        <v>1</v>
      </c>
      <c r="E171" s="56" t="str">
        <f>IF(VLOOKUP(B171,CENY!$B$11:$G$1054,4,FALSE)=0,"",VLOOKUP(B171,CENY!$B$11:$G$1054,4,FALSE))</f>
        <v/>
      </c>
      <c r="F171" s="40" t="str">
        <f t="shared" si="44"/>
        <v/>
      </c>
      <c r="G171" s="52">
        <f>VLOOKUP(B171,CENY!$B$11:$M$1054,12,FALSE)</f>
        <v>852.72563000000002</v>
      </c>
      <c r="H171" s="54" t="str">
        <f t="shared" si="42"/>
        <v xml:space="preserve"> CZK</v>
      </c>
      <c r="I171" s="41" t="str">
        <f t="shared" si="43"/>
        <v/>
      </c>
      <c r="J171" s="122"/>
      <c r="K171" s="42" t="str">
        <f>VLOOKUP(B171,CENY!$B$11:$M$1054,8,FALSE)</f>
        <v xml:space="preserve"> </v>
      </c>
      <c r="L171" s="42" t="str">
        <f>VLOOKUP(B171,CENY!$B$11:$M$1054,9,FALSE)</f>
        <v>530112</v>
      </c>
      <c r="M171" s="32"/>
      <c r="N171" s="35">
        <f t="shared" si="45"/>
        <v>0</v>
      </c>
      <c r="O171" s="36">
        <v>0</v>
      </c>
      <c r="P171" s="32"/>
      <c r="Q171" s="32"/>
      <c r="R171" s="32"/>
      <c r="S171" s="32"/>
      <c r="T171" s="32"/>
      <c r="U171" s="32"/>
      <c r="V171" s="32"/>
      <c r="W171" s="32"/>
      <c r="X171" s="325">
        <f>AVT187In!AZ8</f>
        <v>0</v>
      </c>
      <c r="Y171" s="32"/>
      <c r="Z171" s="32"/>
      <c r="AA171" s="32"/>
      <c r="AB171" s="32"/>
      <c r="AC171" s="32"/>
      <c r="AD171" s="32"/>
      <c r="AE171" s="32"/>
      <c r="AF171" s="325">
        <f>'AVT187In(vn-A)'!AZ8</f>
        <v>0</v>
      </c>
      <c r="AG171" s="32"/>
      <c r="AH171" s="32"/>
      <c r="AI171" s="32"/>
      <c r="AJ171" s="325">
        <f>'AVT187In(vn-S)'!AZ8</f>
        <v>0</v>
      </c>
      <c r="AK171" s="32"/>
      <c r="AL171" s="32"/>
      <c r="AM171" s="32"/>
      <c r="AN171" s="32"/>
      <c r="AO171" s="32"/>
      <c r="AP171" s="32"/>
      <c r="AQ171" s="32"/>
      <c r="AR171" s="32"/>
      <c r="AS171" s="32"/>
      <c r="AT171" s="325">
        <f>'AVT-celny-2x187In'!AZ8</f>
        <v>0</v>
      </c>
      <c r="AU171" s="32"/>
      <c r="AV171" s="32"/>
      <c r="AW171" s="32"/>
      <c r="AX171" s="325">
        <f>'potr-v101+187-IL'!AZ16</f>
        <v>0</v>
      </c>
      <c r="AY171" s="32"/>
      <c r="AZ171" s="32"/>
      <c r="BA171" s="32"/>
      <c r="BB171" s="32"/>
      <c r="BC171" s="32"/>
      <c r="BD171" s="32"/>
      <c r="BE171" s="32"/>
      <c r="BF171" s="32"/>
      <c r="BG171" s="32"/>
      <c r="BH171" s="32"/>
      <c r="BI171" s="32"/>
      <c r="BJ171" s="32"/>
      <c r="BK171" s="32"/>
      <c r="BL171" s="32"/>
      <c r="BM171" s="32"/>
      <c r="BN171" s="32"/>
      <c r="BO171" s="165"/>
      <c r="BP171" s="165"/>
      <c r="BQ171" s="165"/>
      <c r="BR171" s="165"/>
      <c r="BS171" s="165"/>
      <c r="BT171" s="165"/>
      <c r="BU171" s="165"/>
      <c r="BV171" s="55"/>
      <c r="BW171" s="160"/>
      <c r="BX171" s="32"/>
      <c r="BY171" s="24"/>
      <c r="BZ171" s="24"/>
      <c r="CA171" s="24"/>
      <c r="CB171" s="24"/>
      <c r="CC171" s="24"/>
      <c r="CD171" s="24"/>
      <c r="CE171" s="24"/>
    </row>
    <row r="172" spans="1:83" ht="15" customHeight="1">
      <c r="A172" s="4"/>
      <c r="B172" s="317">
        <f>IF($Q$8=$Q$7,CENY!B403,IF($Q$7=$Q$9,CENY!B410,CENY!B417))</f>
        <v>9353287</v>
      </c>
      <c r="C172" s="43" t="str">
        <f>VLOOKUP(B172,CENY!$B$11:$G$1054,2,FALSE)</f>
        <v>AvanY-sólo boky Inlay-NW 187/550mm/strieb.</v>
      </c>
      <c r="D172" s="364">
        <f>VLOOKUP(B172,CENY!$B$11:$G$1054,3,FALSE)</f>
        <v>1</v>
      </c>
      <c r="E172" s="56" t="str">
        <f>IF(VLOOKUP(B172,CENY!$B$11:$G$1054,4,FALSE)=0,"",VLOOKUP(B172,CENY!$B$11:$G$1054,4,FALSE))</f>
        <v/>
      </c>
      <c r="F172" s="40" t="str">
        <f t="shared" si="44"/>
        <v/>
      </c>
      <c r="G172" s="52">
        <f>VLOOKUP(B172,CENY!$B$11:$M$1054,12,FALSE)</f>
        <v>887.97243000000003</v>
      </c>
      <c r="H172" s="54" t="str">
        <f t="shared" si="42"/>
        <v xml:space="preserve"> CZK</v>
      </c>
      <c r="I172" s="41" t="str">
        <f t="shared" si="43"/>
        <v/>
      </c>
      <c r="J172" s="122"/>
      <c r="K172" s="42" t="str">
        <f>VLOOKUP(B172,CENY!$B$11:$M$1054,8,FALSE)</f>
        <v xml:space="preserve"> </v>
      </c>
      <c r="L172" s="42" t="str">
        <f>VLOOKUP(B172,CENY!$B$11:$M$1054,9,FALSE)</f>
        <v>530113</v>
      </c>
      <c r="M172" s="32"/>
      <c r="N172" s="35">
        <f t="shared" si="45"/>
        <v>0</v>
      </c>
      <c r="O172" s="36">
        <v>0</v>
      </c>
      <c r="P172" s="32"/>
      <c r="Q172" s="32"/>
      <c r="R172" s="32"/>
      <c r="S172" s="32"/>
      <c r="T172" s="32"/>
      <c r="U172" s="32"/>
      <c r="V172" s="32"/>
      <c r="W172" s="32"/>
      <c r="X172" s="325">
        <f>AVT187In!AZ9</f>
        <v>0</v>
      </c>
      <c r="Y172" s="32"/>
      <c r="Z172" s="32"/>
      <c r="AA172" s="32"/>
      <c r="AB172" s="32"/>
      <c r="AC172" s="32"/>
      <c r="AD172" s="32"/>
      <c r="AE172" s="32"/>
      <c r="AF172" s="325">
        <f>'AVT187In(vn-A)'!AZ9</f>
        <v>0</v>
      </c>
      <c r="AG172" s="32"/>
      <c r="AH172" s="32"/>
      <c r="AI172" s="32"/>
      <c r="AJ172" s="325">
        <f>'AVT187In(vn-S)'!AZ9</f>
        <v>0</v>
      </c>
      <c r="AK172" s="32"/>
      <c r="AL172" s="32"/>
      <c r="AM172" s="32"/>
      <c r="AN172" s="32"/>
      <c r="AO172" s="32"/>
      <c r="AP172" s="32"/>
      <c r="AQ172" s="32"/>
      <c r="AR172" s="32"/>
      <c r="AS172" s="32"/>
      <c r="AT172" s="325">
        <f>'AVT-celny-2x187In'!AZ9</f>
        <v>0</v>
      </c>
      <c r="AU172" s="32"/>
      <c r="AV172" s="32"/>
      <c r="AW172" s="32"/>
      <c r="AX172" s="325">
        <f>'potr-v101+187-IL'!AZ17</f>
        <v>0</v>
      </c>
      <c r="AY172" s="32"/>
      <c r="AZ172" s="32"/>
      <c r="BA172" s="32"/>
      <c r="BB172" s="32"/>
      <c r="BC172" s="32"/>
      <c r="BD172" s="32"/>
      <c r="BE172" s="32"/>
      <c r="BF172" s="32"/>
      <c r="BG172" s="32"/>
      <c r="BH172" s="32"/>
      <c r="BI172" s="32"/>
      <c r="BJ172" s="32"/>
      <c r="BK172" s="32"/>
      <c r="BL172" s="32"/>
      <c r="BM172" s="32"/>
      <c r="BN172" s="32"/>
      <c r="BO172" s="165"/>
      <c r="BP172" s="165"/>
      <c r="BQ172" s="165"/>
      <c r="BR172" s="165"/>
      <c r="BS172" s="165"/>
      <c r="BT172" s="165"/>
      <c r="BU172" s="165"/>
      <c r="BV172" s="55"/>
      <c r="BW172" s="160"/>
      <c r="BX172" s="32"/>
      <c r="BY172" s="24"/>
      <c r="BZ172" s="24"/>
      <c r="CA172" s="24"/>
      <c r="CB172" s="24"/>
      <c r="CC172" s="24"/>
      <c r="CD172" s="24"/>
      <c r="CE172" s="24"/>
    </row>
    <row r="173" spans="1:83" ht="15" customHeight="1">
      <c r="A173" s="4"/>
      <c r="B173" s="317">
        <f>IF($Q$8=$Q$7,CENY!B404,IF($Q$7=$Q$9,CENY!B411,CENY!B418))</f>
        <v>9353288</v>
      </c>
      <c r="C173" s="43" t="str">
        <f>VLOOKUP(B173,CENY!$B$11:$G$1054,2,FALSE)</f>
        <v>AvanY-sólo boky Inlay-NW 187/600mm/strieb.</v>
      </c>
      <c r="D173" s="364">
        <f>VLOOKUP(B173,CENY!$B$11:$G$1054,3,FALSE)</f>
        <v>1</v>
      </c>
      <c r="E173" s="56" t="str">
        <f>IF(VLOOKUP(B173,CENY!$B$11:$G$1054,4,FALSE)=0,"",VLOOKUP(B173,CENY!$B$11:$G$1054,4,FALSE))</f>
        <v/>
      </c>
      <c r="F173" s="40" t="str">
        <f t="shared" si="44"/>
        <v/>
      </c>
      <c r="G173" s="52">
        <f>VLOOKUP(B173,CENY!$B$11:$M$1054,12,FALSE)</f>
        <v>905.98955999999998</v>
      </c>
      <c r="H173" s="54" t="str">
        <f t="shared" si="42"/>
        <v xml:space="preserve"> CZK</v>
      </c>
      <c r="I173" s="41" t="str">
        <f t="shared" si="43"/>
        <v/>
      </c>
      <c r="J173" s="122"/>
      <c r="K173" s="42" t="str">
        <f>VLOOKUP(B173,CENY!$B$11:$M$1054,8,FALSE)</f>
        <v xml:space="preserve"> </v>
      </c>
      <c r="L173" s="42" t="str">
        <f>VLOOKUP(B173,CENY!$B$11:$M$1054,9,FALSE)</f>
        <v>530114</v>
      </c>
      <c r="M173" s="32"/>
      <c r="N173" s="35">
        <f t="shared" si="45"/>
        <v>0</v>
      </c>
      <c r="O173" s="36">
        <v>0</v>
      </c>
      <c r="P173" s="32"/>
      <c r="Q173" s="32"/>
      <c r="R173" s="32"/>
      <c r="S173" s="32"/>
      <c r="T173" s="32"/>
      <c r="U173" s="32"/>
      <c r="V173" s="32"/>
      <c r="W173" s="32"/>
      <c r="X173" s="325">
        <f>AVT187In!AZ10</f>
        <v>0</v>
      </c>
      <c r="Y173" s="32"/>
      <c r="Z173" s="32"/>
      <c r="AA173" s="32"/>
      <c r="AB173" s="32"/>
      <c r="AC173" s="32"/>
      <c r="AD173" s="32"/>
      <c r="AE173" s="32"/>
      <c r="AF173" s="325">
        <f>'AVT187In(vn-A)'!AZ10</f>
        <v>0</v>
      </c>
      <c r="AG173" s="32"/>
      <c r="AH173" s="32"/>
      <c r="AI173" s="32"/>
      <c r="AJ173" s="325">
        <f>'AVT187In(vn-S)'!AZ10</f>
        <v>0</v>
      </c>
      <c r="AK173" s="32"/>
      <c r="AL173" s="32"/>
      <c r="AM173" s="32"/>
      <c r="AN173" s="32"/>
      <c r="AO173" s="32"/>
      <c r="AP173" s="32"/>
      <c r="AQ173" s="32"/>
      <c r="AR173" s="32"/>
      <c r="AS173" s="32"/>
      <c r="AT173" s="325">
        <f>'AVT-celny-2x187In'!AZ10</f>
        <v>0</v>
      </c>
      <c r="AU173" s="32"/>
      <c r="AV173" s="32"/>
      <c r="AW173" s="32"/>
      <c r="AX173" s="325">
        <f>'potr-v101+187-IL'!AZ18</f>
        <v>0</v>
      </c>
      <c r="AY173" s="32"/>
      <c r="AZ173" s="32"/>
      <c r="BA173" s="32"/>
      <c r="BB173" s="32"/>
      <c r="BC173" s="32"/>
      <c r="BD173" s="32"/>
      <c r="BE173" s="32"/>
      <c r="BF173" s="32"/>
      <c r="BG173" s="32"/>
      <c r="BH173" s="32"/>
      <c r="BI173" s="32"/>
      <c r="BJ173" s="32"/>
      <c r="BK173" s="32"/>
      <c r="BL173" s="32"/>
      <c r="BM173" s="32"/>
      <c r="BN173" s="32"/>
      <c r="BO173" s="165"/>
      <c r="BP173" s="165"/>
      <c r="BQ173" s="165"/>
      <c r="BR173" s="165"/>
      <c r="BS173" s="165"/>
      <c r="BT173" s="165"/>
      <c r="BU173" s="165"/>
      <c r="BV173" s="55"/>
      <c r="BW173" s="160"/>
      <c r="BX173" s="32"/>
      <c r="BY173" s="24"/>
      <c r="BZ173" s="24"/>
      <c r="CA173" s="24"/>
      <c r="CB173" s="24"/>
      <c r="CC173" s="24"/>
      <c r="CD173" s="24"/>
      <c r="CE173" s="24"/>
    </row>
    <row r="174" spans="1:83" ht="15" customHeight="1">
      <c r="A174" s="4"/>
      <c r="B174" s="317">
        <f>IF($Q$8=$Q$7,CENY!B405,IF($Q$7=$Q$9,CENY!B412,CENY!B419))</f>
        <v>9353289</v>
      </c>
      <c r="C174" s="43" t="str">
        <f>VLOOKUP(B174,CENY!$B$11:$G$1054,2,FALSE)</f>
        <v>AvanY-sólo boky Inlay-NW 187/650mm/strieb.</v>
      </c>
      <c r="D174" s="364">
        <f>VLOOKUP(B174,CENY!$B$11:$G$1054,3,FALSE)</f>
        <v>1</v>
      </c>
      <c r="E174" s="56" t="str">
        <f>IF(VLOOKUP(B174,CENY!$B$11:$G$1054,4,FALSE)=0,"",VLOOKUP(B174,CENY!$B$11:$G$1054,4,FALSE))</f>
        <v/>
      </c>
      <c r="F174" s="40" t="str">
        <f t="shared" si="44"/>
        <v/>
      </c>
      <c r="G174" s="52">
        <f>VLOOKUP(B174,CENY!$B$11:$M$1054,12,FALSE)</f>
        <v>930.49195999999995</v>
      </c>
      <c r="H174" s="54" t="str">
        <f t="shared" si="42"/>
        <v xml:space="preserve"> CZK</v>
      </c>
      <c r="I174" s="41" t="str">
        <f t="shared" si="43"/>
        <v/>
      </c>
      <c r="J174" s="122"/>
      <c r="K174" s="42" t="str">
        <f>VLOOKUP(B174,CENY!$B$11:$M$1054,8,FALSE)</f>
        <v xml:space="preserve"> </v>
      </c>
      <c r="L174" s="42" t="str">
        <f>VLOOKUP(B174,CENY!$B$11:$M$1054,9,FALSE)</f>
        <v>530115</v>
      </c>
      <c r="M174" s="32"/>
      <c r="N174" s="35">
        <f t="shared" si="45"/>
        <v>0</v>
      </c>
      <c r="O174" s="36">
        <v>0</v>
      </c>
      <c r="P174" s="32"/>
      <c r="Q174" s="32"/>
      <c r="R174" s="32"/>
      <c r="S174" s="32"/>
      <c r="T174" s="32"/>
      <c r="U174" s="32"/>
      <c r="V174" s="32"/>
      <c r="W174" s="32"/>
      <c r="X174" s="325">
        <f>AVT187In!AZ11</f>
        <v>0</v>
      </c>
      <c r="Y174" s="32"/>
      <c r="Z174" s="32"/>
      <c r="AA174" s="32"/>
      <c r="AB174" s="32"/>
      <c r="AC174" s="32"/>
      <c r="AD174" s="32"/>
      <c r="AE174" s="32"/>
      <c r="AF174" s="325">
        <f>'AVT187In(vn-A)'!AZ11</f>
        <v>0</v>
      </c>
      <c r="AG174" s="32"/>
      <c r="AH174" s="32"/>
      <c r="AI174" s="32"/>
      <c r="AJ174" s="325">
        <f>'AVT187In(vn-S)'!AZ11</f>
        <v>0</v>
      </c>
      <c r="AK174" s="32"/>
      <c r="AL174" s="32"/>
      <c r="AM174" s="32"/>
      <c r="AN174" s="32"/>
      <c r="AO174" s="32"/>
      <c r="AP174" s="32"/>
      <c r="AQ174" s="32"/>
      <c r="AR174" s="32"/>
      <c r="AS174" s="32"/>
      <c r="AT174" s="325">
        <f>'AVT-celny-2x187In'!AZ11</f>
        <v>0</v>
      </c>
      <c r="AU174" s="32"/>
      <c r="AV174" s="32"/>
      <c r="AW174" s="32"/>
      <c r="AX174" s="325">
        <f>'potr-v101+187-IL'!AZ19</f>
        <v>0</v>
      </c>
      <c r="AY174" s="32"/>
      <c r="AZ174" s="32"/>
      <c r="BA174" s="32"/>
      <c r="BB174" s="32"/>
      <c r="BC174" s="32"/>
      <c r="BD174" s="32"/>
      <c r="BE174" s="32"/>
      <c r="BF174" s="32"/>
      <c r="BG174" s="32"/>
      <c r="BH174" s="32"/>
      <c r="BI174" s="32"/>
      <c r="BJ174" s="32"/>
      <c r="BK174" s="32"/>
      <c r="BL174" s="32"/>
      <c r="BM174" s="32"/>
      <c r="BN174" s="32"/>
      <c r="BO174" s="165"/>
      <c r="BP174" s="165"/>
      <c r="BQ174" s="165"/>
      <c r="BR174" s="165"/>
      <c r="BS174" s="165"/>
      <c r="BT174" s="165"/>
      <c r="BU174" s="165"/>
      <c r="BV174" s="55"/>
      <c r="BW174" s="160"/>
      <c r="BX174" s="32"/>
      <c r="BY174" s="24"/>
      <c r="BZ174" s="24"/>
      <c r="CA174" s="24"/>
      <c r="CB174" s="24"/>
      <c r="CC174" s="24"/>
      <c r="CD174" s="24"/>
      <c r="CE174" s="24"/>
    </row>
    <row r="175" spans="1:83" ht="8.1" customHeight="1">
      <c r="A175" s="4"/>
      <c r="B175" s="317"/>
      <c r="C175" s="43"/>
      <c r="D175" s="39"/>
      <c r="E175" s="56"/>
      <c r="F175" s="40"/>
      <c r="G175" s="52"/>
      <c r="H175" s="54"/>
      <c r="I175" s="41"/>
      <c r="J175" s="122"/>
      <c r="K175" s="42"/>
      <c r="L175" s="42"/>
      <c r="M175" s="32"/>
      <c r="N175" s="35"/>
      <c r="O175" s="36">
        <v>0</v>
      </c>
      <c r="P175" s="32"/>
      <c r="Q175" s="32"/>
      <c r="R175" s="32"/>
      <c r="S175" s="32"/>
      <c r="T175" s="32"/>
      <c r="U175" s="32"/>
      <c r="V175" s="32"/>
      <c r="W175" s="32"/>
      <c r="X175" s="32"/>
      <c r="Y175" s="32"/>
      <c r="Z175" s="32"/>
      <c r="AA175" s="32"/>
      <c r="AB175" s="32"/>
      <c r="AC175" s="32"/>
      <c r="AD175" s="32"/>
      <c r="AE175" s="32"/>
      <c r="AF175" s="32"/>
      <c r="AG175" s="32"/>
      <c r="AH175" s="32"/>
      <c r="AI175" s="32"/>
      <c r="AJ175" s="32"/>
      <c r="AK175" s="32"/>
      <c r="AL175" s="32"/>
      <c r="AM175" s="32"/>
      <c r="AN175" s="32"/>
      <c r="AO175" s="32"/>
      <c r="AP175" s="32"/>
      <c r="AQ175" s="32"/>
      <c r="AR175" s="32"/>
      <c r="AS175" s="32"/>
      <c r="AT175" s="32"/>
      <c r="AU175" s="32"/>
      <c r="AV175" s="32"/>
      <c r="AW175" s="32"/>
      <c r="AX175" s="32"/>
      <c r="AY175" s="32"/>
      <c r="AZ175" s="32"/>
      <c r="BA175" s="32"/>
      <c r="BB175" s="32"/>
      <c r="BC175" s="32"/>
      <c r="BD175" s="32"/>
      <c r="BE175" s="32"/>
      <c r="BF175" s="32"/>
      <c r="BG175" s="32"/>
      <c r="BH175" s="32"/>
      <c r="BI175" s="32"/>
      <c r="BJ175" s="32"/>
      <c r="BK175" s="32"/>
      <c r="BL175" s="32"/>
      <c r="BM175" s="32"/>
      <c r="BN175" s="32"/>
      <c r="BO175" s="165"/>
      <c r="BP175" s="165"/>
      <c r="BQ175" s="165"/>
      <c r="BR175" s="165"/>
      <c r="BS175" s="165"/>
      <c r="BT175" s="165"/>
      <c r="BU175" s="165"/>
      <c r="BV175" s="55"/>
      <c r="BW175" s="160"/>
      <c r="BX175" s="32"/>
      <c r="BY175" s="24"/>
      <c r="BZ175" s="24"/>
      <c r="CA175" s="24"/>
      <c r="CB175" s="24"/>
      <c r="CC175" s="24"/>
      <c r="CD175" s="24"/>
      <c r="CE175" s="24"/>
    </row>
    <row r="176" spans="1:83" ht="15" customHeight="1">
      <c r="A176" s="4"/>
      <c r="B176" s="317">
        <f>IF($Q$8=$Q$7,CENY!B420,IF($Q$7=$Q$9,CENY!B434,CENY!B448))</f>
        <v>9257131</v>
      </c>
      <c r="C176" s="43" t="str">
        <f>VLOOKUP(B176,CENY!$B$11:$G$1054,2,FALSE)</f>
        <v>AvanY-bok Inlay ľavý /v187/h350/ strieb.</v>
      </c>
      <c r="D176" s="353">
        <f>VLOOKUP(B176,CENY!$B$11:$G$1054,3,FALSE)</f>
        <v>10</v>
      </c>
      <c r="E176" s="56" t="str">
        <f>IF(VLOOKUP(B176,CENY!$B$11:$G$1054,4,FALSE)=0,"",VLOOKUP(B176,CENY!$B$11:$G$1054,4,FALSE))</f>
        <v/>
      </c>
      <c r="F176" s="40" t="str">
        <f t="shared" ref="F176:F189" si="46">IF(J176&lt;&gt;"",J176,IF(N176=0,"",N176))</f>
        <v/>
      </c>
      <c r="G176" s="52">
        <f>VLOOKUP(B176,CENY!$B$11:$M$1054,12,FALSE)</f>
        <v>380.11588</v>
      </c>
      <c r="H176" s="54" t="str">
        <f t="shared" si="42"/>
        <v xml:space="preserve"> CZK</v>
      </c>
      <c r="I176" s="41" t="str">
        <f t="shared" si="43"/>
        <v/>
      </c>
      <c r="J176" s="122"/>
      <c r="K176" s="42" t="str">
        <f>VLOOKUP(B176,CENY!$B$11:$M$1054,8,FALSE)</f>
        <v xml:space="preserve"> </v>
      </c>
      <c r="L176" s="42" t="str">
        <f>VLOOKUP(B176,CENY!$B$11:$M$1054,9,FALSE)</f>
        <v>396951</v>
      </c>
      <c r="M176" s="32"/>
      <c r="N176" s="35">
        <f t="shared" ref="N176:N192" si="47">SUM(P176:BW176)</f>
        <v>0</v>
      </c>
      <c r="O176" s="36">
        <v>0</v>
      </c>
      <c r="P176" s="32"/>
      <c r="Q176" s="32"/>
      <c r="R176" s="32"/>
      <c r="S176" s="32"/>
      <c r="T176" s="32"/>
      <c r="U176" s="32"/>
      <c r="V176" s="32"/>
      <c r="W176" s="32"/>
      <c r="X176" s="32"/>
      <c r="Y176" s="325">
        <f>AVT187In!BI5</f>
        <v>0</v>
      </c>
      <c r="Z176" s="32"/>
      <c r="AA176" s="32"/>
      <c r="AB176" s="32"/>
      <c r="AC176" s="32"/>
      <c r="AD176" s="32"/>
      <c r="AE176" s="32"/>
      <c r="AF176" s="32"/>
      <c r="AG176" s="325">
        <f>'AVT187In(vn-A)'!BI5</f>
        <v>0</v>
      </c>
      <c r="AH176" s="32"/>
      <c r="AI176" s="32"/>
      <c r="AJ176" s="32"/>
      <c r="AK176" s="325">
        <f>'AVT187In(vn-S)'!BI5</f>
        <v>0</v>
      </c>
      <c r="AL176" s="32"/>
      <c r="AM176" s="32"/>
      <c r="AN176" s="32"/>
      <c r="AO176" s="32"/>
      <c r="AP176" s="32"/>
      <c r="AQ176" s="32"/>
      <c r="AR176" s="32"/>
      <c r="AS176" s="32"/>
      <c r="AT176" s="32"/>
      <c r="AU176" s="325">
        <f>'AVT-celny-2x187In'!BI5</f>
        <v>0</v>
      </c>
      <c r="AV176" s="32"/>
      <c r="AW176" s="32"/>
      <c r="AX176" s="32"/>
      <c r="AY176" s="32"/>
      <c r="AZ176" s="32"/>
      <c r="BA176" s="32"/>
      <c r="BB176" s="32"/>
      <c r="BC176" s="32"/>
      <c r="BD176" s="32"/>
      <c r="BE176" s="32"/>
      <c r="BF176" s="32"/>
      <c r="BG176" s="32"/>
      <c r="BH176" s="32"/>
      <c r="BI176" s="32"/>
      <c r="BJ176" s="32"/>
      <c r="BK176" s="32"/>
      <c r="BL176" s="32"/>
      <c r="BM176" s="32"/>
      <c r="BN176" s="32"/>
      <c r="BO176" s="165"/>
      <c r="BP176" s="165"/>
      <c r="BQ176" s="165"/>
      <c r="BR176" s="165"/>
      <c r="BS176" s="165"/>
      <c r="BT176" s="165"/>
      <c r="BU176" s="165"/>
      <c r="BV176" s="55"/>
      <c r="BW176" s="160"/>
      <c r="BX176" s="32"/>
      <c r="BY176" s="24"/>
      <c r="BZ176" s="24"/>
      <c r="CA176" s="24"/>
      <c r="CB176" s="24"/>
      <c r="CC176" s="24"/>
      <c r="CD176" s="24"/>
      <c r="CE176" s="24"/>
    </row>
    <row r="177" spans="1:83" ht="15" customHeight="1">
      <c r="A177" s="4"/>
      <c r="B177" s="317">
        <f>IF($Q$8=$Q$7,CENY!B421,IF($Q$7=$Q$9,CENY!B435,CENY!B449))</f>
        <v>9257132</v>
      </c>
      <c r="C177" s="43" t="str">
        <f>VLOOKUP(B177,CENY!$B$11:$G$1054,2,FALSE)</f>
        <v>AvanY-bok Inlay pravý /v187/h350/ strieb.</v>
      </c>
      <c r="D177" s="353">
        <f>VLOOKUP(B177,CENY!$B$11:$G$1054,3,FALSE)</f>
        <v>10</v>
      </c>
      <c r="E177" s="56" t="str">
        <f>IF(VLOOKUP(B177,CENY!$B$11:$G$1054,4,FALSE)=0,"",VLOOKUP(B177,CENY!$B$11:$G$1054,4,FALSE))</f>
        <v/>
      </c>
      <c r="F177" s="40" t="str">
        <f t="shared" si="46"/>
        <v/>
      </c>
      <c r="G177" s="52">
        <f>VLOOKUP(B177,CENY!$B$11:$M$1054,12,FALSE)</f>
        <v>380.11588</v>
      </c>
      <c r="H177" s="54" t="str">
        <f t="shared" si="42"/>
        <v xml:space="preserve"> CZK</v>
      </c>
      <c r="I177" s="41" t="str">
        <f t="shared" si="43"/>
        <v/>
      </c>
      <c r="J177" s="122"/>
      <c r="K177" s="42" t="str">
        <f>VLOOKUP(B177,CENY!$B$11:$M$1054,8,FALSE)</f>
        <v xml:space="preserve"> </v>
      </c>
      <c r="L177" s="42" t="str">
        <f>VLOOKUP(B177,CENY!$B$11:$M$1054,9,FALSE)</f>
        <v>396952</v>
      </c>
      <c r="M177" s="32"/>
      <c r="N177" s="35">
        <f t="shared" si="47"/>
        <v>0</v>
      </c>
      <c r="O177" s="36">
        <v>0</v>
      </c>
      <c r="P177" s="32"/>
      <c r="Q177" s="32"/>
      <c r="R177" s="32"/>
      <c r="S177" s="32"/>
      <c r="T177" s="32"/>
      <c r="U177" s="32"/>
      <c r="V177" s="32"/>
      <c r="W177" s="32"/>
      <c r="X177" s="32"/>
      <c r="Y177" s="325">
        <f>AVT187In!BI6</f>
        <v>0</v>
      </c>
      <c r="Z177" s="32"/>
      <c r="AA177" s="32"/>
      <c r="AB177" s="32"/>
      <c r="AC177" s="32"/>
      <c r="AD177" s="32"/>
      <c r="AE177" s="32"/>
      <c r="AF177" s="32"/>
      <c r="AG177" s="325">
        <f>'AVT187In(vn-A)'!BI6</f>
        <v>0</v>
      </c>
      <c r="AH177" s="32"/>
      <c r="AI177" s="32"/>
      <c r="AJ177" s="32"/>
      <c r="AK177" s="325">
        <f>'AVT187In(vn-S)'!BI6</f>
        <v>0</v>
      </c>
      <c r="AL177" s="32"/>
      <c r="AM177" s="32"/>
      <c r="AN177" s="32"/>
      <c r="AO177" s="32"/>
      <c r="AP177" s="32"/>
      <c r="AQ177" s="32"/>
      <c r="AR177" s="32"/>
      <c r="AS177" s="32"/>
      <c r="AT177" s="32"/>
      <c r="AU177" s="325">
        <f>'AVT-celny-2x187In'!BI6</f>
        <v>0</v>
      </c>
      <c r="AV177" s="32"/>
      <c r="AW177" s="32"/>
      <c r="AX177" s="32"/>
      <c r="AY177" s="32"/>
      <c r="AZ177" s="32"/>
      <c r="BA177" s="32"/>
      <c r="BB177" s="32"/>
      <c r="BC177" s="32"/>
      <c r="BD177" s="32"/>
      <c r="BE177" s="32"/>
      <c r="BF177" s="32"/>
      <c r="BG177" s="32"/>
      <c r="BH177" s="32"/>
      <c r="BI177" s="32"/>
      <c r="BJ177" s="32"/>
      <c r="BK177" s="32"/>
      <c r="BL177" s="32"/>
      <c r="BM177" s="32"/>
      <c r="BN177" s="32"/>
      <c r="BO177" s="165"/>
      <c r="BP177" s="165"/>
      <c r="BQ177" s="165"/>
      <c r="BR177" s="165"/>
      <c r="BS177" s="165"/>
      <c r="BT177" s="165"/>
      <c r="BU177" s="165"/>
      <c r="BV177" s="55"/>
      <c r="BW177" s="160"/>
      <c r="BX177" s="32"/>
      <c r="BY177" s="24"/>
      <c r="BZ177" s="24"/>
      <c r="CA177" s="24"/>
      <c r="CB177" s="24"/>
      <c r="CC177" s="24"/>
      <c r="CD177" s="24"/>
      <c r="CE177" s="24"/>
    </row>
    <row r="178" spans="1:83" ht="15" customHeight="1">
      <c r="A178" s="4"/>
      <c r="B178" s="317">
        <f>IF($Q$8=$Q$7,CENY!B422,IF($Q$7=$Q$9,CENY!B436,CENY!B450))</f>
        <v>9257133</v>
      </c>
      <c r="C178" s="43" t="str">
        <f>VLOOKUP(B178,CENY!$B$11:$G$1054,2,FALSE)</f>
        <v>AvanY-bok Inlay ľavý /v187/h400/ strieb.</v>
      </c>
      <c r="D178" s="353">
        <f>VLOOKUP(B178,CENY!$B$11:$G$1054,3,FALSE)</f>
        <v>10</v>
      </c>
      <c r="E178" s="56" t="str">
        <f>IF(VLOOKUP(B178,CENY!$B$11:$G$1054,4,FALSE)=0,"",VLOOKUP(B178,CENY!$B$11:$G$1054,4,FALSE))</f>
        <v/>
      </c>
      <c r="F178" s="40" t="str">
        <f t="shared" si="46"/>
        <v/>
      </c>
      <c r="G178" s="52">
        <f>VLOOKUP(B178,CENY!$B$11:$M$1054,12,FALSE)</f>
        <v>386.98174</v>
      </c>
      <c r="H178" s="54" t="str">
        <f t="shared" si="42"/>
        <v xml:space="preserve"> CZK</v>
      </c>
      <c r="I178" s="41" t="str">
        <f t="shared" si="43"/>
        <v/>
      </c>
      <c r="J178" s="122"/>
      <c r="K178" s="42" t="str">
        <f>VLOOKUP(B178,CENY!$B$11:$M$1054,8,FALSE)</f>
        <v xml:space="preserve"> </v>
      </c>
      <c r="L178" s="42" t="str">
        <f>VLOOKUP(B178,CENY!$B$11:$M$1054,9,FALSE)</f>
        <v>396953</v>
      </c>
      <c r="M178" s="32"/>
      <c r="N178" s="35">
        <f t="shared" si="47"/>
        <v>0</v>
      </c>
      <c r="O178" s="36">
        <v>0</v>
      </c>
      <c r="P178" s="32"/>
      <c r="Q178" s="32"/>
      <c r="R178" s="32"/>
      <c r="S178" s="32"/>
      <c r="T178" s="32"/>
      <c r="U178" s="32"/>
      <c r="V178" s="32"/>
      <c r="W178" s="32"/>
      <c r="X178" s="32"/>
      <c r="Y178" s="325">
        <f>AVT187In!BI7</f>
        <v>0</v>
      </c>
      <c r="Z178" s="32"/>
      <c r="AA178" s="32"/>
      <c r="AB178" s="32"/>
      <c r="AC178" s="32"/>
      <c r="AD178" s="32"/>
      <c r="AE178" s="32"/>
      <c r="AF178" s="32"/>
      <c r="AG178" s="325">
        <f>'AVT187In(vn-A)'!BI7</f>
        <v>0</v>
      </c>
      <c r="AH178" s="32"/>
      <c r="AI178" s="32"/>
      <c r="AJ178" s="32"/>
      <c r="AK178" s="325">
        <f>'AVT187In(vn-S)'!BI7</f>
        <v>0</v>
      </c>
      <c r="AL178" s="32"/>
      <c r="AM178" s="32"/>
      <c r="AN178" s="32"/>
      <c r="AO178" s="32"/>
      <c r="AP178" s="32"/>
      <c r="AQ178" s="32"/>
      <c r="AR178" s="32"/>
      <c r="AS178" s="32"/>
      <c r="AT178" s="32"/>
      <c r="AU178" s="325">
        <f>'AVT-celny-2x187In'!BI7</f>
        <v>0</v>
      </c>
      <c r="AV178" s="32"/>
      <c r="AW178" s="32"/>
      <c r="AX178" s="32"/>
      <c r="AY178" s="32"/>
      <c r="AZ178" s="32"/>
      <c r="BA178" s="32"/>
      <c r="BB178" s="32"/>
      <c r="BC178" s="32"/>
      <c r="BD178" s="32"/>
      <c r="BE178" s="32"/>
      <c r="BF178" s="32"/>
      <c r="BG178" s="32"/>
      <c r="BH178" s="32"/>
      <c r="BI178" s="32"/>
      <c r="BJ178" s="32"/>
      <c r="BK178" s="32"/>
      <c r="BL178" s="32"/>
      <c r="BM178" s="32"/>
      <c r="BN178" s="32"/>
      <c r="BO178" s="165"/>
      <c r="BP178" s="165"/>
      <c r="BQ178" s="165"/>
      <c r="BR178" s="165"/>
      <c r="BS178" s="165"/>
      <c r="BT178" s="165"/>
      <c r="BU178" s="165"/>
      <c r="BV178" s="55"/>
      <c r="BW178" s="160"/>
      <c r="BX178" s="32"/>
      <c r="BY178" s="24"/>
      <c r="BZ178" s="24"/>
      <c r="CA178" s="24"/>
      <c r="CB178" s="24"/>
      <c r="CC178" s="24"/>
      <c r="CD178" s="24"/>
      <c r="CE178" s="24"/>
    </row>
    <row r="179" spans="1:83" ht="15" customHeight="1">
      <c r="A179" s="4"/>
      <c r="B179" s="317">
        <f>IF($Q$8=$Q$7,CENY!B423,IF($Q$7=$Q$9,CENY!B437,CENY!B451))</f>
        <v>9257134</v>
      </c>
      <c r="C179" s="43" t="str">
        <f>VLOOKUP(B179,CENY!$B$11:$G$1054,2,FALSE)</f>
        <v>AvanY-bok Inlay pravý /v187/h400/ strieb.</v>
      </c>
      <c r="D179" s="353">
        <f>VLOOKUP(B179,CENY!$B$11:$G$1054,3,FALSE)</f>
        <v>10</v>
      </c>
      <c r="E179" s="56" t="str">
        <f>IF(VLOOKUP(B179,CENY!$B$11:$G$1054,4,FALSE)=0,"",VLOOKUP(B179,CENY!$B$11:$G$1054,4,FALSE))</f>
        <v/>
      </c>
      <c r="F179" s="40" t="str">
        <f t="shared" si="46"/>
        <v/>
      </c>
      <c r="G179" s="52">
        <f>VLOOKUP(B179,CENY!$B$11:$M$1054,12,FALSE)</f>
        <v>386.98174</v>
      </c>
      <c r="H179" s="54" t="str">
        <f t="shared" si="42"/>
        <v xml:space="preserve"> CZK</v>
      </c>
      <c r="I179" s="41" t="str">
        <f t="shared" si="43"/>
        <v/>
      </c>
      <c r="J179" s="122"/>
      <c r="K179" s="42" t="str">
        <f>VLOOKUP(B179,CENY!$B$11:$M$1054,8,FALSE)</f>
        <v xml:space="preserve"> </v>
      </c>
      <c r="L179" s="42" t="str">
        <f>VLOOKUP(B179,CENY!$B$11:$M$1054,9,FALSE)</f>
        <v>396954</v>
      </c>
      <c r="M179" s="32"/>
      <c r="N179" s="35">
        <f t="shared" si="47"/>
        <v>0</v>
      </c>
      <c r="O179" s="36">
        <v>0</v>
      </c>
      <c r="P179" s="32"/>
      <c r="Q179" s="32"/>
      <c r="R179" s="32"/>
      <c r="S179" s="32"/>
      <c r="T179" s="32"/>
      <c r="U179" s="32"/>
      <c r="V179" s="32"/>
      <c r="W179" s="32"/>
      <c r="X179" s="32"/>
      <c r="Y179" s="325">
        <f>AVT187In!BI8</f>
        <v>0</v>
      </c>
      <c r="Z179" s="32"/>
      <c r="AA179" s="32"/>
      <c r="AB179" s="32"/>
      <c r="AC179" s="32"/>
      <c r="AD179" s="32"/>
      <c r="AE179" s="32"/>
      <c r="AF179" s="32"/>
      <c r="AG179" s="325">
        <f>'AVT187In(vn-A)'!BI8</f>
        <v>0</v>
      </c>
      <c r="AH179" s="32"/>
      <c r="AI179" s="32"/>
      <c r="AJ179" s="32"/>
      <c r="AK179" s="325">
        <f>'AVT187In(vn-S)'!BI8</f>
        <v>0</v>
      </c>
      <c r="AL179" s="32"/>
      <c r="AM179" s="32"/>
      <c r="AN179" s="32"/>
      <c r="AO179" s="32"/>
      <c r="AP179" s="32"/>
      <c r="AQ179" s="32"/>
      <c r="AR179" s="32"/>
      <c r="AS179" s="32"/>
      <c r="AT179" s="32"/>
      <c r="AU179" s="325">
        <f>'AVT-celny-2x187In'!BI8</f>
        <v>0</v>
      </c>
      <c r="AV179" s="32"/>
      <c r="AW179" s="32"/>
      <c r="AX179" s="32"/>
      <c r="AY179" s="32"/>
      <c r="AZ179" s="32"/>
      <c r="BA179" s="32"/>
      <c r="BB179" s="32"/>
      <c r="BC179" s="32"/>
      <c r="BD179" s="32"/>
      <c r="BE179" s="32"/>
      <c r="BF179" s="32"/>
      <c r="BG179" s="32"/>
      <c r="BH179" s="32"/>
      <c r="BI179" s="32"/>
      <c r="BJ179" s="32"/>
      <c r="BK179" s="32"/>
      <c r="BL179" s="32"/>
      <c r="BM179" s="32"/>
      <c r="BN179" s="32"/>
      <c r="BO179" s="165"/>
      <c r="BP179" s="165"/>
      <c r="BQ179" s="165"/>
      <c r="BR179" s="165"/>
      <c r="BS179" s="165"/>
      <c r="BT179" s="165"/>
      <c r="BU179" s="165"/>
      <c r="BV179" s="55"/>
      <c r="BW179" s="160"/>
      <c r="BX179" s="32"/>
      <c r="BY179" s="24"/>
      <c r="BZ179" s="24"/>
      <c r="CA179" s="24"/>
      <c r="CB179" s="24"/>
      <c r="CC179" s="24"/>
      <c r="CD179" s="24"/>
      <c r="CE179" s="24"/>
    </row>
    <row r="180" spans="1:83" ht="15" customHeight="1">
      <c r="A180" s="4"/>
      <c r="B180" s="317">
        <f>IF($Q$8=$Q$7,CENY!B424,IF($Q$7=$Q$9,CENY!B438,CENY!B452))</f>
        <v>9257135</v>
      </c>
      <c r="C180" s="43" t="str">
        <f>VLOOKUP(B180,CENY!$B$11:$G$1054,2,FALSE)</f>
        <v>AvanY-bok Inlay ľavý /v187/h450/ strieb.</v>
      </c>
      <c r="D180" s="353">
        <f>VLOOKUP(B180,CENY!$B$11:$G$1054,3,FALSE)</f>
        <v>10</v>
      </c>
      <c r="E180" s="56" t="str">
        <f>IF(VLOOKUP(B180,CENY!$B$11:$G$1054,4,FALSE)=0,"",VLOOKUP(B180,CENY!$B$11:$G$1054,4,FALSE))</f>
        <v/>
      </c>
      <c r="F180" s="40" t="str">
        <f t="shared" si="46"/>
        <v/>
      </c>
      <c r="G180" s="52">
        <f>VLOOKUP(B180,CENY!$B$11:$M$1054,12,FALSE)</f>
        <v>393.85784000000001</v>
      </c>
      <c r="H180" s="54" t="str">
        <f t="shared" si="42"/>
        <v xml:space="preserve"> CZK</v>
      </c>
      <c r="I180" s="41" t="str">
        <f t="shared" si="43"/>
        <v/>
      </c>
      <c r="J180" s="122"/>
      <c r="K180" s="42" t="str">
        <f>VLOOKUP(B180,CENY!$B$11:$M$1054,8,FALSE)</f>
        <v xml:space="preserve"> </v>
      </c>
      <c r="L180" s="42" t="str">
        <f>VLOOKUP(B180,CENY!$B$11:$M$1054,9,FALSE)</f>
        <v>396955</v>
      </c>
      <c r="M180" s="32"/>
      <c r="N180" s="35">
        <f t="shared" si="47"/>
        <v>0</v>
      </c>
      <c r="O180" s="36">
        <v>0</v>
      </c>
      <c r="P180" s="32"/>
      <c r="Q180" s="32"/>
      <c r="R180" s="32"/>
      <c r="S180" s="32"/>
      <c r="T180" s="32"/>
      <c r="U180" s="32"/>
      <c r="V180" s="32"/>
      <c r="W180" s="32"/>
      <c r="X180" s="32"/>
      <c r="Y180" s="325">
        <f>AVT187In!BI9</f>
        <v>0</v>
      </c>
      <c r="Z180" s="32"/>
      <c r="AA180" s="32"/>
      <c r="AB180" s="32"/>
      <c r="AC180" s="32"/>
      <c r="AD180" s="32"/>
      <c r="AE180" s="32"/>
      <c r="AF180" s="32"/>
      <c r="AG180" s="325">
        <f>'AVT187In(vn-A)'!BI9</f>
        <v>0</v>
      </c>
      <c r="AH180" s="32"/>
      <c r="AI180" s="32"/>
      <c r="AJ180" s="32"/>
      <c r="AK180" s="325">
        <f>'AVT187In(vn-S)'!BI9</f>
        <v>0</v>
      </c>
      <c r="AL180" s="32"/>
      <c r="AM180" s="32"/>
      <c r="AN180" s="32"/>
      <c r="AO180" s="32"/>
      <c r="AP180" s="32"/>
      <c r="AQ180" s="32"/>
      <c r="AR180" s="32"/>
      <c r="AS180" s="32"/>
      <c r="AT180" s="32"/>
      <c r="AU180" s="325">
        <f>'AVT-celny-2x187In'!BI9</f>
        <v>0</v>
      </c>
      <c r="AV180" s="32"/>
      <c r="AW180" s="32"/>
      <c r="AX180" s="32"/>
      <c r="AY180" s="325">
        <f>'potr-v101+187-IL'!BI24</f>
        <v>0</v>
      </c>
      <c r="AZ180" s="32"/>
      <c r="BA180" s="32"/>
      <c r="BB180" s="32"/>
      <c r="BC180" s="32"/>
      <c r="BD180" s="32"/>
      <c r="BE180" s="32"/>
      <c r="BF180" s="32"/>
      <c r="BG180" s="32"/>
      <c r="BH180" s="32"/>
      <c r="BI180" s="32"/>
      <c r="BJ180" s="32"/>
      <c r="BK180" s="32"/>
      <c r="BL180" s="32"/>
      <c r="BM180" s="32"/>
      <c r="BN180" s="32"/>
      <c r="BO180" s="165"/>
      <c r="BP180" s="165"/>
      <c r="BQ180" s="165"/>
      <c r="BR180" s="165"/>
      <c r="BS180" s="165"/>
      <c r="BT180" s="165"/>
      <c r="BU180" s="165"/>
      <c r="BV180" s="55"/>
      <c r="BW180" s="160"/>
      <c r="BX180" s="32"/>
      <c r="BY180" s="24"/>
      <c r="BZ180" s="24"/>
      <c r="CA180" s="24"/>
      <c r="CB180" s="24"/>
      <c r="CC180" s="24"/>
      <c r="CD180" s="24"/>
      <c r="CE180" s="24"/>
    </row>
    <row r="181" spans="1:83" ht="15" customHeight="1">
      <c r="A181" s="4"/>
      <c r="B181" s="317">
        <f>IF($Q$8=$Q$7,CENY!B425,IF($Q$7=$Q$9,CENY!B439,CENY!B453))</f>
        <v>9257136</v>
      </c>
      <c r="C181" s="43" t="str">
        <f>VLOOKUP(B181,CENY!$B$11:$G$1054,2,FALSE)</f>
        <v>AvanY-bok Inlay pravý /v187/h450/ strieb.</v>
      </c>
      <c r="D181" s="353">
        <f>VLOOKUP(B181,CENY!$B$11:$G$1054,3,FALSE)</f>
        <v>10</v>
      </c>
      <c r="E181" s="56" t="str">
        <f>IF(VLOOKUP(B181,CENY!$B$11:$G$1054,4,FALSE)=0,"",VLOOKUP(B181,CENY!$B$11:$G$1054,4,FALSE))</f>
        <v/>
      </c>
      <c r="F181" s="40" t="str">
        <f t="shared" si="46"/>
        <v/>
      </c>
      <c r="G181" s="52">
        <f>VLOOKUP(B181,CENY!$B$11:$M$1054,12,FALSE)</f>
        <v>393.85784000000001</v>
      </c>
      <c r="H181" s="54" t="str">
        <f t="shared" si="42"/>
        <v xml:space="preserve"> CZK</v>
      </c>
      <c r="I181" s="41" t="str">
        <f t="shared" si="43"/>
        <v/>
      </c>
      <c r="J181" s="122"/>
      <c r="K181" s="42" t="str">
        <f>VLOOKUP(B181,CENY!$B$11:$M$1054,8,FALSE)</f>
        <v xml:space="preserve"> </v>
      </c>
      <c r="L181" s="42" t="str">
        <f>VLOOKUP(B181,CENY!$B$11:$M$1054,9,FALSE)</f>
        <v>396956</v>
      </c>
      <c r="M181" s="32"/>
      <c r="N181" s="35">
        <f t="shared" si="47"/>
        <v>0</v>
      </c>
      <c r="O181" s="36">
        <v>0</v>
      </c>
      <c r="P181" s="32"/>
      <c r="Q181" s="32"/>
      <c r="R181" s="32"/>
      <c r="S181" s="32"/>
      <c r="T181" s="32"/>
      <c r="U181" s="32"/>
      <c r="V181" s="32"/>
      <c r="W181" s="32"/>
      <c r="X181" s="32"/>
      <c r="Y181" s="325">
        <f>AVT187In!BI10</f>
        <v>0</v>
      </c>
      <c r="Z181" s="32"/>
      <c r="AA181" s="32"/>
      <c r="AB181" s="32"/>
      <c r="AC181" s="32"/>
      <c r="AD181" s="32"/>
      <c r="AE181" s="32"/>
      <c r="AF181" s="32"/>
      <c r="AG181" s="325">
        <f>'AVT187In(vn-A)'!BI10</f>
        <v>0</v>
      </c>
      <c r="AH181" s="32"/>
      <c r="AI181" s="32"/>
      <c r="AJ181" s="32"/>
      <c r="AK181" s="325">
        <f>'AVT187In(vn-S)'!BI10</f>
        <v>0</v>
      </c>
      <c r="AL181" s="32"/>
      <c r="AM181" s="32"/>
      <c r="AN181" s="32"/>
      <c r="AO181" s="32"/>
      <c r="AP181" s="32"/>
      <c r="AQ181" s="32"/>
      <c r="AR181" s="32"/>
      <c r="AS181" s="32"/>
      <c r="AT181" s="32"/>
      <c r="AU181" s="325">
        <f>'AVT-celny-2x187In'!BI10</f>
        <v>0</v>
      </c>
      <c r="AV181" s="32"/>
      <c r="AW181" s="32"/>
      <c r="AX181" s="32"/>
      <c r="AY181" s="325">
        <f>'potr-v101+187-IL'!BI25</f>
        <v>0</v>
      </c>
      <c r="AZ181" s="32"/>
      <c r="BA181" s="32"/>
      <c r="BB181" s="32"/>
      <c r="BC181" s="32"/>
      <c r="BD181" s="32"/>
      <c r="BE181" s="32"/>
      <c r="BF181" s="32"/>
      <c r="BG181" s="32"/>
      <c r="BH181" s="32"/>
      <c r="BI181" s="32"/>
      <c r="BJ181" s="32"/>
      <c r="BK181" s="32"/>
      <c r="BL181" s="32"/>
      <c r="BM181" s="32"/>
      <c r="BN181" s="32"/>
      <c r="BO181" s="165"/>
      <c r="BP181" s="165"/>
      <c r="BQ181" s="165"/>
      <c r="BR181" s="165"/>
      <c r="BS181" s="165"/>
      <c r="BT181" s="165"/>
      <c r="BU181" s="165"/>
      <c r="BV181" s="55"/>
      <c r="BW181" s="160"/>
      <c r="BX181" s="32"/>
      <c r="BY181" s="24"/>
      <c r="BZ181" s="24"/>
      <c r="CA181" s="24"/>
      <c r="CB181" s="24"/>
      <c r="CC181" s="24"/>
      <c r="CD181" s="24"/>
      <c r="CE181" s="24"/>
    </row>
    <row r="182" spans="1:83" ht="15" customHeight="1">
      <c r="A182" s="4"/>
      <c r="B182" s="317">
        <f>IF($Q$8=$Q$7,CENY!B426,IF($Q$7=$Q$9,CENY!B440,CENY!B454))</f>
        <v>9257137</v>
      </c>
      <c r="C182" s="43" t="str">
        <f>VLOOKUP(B182,CENY!$B$11:$G$1054,2,FALSE)</f>
        <v>AvanY-bok Inlay ľavý /v187/h500/ strieb.</v>
      </c>
      <c r="D182" s="353">
        <f>VLOOKUP(B182,CENY!$B$11:$G$1054,3,FALSE)</f>
        <v>10</v>
      </c>
      <c r="E182" s="56" t="str">
        <f>IF(VLOOKUP(B182,CENY!$B$11:$G$1054,4,FALSE)=0,"",VLOOKUP(B182,CENY!$B$11:$G$1054,4,FALSE))</f>
        <v/>
      </c>
      <c r="F182" s="40" t="str">
        <f t="shared" si="46"/>
        <v/>
      </c>
      <c r="G182" s="52">
        <f>VLOOKUP(B182,CENY!$B$11:$M$1054,12,FALSE)</f>
        <v>390.06617</v>
      </c>
      <c r="H182" s="54" t="str">
        <f t="shared" si="42"/>
        <v xml:space="preserve"> CZK</v>
      </c>
      <c r="I182" s="41" t="str">
        <f t="shared" si="43"/>
        <v/>
      </c>
      <c r="J182" s="122"/>
      <c r="K182" s="42" t="str">
        <f>VLOOKUP(B182,CENY!$B$11:$M$1054,8,FALSE)</f>
        <v xml:space="preserve"> </v>
      </c>
      <c r="L182" s="42" t="str">
        <f>VLOOKUP(B182,CENY!$B$11:$M$1054,9,FALSE)</f>
        <v>396957</v>
      </c>
      <c r="M182" s="32"/>
      <c r="N182" s="35">
        <f t="shared" si="47"/>
        <v>0</v>
      </c>
      <c r="O182" s="36">
        <v>0</v>
      </c>
      <c r="P182" s="32"/>
      <c r="Q182" s="32"/>
      <c r="R182" s="32"/>
      <c r="S182" s="32"/>
      <c r="T182" s="32"/>
      <c r="U182" s="32"/>
      <c r="V182" s="32"/>
      <c r="W182" s="32"/>
      <c r="X182" s="32"/>
      <c r="Y182" s="325">
        <f>AVT187In!BI11</f>
        <v>0</v>
      </c>
      <c r="Z182" s="32"/>
      <c r="AA182" s="32"/>
      <c r="AB182" s="32"/>
      <c r="AC182" s="32"/>
      <c r="AD182" s="32"/>
      <c r="AE182" s="32"/>
      <c r="AF182" s="32"/>
      <c r="AG182" s="325">
        <f>'AVT187In(vn-A)'!BI11</f>
        <v>0</v>
      </c>
      <c r="AH182" s="32"/>
      <c r="AI182" s="32"/>
      <c r="AJ182" s="32"/>
      <c r="AK182" s="325">
        <f>'AVT187In(vn-S)'!BI11</f>
        <v>0</v>
      </c>
      <c r="AL182" s="32"/>
      <c r="AM182" s="32"/>
      <c r="AN182" s="32"/>
      <c r="AO182" s="32"/>
      <c r="AP182" s="32"/>
      <c r="AQ182" s="32"/>
      <c r="AR182" s="32"/>
      <c r="AS182" s="32"/>
      <c r="AT182" s="32"/>
      <c r="AU182" s="325">
        <f>'AVT-celny-2x187In'!BI11</f>
        <v>0</v>
      </c>
      <c r="AV182" s="32"/>
      <c r="AW182" s="32"/>
      <c r="AX182" s="32"/>
      <c r="AY182" s="325">
        <f>'potr-v101+187-IL'!BI26</f>
        <v>0</v>
      </c>
      <c r="AZ182" s="32"/>
      <c r="BA182" s="32"/>
      <c r="BB182" s="32"/>
      <c r="BC182" s="32"/>
      <c r="BD182" s="32"/>
      <c r="BE182" s="32"/>
      <c r="BF182" s="32"/>
      <c r="BG182" s="32"/>
      <c r="BH182" s="32"/>
      <c r="BI182" s="32"/>
      <c r="BJ182" s="32"/>
      <c r="BK182" s="32"/>
      <c r="BL182" s="32"/>
      <c r="BM182" s="32"/>
      <c r="BN182" s="32"/>
      <c r="BO182" s="165"/>
      <c r="BP182" s="165"/>
      <c r="BQ182" s="165"/>
      <c r="BR182" s="165"/>
      <c r="BS182" s="165"/>
      <c r="BT182" s="165"/>
      <c r="BU182" s="165"/>
      <c r="BV182" s="55"/>
      <c r="BW182" s="160"/>
      <c r="BX182" s="32"/>
      <c r="BY182" s="24"/>
      <c r="BZ182" s="24"/>
      <c r="CA182" s="24"/>
      <c r="CB182" s="24"/>
      <c r="CC182" s="24"/>
      <c r="CD182" s="24"/>
      <c r="CE182" s="24"/>
    </row>
    <row r="183" spans="1:83" ht="15" customHeight="1">
      <c r="A183" s="4"/>
      <c r="B183" s="317">
        <f>IF($Q$8=$Q$7,CENY!B427,IF($Q$7=$Q$9,CENY!B441,CENY!B455))</f>
        <v>9257138</v>
      </c>
      <c r="C183" s="43" t="str">
        <f>VLOOKUP(B183,CENY!$B$11:$G$1054,2,FALSE)</f>
        <v>AvanY-bok Inlay pravý /v187/h500/ strieb.</v>
      </c>
      <c r="D183" s="353">
        <f>VLOOKUP(B183,CENY!$B$11:$G$1054,3,FALSE)</f>
        <v>10</v>
      </c>
      <c r="E183" s="56" t="str">
        <f>IF(VLOOKUP(B183,CENY!$B$11:$G$1054,4,FALSE)=0,"",VLOOKUP(B183,CENY!$B$11:$G$1054,4,FALSE))</f>
        <v/>
      </c>
      <c r="F183" s="40" t="str">
        <f t="shared" si="46"/>
        <v/>
      </c>
      <c r="G183" s="52">
        <f>VLOOKUP(B183,CENY!$B$11:$M$1054,12,FALSE)</f>
        <v>390.06617</v>
      </c>
      <c r="H183" s="54" t="str">
        <f t="shared" si="42"/>
        <v xml:space="preserve"> CZK</v>
      </c>
      <c r="I183" s="41" t="str">
        <f t="shared" si="43"/>
        <v/>
      </c>
      <c r="J183" s="122"/>
      <c r="K183" s="42" t="str">
        <f>VLOOKUP(B183,CENY!$B$11:$M$1054,8,FALSE)</f>
        <v xml:space="preserve"> </v>
      </c>
      <c r="L183" s="42" t="str">
        <f>VLOOKUP(B183,CENY!$B$11:$M$1054,9,FALSE)</f>
        <v>396958</v>
      </c>
      <c r="M183" s="32"/>
      <c r="N183" s="35">
        <f t="shared" si="47"/>
        <v>0</v>
      </c>
      <c r="O183" s="36">
        <v>0</v>
      </c>
      <c r="P183" s="32"/>
      <c r="Q183" s="32"/>
      <c r="R183" s="32"/>
      <c r="S183" s="32"/>
      <c r="T183" s="32"/>
      <c r="U183" s="32"/>
      <c r="V183" s="32"/>
      <c r="W183" s="32"/>
      <c r="X183" s="32"/>
      <c r="Y183" s="325">
        <f>AVT187In!BI12</f>
        <v>0</v>
      </c>
      <c r="Z183" s="32"/>
      <c r="AA183" s="32"/>
      <c r="AB183" s="32"/>
      <c r="AC183" s="32"/>
      <c r="AD183" s="32"/>
      <c r="AE183" s="32"/>
      <c r="AF183" s="32"/>
      <c r="AG183" s="325">
        <f>'AVT187In(vn-A)'!BI12</f>
        <v>0</v>
      </c>
      <c r="AH183" s="32"/>
      <c r="AI183" s="32"/>
      <c r="AJ183" s="32"/>
      <c r="AK183" s="325">
        <f>'AVT187In(vn-S)'!BI12</f>
        <v>0</v>
      </c>
      <c r="AL183" s="32"/>
      <c r="AM183" s="32"/>
      <c r="AN183" s="32"/>
      <c r="AO183" s="32"/>
      <c r="AP183" s="32"/>
      <c r="AQ183" s="32"/>
      <c r="AR183" s="32"/>
      <c r="AS183" s="32"/>
      <c r="AT183" s="32"/>
      <c r="AU183" s="325">
        <f>'AVT-celny-2x187In'!BI12</f>
        <v>0</v>
      </c>
      <c r="AV183" s="32"/>
      <c r="AW183" s="32"/>
      <c r="AX183" s="32"/>
      <c r="AY183" s="325">
        <f>'potr-v101+187-IL'!BI27</f>
        <v>0</v>
      </c>
      <c r="AZ183" s="32"/>
      <c r="BA183" s="32"/>
      <c r="BB183" s="32"/>
      <c r="BC183" s="32"/>
      <c r="BD183" s="32"/>
      <c r="BE183" s="32"/>
      <c r="BF183" s="32"/>
      <c r="BG183" s="32"/>
      <c r="BH183" s="32"/>
      <c r="BI183" s="32"/>
      <c r="BJ183" s="32"/>
      <c r="BK183" s="32"/>
      <c r="BL183" s="32"/>
      <c r="BM183" s="32"/>
      <c r="BN183" s="32"/>
      <c r="BO183" s="165"/>
      <c r="BP183" s="165"/>
      <c r="BQ183" s="165"/>
      <c r="BR183" s="165"/>
      <c r="BS183" s="165"/>
      <c r="BT183" s="165"/>
      <c r="BU183" s="165"/>
      <c r="BV183" s="55"/>
      <c r="BW183" s="160"/>
      <c r="BX183" s="32"/>
      <c r="BY183" s="24"/>
      <c r="BZ183" s="24"/>
      <c r="CA183" s="24"/>
      <c r="CB183" s="24"/>
      <c r="CC183" s="24"/>
      <c r="CD183" s="24"/>
      <c r="CE183" s="24"/>
    </row>
    <row r="184" spans="1:83" ht="15" customHeight="1">
      <c r="A184" s="4"/>
      <c r="B184" s="317">
        <f>IF($Q$8=$Q$7,CENY!B428,IF($Q$7=$Q$9,CENY!B442,CENY!B456))</f>
        <v>9257139</v>
      </c>
      <c r="C184" s="43" t="str">
        <f>VLOOKUP(B184,CENY!$B$11:$G$1054,2,FALSE)</f>
        <v>AvanY-bok Inlay ľavý /v187/h550/ strieb.</v>
      </c>
      <c r="D184" s="353">
        <f>VLOOKUP(B184,CENY!$B$11:$G$1054,3,FALSE)</f>
        <v>10</v>
      </c>
      <c r="E184" s="56" t="str">
        <f>IF(VLOOKUP(B184,CENY!$B$11:$G$1054,4,FALSE)=0,"",VLOOKUP(B184,CENY!$B$11:$G$1054,4,FALSE))</f>
        <v/>
      </c>
      <c r="F184" s="40" t="str">
        <f t="shared" si="46"/>
        <v/>
      </c>
      <c r="G184" s="52">
        <f>VLOOKUP(B184,CENY!$B$11:$M$1054,12,FALSE)</f>
        <v>407.58967999999999</v>
      </c>
      <c r="H184" s="54" t="str">
        <f t="shared" si="42"/>
        <v xml:space="preserve"> CZK</v>
      </c>
      <c r="I184" s="41" t="str">
        <f t="shared" si="43"/>
        <v/>
      </c>
      <c r="J184" s="122"/>
      <c r="K184" s="42" t="str">
        <f>VLOOKUP(B184,CENY!$B$11:$M$1054,8,FALSE)</f>
        <v xml:space="preserve"> </v>
      </c>
      <c r="L184" s="42" t="str">
        <f>VLOOKUP(B184,CENY!$B$11:$M$1054,9,FALSE)</f>
        <v>396959</v>
      </c>
      <c r="M184" s="32"/>
      <c r="N184" s="35">
        <f t="shared" si="47"/>
        <v>0</v>
      </c>
      <c r="O184" s="36">
        <v>0</v>
      </c>
      <c r="P184" s="32"/>
      <c r="Q184" s="32"/>
      <c r="R184" s="32"/>
      <c r="S184" s="32"/>
      <c r="T184" s="32"/>
      <c r="U184" s="32"/>
      <c r="V184" s="32"/>
      <c r="W184" s="32"/>
      <c r="X184" s="32"/>
      <c r="Y184" s="325">
        <f>AVT187In!BI13</f>
        <v>0</v>
      </c>
      <c r="Z184" s="32"/>
      <c r="AA184" s="32"/>
      <c r="AB184" s="32"/>
      <c r="AC184" s="32"/>
      <c r="AD184" s="32"/>
      <c r="AE184" s="32"/>
      <c r="AF184" s="32"/>
      <c r="AG184" s="325">
        <f>'AVT187In(vn-A)'!BI13</f>
        <v>0</v>
      </c>
      <c r="AH184" s="32"/>
      <c r="AI184" s="32"/>
      <c r="AJ184" s="32"/>
      <c r="AK184" s="325">
        <f>'AVT187In(vn-S)'!BI13</f>
        <v>0</v>
      </c>
      <c r="AL184" s="32"/>
      <c r="AM184" s="32"/>
      <c r="AN184" s="32"/>
      <c r="AO184" s="32"/>
      <c r="AP184" s="32"/>
      <c r="AQ184" s="32"/>
      <c r="AR184" s="32"/>
      <c r="AS184" s="32"/>
      <c r="AT184" s="32"/>
      <c r="AU184" s="325">
        <f>'AVT-celny-2x187In'!BI13</f>
        <v>0</v>
      </c>
      <c r="AV184" s="32"/>
      <c r="AW184" s="32"/>
      <c r="AX184" s="32"/>
      <c r="AY184" s="325">
        <f>'potr-v101+187-IL'!BI28</f>
        <v>0</v>
      </c>
      <c r="AZ184" s="32"/>
      <c r="BA184" s="32"/>
      <c r="BB184" s="32"/>
      <c r="BC184" s="32"/>
      <c r="BD184" s="32"/>
      <c r="BE184" s="32"/>
      <c r="BF184" s="32"/>
      <c r="BG184" s="32"/>
      <c r="BH184" s="32"/>
      <c r="BI184" s="32"/>
      <c r="BJ184" s="32"/>
      <c r="BK184" s="32"/>
      <c r="BL184" s="32"/>
      <c r="BM184" s="32"/>
      <c r="BN184" s="32"/>
      <c r="BO184" s="165"/>
      <c r="BP184" s="165"/>
      <c r="BQ184" s="165"/>
      <c r="BR184" s="165"/>
      <c r="BS184" s="165"/>
      <c r="BT184" s="165"/>
      <c r="BU184" s="165"/>
      <c r="BV184" s="55"/>
      <c r="BW184" s="160"/>
      <c r="BX184" s="32"/>
      <c r="BY184" s="24"/>
      <c r="BZ184" s="24"/>
      <c r="CA184" s="24"/>
      <c r="CB184" s="24"/>
      <c r="CC184" s="24"/>
      <c r="CD184" s="24"/>
      <c r="CE184" s="24"/>
    </row>
    <row r="185" spans="1:83" ht="15" customHeight="1">
      <c r="A185" s="4"/>
      <c r="B185" s="317">
        <f>IF($Q$8=$Q$7,CENY!B429,IF($Q$7=$Q$9,CENY!B443,CENY!B457))</f>
        <v>9257140</v>
      </c>
      <c r="C185" s="43" t="str">
        <f>VLOOKUP(B185,CENY!$B$11:$G$1054,2,FALSE)</f>
        <v>AvanY-bok Inlay pravý /v187/h550/ strieb.</v>
      </c>
      <c r="D185" s="353">
        <f>VLOOKUP(B185,CENY!$B$11:$G$1054,3,FALSE)</f>
        <v>10</v>
      </c>
      <c r="E185" s="56" t="str">
        <f>IF(VLOOKUP(B185,CENY!$B$11:$G$1054,4,FALSE)=0,"",VLOOKUP(B185,CENY!$B$11:$G$1054,4,FALSE))</f>
        <v/>
      </c>
      <c r="F185" s="40" t="str">
        <f t="shared" si="46"/>
        <v/>
      </c>
      <c r="G185" s="52">
        <f>VLOOKUP(B185,CENY!$B$11:$M$1054,12,FALSE)</f>
        <v>407.58967999999999</v>
      </c>
      <c r="H185" s="54" t="str">
        <f t="shared" si="42"/>
        <v xml:space="preserve"> CZK</v>
      </c>
      <c r="I185" s="41" t="str">
        <f t="shared" si="43"/>
        <v/>
      </c>
      <c r="J185" s="122"/>
      <c r="K185" s="42" t="str">
        <f>VLOOKUP(B185,CENY!$B$11:$M$1054,8,FALSE)</f>
        <v xml:space="preserve"> </v>
      </c>
      <c r="L185" s="42" t="str">
        <f>VLOOKUP(B185,CENY!$B$11:$M$1054,9,FALSE)</f>
        <v>396960</v>
      </c>
      <c r="M185" s="32"/>
      <c r="N185" s="35">
        <f t="shared" si="47"/>
        <v>0</v>
      </c>
      <c r="O185" s="36">
        <v>0</v>
      </c>
      <c r="P185" s="32"/>
      <c r="Q185" s="32"/>
      <c r="R185" s="32"/>
      <c r="S185" s="32"/>
      <c r="T185" s="32"/>
      <c r="U185" s="32"/>
      <c r="V185" s="32"/>
      <c r="W185" s="32"/>
      <c r="X185" s="32"/>
      <c r="Y185" s="325">
        <f>AVT187In!BI14</f>
        <v>0</v>
      </c>
      <c r="Z185" s="32"/>
      <c r="AA185" s="32"/>
      <c r="AB185" s="32"/>
      <c r="AC185" s="32"/>
      <c r="AD185" s="32"/>
      <c r="AE185" s="32"/>
      <c r="AF185" s="32"/>
      <c r="AG185" s="325">
        <f>'AVT187In(vn-A)'!BI14</f>
        <v>0</v>
      </c>
      <c r="AH185" s="32"/>
      <c r="AI185" s="32"/>
      <c r="AJ185" s="32"/>
      <c r="AK185" s="325">
        <f>'AVT187In(vn-S)'!BI14</f>
        <v>0</v>
      </c>
      <c r="AL185" s="32"/>
      <c r="AM185" s="32"/>
      <c r="AN185" s="32"/>
      <c r="AO185" s="32"/>
      <c r="AP185" s="32"/>
      <c r="AQ185" s="32"/>
      <c r="AR185" s="32"/>
      <c r="AS185" s="32"/>
      <c r="AT185" s="32"/>
      <c r="AU185" s="325">
        <f>'AVT-celny-2x187In'!BI14</f>
        <v>0</v>
      </c>
      <c r="AV185" s="32"/>
      <c r="AW185" s="32"/>
      <c r="AX185" s="32"/>
      <c r="AY185" s="325">
        <f>'potr-v101+187-IL'!BI29</f>
        <v>0</v>
      </c>
      <c r="AZ185" s="32"/>
      <c r="BA185" s="32"/>
      <c r="BB185" s="32"/>
      <c r="BC185" s="32"/>
      <c r="BD185" s="32"/>
      <c r="BE185" s="32"/>
      <c r="BF185" s="32"/>
      <c r="BG185" s="32"/>
      <c r="BH185" s="32"/>
      <c r="BI185" s="32"/>
      <c r="BJ185" s="32"/>
      <c r="BK185" s="32"/>
      <c r="BL185" s="32"/>
      <c r="BM185" s="32"/>
      <c r="BN185" s="32"/>
      <c r="BO185" s="165"/>
      <c r="BP185" s="165"/>
      <c r="BQ185" s="165"/>
      <c r="BR185" s="165"/>
      <c r="BS185" s="165"/>
      <c r="BT185" s="165"/>
      <c r="BU185" s="165"/>
      <c r="BV185" s="55"/>
      <c r="BW185" s="160"/>
      <c r="BX185" s="32"/>
      <c r="BY185" s="24"/>
      <c r="BZ185" s="24"/>
      <c r="CA185" s="24"/>
      <c r="CB185" s="24"/>
      <c r="CC185" s="24"/>
      <c r="CD185" s="24"/>
      <c r="CE185" s="24"/>
    </row>
    <row r="186" spans="1:83" ht="15" customHeight="1">
      <c r="A186" s="4"/>
      <c r="B186" s="317">
        <f>IF($Q$8=$Q$7,CENY!B430,IF($Q$7=$Q$9,CENY!B444,CENY!B458))</f>
        <v>9257141</v>
      </c>
      <c r="C186" s="43" t="str">
        <f>VLOOKUP(B186,CENY!$B$11:$G$1054,2,FALSE)</f>
        <v>AvanY-bok Inlay ľavý /v187/h600/ strieb.</v>
      </c>
      <c r="D186" s="353">
        <f>VLOOKUP(B186,CENY!$B$11:$G$1054,3,FALSE)</f>
        <v>10</v>
      </c>
      <c r="E186" s="56" t="str">
        <f>IF(VLOOKUP(B186,CENY!$B$11:$G$1054,4,FALSE)=0,"",VLOOKUP(B186,CENY!$B$11:$G$1054,4,FALSE))</f>
        <v/>
      </c>
      <c r="F186" s="40" t="str">
        <f t="shared" si="46"/>
        <v/>
      </c>
      <c r="G186" s="52">
        <f>VLOOKUP(B186,CENY!$B$11:$M$1054,12,FALSE)</f>
        <v>417.95686000000001</v>
      </c>
      <c r="H186" s="54" t="str">
        <f t="shared" si="42"/>
        <v xml:space="preserve"> CZK</v>
      </c>
      <c r="I186" s="41" t="str">
        <f t="shared" si="43"/>
        <v/>
      </c>
      <c r="J186" s="122"/>
      <c r="K186" s="42" t="str">
        <f>VLOOKUP(B186,CENY!$B$11:$M$1054,8,FALSE)</f>
        <v xml:space="preserve"> </v>
      </c>
      <c r="L186" s="42" t="str">
        <f>VLOOKUP(B186,CENY!$B$11:$M$1054,9,FALSE)</f>
        <v>396961</v>
      </c>
      <c r="M186" s="32"/>
      <c r="N186" s="35">
        <f t="shared" si="47"/>
        <v>0</v>
      </c>
      <c r="O186" s="36">
        <v>0</v>
      </c>
      <c r="P186" s="32"/>
      <c r="Q186" s="32"/>
      <c r="R186" s="32"/>
      <c r="S186" s="32"/>
      <c r="T186" s="32"/>
      <c r="U186" s="32"/>
      <c r="V186" s="32"/>
      <c r="W186" s="32"/>
      <c r="X186" s="32"/>
      <c r="Y186" s="325">
        <f>AVT187In!BI15</f>
        <v>0</v>
      </c>
      <c r="Z186" s="32"/>
      <c r="AA186" s="32"/>
      <c r="AB186" s="32"/>
      <c r="AC186" s="32"/>
      <c r="AD186" s="32"/>
      <c r="AE186" s="32"/>
      <c r="AF186" s="32"/>
      <c r="AG186" s="325">
        <f>'AVT187In(vn-A)'!BI15</f>
        <v>0</v>
      </c>
      <c r="AH186" s="32"/>
      <c r="AI186" s="32"/>
      <c r="AJ186" s="32"/>
      <c r="AK186" s="325">
        <f>'AVT187In(vn-S)'!BI15</f>
        <v>0</v>
      </c>
      <c r="AL186" s="32"/>
      <c r="AM186" s="32"/>
      <c r="AN186" s="32"/>
      <c r="AO186" s="32"/>
      <c r="AP186" s="32"/>
      <c r="AQ186" s="32"/>
      <c r="AR186" s="32"/>
      <c r="AS186" s="32"/>
      <c r="AT186" s="32"/>
      <c r="AU186" s="325">
        <f>'AVT-celny-2x187In'!BI15</f>
        <v>0</v>
      </c>
      <c r="AV186" s="32"/>
      <c r="AW186" s="32"/>
      <c r="AX186" s="32"/>
      <c r="AY186" s="325">
        <f>'potr-v101+187-IL'!BI30</f>
        <v>0</v>
      </c>
      <c r="AZ186" s="32"/>
      <c r="BA186" s="32"/>
      <c r="BB186" s="32"/>
      <c r="BC186" s="32"/>
      <c r="BD186" s="32"/>
      <c r="BE186" s="32"/>
      <c r="BF186" s="32"/>
      <c r="BG186" s="32"/>
      <c r="BH186" s="32"/>
      <c r="BI186" s="32"/>
      <c r="BJ186" s="32"/>
      <c r="BK186" s="32"/>
      <c r="BL186" s="32"/>
      <c r="BM186" s="32"/>
      <c r="BN186" s="32"/>
      <c r="BO186" s="165"/>
      <c r="BP186" s="165"/>
      <c r="BQ186" s="165"/>
      <c r="BR186" s="165"/>
      <c r="BS186" s="165"/>
      <c r="BT186" s="165"/>
      <c r="BU186" s="165"/>
      <c r="BV186" s="55"/>
      <c r="BW186" s="160"/>
      <c r="BX186" s="32"/>
      <c r="BY186" s="24"/>
      <c r="BZ186" s="24"/>
      <c r="CA186" s="24"/>
      <c r="CB186" s="24"/>
      <c r="CC186" s="24"/>
      <c r="CD186" s="24"/>
      <c r="CE186" s="24"/>
    </row>
    <row r="187" spans="1:83" ht="15" customHeight="1">
      <c r="A187" s="4"/>
      <c r="B187" s="317">
        <f>IF($Q$8=$Q$7,CENY!B431,IF($Q$7=$Q$9,CENY!B445,CENY!B459))</f>
        <v>9257142</v>
      </c>
      <c r="C187" s="43" t="str">
        <f>VLOOKUP(B187,CENY!$B$11:$G$1054,2,FALSE)</f>
        <v>AvanY-bok Inlay pravý /v187/h600/ strieb.</v>
      </c>
      <c r="D187" s="353">
        <f>VLOOKUP(B187,CENY!$B$11:$G$1054,3,FALSE)</f>
        <v>10</v>
      </c>
      <c r="E187" s="56" t="str">
        <f>IF(VLOOKUP(B187,CENY!$B$11:$G$1054,4,FALSE)=0,"",VLOOKUP(B187,CENY!$B$11:$G$1054,4,FALSE))</f>
        <v/>
      </c>
      <c r="F187" s="40" t="str">
        <f t="shared" si="46"/>
        <v/>
      </c>
      <c r="G187" s="52">
        <f>VLOOKUP(B187,CENY!$B$11:$M$1054,12,FALSE)</f>
        <v>417.95686000000001</v>
      </c>
      <c r="H187" s="54" t="str">
        <f t="shared" si="42"/>
        <v xml:space="preserve"> CZK</v>
      </c>
      <c r="I187" s="41" t="str">
        <f t="shared" si="43"/>
        <v/>
      </c>
      <c r="J187" s="122"/>
      <c r="K187" s="42" t="str">
        <f>VLOOKUP(B187,CENY!$B$11:$M$1054,8,FALSE)</f>
        <v xml:space="preserve"> </v>
      </c>
      <c r="L187" s="42" t="str">
        <f>VLOOKUP(B187,CENY!$B$11:$M$1054,9,FALSE)</f>
        <v>396962</v>
      </c>
      <c r="M187" s="32"/>
      <c r="N187" s="35">
        <f t="shared" si="47"/>
        <v>0</v>
      </c>
      <c r="O187" s="36">
        <v>0</v>
      </c>
      <c r="P187" s="32"/>
      <c r="Q187" s="32"/>
      <c r="R187" s="32"/>
      <c r="S187" s="32"/>
      <c r="T187" s="32"/>
      <c r="U187" s="32"/>
      <c r="V187" s="32"/>
      <c r="W187" s="32"/>
      <c r="X187" s="32"/>
      <c r="Y187" s="325">
        <f>AVT187In!BI16</f>
        <v>0</v>
      </c>
      <c r="Z187" s="32"/>
      <c r="AA187" s="32"/>
      <c r="AB187" s="32"/>
      <c r="AC187" s="32"/>
      <c r="AD187" s="32"/>
      <c r="AE187" s="32"/>
      <c r="AF187" s="32"/>
      <c r="AG187" s="325">
        <f>'AVT187In(vn-A)'!BI16</f>
        <v>0</v>
      </c>
      <c r="AH187" s="32"/>
      <c r="AI187" s="32"/>
      <c r="AJ187" s="32"/>
      <c r="AK187" s="325">
        <f>'AVT187In(vn-S)'!BI16</f>
        <v>0</v>
      </c>
      <c r="AL187" s="32"/>
      <c r="AM187" s="32"/>
      <c r="AN187" s="32"/>
      <c r="AO187" s="32"/>
      <c r="AP187" s="32"/>
      <c r="AQ187" s="32"/>
      <c r="AR187" s="32"/>
      <c r="AS187" s="32"/>
      <c r="AT187" s="32"/>
      <c r="AU187" s="325">
        <f>'AVT-celny-2x187In'!BI16</f>
        <v>0</v>
      </c>
      <c r="AV187" s="32"/>
      <c r="AW187" s="32"/>
      <c r="AX187" s="32"/>
      <c r="AY187" s="325">
        <f>'potr-v101+187-IL'!BI31</f>
        <v>0</v>
      </c>
      <c r="AZ187" s="32"/>
      <c r="BA187" s="32"/>
      <c r="BB187" s="32"/>
      <c r="BC187" s="32"/>
      <c r="BD187" s="32"/>
      <c r="BE187" s="32"/>
      <c r="BF187" s="32"/>
      <c r="BG187" s="32"/>
      <c r="BH187" s="32"/>
      <c r="BI187" s="32"/>
      <c r="BJ187" s="32"/>
      <c r="BK187" s="32"/>
      <c r="BL187" s="32"/>
      <c r="BM187" s="32"/>
      <c r="BN187" s="32"/>
      <c r="BO187" s="165"/>
      <c r="BP187" s="165"/>
      <c r="BQ187" s="165"/>
      <c r="BR187" s="165"/>
      <c r="BS187" s="165"/>
      <c r="BT187" s="165"/>
      <c r="BU187" s="165"/>
      <c r="BV187" s="55"/>
      <c r="BW187" s="160"/>
      <c r="BX187" s="32"/>
      <c r="BY187" s="24"/>
      <c r="BZ187" s="24"/>
      <c r="CA187" s="24"/>
      <c r="CB187" s="24"/>
      <c r="CC187" s="24"/>
      <c r="CD187" s="24"/>
      <c r="CE187" s="24"/>
    </row>
    <row r="188" spans="1:83" ht="15" customHeight="1">
      <c r="A188" s="4"/>
      <c r="B188" s="317">
        <f>IF($Q$8=$Q$7,CENY!B432,IF($Q$7=$Q$9,CENY!B446,CENY!B460))</f>
        <v>9257143</v>
      </c>
      <c r="C188" s="43" t="str">
        <f>VLOOKUP(B188,CENY!$B$11:$G$1054,2,FALSE)</f>
        <v>AvanY-bok Inlay ľavý /v187/h650/ strieb.</v>
      </c>
      <c r="D188" s="353">
        <f>VLOOKUP(B188,CENY!$B$11:$G$1054,3,FALSE)</f>
        <v>10</v>
      </c>
      <c r="E188" s="56" t="str">
        <f>IF(VLOOKUP(B188,CENY!$B$11:$G$1054,4,FALSE)=0,"",VLOOKUP(B188,CENY!$B$11:$G$1054,4,FALSE))</f>
        <v/>
      </c>
      <c r="F188" s="40" t="str">
        <f t="shared" si="46"/>
        <v/>
      </c>
      <c r="G188" s="52">
        <f>VLOOKUP(B188,CENY!$B$11:$M$1054,12,FALSE)</f>
        <v>432.04088000000002</v>
      </c>
      <c r="H188" s="54" t="str">
        <f t="shared" si="42"/>
        <v xml:space="preserve"> CZK</v>
      </c>
      <c r="I188" s="41" t="str">
        <f t="shared" si="43"/>
        <v/>
      </c>
      <c r="J188" s="122"/>
      <c r="K188" s="42" t="str">
        <f>VLOOKUP(B188,CENY!$B$11:$M$1054,8,FALSE)</f>
        <v xml:space="preserve"> </v>
      </c>
      <c r="L188" s="42" t="str">
        <f>VLOOKUP(B188,CENY!$B$11:$M$1054,9,FALSE)</f>
        <v>396963</v>
      </c>
      <c r="M188" s="32"/>
      <c r="N188" s="35">
        <f t="shared" si="47"/>
        <v>0</v>
      </c>
      <c r="O188" s="36">
        <v>0</v>
      </c>
      <c r="P188" s="32"/>
      <c r="Q188" s="32"/>
      <c r="R188" s="32"/>
      <c r="S188" s="32"/>
      <c r="T188" s="32"/>
      <c r="U188" s="32"/>
      <c r="V188" s="32"/>
      <c r="W188" s="32"/>
      <c r="X188" s="32"/>
      <c r="Y188" s="325">
        <f>AVT187In!BI17</f>
        <v>0</v>
      </c>
      <c r="Z188" s="32"/>
      <c r="AA188" s="32"/>
      <c r="AB188" s="32"/>
      <c r="AC188" s="32"/>
      <c r="AD188" s="32"/>
      <c r="AE188" s="32"/>
      <c r="AF188" s="32"/>
      <c r="AG188" s="325">
        <f>'AVT187In(vn-A)'!BI17</f>
        <v>0</v>
      </c>
      <c r="AH188" s="32"/>
      <c r="AI188" s="32"/>
      <c r="AJ188" s="32"/>
      <c r="AK188" s="325">
        <f>'AVT187In(vn-S)'!BI17</f>
        <v>0</v>
      </c>
      <c r="AL188" s="32"/>
      <c r="AM188" s="32"/>
      <c r="AN188" s="32"/>
      <c r="AO188" s="32"/>
      <c r="AP188" s="32"/>
      <c r="AQ188" s="32"/>
      <c r="AR188" s="32"/>
      <c r="AS188" s="32"/>
      <c r="AT188" s="32"/>
      <c r="AU188" s="325">
        <f>'AVT-celny-2x187In'!BI17</f>
        <v>0</v>
      </c>
      <c r="AV188" s="32"/>
      <c r="AW188" s="32"/>
      <c r="AX188" s="32"/>
      <c r="AY188" s="325">
        <f>'potr-v101+187-IL'!BI32</f>
        <v>0</v>
      </c>
      <c r="AZ188" s="32"/>
      <c r="BA188" s="32"/>
      <c r="BB188" s="32"/>
      <c r="BC188" s="32"/>
      <c r="BD188" s="32"/>
      <c r="BE188" s="32"/>
      <c r="BF188" s="32"/>
      <c r="BG188" s="32"/>
      <c r="BH188" s="32"/>
      <c r="BI188" s="32"/>
      <c r="BJ188" s="32"/>
      <c r="BK188" s="32"/>
      <c r="BL188" s="32"/>
      <c r="BM188" s="32"/>
      <c r="BN188" s="32"/>
      <c r="BO188" s="165"/>
      <c r="BP188" s="165"/>
      <c r="BQ188" s="165"/>
      <c r="BR188" s="165"/>
      <c r="BS188" s="165"/>
      <c r="BT188" s="165"/>
      <c r="BU188" s="165"/>
      <c r="BV188" s="55"/>
      <c r="BW188" s="160"/>
      <c r="BX188" s="32"/>
      <c r="BY188" s="24"/>
      <c r="BZ188" s="24"/>
      <c r="CA188" s="24"/>
      <c r="CB188" s="24"/>
      <c r="CC188" s="24"/>
      <c r="CD188" s="24"/>
      <c r="CE188" s="24"/>
    </row>
    <row r="189" spans="1:83" ht="15" customHeight="1">
      <c r="A189" s="4"/>
      <c r="B189" s="317">
        <f>IF($Q$8=$Q$7,CENY!B433,IF($Q$7=$Q$9,CENY!B447,CENY!B461))</f>
        <v>9257144</v>
      </c>
      <c r="C189" s="43" t="str">
        <f>VLOOKUP(B189,CENY!$B$11:$G$1054,2,FALSE)</f>
        <v>AvanY-bok Inlay pravý /v187/h650/ strieb.</v>
      </c>
      <c r="D189" s="353">
        <f>VLOOKUP(B189,CENY!$B$11:$G$1054,3,FALSE)</f>
        <v>10</v>
      </c>
      <c r="E189" s="56" t="str">
        <f>IF(VLOOKUP(B189,CENY!$B$11:$G$1054,4,FALSE)=0,"",VLOOKUP(B189,CENY!$B$11:$G$1054,4,FALSE))</f>
        <v/>
      </c>
      <c r="F189" s="40" t="str">
        <f t="shared" si="46"/>
        <v/>
      </c>
      <c r="G189" s="52">
        <f>VLOOKUP(B189,CENY!$B$11:$M$1054,12,FALSE)</f>
        <v>432.04088000000002</v>
      </c>
      <c r="H189" s="54" t="str">
        <f t="shared" si="42"/>
        <v xml:space="preserve"> CZK</v>
      </c>
      <c r="I189" s="41" t="str">
        <f t="shared" si="43"/>
        <v/>
      </c>
      <c r="J189" s="122"/>
      <c r="K189" s="42" t="str">
        <f>VLOOKUP(B189,CENY!$B$11:$M$1054,8,FALSE)</f>
        <v xml:space="preserve"> </v>
      </c>
      <c r="L189" s="42" t="str">
        <f>VLOOKUP(B189,CENY!$B$11:$M$1054,9,FALSE)</f>
        <v>396964</v>
      </c>
      <c r="M189" s="32"/>
      <c r="N189" s="35">
        <f t="shared" si="47"/>
        <v>0</v>
      </c>
      <c r="O189" s="36">
        <v>0</v>
      </c>
      <c r="P189" s="32"/>
      <c r="Q189" s="32"/>
      <c r="R189" s="32"/>
      <c r="S189" s="32"/>
      <c r="T189" s="32"/>
      <c r="U189" s="32"/>
      <c r="V189" s="32"/>
      <c r="W189" s="32"/>
      <c r="X189" s="32"/>
      <c r="Y189" s="325">
        <f>AVT187In!BI18</f>
        <v>0</v>
      </c>
      <c r="Z189" s="32"/>
      <c r="AA189" s="32"/>
      <c r="AB189" s="32"/>
      <c r="AC189" s="32"/>
      <c r="AD189" s="32"/>
      <c r="AE189" s="32"/>
      <c r="AF189" s="32"/>
      <c r="AG189" s="325">
        <f>'AVT187In(vn-A)'!BI18</f>
        <v>0</v>
      </c>
      <c r="AH189" s="32"/>
      <c r="AI189" s="32"/>
      <c r="AJ189" s="32"/>
      <c r="AK189" s="325">
        <f>'AVT187In(vn-S)'!BI18</f>
        <v>0</v>
      </c>
      <c r="AL189" s="32"/>
      <c r="AM189" s="32"/>
      <c r="AN189" s="32"/>
      <c r="AO189" s="32"/>
      <c r="AP189" s="32"/>
      <c r="AQ189" s="32"/>
      <c r="AR189" s="32"/>
      <c r="AS189" s="32"/>
      <c r="AT189" s="32"/>
      <c r="AU189" s="325">
        <f>'AVT-celny-2x187In'!BI18</f>
        <v>0</v>
      </c>
      <c r="AV189" s="32"/>
      <c r="AW189" s="32"/>
      <c r="AX189" s="32"/>
      <c r="AY189" s="325">
        <f>'potr-v101+187-IL'!BI33</f>
        <v>0</v>
      </c>
      <c r="AZ189" s="32"/>
      <c r="BA189" s="32"/>
      <c r="BB189" s="32"/>
      <c r="BC189" s="32"/>
      <c r="BD189" s="32"/>
      <c r="BE189" s="32"/>
      <c r="BF189" s="32"/>
      <c r="BG189" s="32"/>
      <c r="BH189" s="32"/>
      <c r="BI189" s="32"/>
      <c r="BJ189" s="32"/>
      <c r="BK189" s="32"/>
      <c r="BL189" s="32"/>
      <c r="BM189" s="32"/>
      <c r="BN189" s="32"/>
      <c r="BO189" s="165"/>
      <c r="BP189" s="165"/>
      <c r="BQ189" s="165"/>
      <c r="BR189" s="165"/>
      <c r="BS189" s="165"/>
      <c r="BT189" s="165"/>
      <c r="BU189" s="165"/>
      <c r="BV189" s="55"/>
      <c r="BW189" s="160"/>
      <c r="BX189" s="32"/>
      <c r="BY189" s="24"/>
      <c r="BZ189" s="24"/>
      <c r="CA189" s="24"/>
      <c r="CB189" s="24"/>
      <c r="CC189" s="24"/>
      <c r="CD189" s="24"/>
      <c r="CE189" s="24"/>
    </row>
    <row r="190" spans="1:83" ht="15" customHeight="1">
      <c r="A190" s="4"/>
      <c r="B190" s="317">
        <f>CENY!B462</f>
        <v>9257257</v>
      </c>
      <c r="C190" s="43" t="str">
        <f>VLOOKUP(B190,CENY!$B$11:$G$1054,2,FALSE)</f>
        <v>AvanY-prích.čela Inlay k naskrutk./ v187</v>
      </c>
      <c r="D190" s="353">
        <f>VLOOKUP(B190,CENY!$B$11:$G$1054,3,FALSE)</f>
        <v>100</v>
      </c>
      <c r="E190" s="56" t="str">
        <f>IF(VLOOKUP(B190,CENY!$B$11:$G$1054,4,FALSE)=0,"",VLOOKUP(B190,CENY!$B$11:$G$1054,4,FALSE))</f>
        <v/>
      </c>
      <c r="F190" s="40" t="str">
        <f>IF(J190&lt;&gt;"",J190,IF(N190=0,"",IF(B190=B191,"",N190)))</f>
        <v/>
      </c>
      <c r="G190" s="52">
        <f>VLOOKUP(B190,CENY!$B$11:$M$1054,12,FALSE)</f>
        <v>50.732700000000001</v>
      </c>
      <c r="H190" s="54" t="str">
        <f>IF(G190="","",$H$22)</f>
        <v xml:space="preserve"> CZK</v>
      </c>
      <c r="I190" s="41" t="str">
        <f>IF(F190="","",G190*F190)</f>
        <v/>
      </c>
      <c r="J190" s="122"/>
      <c r="K190" s="42" t="str">
        <f>VLOOKUP(B190,CENY!$B$11:$M$1054,8,FALSE)</f>
        <v xml:space="preserve"> </v>
      </c>
      <c r="L190" s="42" t="str">
        <f>VLOOKUP(B190,CENY!$B$11:$M$1054,9,FALSE)</f>
        <v>396993</v>
      </c>
      <c r="M190" s="32"/>
      <c r="N190" s="35">
        <f t="shared" si="47"/>
        <v>0</v>
      </c>
      <c r="O190" s="36">
        <v>0</v>
      </c>
      <c r="P190" s="32"/>
      <c r="Q190" s="32"/>
      <c r="R190" s="32"/>
      <c r="S190" s="32"/>
      <c r="T190" s="32"/>
      <c r="U190" s="32"/>
      <c r="V190" s="32"/>
      <c r="W190" s="32"/>
      <c r="X190" s="32"/>
      <c r="Y190" s="32"/>
      <c r="Z190" s="32"/>
      <c r="AA190" s="32"/>
      <c r="AB190" s="32"/>
      <c r="AC190" s="32"/>
      <c r="AD190" s="32"/>
      <c r="AE190" s="32"/>
      <c r="AF190" s="32"/>
      <c r="AG190" s="325">
        <f>'AVT187In(vn-A)'!BI20</f>
        <v>0</v>
      </c>
      <c r="AH190" s="32"/>
      <c r="AI190" s="32"/>
      <c r="AJ190" s="32"/>
      <c r="AK190" s="32"/>
      <c r="AL190" s="32"/>
      <c r="AM190" s="32"/>
      <c r="AN190" s="32"/>
      <c r="AO190" s="32"/>
      <c r="AP190" s="32"/>
      <c r="AQ190" s="32"/>
      <c r="AR190" s="32"/>
      <c r="AS190" s="32"/>
      <c r="AT190" s="32"/>
      <c r="AU190" s="32"/>
      <c r="AV190" s="32"/>
      <c r="AW190" s="32"/>
      <c r="AX190" s="32"/>
      <c r="AY190" s="325">
        <f>'potr-v101+187-IL'!BI38</f>
        <v>0</v>
      </c>
      <c r="AZ190" s="32"/>
      <c r="BA190" s="32"/>
      <c r="BB190" s="32"/>
      <c r="BC190" s="32"/>
      <c r="BD190" s="32"/>
      <c r="BE190" s="32"/>
      <c r="BF190" s="32"/>
      <c r="BG190" s="32"/>
      <c r="BH190" s="32"/>
      <c r="BI190" s="32"/>
      <c r="BJ190" s="32"/>
      <c r="BK190" s="32"/>
      <c r="BL190" s="32"/>
      <c r="BM190" s="32"/>
      <c r="BN190" s="32"/>
      <c r="BO190" s="165"/>
      <c r="BP190" s="165"/>
      <c r="BQ190" s="165"/>
      <c r="BR190" s="165"/>
      <c r="BS190" s="165"/>
      <c r="BT190" s="165"/>
      <c r="BU190" s="165"/>
      <c r="BV190" s="55"/>
      <c r="BW190" s="160"/>
      <c r="BX190" s="32"/>
      <c r="BY190" s="24"/>
      <c r="BZ190" s="24"/>
      <c r="CA190" s="24"/>
      <c r="CB190" s="24"/>
      <c r="CC190" s="24"/>
      <c r="CD190" s="24"/>
      <c r="CE190" s="24"/>
    </row>
    <row r="191" spans="1:83" ht="15" customHeight="1">
      <c r="A191" s="4"/>
      <c r="B191" s="317">
        <f>IF($T$7=$T$8,CENY!B462,CENY!B463)</f>
        <v>9257257</v>
      </c>
      <c r="C191" s="43" t="str">
        <f>VLOOKUP(B191,CENY!$B$11:$G$1054,2,FALSE)</f>
        <v>AvanY-prích.čela Inlay k naskrutk./ v187</v>
      </c>
      <c r="D191" s="353">
        <f>VLOOKUP(B191,CENY!$B$11:$G$1054,3,FALSE)</f>
        <v>100</v>
      </c>
      <c r="E191" s="56" t="str">
        <f>IF(VLOOKUP(B191,CENY!$B$11:$G$1054,4,FALSE)=0,"",VLOOKUP(B191,CENY!$B$11:$G$1054,4,FALSE))</f>
        <v/>
      </c>
      <c r="F191" s="40" t="str">
        <f>IF(J191&lt;&gt;"",J191,IF(B190=B191,IF(N191+N190=0,"",N191+N190),IF(N191=0,"",N191)))</f>
        <v/>
      </c>
      <c r="G191" s="52">
        <f>VLOOKUP(B191,CENY!$B$11:$M$1054,12,FALSE)</f>
        <v>50.732700000000001</v>
      </c>
      <c r="H191" s="54" t="str">
        <f t="shared" si="42"/>
        <v xml:space="preserve"> CZK</v>
      </c>
      <c r="I191" s="41" t="str">
        <f t="shared" si="43"/>
        <v/>
      </c>
      <c r="J191" s="122"/>
      <c r="K191" s="42" t="str">
        <f>VLOOKUP(B191,CENY!$B$11:$M$1054,8,FALSE)</f>
        <v xml:space="preserve"> </v>
      </c>
      <c r="L191" s="42" t="str">
        <f>VLOOKUP(B191,CENY!$B$11:$M$1054,9,FALSE)</f>
        <v>396993</v>
      </c>
      <c r="M191" s="32"/>
      <c r="N191" s="35">
        <f t="shared" si="47"/>
        <v>0</v>
      </c>
      <c r="O191" s="36">
        <v>0</v>
      </c>
      <c r="P191" s="32"/>
      <c r="Q191" s="32"/>
      <c r="R191" s="32"/>
      <c r="S191" s="32"/>
      <c r="T191" s="32"/>
      <c r="U191" s="32"/>
      <c r="V191" s="32"/>
      <c r="W191" s="32"/>
      <c r="X191" s="325">
        <f>AVT187In!AZ64</f>
        <v>0</v>
      </c>
      <c r="Y191" s="325">
        <f>AVT187In!BI20</f>
        <v>0</v>
      </c>
      <c r="Z191" s="32"/>
      <c r="AA191" s="32"/>
      <c r="AB191" s="32"/>
      <c r="AC191" s="32"/>
      <c r="AD191" s="32"/>
      <c r="AE191" s="32"/>
      <c r="AF191" s="32"/>
      <c r="AG191" s="32"/>
      <c r="AH191" s="32"/>
      <c r="AI191" s="32"/>
      <c r="AJ191" s="32"/>
      <c r="AK191" s="32"/>
      <c r="AL191" s="32"/>
      <c r="AM191" s="32"/>
      <c r="AN191" s="32"/>
      <c r="AO191" s="32"/>
      <c r="AP191" s="32"/>
      <c r="AQ191" s="32"/>
      <c r="AR191" s="32"/>
      <c r="AS191" s="32"/>
      <c r="AT191" s="325">
        <f>'AVT-celny-2x187In'!AZ41</f>
        <v>0</v>
      </c>
      <c r="AU191" s="325">
        <f>'AVT-celny-2x187In'!BI20</f>
        <v>0</v>
      </c>
      <c r="AV191" s="32"/>
      <c r="AW191" s="32"/>
      <c r="AX191" s="325">
        <f>'potr-v101+187-IL'!AZ85</f>
        <v>0</v>
      </c>
      <c r="AY191" s="325">
        <f>'potr-v101+187-IL'!BI36</f>
        <v>0</v>
      </c>
      <c r="AZ191" s="32"/>
      <c r="BA191" s="32"/>
      <c r="BB191" s="32"/>
      <c r="BC191" s="32"/>
      <c r="BD191" s="32"/>
      <c r="BE191" s="32"/>
      <c r="BF191" s="32"/>
      <c r="BG191" s="32"/>
      <c r="BH191" s="32"/>
      <c r="BI191" s="32"/>
      <c r="BJ191" s="32"/>
      <c r="BK191" s="32"/>
      <c r="BL191" s="32"/>
      <c r="BM191" s="32"/>
      <c r="BN191" s="32"/>
      <c r="BO191" s="165"/>
      <c r="BP191" s="165"/>
      <c r="BQ191" s="165"/>
      <c r="BR191" s="165"/>
      <c r="BS191" s="165"/>
      <c r="BT191" s="165"/>
      <c r="BU191" s="165"/>
      <c r="BV191" s="55"/>
      <c r="BW191" s="160"/>
      <c r="BX191" s="32"/>
      <c r="BY191" s="24"/>
      <c r="BZ191" s="24"/>
      <c r="CA191" s="24"/>
      <c r="CB191" s="24"/>
      <c r="CC191" s="24"/>
      <c r="CD191" s="24"/>
      <c r="CE191" s="24"/>
    </row>
    <row r="192" spans="1:83" ht="15" customHeight="1">
      <c r="A192" s="4"/>
      <c r="B192" s="317">
        <f>CENY!B464</f>
        <v>9268677</v>
      </c>
      <c r="C192" s="43" t="str">
        <f>VLOOKUP(B192,CENY!$B$11:$G$1054,2,FALSE)</f>
        <v>AvanY-adaptér pre bok Inlay /pre 8mm hr.</v>
      </c>
      <c r="D192" s="355">
        <f>VLOOKUP(B192,CENY!$B$11:$G$1054,3,FALSE)</f>
        <v>1</v>
      </c>
      <c r="E192" s="56" t="str">
        <f>IF(VLOOKUP(B192,CENY!$B$11:$G$1054,4,FALSE)=0,"",VLOOKUP(B192,CENY!$B$11:$G$1054,4,FALSE))</f>
        <v/>
      </c>
      <c r="F192" s="40" t="str">
        <f>IF(J192&lt;&gt;"",J192,IF(N192=0,"",N192))</f>
        <v/>
      </c>
      <c r="G192" s="52">
        <f>VLOOKUP(B192,CENY!$B$11:$M$1054,12,FALSE)</f>
        <v>32.733449999999998</v>
      </c>
      <c r="H192" s="54" t="str">
        <f t="shared" si="42"/>
        <v xml:space="preserve"> CZK</v>
      </c>
      <c r="I192" s="41" t="str">
        <f t="shared" si="43"/>
        <v/>
      </c>
      <c r="J192" s="122"/>
      <c r="K192" s="42" t="str">
        <f>VLOOKUP(B192,CENY!$B$11:$M$1054,8,FALSE)</f>
        <v xml:space="preserve"> </v>
      </c>
      <c r="L192" s="42" t="str">
        <f>VLOOKUP(B192,CENY!$B$11:$M$1054,9,FALSE)</f>
        <v>454363</v>
      </c>
      <c r="M192" s="32"/>
      <c r="N192" s="35">
        <f t="shared" si="47"/>
        <v>0</v>
      </c>
      <c r="O192" s="36">
        <v>0</v>
      </c>
      <c r="P192" s="32"/>
      <c r="Q192" s="32"/>
      <c r="R192" s="32"/>
      <c r="S192" s="32"/>
      <c r="T192" s="32"/>
      <c r="U192" s="32"/>
      <c r="V192" s="32"/>
      <c r="W192" s="32"/>
      <c r="X192" s="32"/>
      <c r="Y192" s="32"/>
      <c r="Z192" s="32"/>
      <c r="AA192" s="32"/>
      <c r="AB192" s="32"/>
      <c r="AC192" s="32"/>
      <c r="AD192" s="32"/>
      <c r="AE192" s="32"/>
      <c r="AF192" s="32"/>
      <c r="AG192" s="32"/>
      <c r="AH192" s="32"/>
      <c r="AI192" s="32"/>
      <c r="AJ192" s="32"/>
      <c r="AK192" s="32"/>
      <c r="AL192" s="32"/>
      <c r="AM192" s="32"/>
      <c r="AN192" s="32"/>
      <c r="AO192" s="32"/>
      <c r="AP192" s="32"/>
      <c r="AQ192" s="32"/>
      <c r="AR192" s="32"/>
      <c r="AS192" s="32"/>
      <c r="AT192" s="32"/>
      <c r="AU192" s="32"/>
      <c r="AV192" s="32"/>
      <c r="AW192" s="32"/>
      <c r="AX192" s="32"/>
      <c r="AY192" s="32"/>
      <c r="AZ192" s="32"/>
      <c r="BA192" s="32"/>
      <c r="BB192" s="32"/>
      <c r="BC192" s="32"/>
      <c r="BD192" s="32"/>
      <c r="BE192" s="32"/>
      <c r="BF192" s="32"/>
      <c r="BG192" s="32"/>
      <c r="BH192" s="32"/>
      <c r="BI192" s="32"/>
      <c r="BJ192" s="32"/>
      <c r="BK192" s="32"/>
      <c r="BL192" s="32"/>
      <c r="BM192" s="32"/>
      <c r="BN192" s="32"/>
      <c r="BO192" s="165"/>
      <c r="BP192" s="165"/>
      <c r="BQ192" s="165"/>
      <c r="BR192" s="165"/>
      <c r="BS192" s="165"/>
      <c r="BT192" s="165"/>
      <c r="BU192" s="165"/>
      <c r="BV192" s="55"/>
      <c r="BW192" s="160"/>
      <c r="BX192" s="32"/>
      <c r="BY192" s="24"/>
      <c r="BZ192" s="24"/>
      <c r="CA192" s="24"/>
      <c r="CB192" s="24"/>
      <c r="CC192" s="24"/>
      <c r="CD192" s="24"/>
      <c r="CE192" s="24"/>
    </row>
    <row r="193" spans="1:83" ht="8.1" customHeight="1">
      <c r="A193" s="4"/>
      <c r="B193" s="317"/>
      <c r="C193" s="43"/>
      <c r="D193" s="39"/>
      <c r="E193" s="56"/>
      <c r="F193" s="40"/>
      <c r="G193" s="52"/>
      <c r="H193" s="54"/>
      <c r="I193" s="41"/>
      <c r="J193" s="122"/>
      <c r="K193" s="42"/>
      <c r="L193" s="42"/>
      <c r="M193" s="32"/>
      <c r="N193" s="35"/>
      <c r="O193" s="36">
        <v>0</v>
      </c>
      <c r="P193" s="32"/>
      <c r="Q193" s="32"/>
      <c r="R193" s="32"/>
      <c r="S193" s="32"/>
      <c r="T193" s="32"/>
      <c r="U193" s="32"/>
      <c r="V193" s="32"/>
      <c r="W193" s="32"/>
      <c r="X193" s="32"/>
      <c r="Y193" s="32"/>
      <c r="Z193" s="32"/>
      <c r="AA193" s="32"/>
      <c r="AB193" s="32"/>
      <c r="AC193" s="32"/>
      <c r="AD193" s="32"/>
      <c r="AE193" s="32"/>
      <c r="AF193" s="32"/>
      <c r="AG193" s="32"/>
      <c r="AH193" s="32"/>
      <c r="AI193" s="32"/>
      <c r="AJ193" s="32"/>
      <c r="AK193" s="32"/>
      <c r="AL193" s="32"/>
      <c r="AM193" s="32"/>
      <c r="AN193" s="32"/>
      <c r="AO193" s="32"/>
      <c r="AP193" s="32"/>
      <c r="AQ193" s="32"/>
      <c r="AR193" s="32"/>
      <c r="AS193" s="32"/>
      <c r="AT193" s="32"/>
      <c r="AU193" s="32"/>
      <c r="AV193" s="32"/>
      <c r="AW193" s="32"/>
      <c r="AX193" s="32"/>
      <c r="AY193" s="32"/>
      <c r="AZ193" s="32"/>
      <c r="BA193" s="32"/>
      <c r="BB193" s="32"/>
      <c r="BC193" s="32"/>
      <c r="BD193" s="32"/>
      <c r="BE193" s="32"/>
      <c r="BF193" s="32"/>
      <c r="BG193" s="32"/>
      <c r="BH193" s="32"/>
      <c r="BI193" s="32"/>
      <c r="BJ193" s="32"/>
      <c r="BK193" s="32"/>
      <c r="BL193" s="32"/>
      <c r="BM193" s="32"/>
      <c r="BN193" s="32"/>
      <c r="BO193" s="165"/>
      <c r="BP193" s="165"/>
      <c r="BQ193" s="165"/>
      <c r="BR193" s="165"/>
      <c r="BS193" s="165"/>
      <c r="BT193" s="165"/>
      <c r="BU193" s="165"/>
      <c r="BV193" s="55"/>
      <c r="BW193" s="160"/>
      <c r="BX193" s="32"/>
      <c r="BY193" s="24"/>
      <c r="BZ193" s="24"/>
      <c r="CA193" s="24"/>
      <c r="CB193" s="24"/>
      <c r="CC193" s="24"/>
      <c r="CD193" s="24"/>
      <c r="CE193" s="24"/>
    </row>
    <row r="194" spans="1:83" ht="15" customHeight="1">
      <c r="A194" s="4"/>
      <c r="B194" s="317">
        <f>IF($Q$8=$Q$7,CENY!B466,IF($Q$7=$Q$9,CENY!B469,CENY!B472))</f>
        <v>9257269</v>
      </c>
      <c r="C194" s="43" t="str">
        <f>VLOOKUP(B194,CENY!$B$11:$G$1054,2,FALSE)</f>
        <v>AvanY-čelo vnút.zásuvky /v101/d2000/strieb.</v>
      </c>
      <c r="D194" s="355">
        <f>VLOOKUP(B194,CENY!$B$11:$G$1054,3,FALSE)</f>
        <v>1</v>
      </c>
      <c r="E194" s="56" t="str">
        <f>IF(VLOOKUP(B194,CENY!$B$11:$G$1054,4,FALSE)=0,"",VLOOKUP(B194,CENY!$B$11:$G$1054,4,FALSE))</f>
        <v/>
      </c>
      <c r="F194" s="40" t="str">
        <f>IF(J194&lt;&gt;"",J194,IF(N194=0,"",N194))</f>
        <v/>
      </c>
      <c r="G194" s="52">
        <f>VLOOKUP(B194,CENY!$B$11:$M$1054,12,FALSE)</f>
        <v>1483.13021</v>
      </c>
      <c r="H194" s="54" t="str">
        <f t="shared" si="42"/>
        <v xml:space="preserve"> CZK</v>
      </c>
      <c r="I194" s="41" t="str">
        <f t="shared" si="43"/>
        <v/>
      </c>
      <c r="J194" s="122"/>
      <c r="K194" s="42" t="str">
        <f>VLOOKUP(B194,CENY!$B$11:$M$1054,8,FALSE)</f>
        <v xml:space="preserve"> </v>
      </c>
      <c r="L194" s="42" t="str">
        <f>VLOOKUP(B194,CENY!$B$11:$M$1054,9,FALSE)</f>
        <v>397369</v>
      </c>
      <c r="M194" s="32"/>
      <c r="N194" s="35">
        <f>SUM(P194:BW194)</f>
        <v>0</v>
      </c>
      <c r="O194" s="36">
        <v>0</v>
      </c>
      <c r="P194" s="32"/>
      <c r="Q194" s="32"/>
      <c r="R194" s="32"/>
      <c r="S194" s="32"/>
      <c r="T194" s="32"/>
      <c r="U194" s="32"/>
      <c r="V194" s="32"/>
      <c r="W194" s="32"/>
      <c r="X194" s="32"/>
      <c r="Y194" s="32"/>
      <c r="Z194" s="333">
        <f>'AVT101(vn-A)'!AZ83</f>
        <v>0</v>
      </c>
      <c r="AA194" s="333">
        <f>'AVT101(vn-A)'!BI128</f>
        <v>0</v>
      </c>
      <c r="AB194" s="32"/>
      <c r="AC194" s="32"/>
      <c r="AD194" s="32"/>
      <c r="AE194" s="32"/>
      <c r="AF194" s="32"/>
      <c r="AG194" s="32"/>
      <c r="AH194" s="32"/>
      <c r="AI194" s="32"/>
      <c r="AJ194" s="32"/>
      <c r="AK194" s="32"/>
      <c r="AL194" s="32"/>
      <c r="AM194" s="32"/>
      <c r="AN194" s="32"/>
      <c r="AO194" s="32"/>
      <c r="AP194" s="32"/>
      <c r="AQ194" s="32"/>
      <c r="AR194" s="32"/>
      <c r="AS194" s="32"/>
      <c r="AT194" s="32"/>
      <c r="AU194" s="32"/>
      <c r="AV194" s="325">
        <f>'potr-v101+187'!AZ90</f>
        <v>0</v>
      </c>
      <c r="AW194" s="325">
        <f>'potr-v101+187'!BI142</f>
        <v>0</v>
      </c>
      <c r="AX194" s="325">
        <f>'potr-v101+187-IL'!AZ90</f>
        <v>0</v>
      </c>
      <c r="AY194" s="325">
        <f>'potr-v101+187-IL'!BI142</f>
        <v>0</v>
      </c>
      <c r="AZ194" s="32"/>
      <c r="BA194" s="32"/>
      <c r="BB194" s="32"/>
      <c r="BC194" s="32"/>
      <c r="BD194" s="32"/>
      <c r="BE194" s="32"/>
      <c r="BF194" s="32"/>
      <c r="BG194" s="32"/>
      <c r="BH194" s="32"/>
      <c r="BI194" s="32"/>
      <c r="BJ194" s="32"/>
      <c r="BK194" s="32"/>
      <c r="BL194" s="32"/>
      <c r="BM194" s="32"/>
      <c r="BN194" s="32"/>
      <c r="BO194" s="165"/>
      <c r="BP194" s="165"/>
      <c r="BQ194" s="165"/>
      <c r="BR194" s="165"/>
      <c r="BS194" s="165"/>
      <c r="BT194" s="165"/>
      <c r="BU194" s="165"/>
      <c r="BV194" s="55"/>
      <c r="BW194" s="160"/>
      <c r="BX194" s="32"/>
      <c r="BY194" s="24"/>
      <c r="BZ194" s="24"/>
      <c r="CA194" s="24"/>
      <c r="CB194" s="24"/>
      <c r="CC194" s="24"/>
      <c r="CD194" s="24"/>
      <c r="CE194" s="24"/>
    </row>
    <row r="195" spans="1:83" ht="15" customHeight="1">
      <c r="A195" s="4"/>
      <c r="B195" s="317">
        <f>IF($Q$8=$Q$7,CENY!B467,IF($Q$7=$Q$9,CENY!B470,CENY!B473))</f>
        <v>9257270</v>
      </c>
      <c r="C195" s="43" t="str">
        <f>VLOOKUP(B195,CENY!$B$11:$G$1054,2,FALSE)</f>
        <v>AvanY-čelo vnút.zásuvky /v139/d2000/strieb.</v>
      </c>
      <c r="D195" s="355">
        <f>VLOOKUP(B195,CENY!$B$11:$G$1054,3,FALSE)</f>
        <v>1</v>
      </c>
      <c r="E195" s="56" t="str">
        <f>IF(VLOOKUP(B195,CENY!$B$11:$G$1054,4,FALSE)=0,"",VLOOKUP(B195,CENY!$B$11:$G$1054,4,FALSE))</f>
        <v/>
      </c>
      <c r="F195" s="40" t="str">
        <f>IF(J195&lt;&gt;"",J195,IF(N195=0,"",N195))</f>
        <v/>
      </c>
      <c r="G195" s="52">
        <f>VLOOKUP(B195,CENY!$B$11:$M$1054,12,FALSE)</f>
        <v>1774.2111399999999</v>
      </c>
      <c r="H195" s="54" t="str">
        <f t="shared" si="42"/>
        <v xml:space="preserve"> CZK</v>
      </c>
      <c r="I195" s="41" t="str">
        <f t="shared" si="43"/>
        <v/>
      </c>
      <c r="J195" s="122"/>
      <c r="K195" s="42" t="str">
        <f>VLOOKUP(B195,CENY!$B$11:$M$1054,8,FALSE)</f>
        <v xml:space="preserve"> </v>
      </c>
      <c r="L195" s="42" t="str">
        <f>VLOOKUP(B195,CENY!$B$11:$M$1054,9,FALSE)</f>
        <v>397370</v>
      </c>
      <c r="M195" s="32"/>
      <c r="N195" s="35">
        <f>SUM(P195:BW195)</f>
        <v>0</v>
      </c>
      <c r="O195" s="36">
        <v>0</v>
      </c>
      <c r="P195" s="32"/>
      <c r="Q195" s="32"/>
      <c r="R195" s="32"/>
      <c r="S195" s="32"/>
      <c r="T195" s="32"/>
      <c r="U195" s="32"/>
      <c r="V195" s="32"/>
      <c r="W195" s="32"/>
      <c r="X195" s="32"/>
      <c r="Y195" s="32"/>
      <c r="Z195" s="32"/>
      <c r="AA195" s="32"/>
      <c r="AB195" s="333">
        <f>'AVT139(vn-A)'!AZ93</f>
        <v>0</v>
      </c>
      <c r="AC195" s="333">
        <f>'AVT139(vn-A)'!BI128</f>
        <v>0</v>
      </c>
      <c r="AD195" s="32"/>
      <c r="AE195" s="32"/>
      <c r="AF195" s="32"/>
      <c r="AG195" s="32"/>
      <c r="AH195" s="32"/>
      <c r="AI195" s="32"/>
      <c r="AJ195" s="32"/>
      <c r="AK195" s="32"/>
      <c r="AL195" s="32"/>
      <c r="AM195" s="32"/>
      <c r="AN195" s="32"/>
      <c r="AO195" s="32"/>
      <c r="AP195" s="32"/>
      <c r="AQ195" s="32"/>
      <c r="AR195" s="32"/>
      <c r="AS195" s="32"/>
      <c r="AT195" s="32"/>
      <c r="AU195" s="32"/>
      <c r="AV195" s="32"/>
      <c r="AW195" s="32"/>
      <c r="AX195" s="32"/>
      <c r="AY195" s="32"/>
      <c r="AZ195" s="32"/>
      <c r="BA195" s="32"/>
      <c r="BB195" s="32"/>
      <c r="BC195" s="32"/>
      <c r="BD195" s="32"/>
      <c r="BE195" s="32"/>
      <c r="BF195" s="32"/>
      <c r="BG195" s="32"/>
      <c r="BH195" s="32"/>
      <c r="BI195" s="32"/>
      <c r="BJ195" s="32"/>
      <c r="BK195" s="32"/>
      <c r="BL195" s="32"/>
      <c r="BM195" s="32"/>
      <c r="BN195" s="32"/>
      <c r="BO195" s="165"/>
      <c r="BP195" s="165"/>
      <c r="BQ195" s="165"/>
      <c r="BR195" s="165"/>
      <c r="BS195" s="165"/>
      <c r="BT195" s="165"/>
      <c r="BU195" s="165"/>
      <c r="BV195" s="55"/>
      <c r="BW195" s="160"/>
      <c r="BX195" s="32"/>
      <c r="BY195" s="24"/>
      <c r="BZ195" s="24"/>
      <c r="CA195" s="24"/>
      <c r="CB195" s="24"/>
      <c r="CC195" s="24"/>
      <c r="CD195" s="24"/>
      <c r="CE195" s="24"/>
    </row>
    <row r="196" spans="1:83" ht="15" customHeight="1">
      <c r="A196" s="4"/>
      <c r="B196" s="317">
        <f>IF($Q$8=$Q$7,CENY!B468,IF($Q$7=$Q$9,CENY!B471,CENY!B474))</f>
        <v>9257271</v>
      </c>
      <c r="C196" s="43" t="str">
        <f>VLOOKUP(B196,CENY!$B$11:$G$1054,2,FALSE)</f>
        <v>AvanY-čelo vnút.zásuvky /v187/d2000/strieb.</v>
      </c>
      <c r="D196" s="355">
        <f>VLOOKUP(B196,CENY!$B$11:$G$1054,3,FALSE)</f>
        <v>1</v>
      </c>
      <c r="E196" s="56" t="str">
        <f>IF(VLOOKUP(B196,CENY!$B$11:$G$1054,4,FALSE)=0,"",VLOOKUP(B196,CENY!$B$11:$G$1054,4,FALSE))</f>
        <v/>
      </c>
      <c r="F196" s="40" t="str">
        <f>IF(J196&lt;&gt;"",J196,IF(N196=0,"",N196))</f>
        <v/>
      </c>
      <c r="G196" s="52">
        <f>VLOOKUP(B196,CENY!$B$11:$M$1054,12,FALSE)</f>
        <v>2217.7650899999999</v>
      </c>
      <c r="H196" s="54" t="str">
        <f t="shared" si="42"/>
        <v xml:space="preserve"> CZK</v>
      </c>
      <c r="I196" s="41" t="str">
        <f t="shared" si="43"/>
        <v/>
      </c>
      <c r="J196" s="122"/>
      <c r="K196" s="42" t="str">
        <f>VLOOKUP(B196,CENY!$B$11:$M$1054,8,FALSE)</f>
        <v xml:space="preserve"> </v>
      </c>
      <c r="L196" s="42" t="str">
        <f>VLOOKUP(B196,CENY!$B$11:$M$1054,9,FALSE)</f>
        <v>397371</v>
      </c>
      <c r="M196" s="32"/>
      <c r="N196" s="35">
        <f>SUM(P196:BW196)</f>
        <v>0</v>
      </c>
      <c r="O196" s="36">
        <v>0</v>
      </c>
      <c r="P196" s="32"/>
      <c r="Q196" s="32"/>
      <c r="R196" s="32"/>
      <c r="S196" s="32"/>
      <c r="T196" s="32"/>
      <c r="U196" s="32"/>
      <c r="V196" s="32"/>
      <c r="W196" s="32"/>
      <c r="X196" s="32"/>
      <c r="Y196" s="32"/>
      <c r="Z196" s="32"/>
      <c r="AA196" s="32"/>
      <c r="AB196" s="32"/>
      <c r="AC196" s="32"/>
      <c r="AD196" s="333">
        <f>'AVT187(vn-A)'!AZ83</f>
        <v>0</v>
      </c>
      <c r="AE196" s="333">
        <f>'AVT187(vn-A)'!BI128</f>
        <v>0</v>
      </c>
      <c r="AF196" s="333">
        <f>'AVT187In(vn-A)'!AZ83</f>
        <v>0</v>
      </c>
      <c r="AG196" s="333">
        <f>'AVT187In(vn-A)'!BI102</f>
        <v>0</v>
      </c>
      <c r="AH196" s="32"/>
      <c r="AI196" s="32"/>
      <c r="AJ196" s="32"/>
      <c r="AK196" s="32"/>
      <c r="AL196" s="32"/>
      <c r="AM196" s="32"/>
      <c r="AN196" s="32"/>
      <c r="AO196" s="32"/>
      <c r="AP196" s="32"/>
      <c r="AQ196" s="32"/>
      <c r="AR196" s="32"/>
      <c r="AS196" s="32"/>
      <c r="AT196" s="32"/>
      <c r="AU196" s="32"/>
      <c r="AV196" s="325">
        <f>'potr-v101+187'!AZ92</f>
        <v>0</v>
      </c>
      <c r="AW196" s="325">
        <f>'potr-v101+187'!BI143</f>
        <v>0</v>
      </c>
      <c r="AX196" s="325">
        <f>'potr-v101+187-IL'!AZ92</f>
        <v>0</v>
      </c>
      <c r="AY196" s="325">
        <f>'potr-v101+187-IL'!BI143</f>
        <v>0</v>
      </c>
      <c r="AZ196" s="32"/>
      <c r="BA196" s="32"/>
      <c r="BB196" s="32"/>
      <c r="BC196" s="32"/>
      <c r="BD196" s="32"/>
      <c r="BE196" s="32"/>
      <c r="BF196" s="32"/>
      <c r="BG196" s="32"/>
      <c r="BH196" s="32"/>
      <c r="BI196" s="32"/>
      <c r="BJ196" s="32"/>
      <c r="BK196" s="32"/>
      <c r="BL196" s="32"/>
      <c r="BM196" s="32"/>
      <c r="BN196" s="32"/>
      <c r="BO196" s="165"/>
      <c r="BP196" s="165"/>
      <c r="BQ196" s="165"/>
      <c r="BR196" s="165"/>
      <c r="BS196" s="165"/>
      <c r="BT196" s="165"/>
      <c r="BU196" s="165"/>
      <c r="BV196" s="55"/>
      <c r="BW196" s="160"/>
      <c r="BX196" s="32"/>
      <c r="BY196" s="24"/>
      <c r="BZ196" s="24"/>
      <c r="CA196" s="24"/>
      <c r="CB196" s="24"/>
      <c r="CC196" s="24"/>
      <c r="CD196" s="24"/>
      <c r="CE196" s="24"/>
    </row>
    <row r="197" spans="1:83" ht="8.1" customHeight="1">
      <c r="A197" s="4"/>
      <c r="B197" s="317"/>
      <c r="C197" s="43"/>
      <c r="D197" s="39"/>
      <c r="E197" s="56"/>
      <c r="F197" s="60"/>
      <c r="G197" s="52"/>
      <c r="H197" s="54"/>
      <c r="I197" s="41"/>
      <c r="J197" s="122"/>
      <c r="K197" s="42"/>
      <c r="L197" s="42"/>
      <c r="M197" s="32"/>
      <c r="N197" s="35"/>
      <c r="O197" s="36">
        <v>0</v>
      </c>
      <c r="P197" s="32"/>
      <c r="Q197" s="32"/>
      <c r="R197" s="32"/>
      <c r="S197" s="32"/>
      <c r="T197" s="32"/>
      <c r="U197" s="32"/>
      <c r="V197" s="32"/>
      <c r="W197" s="32"/>
      <c r="X197" s="32"/>
      <c r="Y197" s="32"/>
      <c r="Z197" s="32"/>
      <c r="AA197" s="32"/>
      <c r="AB197" s="32"/>
      <c r="AC197" s="32"/>
      <c r="AD197" s="32"/>
      <c r="AE197" s="32"/>
      <c r="AF197" s="32"/>
      <c r="AG197" s="32"/>
      <c r="AH197" s="32"/>
      <c r="AI197" s="32"/>
      <c r="AJ197" s="32"/>
      <c r="AK197" s="32"/>
      <c r="AL197" s="32"/>
      <c r="AM197" s="32"/>
      <c r="AN197" s="32"/>
      <c r="AO197" s="32"/>
      <c r="AP197" s="32"/>
      <c r="AQ197" s="32"/>
      <c r="AR197" s="32"/>
      <c r="AS197" s="32"/>
      <c r="AT197" s="32"/>
      <c r="AU197" s="32"/>
      <c r="AV197" s="32"/>
      <c r="AW197" s="32"/>
      <c r="AX197" s="32"/>
      <c r="AY197" s="32"/>
      <c r="AZ197" s="32"/>
      <c r="BA197" s="32"/>
      <c r="BB197" s="32"/>
      <c r="BC197" s="32"/>
      <c r="BD197" s="32"/>
      <c r="BE197" s="32"/>
      <c r="BF197" s="32"/>
      <c r="BG197" s="32"/>
      <c r="BH197" s="32"/>
      <c r="BI197" s="32"/>
      <c r="BJ197" s="32"/>
      <c r="BK197" s="32"/>
      <c r="BL197" s="32"/>
      <c r="BM197" s="32"/>
      <c r="BN197" s="32"/>
      <c r="BO197" s="165"/>
      <c r="BP197" s="165"/>
      <c r="BQ197" s="165"/>
      <c r="BR197" s="165"/>
      <c r="BS197" s="165"/>
      <c r="BT197" s="165"/>
      <c r="BU197" s="165"/>
      <c r="BV197" s="55"/>
      <c r="BW197" s="160"/>
      <c r="BX197" s="32"/>
      <c r="BY197" s="24"/>
      <c r="BZ197" s="24"/>
      <c r="CA197" s="24"/>
      <c r="CB197" s="24"/>
      <c r="CC197" s="24"/>
      <c r="CD197" s="24"/>
      <c r="CE197" s="24"/>
    </row>
    <row r="198" spans="1:83" ht="15" customHeight="1">
      <c r="A198" s="4"/>
      <c r="B198" s="317">
        <f>IF($Q$8=$Q$7,CENY!B475,IF($Q$7=$Q$9,CENY!B478,CENY!B481))</f>
        <v>9257611</v>
      </c>
      <c r="C198" s="43" t="str">
        <f>VLOOKUP(B198,CENY!$B$11:$G$1054,2,FALSE)</f>
        <v>AvanY-spojky čela vnút.zás./v101/strieb.</v>
      </c>
      <c r="D198" s="364">
        <f>VLOOKUP(B198,CENY!$B$11:$G$1054,3,FALSE)</f>
        <v>1</v>
      </c>
      <c r="E198" s="56" t="str">
        <f>IF(VLOOKUP(B198,CENY!$B$11:$G$1054,4,FALSE)=0,"",VLOOKUP(B198,CENY!$B$11:$G$1054,4,FALSE))</f>
        <v/>
      </c>
      <c r="F198" s="40" t="str">
        <f>IF(J198&lt;&gt;"",J198,IF(N198=0,"",N198))</f>
        <v/>
      </c>
      <c r="G198" s="52">
        <f>VLOOKUP(B198,CENY!$B$11:$M$1054,12,FALSE)</f>
        <v>97.260310000000004</v>
      </c>
      <c r="H198" s="54" t="str">
        <f t="shared" si="42"/>
        <v xml:space="preserve"> CZK</v>
      </c>
      <c r="I198" s="41" t="str">
        <f t="shared" si="43"/>
        <v/>
      </c>
      <c r="J198" s="122"/>
      <c r="K198" s="42" t="str">
        <f>VLOOKUP(B198,CENY!$B$11:$M$1054,8,FALSE)</f>
        <v xml:space="preserve"> </v>
      </c>
      <c r="L198" s="42" t="str">
        <f>VLOOKUP(B198,CENY!$B$11:$M$1054,9,FALSE)</f>
        <v>397378</v>
      </c>
      <c r="M198" s="32"/>
      <c r="N198" s="35">
        <f>SUM(P198:BW198)</f>
        <v>0</v>
      </c>
      <c r="O198" s="36">
        <v>0</v>
      </c>
      <c r="P198" s="32"/>
      <c r="Q198" s="32"/>
      <c r="R198" s="32"/>
      <c r="S198" s="32"/>
      <c r="T198" s="32"/>
      <c r="U198" s="32"/>
      <c r="V198" s="32"/>
      <c r="W198" s="32"/>
      <c r="X198" s="32"/>
      <c r="Y198" s="32"/>
      <c r="Z198" s="333">
        <f>'AVT101(vn-A)'!AZ84</f>
        <v>0</v>
      </c>
      <c r="AA198" s="32"/>
      <c r="AB198" s="32"/>
      <c r="AC198" s="32"/>
      <c r="AD198" s="32"/>
      <c r="AE198" s="32"/>
      <c r="AF198" s="32"/>
      <c r="AG198" s="32"/>
      <c r="AH198" s="32"/>
      <c r="AI198" s="32"/>
      <c r="AJ198" s="32"/>
      <c r="AK198" s="32"/>
      <c r="AL198" s="32"/>
      <c r="AM198" s="32"/>
      <c r="AN198" s="32"/>
      <c r="AO198" s="32"/>
      <c r="AP198" s="32"/>
      <c r="AQ198" s="32"/>
      <c r="AR198" s="32"/>
      <c r="AS198" s="32"/>
      <c r="AT198" s="32"/>
      <c r="AU198" s="32"/>
      <c r="AV198" s="325">
        <f>'potr-v101+187'!AZ91</f>
        <v>0</v>
      </c>
      <c r="AW198" s="32"/>
      <c r="AX198" s="325">
        <f>'potr-v101+187-IL'!AZ91</f>
        <v>0</v>
      </c>
      <c r="AY198" s="32"/>
      <c r="AZ198" s="32"/>
      <c r="BA198" s="32"/>
      <c r="BB198" s="32"/>
      <c r="BC198" s="32"/>
      <c r="BD198" s="32"/>
      <c r="BE198" s="32"/>
      <c r="BF198" s="32"/>
      <c r="BG198" s="32"/>
      <c r="BH198" s="32"/>
      <c r="BI198" s="32"/>
      <c r="BJ198" s="32"/>
      <c r="BK198" s="32"/>
      <c r="BL198" s="32"/>
      <c r="BM198" s="32"/>
      <c r="BN198" s="32"/>
      <c r="BO198" s="165"/>
      <c r="BP198" s="165"/>
      <c r="BQ198" s="165"/>
      <c r="BR198" s="165"/>
      <c r="BS198" s="165"/>
      <c r="BT198" s="165"/>
      <c r="BU198" s="165"/>
      <c r="BV198" s="55"/>
      <c r="BW198" s="160"/>
      <c r="BX198" s="32"/>
      <c r="BY198" s="24"/>
      <c r="BZ198" s="24"/>
      <c r="CA198" s="24"/>
      <c r="CB198" s="24"/>
      <c r="CC198" s="24"/>
      <c r="CD198" s="24"/>
      <c r="CE198" s="24"/>
    </row>
    <row r="199" spans="1:83" ht="15" customHeight="1">
      <c r="A199" s="4"/>
      <c r="B199" s="317">
        <f>IF($Q$8=$Q$7,CENY!B476,IF($Q$7=$Q$9,CENY!B479,CENY!B482))</f>
        <v>9257612</v>
      </c>
      <c r="C199" s="43" t="str">
        <f>VLOOKUP(B199,CENY!$B$11:$G$1054,2,FALSE)</f>
        <v>AvanY-spojky čela vnút.zás./v139/strieb.</v>
      </c>
      <c r="D199" s="364">
        <f>VLOOKUP(B199,CENY!$B$11:$G$1054,3,FALSE)</f>
        <v>1</v>
      </c>
      <c r="E199" s="56" t="str">
        <f>IF(VLOOKUP(B199,CENY!$B$11:$G$1054,4,FALSE)=0,"",VLOOKUP(B199,CENY!$B$11:$G$1054,4,FALSE))</f>
        <v/>
      </c>
      <c r="F199" s="40" t="str">
        <f>IF(J199&lt;&gt;"",J199,IF(N199=0,"",N199))</f>
        <v/>
      </c>
      <c r="G199" s="52">
        <f>VLOOKUP(B199,CENY!$B$11:$M$1054,12,FALSE)</f>
        <v>123.13359</v>
      </c>
      <c r="H199" s="54" t="str">
        <f t="shared" si="42"/>
        <v xml:space="preserve"> CZK</v>
      </c>
      <c r="I199" s="41" t="str">
        <f t="shared" si="43"/>
        <v/>
      </c>
      <c r="J199" s="122"/>
      <c r="K199" s="42" t="str">
        <f>VLOOKUP(B199,CENY!$B$11:$M$1054,8,FALSE)</f>
        <v xml:space="preserve"> </v>
      </c>
      <c r="L199" s="42" t="str">
        <f>VLOOKUP(B199,CENY!$B$11:$M$1054,9,FALSE)</f>
        <v>397379</v>
      </c>
      <c r="M199" s="32"/>
      <c r="N199" s="35">
        <f>SUM(P199:BW199)</f>
        <v>0</v>
      </c>
      <c r="O199" s="36">
        <v>0</v>
      </c>
      <c r="P199" s="32"/>
      <c r="Q199" s="32"/>
      <c r="R199" s="32"/>
      <c r="S199" s="32"/>
      <c r="T199" s="32"/>
      <c r="U199" s="32"/>
      <c r="V199" s="32"/>
      <c r="W199" s="32"/>
      <c r="X199" s="32"/>
      <c r="Y199" s="32"/>
      <c r="Z199" s="32"/>
      <c r="AA199" s="32"/>
      <c r="AB199" s="333">
        <f>'AVT139(vn-A)'!AZ94</f>
        <v>0</v>
      </c>
      <c r="AC199" s="32"/>
      <c r="AD199" s="32"/>
      <c r="AE199" s="32"/>
      <c r="AF199" s="32"/>
      <c r="AG199" s="32"/>
      <c r="AH199" s="32"/>
      <c r="AI199" s="32"/>
      <c r="AJ199" s="32"/>
      <c r="AK199" s="32"/>
      <c r="AL199" s="32"/>
      <c r="AM199" s="32"/>
      <c r="AN199" s="32"/>
      <c r="AO199" s="32"/>
      <c r="AP199" s="32"/>
      <c r="AQ199" s="32"/>
      <c r="AR199" s="32"/>
      <c r="AS199" s="32"/>
      <c r="AT199" s="32"/>
      <c r="AU199" s="32"/>
      <c r="AV199" s="32"/>
      <c r="AW199" s="32"/>
      <c r="AX199" s="32"/>
      <c r="AY199" s="32"/>
      <c r="AZ199" s="32"/>
      <c r="BA199" s="32"/>
      <c r="BB199" s="32"/>
      <c r="BC199" s="32"/>
      <c r="BD199" s="32"/>
      <c r="BE199" s="32"/>
      <c r="BF199" s="32"/>
      <c r="BG199" s="32"/>
      <c r="BH199" s="32"/>
      <c r="BI199" s="32"/>
      <c r="BJ199" s="32"/>
      <c r="BK199" s="32"/>
      <c r="BL199" s="32"/>
      <c r="BM199" s="32"/>
      <c r="BN199" s="32"/>
      <c r="BO199" s="165"/>
      <c r="BP199" s="165"/>
      <c r="BQ199" s="165"/>
      <c r="BR199" s="165"/>
      <c r="BS199" s="165"/>
      <c r="BT199" s="165"/>
      <c r="BU199" s="165"/>
      <c r="BV199" s="55"/>
      <c r="BW199" s="160"/>
      <c r="BX199" s="32"/>
      <c r="BY199" s="24"/>
      <c r="BZ199" s="24"/>
      <c r="CA199" s="24"/>
      <c r="CB199" s="24"/>
      <c r="CC199" s="24"/>
      <c r="CD199" s="24"/>
      <c r="CE199" s="24"/>
    </row>
    <row r="200" spans="1:83" ht="15" customHeight="1">
      <c r="A200" s="4"/>
      <c r="B200" s="317">
        <f>IF($Q$8=$Q$7,CENY!B477,IF($Q$7=$Q$9,CENY!B480,CENY!B483))</f>
        <v>9257613</v>
      </c>
      <c r="C200" s="43" t="str">
        <f>VLOOKUP(B200,CENY!$B$11:$G$1054,2,FALSE)</f>
        <v>AvanY-spojky čela vnút.zás./v187/strieb.</v>
      </c>
      <c r="D200" s="364">
        <f>VLOOKUP(B200,CENY!$B$11:$G$1054,3,FALSE)</f>
        <v>1</v>
      </c>
      <c r="E200" s="56" t="str">
        <f>IF(VLOOKUP(B200,CENY!$B$11:$G$1054,4,FALSE)=0,"",VLOOKUP(B200,CENY!$B$11:$G$1054,4,FALSE))</f>
        <v/>
      </c>
      <c r="F200" s="40" t="str">
        <f>IF(J200&lt;&gt;"",J200,IF(N200=0,"",N200))</f>
        <v/>
      </c>
      <c r="G200" s="52">
        <f>VLOOKUP(B200,CENY!$B$11:$M$1054,12,FALSE)</f>
        <v>169.30695</v>
      </c>
      <c r="H200" s="54" t="str">
        <f t="shared" si="42"/>
        <v xml:space="preserve"> CZK</v>
      </c>
      <c r="I200" s="41" t="str">
        <f t="shared" si="43"/>
        <v/>
      </c>
      <c r="J200" s="122"/>
      <c r="K200" s="42" t="str">
        <f>VLOOKUP(B200,CENY!$B$11:$M$1054,8,FALSE)</f>
        <v xml:space="preserve"> </v>
      </c>
      <c r="L200" s="42" t="str">
        <f>VLOOKUP(B200,CENY!$B$11:$M$1054,9,FALSE)</f>
        <v>397380</v>
      </c>
      <c r="M200" s="32"/>
      <c r="N200" s="35">
        <f>SUM(P200:BW200)</f>
        <v>0</v>
      </c>
      <c r="O200" s="36">
        <v>0</v>
      </c>
      <c r="P200" s="32"/>
      <c r="Q200" s="32"/>
      <c r="R200" s="32"/>
      <c r="S200" s="32"/>
      <c r="T200" s="32"/>
      <c r="U200" s="32"/>
      <c r="V200" s="32"/>
      <c r="W200" s="32"/>
      <c r="X200" s="32"/>
      <c r="Y200" s="32"/>
      <c r="Z200" s="32"/>
      <c r="AA200" s="32"/>
      <c r="AB200" s="32"/>
      <c r="AC200" s="32"/>
      <c r="AD200" s="333">
        <f>'AVT187(vn-A)'!AZ84</f>
        <v>0</v>
      </c>
      <c r="AE200" s="32"/>
      <c r="AF200" s="32"/>
      <c r="AG200" s="32"/>
      <c r="AH200" s="32"/>
      <c r="AI200" s="32"/>
      <c r="AJ200" s="32"/>
      <c r="AK200" s="32"/>
      <c r="AL200" s="32"/>
      <c r="AM200" s="32"/>
      <c r="AN200" s="32"/>
      <c r="AO200" s="32"/>
      <c r="AP200" s="32"/>
      <c r="AQ200" s="32"/>
      <c r="AR200" s="32"/>
      <c r="AS200" s="32"/>
      <c r="AT200" s="32"/>
      <c r="AU200" s="32"/>
      <c r="AV200" s="325">
        <f>'potr-v101+187'!AZ93</f>
        <v>0</v>
      </c>
      <c r="AW200" s="32"/>
      <c r="AX200" s="32"/>
      <c r="AY200" s="32"/>
      <c r="AZ200" s="32"/>
      <c r="BA200" s="32"/>
      <c r="BB200" s="32"/>
      <c r="BC200" s="32"/>
      <c r="BD200" s="32"/>
      <c r="BE200" s="32"/>
      <c r="BF200" s="32"/>
      <c r="BG200" s="32"/>
      <c r="BH200" s="32"/>
      <c r="BI200" s="32"/>
      <c r="BJ200" s="32"/>
      <c r="BK200" s="32"/>
      <c r="BL200" s="32"/>
      <c r="BM200" s="32"/>
      <c r="BN200" s="32"/>
      <c r="BO200" s="165"/>
      <c r="BP200" s="165"/>
      <c r="BQ200" s="165"/>
      <c r="BR200" s="165"/>
      <c r="BS200" s="165"/>
      <c r="BT200" s="165"/>
      <c r="BU200" s="165"/>
      <c r="BV200" s="55"/>
      <c r="BW200" s="160"/>
      <c r="BX200" s="32"/>
      <c r="BY200" s="24"/>
      <c r="BZ200" s="24"/>
      <c r="CA200" s="24"/>
      <c r="CB200" s="24"/>
      <c r="CC200" s="24"/>
      <c r="CD200" s="24"/>
      <c r="CE200" s="24"/>
    </row>
    <row r="201" spans="1:83" ht="15" customHeight="1">
      <c r="A201" s="4"/>
      <c r="B201" s="317">
        <f>IF($Q$8=$Q$7,CENY!B484,IF($Q$7=$Q$9,CENY!B485,CENY!B486))</f>
        <v>9257623</v>
      </c>
      <c r="C201" s="43" t="str">
        <f>VLOOKUP(B201,CENY!$B$11:$G$1054,2,FALSE)</f>
        <v>AvanY-spojky čela vnút.Inlay/v187/strieb.</v>
      </c>
      <c r="D201" s="364">
        <f>VLOOKUP(B201,CENY!$B$11:$G$1054,3,FALSE)</f>
        <v>1</v>
      </c>
      <c r="E201" s="56" t="str">
        <f>IF(VLOOKUP(B201,CENY!$B$11:$G$1054,4,FALSE)=0,"",VLOOKUP(B201,CENY!$B$11:$G$1054,4,FALSE))</f>
        <v/>
      </c>
      <c r="F201" s="40" t="str">
        <f>IF(J201&lt;&gt;"",J201,IF(N201=0,"",N201))</f>
        <v/>
      </c>
      <c r="G201" s="52">
        <f>VLOOKUP(B201,CENY!$B$11:$M$1054,12,FALSE)</f>
        <v>150.04737</v>
      </c>
      <c r="H201" s="54" t="str">
        <f t="shared" si="42"/>
        <v xml:space="preserve"> CZK</v>
      </c>
      <c r="I201" s="41" t="str">
        <f t="shared" si="43"/>
        <v/>
      </c>
      <c r="J201" s="122"/>
      <c r="K201" s="42" t="str">
        <f>VLOOKUP(B201,CENY!$B$11:$M$1054,8,FALSE)</f>
        <v xml:space="preserve"> </v>
      </c>
      <c r="L201" s="42" t="str">
        <f>VLOOKUP(B201,CENY!$B$11:$M$1054,9,FALSE)</f>
        <v>397387</v>
      </c>
      <c r="M201" s="32"/>
      <c r="N201" s="35">
        <f>SUM(P201:BW201)</f>
        <v>0</v>
      </c>
      <c r="O201" s="36">
        <v>0</v>
      </c>
      <c r="P201" s="32"/>
      <c r="Q201" s="32"/>
      <c r="R201" s="32"/>
      <c r="S201" s="32"/>
      <c r="T201" s="32"/>
      <c r="U201" s="32"/>
      <c r="V201" s="32"/>
      <c r="W201" s="32"/>
      <c r="X201" s="32"/>
      <c r="Y201" s="32"/>
      <c r="Z201" s="32"/>
      <c r="AA201" s="32"/>
      <c r="AB201" s="32"/>
      <c r="AC201" s="32"/>
      <c r="AD201" s="32"/>
      <c r="AE201" s="32"/>
      <c r="AF201" s="333">
        <f>'AVT187In(vn-A)'!AZ84</f>
        <v>0</v>
      </c>
      <c r="AG201" s="32"/>
      <c r="AH201" s="32"/>
      <c r="AI201" s="32"/>
      <c r="AJ201" s="32"/>
      <c r="AK201" s="32"/>
      <c r="AL201" s="32"/>
      <c r="AM201" s="32"/>
      <c r="AN201" s="32"/>
      <c r="AO201" s="32"/>
      <c r="AP201" s="32"/>
      <c r="AQ201" s="32"/>
      <c r="AR201" s="32"/>
      <c r="AS201" s="32"/>
      <c r="AT201" s="32"/>
      <c r="AU201" s="32"/>
      <c r="AV201" s="32"/>
      <c r="AW201" s="32"/>
      <c r="AX201" s="325">
        <f>'potr-v101+187-IL'!AZ93</f>
        <v>0</v>
      </c>
      <c r="AY201" s="32"/>
      <c r="AZ201" s="32"/>
      <c r="BA201" s="32"/>
      <c r="BB201" s="32"/>
      <c r="BC201" s="32"/>
      <c r="BD201" s="32"/>
      <c r="BE201" s="32"/>
      <c r="BF201" s="32"/>
      <c r="BG201" s="32"/>
      <c r="BH201" s="32"/>
      <c r="BI201" s="32"/>
      <c r="BJ201" s="32"/>
      <c r="BK201" s="32"/>
      <c r="BL201" s="32"/>
      <c r="BM201" s="32"/>
      <c r="BN201" s="32"/>
      <c r="BO201" s="165"/>
      <c r="BP201" s="165"/>
      <c r="BQ201" s="165"/>
      <c r="BR201" s="165"/>
      <c r="BS201" s="165"/>
      <c r="BT201" s="165"/>
      <c r="BU201" s="165"/>
      <c r="BV201" s="55"/>
      <c r="BW201" s="160"/>
      <c r="BX201" s="32"/>
      <c r="BY201" s="24"/>
      <c r="BZ201" s="24"/>
      <c r="CA201" s="24"/>
      <c r="CB201" s="24"/>
      <c r="CC201" s="24"/>
      <c r="CD201" s="24"/>
      <c r="CE201" s="24"/>
    </row>
    <row r="202" spans="1:83" ht="8.1" customHeight="1">
      <c r="A202" s="4"/>
      <c r="B202" s="317"/>
      <c r="C202" s="43"/>
      <c r="D202" s="39"/>
      <c r="E202" s="56"/>
      <c r="F202" s="40"/>
      <c r="G202" s="52"/>
      <c r="H202" s="54"/>
      <c r="I202" s="41"/>
      <c r="J202" s="122"/>
      <c r="K202" s="42"/>
      <c r="L202" s="42"/>
      <c r="M202" s="32"/>
      <c r="N202" s="35"/>
      <c r="O202" s="36">
        <v>0</v>
      </c>
      <c r="P202" s="32"/>
      <c r="Q202" s="32"/>
      <c r="R202" s="32"/>
      <c r="S202" s="32"/>
      <c r="T202" s="32"/>
      <c r="U202" s="32"/>
      <c r="V202" s="32"/>
      <c r="W202" s="32"/>
      <c r="X202" s="32"/>
      <c r="Y202" s="32"/>
      <c r="Z202" s="32"/>
      <c r="AA202" s="32"/>
      <c r="AB202" s="32"/>
      <c r="AC202" s="32"/>
      <c r="AD202" s="32"/>
      <c r="AE202" s="32"/>
      <c r="AF202" s="32"/>
      <c r="AG202" s="32"/>
      <c r="AH202" s="32"/>
      <c r="AI202" s="32"/>
      <c r="AJ202" s="32"/>
      <c r="AK202" s="32"/>
      <c r="AL202" s="32"/>
      <c r="AM202" s="32"/>
      <c r="AN202" s="32"/>
      <c r="AO202" s="32"/>
      <c r="AP202" s="32"/>
      <c r="AQ202" s="32"/>
      <c r="AR202" s="32"/>
      <c r="AS202" s="32"/>
      <c r="AT202" s="32"/>
      <c r="AU202" s="32"/>
      <c r="AV202" s="32"/>
      <c r="AW202" s="32"/>
      <c r="AX202" s="32"/>
      <c r="AY202" s="32"/>
      <c r="AZ202" s="32"/>
      <c r="BA202" s="32"/>
      <c r="BB202" s="32"/>
      <c r="BC202" s="32"/>
      <c r="BD202" s="32"/>
      <c r="BE202" s="32"/>
      <c r="BF202" s="32"/>
      <c r="BG202" s="32"/>
      <c r="BH202" s="32"/>
      <c r="BI202" s="32"/>
      <c r="BJ202" s="32"/>
      <c r="BK202" s="32"/>
      <c r="BL202" s="32"/>
      <c r="BM202" s="32"/>
      <c r="BN202" s="32"/>
      <c r="BO202" s="165"/>
      <c r="BP202" s="165"/>
      <c r="BQ202" s="165"/>
      <c r="BR202" s="165"/>
      <c r="BS202" s="165"/>
      <c r="BT202" s="165"/>
      <c r="BU202" s="165"/>
      <c r="BV202" s="55"/>
      <c r="BW202" s="160"/>
      <c r="BX202" s="32"/>
      <c r="BY202" s="24"/>
      <c r="BZ202" s="24"/>
      <c r="CA202" s="24"/>
      <c r="CB202" s="24"/>
      <c r="CC202" s="24"/>
      <c r="CD202" s="24"/>
      <c r="CE202" s="24"/>
    </row>
    <row r="203" spans="1:83" ht="15" customHeight="1">
      <c r="A203" s="4"/>
      <c r="B203" s="317">
        <f>CENY!B487</f>
        <v>9257641</v>
      </c>
      <c r="C203" s="43" t="str">
        <f>VLOOKUP(B203,CENY!$B$11:$G$1054,2,FALSE)</f>
        <v>AvanY-stabilizátor čela vnút.zásuvky</v>
      </c>
      <c r="D203" s="353">
        <f>VLOOKUP(B203,CENY!$B$11:$G$1054,3,FALSE)</f>
        <v>100</v>
      </c>
      <c r="E203" s="56" t="str">
        <f>IF(VLOOKUP(B203,CENY!$B$11:$G$1054,4,FALSE)=0,"",VLOOKUP(B203,CENY!$B$11:$G$1054,4,FALSE))</f>
        <v/>
      </c>
      <c r="F203" s="40" t="str">
        <f>IF(J203&lt;&gt;"",J203,IF(N203=0,"",N203))</f>
        <v/>
      </c>
      <c r="G203" s="52">
        <f>VLOOKUP(B203,CENY!$B$11:$M$1054,12,FALSE)</f>
        <v>10.840870000000001</v>
      </c>
      <c r="H203" s="54" t="str">
        <f t="shared" si="42"/>
        <v xml:space="preserve"> CZK</v>
      </c>
      <c r="I203" s="41" t="str">
        <f t="shared" si="43"/>
        <v/>
      </c>
      <c r="J203" s="122"/>
      <c r="K203" s="42" t="str">
        <f>VLOOKUP(B203,CENY!$B$11:$M$1054,8,FALSE)</f>
        <v xml:space="preserve"> </v>
      </c>
      <c r="L203" s="42" t="str">
        <f>VLOOKUP(B203,CENY!$B$11:$M$1054,9,FALSE)</f>
        <v>397390</v>
      </c>
      <c r="M203" s="32"/>
      <c r="N203" s="35">
        <f>SUM(P203:BW203)</f>
        <v>0</v>
      </c>
      <c r="O203" s="36">
        <v>0</v>
      </c>
      <c r="P203" s="32"/>
      <c r="Q203" s="32"/>
      <c r="R203" s="32"/>
      <c r="S203" s="32"/>
      <c r="T203" s="32"/>
      <c r="U203" s="32"/>
      <c r="V203" s="32"/>
      <c r="W203" s="32"/>
      <c r="X203" s="32"/>
      <c r="Y203" s="32"/>
      <c r="Z203" s="32"/>
      <c r="AA203" s="333">
        <f>'AVT101(vn-A)'!BI130</f>
        <v>0</v>
      </c>
      <c r="AB203" s="32"/>
      <c r="AC203" s="333">
        <f>'AVT139(vn-A)'!BI130</f>
        <v>0</v>
      </c>
      <c r="AD203" s="32"/>
      <c r="AE203" s="333">
        <f>'AVT187(vn-A)'!BI130</f>
        <v>0</v>
      </c>
      <c r="AF203" s="32"/>
      <c r="AG203" s="333">
        <f>'AVT187In(vn-A)'!BI104</f>
        <v>0</v>
      </c>
      <c r="AH203" s="32"/>
      <c r="AI203" s="32"/>
      <c r="AJ203" s="32"/>
      <c r="AK203" s="32"/>
      <c r="AL203" s="32"/>
      <c r="AM203" s="32"/>
      <c r="AN203" s="32"/>
      <c r="AO203" s="32"/>
      <c r="AP203" s="32"/>
      <c r="AQ203" s="32"/>
      <c r="AR203" s="32"/>
      <c r="AS203" s="32"/>
      <c r="AT203" s="32"/>
      <c r="AU203" s="32"/>
      <c r="AV203" s="32"/>
      <c r="AW203" s="325">
        <f>'potr-v101+187'!BI145</f>
        <v>0</v>
      </c>
      <c r="AX203" s="32"/>
      <c r="AY203" s="325">
        <f>'potr-v101+187-IL'!BI145</f>
        <v>0</v>
      </c>
      <c r="AZ203" s="32"/>
      <c r="BA203" s="32"/>
      <c r="BB203" s="32"/>
      <c r="BC203" s="32"/>
      <c r="BD203" s="32"/>
      <c r="BE203" s="32"/>
      <c r="BF203" s="32"/>
      <c r="BG203" s="32"/>
      <c r="BH203" s="32"/>
      <c r="BI203" s="32"/>
      <c r="BJ203" s="32"/>
      <c r="BK203" s="32"/>
      <c r="BL203" s="32"/>
      <c r="BM203" s="32"/>
      <c r="BN203" s="32"/>
      <c r="BO203" s="165"/>
      <c r="BP203" s="165"/>
      <c r="BQ203" s="165"/>
      <c r="BR203" s="165"/>
      <c r="BS203" s="165"/>
      <c r="BT203" s="165"/>
      <c r="BU203" s="165"/>
      <c r="BV203" s="55"/>
      <c r="BW203" s="160"/>
      <c r="BX203" s="32"/>
      <c r="BY203" s="24"/>
      <c r="BZ203" s="24"/>
      <c r="CA203" s="24"/>
      <c r="CB203" s="24"/>
      <c r="CC203" s="24"/>
      <c r="CD203" s="24"/>
      <c r="CE203" s="24"/>
    </row>
    <row r="204" spans="1:83" ht="15" customHeight="1">
      <c r="A204" s="4"/>
      <c r="B204" s="317">
        <f>IF($Q$8=$Q$7,CENY!B491,IF($Q$7=$Q$9,CENY!B494,CENY!B497))</f>
        <v>9257629</v>
      </c>
      <c r="C204" s="43" t="str">
        <f>VLOOKUP(B204,CENY!$B$11:$G$1054,2,FALSE)</f>
        <v>AvanY-krytka čela vnút.zás./v101/strieb.</v>
      </c>
      <c r="D204" s="353">
        <f>VLOOKUP(B204,CENY!$B$11:$G$1054,3,FALSE)</f>
        <v>200</v>
      </c>
      <c r="E204" s="56" t="str">
        <f>IF(VLOOKUP(B204,CENY!$B$11:$G$1054,4,FALSE)=0,"",VLOOKUP(B204,CENY!$B$11:$G$1054,4,FALSE))</f>
        <v/>
      </c>
      <c r="F204" s="40" t="str">
        <f>IF(J204&lt;&gt;"",J204,IF(N204=0,"",N204))</f>
        <v/>
      </c>
      <c r="G204" s="52">
        <f>VLOOKUP(B204,CENY!$B$11:$M$1054,12,FALSE)</f>
        <v>4.4243899999999998</v>
      </c>
      <c r="H204" s="54" t="str">
        <f t="shared" si="42"/>
        <v xml:space="preserve"> CZK</v>
      </c>
      <c r="I204" s="41" t="str">
        <f t="shared" si="43"/>
        <v/>
      </c>
      <c r="J204" s="122"/>
      <c r="K204" s="42" t="str">
        <f>VLOOKUP(B204,CENY!$B$11:$M$1054,8,FALSE)</f>
        <v xml:space="preserve"> </v>
      </c>
      <c r="L204" s="42" t="str">
        <f>VLOOKUP(B204,CENY!$B$11:$M$1054,9,FALSE)</f>
        <v>397391</v>
      </c>
      <c r="M204" s="32"/>
      <c r="N204" s="35">
        <f>SUM(P204:BW204)</f>
        <v>0</v>
      </c>
      <c r="O204" s="36">
        <v>0</v>
      </c>
      <c r="P204" s="32"/>
      <c r="Q204" s="32"/>
      <c r="R204" s="32"/>
      <c r="S204" s="32"/>
      <c r="T204" s="32"/>
      <c r="U204" s="32"/>
      <c r="V204" s="32"/>
      <c r="W204" s="32"/>
      <c r="X204" s="32"/>
      <c r="Y204" s="32"/>
      <c r="Z204" s="32"/>
      <c r="AA204" s="333">
        <f>'AVT101(vn-A)'!BI131</f>
        <v>0</v>
      </c>
      <c r="AB204" s="32"/>
      <c r="AC204" s="32"/>
      <c r="AD204" s="32"/>
      <c r="AE204" s="32"/>
      <c r="AF204" s="32"/>
      <c r="AG204" s="32"/>
      <c r="AH204" s="32"/>
      <c r="AI204" s="32"/>
      <c r="AJ204" s="32"/>
      <c r="AK204" s="32"/>
      <c r="AL204" s="32"/>
      <c r="AM204" s="32"/>
      <c r="AN204" s="32"/>
      <c r="AO204" s="32"/>
      <c r="AP204" s="32"/>
      <c r="AQ204" s="32"/>
      <c r="AR204" s="32"/>
      <c r="AS204" s="32"/>
      <c r="AT204" s="32"/>
      <c r="AU204" s="32"/>
      <c r="AV204" s="32"/>
      <c r="AW204" s="325">
        <f>'potr-v101+187'!BI146</f>
        <v>0</v>
      </c>
      <c r="AX204" s="32"/>
      <c r="AY204" s="325">
        <f>'potr-v101+187-IL'!BI146</f>
        <v>0</v>
      </c>
      <c r="AZ204" s="32"/>
      <c r="BA204" s="32"/>
      <c r="BB204" s="32"/>
      <c r="BC204" s="32"/>
      <c r="BD204" s="32"/>
      <c r="BE204" s="32"/>
      <c r="BF204" s="32"/>
      <c r="BG204" s="32"/>
      <c r="BH204" s="32"/>
      <c r="BI204" s="32"/>
      <c r="BJ204" s="32"/>
      <c r="BK204" s="32"/>
      <c r="BL204" s="32"/>
      <c r="BM204" s="32"/>
      <c r="BN204" s="32"/>
      <c r="BO204" s="165"/>
      <c r="BP204" s="165"/>
      <c r="BQ204" s="165"/>
      <c r="BR204" s="165"/>
      <c r="BS204" s="165"/>
      <c r="BT204" s="165"/>
      <c r="BU204" s="165"/>
      <c r="BV204" s="55"/>
      <c r="BW204" s="160"/>
      <c r="BX204" s="32"/>
      <c r="BY204" s="24"/>
      <c r="BZ204" s="24"/>
      <c r="CA204" s="24"/>
      <c r="CB204" s="24"/>
      <c r="CC204" s="24"/>
      <c r="CD204" s="24"/>
      <c r="CE204" s="24"/>
    </row>
    <row r="205" spans="1:83" ht="15" customHeight="1">
      <c r="A205" s="4"/>
      <c r="B205" s="317">
        <f>IF($Q$8=$Q$7,CENY!B492,IF($Q$7=$Q$9,CENY!B495,CENY!B498))</f>
        <v>9257630</v>
      </c>
      <c r="C205" s="43" t="str">
        <f>VLOOKUP(B205,CENY!$B$11:$G$1054,2,FALSE)</f>
        <v>AvanY-krytka čela vnút.zás./v139/strieb.</v>
      </c>
      <c r="D205" s="353">
        <f>VLOOKUP(B205,CENY!$B$11:$G$1054,3,FALSE)</f>
        <v>200</v>
      </c>
      <c r="E205" s="56" t="str">
        <f>IF(VLOOKUP(B205,CENY!$B$11:$G$1054,4,FALSE)=0,"",VLOOKUP(B205,CENY!$B$11:$G$1054,4,FALSE))</f>
        <v/>
      </c>
      <c r="F205" s="40" t="str">
        <f>IF(J205&lt;&gt;"",J205,IF(N205=0,"",N205))</f>
        <v/>
      </c>
      <c r="G205" s="52">
        <f>VLOOKUP(B205,CENY!$B$11:$M$1054,12,FALSE)</f>
        <v>6.09389</v>
      </c>
      <c r="H205" s="54" t="str">
        <f t="shared" si="42"/>
        <v xml:space="preserve"> CZK</v>
      </c>
      <c r="I205" s="41" t="str">
        <f t="shared" si="43"/>
        <v/>
      </c>
      <c r="J205" s="122"/>
      <c r="K205" s="42" t="str">
        <f>VLOOKUP(B205,CENY!$B$11:$M$1054,8,FALSE)</f>
        <v xml:space="preserve"> </v>
      </c>
      <c r="L205" s="42" t="str">
        <f>VLOOKUP(B205,CENY!$B$11:$M$1054,9,FALSE)</f>
        <v>397392</v>
      </c>
      <c r="M205" s="32"/>
      <c r="N205" s="35">
        <f>SUM(P205:BW205)</f>
        <v>0</v>
      </c>
      <c r="O205" s="36">
        <v>0</v>
      </c>
      <c r="P205" s="32"/>
      <c r="Q205" s="32"/>
      <c r="R205" s="32"/>
      <c r="S205" s="32"/>
      <c r="T205" s="32"/>
      <c r="U205" s="32"/>
      <c r="V205" s="32"/>
      <c r="W205" s="32"/>
      <c r="X205" s="32"/>
      <c r="Y205" s="32"/>
      <c r="Z205" s="32"/>
      <c r="AA205" s="32"/>
      <c r="AB205" s="32"/>
      <c r="AC205" s="333">
        <f>'AVT139(vn-A)'!BI131</f>
        <v>0</v>
      </c>
      <c r="AD205" s="32"/>
      <c r="AE205" s="32"/>
      <c r="AF205" s="32"/>
      <c r="AG205" s="32"/>
      <c r="AH205" s="32"/>
      <c r="AI205" s="32"/>
      <c r="AJ205" s="32"/>
      <c r="AK205" s="32"/>
      <c r="AL205" s="32"/>
      <c r="AM205" s="32"/>
      <c r="AN205" s="32"/>
      <c r="AO205" s="32"/>
      <c r="AP205" s="32"/>
      <c r="AQ205" s="32"/>
      <c r="AR205" s="32"/>
      <c r="AS205" s="32"/>
      <c r="AT205" s="32"/>
      <c r="AU205" s="32"/>
      <c r="AV205" s="32"/>
      <c r="AW205" s="32"/>
      <c r="AX205" s="32"/>
      <c r="AY205" s="32"/>
      <c r="AZ205" s="32"/>
      <c r="BA205" s="32"/>
      <c r="BB205" s="32"/>
      <c r="BC205" s="32"/>
      <c r="BD205" s="32"/>
      <c r="BE205" s="32"/>
      <c r="BF205" s="32"/>
      <c r="BG205" s="32"/>
      <c r="BH205" s="32"/>
      <c r="BI205" s="32"/>
      <c r="BJ205" s="32"/>
      <c r="BK205" s="32"/>
      <c r="BL205" s="32"/>
      <c r="BM205" s="32"/>
      <c r="BN205" s="32"/>
      <c r="BO205" s="165"/>
      <c r="BP205" s="165"/>
      <c r="BQ205" s="165"/>
      <c r="BR205" s="165"/>
      <c r="BS205" s="165"/>
      <c r="BT205" s="165"/>
      <c r="BU205" s="165"/>
      <c r="BV205" s="55"/>
      <c r="BW205" s="160"/>
      <c r="BX205" s="32"/>
      <c r="BY205" s="24"/>
      <c r="BZ205" s="24"/>
      <c r="CA205" s="24"/>
      <c r="CB205" s="24"/>
      <c r="CC205" s="24"/>
      <c r="CD205" s="24"/>
      <c r="CE205" s="24"/>
    </row>
    <row r="206" spans="1:83" ht="15" customHeight="1">
      <c r="A206" s="4"/>
      <c r="B206" s="317">
        <f>IF($Q$8=$Q$7,CENY!B493,IF($Q$7=$Q$9,CENY!B496,CENY!B499))</f>
        <v>9257631</v>
      </c>
      <c r="C206" s="43" t="str">
        <f>VLOOKUP(B206,CENY!$B$11:$G$1054,2,FALSE)</f>
        <v>AvanY-krytka čela vnút.zás./v187/strieb.</v>
      </c>
      <c r="D206" s="353">
        <f>VLOOKUP(B206,CENY!$B$11:$G$1054,3,FALSE)</f>
        <v>200</v>
      </c>
      <c r="E206" s="56" t="str">
        <f>IF(VLOOKUP(B206,CENY!$B$11:$G$1054,4,FALSE)=0,"",VLOOKUP(B206,CENY!$B$11:$G$1054,4,FALSE))</f>
        <v/>
      </c>
      <c r="F206" s="40" t="str">
        <f>IF(J206&lt;&gt;"",J206,IF(N206=0,"",N206))</f>
        <v/>
      </c>
      <c r="G206" s="52">
        <f>VLOOKUP(B206,CENY!$B$11:$M$1054,12,FALSE)</f>
        <v>7.9287099999999997</v>
      </c>
      <c r="H206" s="54" t="str">
        <f t="shared" si="42"/>
        <v xml:space="preserve"> CZK</v>
      </c>
      <c r="I206" s="41" t="str">
        <f t="shared" si="43"/>
        <v/>
      </c>
      <c r="J206" s="122"/>
      <c r="K206" s="42" t="str">
        <f>VLOOKUP(B206,CENY!$B$11:$M$1054,8,FALSE)</f>
        <v xml:space="preserve"> </v>
      </c>
      <c r="L206" s="42" t="str">
        <f>VLOOKUP(B206,CENY!$B$11:$M$1054,9,FALSE)</f>
        <v>397393</v>
      </c>
      <c r="M206" s="32"/>
      <c r="N206" s="35">
        <f>SUM(P206:BW206)</f>
        <v>0</v>
      </c>
      <c r="O206" s="36">
        <v>0</v>
      </c>
      <c r="P206" s="32"/>
      <c r="Q206" s="32"/>
      <c r="R206" s="32"/>
      <c r="S206" s="32"/>
      <c r="T206" s="32"/>
      <c r="U206" s="32"/>
      <c r="V206" s="32"/>
      <c r="W206" s="32"/>
      <c r="X206" s="32"/>
      <c r="Y206" s="32"/>
      <c r="Z206" s="32"/>
      <c r="AA206" s="32"/>
      <c r="AB206" s="32"/>
      <c r="AC206" s="32"/>
      <c r="AD206" s="32"/>
      <c r="AE206" s="333">
        <f>'AVT187(vn-A)'!BI131</f>
        <v>0</v>
      </c>
      <c r="AF206" s="32"/>
      <c r="AG206" s="333">
        <f>'AVT187In(vn-A)'!BI105</f>
        <v>0</v>
      </c>
      <c r="AH206" s="32"/>
      <c r="AI206" s="32"/>
      <c r="AJ206" s="32"/>
      <c r="AK206" s="32"/>
      <c r="AL206" s="32"/>
      <c r="AM206" s="32"/>
      <c r="AN206" s="32"/>
      <c r="AO206" s="32"/>
      <c r="AP206" s="32"/>
      <c r="AQ206" s="32"/>
      <c r="AR206" s="32"/>
      <c r="AS206" s="32"/>
      <c r="AT206" s="32"/>
      <c r="AU206" s="32"/>
      <c r="AV206" s="32"/>
      <c r="AW206" s="325">
        <f>'potr-v101+187'!BI147</f>
        <v>0</v>
      </c>
      <c r="AX206" s="32"/>
      <c r="AY206" s="325">
        <f>'potr-v101+187-IL'!BI147</f>
        <v>0</v>
      </c>
      <c r="AZ206" s="32"/>
      <c r="BA206" s="32"/>
      <c r="BB206" s="32"/>
      <c r="BC206" s="32"/>
      <c r="BD206" s="32"/>
      <c r="BE206" s="32"/>
      <c r="BF206" s="32"/>
      <c r="BG206" s="32"/>
      <c r="BH206" s="32"/>
      <c r="BI206" s="32"/>
      <c r="BJ206" s="32"/>
      <c r="BK206" s="32"/>
      <c r="BL206" s="32"/>
      <c r="BM206" s="32"/>
      <c r="BN206" s="32"/>
      <c r="BO206" s="165"/>
      <c r="BP206" s="165"/>
      <c r="BQ206" s="165"/>
      <c r="BR206" s="165"/>
      <c r="BS206" s="165"/>
      <c r="BT206" s="165"/>
      <c r="BU206" s="165"/>
      <c r="BV206" s="55"/>
      <c r="BW206" s="160"/>
      <c r="BX206" s="32"/>
      <c r="BY206" s="24"/>
      <c r="BZ206" s="24"/>
      <c r="CA206" s="24"/>
      <c r="CB206" s="24"/>
      <c r="CC206" s="24"/>
      <c r="CD206" s="24"/>
      <c r="CE206" s="24"/>
    </row>
    <row r="207" spans="1:83" ht="8.1" customHeight="1">
      <c r="A207" s="4"/>
      <c r="B207" s="126"/>
      <c r="C207" s="43"/>
      <c r="D207" s="39"/>
      <c r="E207" s="56"/>
      <c r="F207" s="60"/>
      <c r="G207" s="52"/>
      <c r="H207" s="54"/>
      <c r="I207" s="41"/>
      <c r="J207" s="122"/>
      <c r="K207" s="42"/>
      <c r="L207" s="42"/>
      <c r="M207" s="32"/>
      <c r="N207" s="35"/>
      <c r="O207" s="36">
        <v>0</v>
      </c>
      <c r="P207" s="32"/>
      <c r="Q207" s="32"/>
      <c r="R207" s="32"/>
      <c r="S207" s="32"/>
      <c r="T207" s="32"/>
      <c r="U207" s="32"/>
      <c r="V207" s="32"/>
      <c r="W207" s="32"/>
      <c r="X207" s="32"/>
      <c r="Y207" s="32"/>
      <c r="Z207" s="32"/>
      <c r="AA207" s="32"/>
      <c r="AB207" s="32"/>
      <c r="AC207" s="32"/>
      <c r="AD207" s="32"/>
      <c r="AE207" s="32"/>
      <c r="AF207" s="32"/>
      <c r="AG207" s="32"/>
      <c r="AH207" s="32"/>
      <c r="AI207" s="32"/>
      <c r="AJ207" s="32"/>
      <c r="AK207" s="32"/>
      <c r="AL207" s="32"/>
      <c r="AM207" s="32"/>
      <c r="AN207" s="32"/>
      <c r="AO207" s="32"/>
      <c r="AP207" s="32"/>
      <c r="AQ207" s="32"/>
      <c r="AR207" s="32"/>
      <c r="AS207" s="32"/>
      <c r="AT207" s="32"/>
      <c r="AU207" s="32"/>
      <c r="AV207" s="32"/>
      <c r="AW207" s="32"/>
      <c r="AX207" s="32"/>
      <c r="AY207" s="32"/>
      <c r="AZ207" s="32"/>
      <c r="BA207" s="32"/>
      <c r="BB207" s="32"/>
      <c r="BC207" s="32"/>
      <c r="BD207" s="32"/>
      <c r="BE207" s="32"/>
      <c r="BF207" s="32"/>
      <c r="BG207" s="32"/>
      <c r="BH207" s="32"/>
      <c r="BI207" s="32"/>
      <c r="BJ207" s="32"/>
      <c r="BK207" s="32"/>
      <c r="BL207" s="32"/>
      <c r="BM207" s="32"/>
      <c r="BN207" s="32"/>
      <c r="BO207" s="165"/>
      <c r="BP207" s="165"/>
      <c r="BQ207" s="165"/>
      <c r="BR207" s="165"/>
      <c r="BS207" s="165"/>
      <c r="BT207" s="165"/>
      <c r="BU207" s="165"/>
      <c r="BV207" s="55"/>
      <c r="BW207" s="160"/>
      <c r="BX207" s="32"/>
      <c r="BY207" s="24"/>
      <c r="BZ207" s="24"/>
      <c r="CA207" s="24"/>
      <c r="CB207" s="24"/>
      <c r="CC207" s="24"/>
      <c r="CD207" s="24"/>
      <c r="CE207" s="24"/>
    </row>
    <row r="208" spans="1:83" ht="15" customHeight="1">
      <c r="A208" s="4"/>
      <c r="B208" s="317">
        <f>IF($Q$8=$Q$7,CENY!B488,IF($Q$7=$Q$9,CENY!B489,CENY!B490))</f>
        <v>9257734</v>
      </c>
      <c r="C208" s="43" t="str">
        <f>VLOOKUP(B208,CENY!$B$11:$G$1054,2,FALSE)</f>
        <v>AvanY-unášač vnútornej zásuvky ; sivá</v>
      </c>
      <c r="D208" s="355">
        <f>VLOOKUP(B208,CENY!$B$11:$G$1054,3,FALSE)</f>
        <v>1</v>
      </c>
      <c r="E208" s="56" t="str">
        <f>IF(VLOOKUP(B208,CENY!$B$11:$G$1054,4,FALSE)=0,"",VLOOKUP(B208,CENY!$B$11:$G$1054,4,FALSE))</f>
        <v/>
      </c>
      <c r="F208" s="40" t="str">
        <f>IF(J208&lt;&gt;"",J208,IF(N208=0,"",N208))</f>
        <v/>
      </c>
      <c r="G208" s="52">
        <f>VLOOKUP(B208,CENY!$B$11:$M$1054,12,FALSE)</f>
        <v>171.83053000000001</v>
      </c>
      <c r="H208" s="54" t="str">
        <f t="shared" si="42"/>
        <v xml:space="preserve"> CZK</v>
      </c>
      <c r="I208" s="41" t="str">
        <f t="shared" si="43"/>
        <v/>
      </c>
      <c r="J208" s="122"/>
      <c r="K208" s="42" t="str">
        <f>VLOOKUP(B208,CENY!$B$11:$M$1054,8,FALSE)</f>
        <v xml:space="preserve"> </v>
      </c>
      <c r="L208" s="42" t="str">
        <f>VLOOKUP(B208,CENY!$B$11:$M$1054,9,FALSE)</f>
        <v>481350</v>
      </c>
      <c r="M208" s="32"/>
      <c r="N208" s="35">
        <f>SUM(P208:BW208)</f>
        <v>0</v>
      </c>
      <c r="O208" s="36">
        <v>0</v>
      </c>
      <c r="P208" s="32"/>
      <c r="Q208" s="32"/>
      <c r="R208" s="32"/>
      <c r="S208" s="32"/>
      <c r="T208" s="32"/>
      <c r="U208" s="32"/>
      <c r="V208" s="32"/>
      <c r="W208" s="32"/>
      <c r="X208" s="32"/>
      <c r="Y208" s="32"/>
      <c r="Z208" s="32"/>
      <c r="AA208" s="32"/>
      <c r="AB208" s="32"/>
      <c r="AC208" s="32"/>
      <c r="AD208" s="32"/>
      <c r="AE208" s="32"/>
      <c r="AF208" s="32"/>
      <c r="AG208" s="32"/>
      <c r="AH208" s="32"/>
      <c r="AI208" s="32"/>
      <c r="AJ208" s="32"/>
      <c r="AK208" s="32"/>
      <c r="AL208" s="32"/>
      <c r="AM208" s="32"/>
      <c r="AN208" s="32"/>
      <c r="AO208" s="32"/>
      <c r="AP208" s="32"/>
      <c r="AQ208" s="32"/>
      <c r="AR208" s="32"/>
      <c r="AS208" s="32"/>
      <c r="AT208" s="32"/>
      <c r="AU208" s="32"/>
      <c r="AV208" s="32"/>
      <c r="AW208" s="32"/>
      <c r="AX208" s="32"/>
      <c r="AY208" s="32"/>
      <c r="AZ208" s="32"/>
      <c r="BA208" s="32"/>
      <c r="BB208" s="32"/>
      <c r="BC208" s="32"/>
      <c r="BD208" s="32"/>
      <c r="BE208" s="32"/>
      <c r="BF208" s="32"/>
      <c r="BG208" s="32"/>
      <c r="BH208" s="32"/>
      <c r="BI208" s="32"/>
      <c r="BJ208" s="32"/>
      <c r="BK208" s="32"/>
      <c r="BL208" s="32"/>
      <c r="BM208" s="32"/>
      <c r="BN208" s="32"/>
      <c r="BO208" s="165"/>
      <c r="BP208" s="165"/>
      <c r="BQ208" s="165"/>
      <c r="BR208" s="165"/>
      <c r="BS208" s="165"/>
      <c r="BT208" s="165"/>
      <c r="BU208" s="165"/>
      <c r="BV208" s="55"/>
      <c r="BW208" s="160"/>
      <c r="BX208" s="32"/>
      <c r="BY208" s="24"/>
      <c r="BZ208" s="24"/>
      <c r="CA208" s="24"/>
      <c r="CB208" s="24"/>
      <c r="CC208" s="24"/>
      <c r="CD208" s="24"/>
      <c r="CE208" s="24"/>
    </row>
    <row r="209" spans="1:83" ht="8.1" customHeight="1">
      <c r="A209" s="4"/>
      <c r="B209" s="126"/>
      <c r="C209" s="43"/>
      <c r="D209" s="39"/>
      <c r="E209" s="56"/>
      <c r="F209" s="60"/>
      <c r="G209" s="52"/>
      <c r="H209" s="54"/>
      <c r="I209" s="41"/>
      <c r="J209" s="122"/>
      <c r="K209" s="42"/>
      <c r="L209" s="42"/>
      <c r="M209" s="32"/>
      <c r="N209" s="35"/>
      <c r="O209" s="36">
        <v>0</v>
      </c>
      <c r="P209" s="32"/>
      <c r="Q209" s="32"/>
      <c r="R209" s="32"/>
      <c r="S209" s="32"/>
      <c r="T209" s="32"/>
      <c r="U209" s="32"/>
      <c r="V209" s="32"/>
      <c r="W209" s="32"/>
      <c r="X209" s="32"/>
      <c r="Y209" s="32"/>
      <c r="Z209" s="32"/>
      <c r="AA209" s="32"/>
      <c r="AB209" s="32"/>
      <c r="AC209" s="32"/>
      <c r="AD209" s="32"/>
      <c r="AE209" s="32"/>
      <c r="AF209" s="32"/>
      <c r="AG209" s="32"/>
      <c r="AH209" s="32"/>
      <c r="AI209" s="32"/>
      <c r="AJ209" s="32"/>
      <c r="AK209" s="32"/>
      <c r="AL209" s="32"/>
      <c r="AM209" s="32"/>
      <c r="AN209" s="32"/>
      <c r="AO209" s="32"/>
      <c r="AP209" s="32"/>
      <c r="AQ209" s="32"/>
      <c r="AR209" s="32"/>
      <c r="AS209" s="32"/>
      <c r="AT209" s="32"/>
      <c r="AU209" s="32"/>
      <c r="AV209" s="32"/>
      <c r="AW209" s="32"/>
      <c r="AX209" s="32"/>
      <c r="AY209" s="32"/>
      <c r="AZ209" s="32"/>
      <c r="BA209" s="32"/>
      <c r="BB209" s="32"/>
      <c r="BC209" s="32"/>
      <c r="BD209" s="32"/>
      <c r="BE209" s="32"/>
      <c r="BF209" s="32"/>
      <c r="BG209" s="32"/>
      <c r="BH209" s="32"/>
      <c r="BI209" s="32"/>
      <c r="BJ209" s="32"/>
      <c r="BK209" s="32"/>
      <c r="BL209" s="32"/>
      <c r="BM209" s="32"/>
      <c r="BN209" s="32"/>
      <c r="BO209" s="165"/>
      <c r="BP209" s="165"/>
      <c r="BQ209" s="165"/>
      <c r="BR209" s="165"/>
      <c r="BS209" s="165"/>
      <c r="BT209" s="165"/>
      <c r="BU209" s="165"/>
      <c r="BV209" s="55"/>
      <c r="BW209" s="160"/>
      <c r="BX209" s="32"/>
      <c r="BY209" s="24"/>
      <c r="BZ209" s="24"/>
      <c r="CA209" s="24"/>
      <c r="CB209" s="24"/>
      <c r="CC209" s="24"/>
      <c r="CD209" s="24"/>
      <c r="CE209" s="24"/>
    </row>
    <row r="210" spans="1:83" ht="15" customHeight="1">
      <c r="A210" s="4"/>
      <c r="B210" s="317">
        <f>IF($Q$8=$Q$7,CENY!B500,IF($Q$7=$Q$9,CENY!B501,CENY!B502))</f>
        <v>9257663</v>
      </c>
      <c r="C210" s="43" t="str">
        <f>VLOOKUP(B210,CENY!$B$11:$G$1054,2,FALSE)</f>
        <v>AvanY-indiv.čelo vnút.zásuv./d2000/strieb.</v>
      </c>
      <c r="D210" s="355">
        <f>VLOOKUP(B210,CENY!$B$11:$G$1054,3,FALSE)</f>
        <v>1</v>
      </c>
      <c r="E210" s="56" t="str">
        <f>IF(VLOOKUP(B210,CENY!$B$11:$G$1054,4,FALSE)=0,"",VLOOKUP(B210,CENY!$B$11:$G$1054,4,FALSE))</f>
        <v/>
      </c>
      <c r="F210" s="40" t="str">
        <f>IF(J210&lt;&gt;"",J210,IF(N210=0,"",N210))</f>
        <v/>
      </c>
      <c r="G210" s="52">
        <f>VLOOKUP(B210,CENY!$B$11:$M$1054,12,FALSE)</f>
        <v>741.56732999999997</v>
      </c>
      <c r="H210" s="54" t="str">
        <f t="shared" si="42"/>
        <v xml:space="preserve"> CZK</v>
      </c>
      <c r="I210" s="41" t="str">
        <f t="shared" si="43"/>
        <v/>
      </c>
      <c r="J210" s="122"/>
      <c r="K210" s="42" t="str">
        <f>VLOOKUP(B210,CENY!$B$11:$M$1054,8,FALSE)</f>
        <v xml:space="preserve"> </v>
      </c>
      <c r="L210" s="42" t="str">
        <f>VLOOKUP(B210,CENY!$B$11:$M$1054,9,FALSE)</f>
        <v>397748</v>
      </c>
      <c r="M210" s="32"/>
      <c r="N210" s="35">
        <f>SUM(P210:BW210)</f>
        <v>0</v>
      </c>
      <c r="O210" s="36">
        <v>0</v>
      </c>
      <c r="P210" s="32"/>
      <c r="Q210" s="32"/>
      <c r="R210" s="32"/>
      <c r="S210" s="32"/>
      <c r="T210" s="32"/>
      <c r="U210" s="32"/>
      <c r="V210" s="32"/>
      <c r="W210" s="32"/>
      <c r="X210" s="32"/>
      <c r="Y210" s="32"/>
      <c r="Z210" s="32"/>
      <c r="AA210" s="32"/>
      <c r="AB210" s="32"/>
      <c r="AC210" s="32"/>
      <c r="AD210" s="32"/>
      <c r="AE210" s="32"/>
      <c r="AF210" s="32"/>
      <c r="AG210" s="32"/>
      <c r="AH210" s="337">
        <f>'AVT187(vn-S)'!AZ83</f>
        <v>0</v>
      </c>
      <c r="AI210" s="337">
        <f>'AVT187(vn-S)'!BI128</f>
        <v>0</v>
      </c>
      <c r="AJ210" s="337">
        <f>'AVT187In(vn-S)'!AZ83</f>
        <v>0</v>
      </c>
      <c r="AK210" s="337">
        <f>'AVT187In(vn-S)'!BI102</f>
        <v>0</v>
      </c>
      <c r="AL210" s="32"/>
      <c r="AM210" s="32"/>
      <c r="AN210" s="32"/>
      <c r="AO210" s="32"/>
      <c r="AP210" s="32"/>
      <c r="AQ210" s="32"/>
      <c r="AR210" s="32"/>
      <c r="AS210" s="32"/>
      <c r="AT210" s="32"/>
      <c r="AU210" s="32"/>
      <c r="AV210" s="32"/>
      <c r="AW210" s="32"/>
      <c r="AX210" s="32"/>
      <c r="AY210" s="32"/>
      <c r="AZ210" s="32"/>
      <c r="BA210" s="32"/>
      <c r="BB210" s="32"/>
      <c r="BC210" s="32"/>
      <c r="BD210" s="32"/>
      <c r="BE210" s="32"/>
      <c r="BF210" s="32"/>
      <c r="BG210" s="32"/>
      <c r="BH210" s="32"/>
      <c r="BI210" s="32"/>
      <c r="BJ210" s="32"/>
      <c r="BK210" s="32"/>
      <c r="BL210" s="32"/>
      <c r="BM210" s="32"/>
      <c r="BN210" s="32"/>
      <c r="BO210" s="165"/>
      <c r="BP210" s="165"/>
      <c r="BQ210" s="165"/>
      <c r="BR210" s="165"/>
      <c r="BS210" s="165"/>
      <c r="BT210" s="165"/>
      <c r="BU210" s="165"/>
      <c r="BV210" s="55"/>
      <c r="BW210" s="160"/>
      <c r="BX210" s="32"/>
      <c r="BY210" s="24"/>
      <c r="BZ210" s="24"/>
      <c r="CA210" s="24"/>
      <c r="CB210" s="24"/>
      <c r="CC210" s="24"/>
      <c r="CD210" s="24"/>
      <c r="CE210" s="24"/>
    </row>
    <row r="211" spans="1:83" ht="15" customHeight="1">
      <c r="A211" s="4"/>
      <c r="B211" s="317">
        <f>IF($Q$8=$Q$7,CENY!B503,IF($Q$7=$Q$9,CENY!B504,CENY!B505))</f>
        <v>9257651</v>
      </c>
      <c r="C211" s="43" t="str">
        <f>VLOOKUP(B211,CENY!$B$11:$G$1054,2,FALSE)</f>
        <v>AvanY-spojky indiv.čela vnút./v187/strieb.</v>
      </c>
      <c r="D211" s="355">
        <f>VLOOKUP(B211,CENY!$B$11:$G$1054,3,FALSE)</f>
        <v>1</v>
      </c>
      <c r="E211" s="56" t="str">
        <f>IF(VLOOKUP(B211,CENY!$B$11:$G$1054,4,FALSE)=0,"",VLOOKUP(B211,CENY!$B$11:$G$1054,4,FALSE))</f>
        <v/>
      </c>
      <c r="F211" s="40" t="str">
        <f>IF(J211&lt;&gt;"",J211,IF(N211=0,"",N211))</f>
        <v/>
      </c>
      <c r="G211" s="52">
        <f>VLOOKUP(B211,CENY!$B$11:$M$1054,12,FALSE)</f>
        <v>557.04454999999996</v>
      </c>
      <c r="H211" s="54" t="str">
        <f t="shared" si="42"/>
        <v xml:space="preserve"> CZK</v>
      </c>
      <c r="I211" s="41" t="str">
        <f t="shared" si="43"/>
        <v/>
      </c>
      <c r="J211" s="122"/>
      <c r="K211" s="42" t="str">
        <f>VLOOKUP(B211,CENY!$B$11:$M$1054,8,FALSE)</f>
        <v xml:space="preserve"> </v>
      </c>
      <c r="L211" s="42" t="str">
        <f>VLOOKUP(B211,CENY!$B$11:$M$1054,9,FALSE)</f>
        <v>397751</v>
      </c>
      <c r="M211" s="32"/>
      <c r="N211" s="35">
        <f>SUM(P211:BW211)</f>
        <v>0</v>
      </c>
      <c r="O211" s="36">
        <v>0</v>
      </c>
      <c r="P211" s="32"/>
      <c r="Q211" s="32"/>
      <c r="R211" s="32"/>
      <c r="S211" s="32"/>
      <c r="T211" s="32"/>
      <c r="U211" s="32"/>
      <c r="V211" s="32"/>
      <c r="W211" s="32"/>
      <c r="X211" s="32"/>
      <c r="Y211" s="32"/>
      <c r="Z211" s="32"/>
      <c r="AA211" s="32"/>
      <c r="AB211" s="32"/>
      <c r="AC211" s="32"/>
      <c r="AD211" s="32"/>
      <c r="AE211" s="32"/>
      <c r="AF211" s="32"/>
      <c r="AG211" s="32"/>
      <c r="AH211" s="337">
        <f>'AVT187(vn-S)'!AZ84</f>
        <v>0</v>
      </c>
      <c r="AI211" s="337">
        <f>'AVT187(vn-S)'!BI129</f>
        <v>0</v>
      </c>
      <c r="AJ211" s="32"/>
      <c r="AK211" s="32"/>
      <c r="AL211" s="32"/>
      <c r="AM211" s="32"/>
      <c r="AN211" s="32"/>
      <c r="AO211" s="32"/>
      <c r="AP211" s="32"/>
      <c r="AQ211" s="32"/>
      <c r="AR211" s="32"/>
      <c r="AS211" s="32"/>
      <c r="AT211" s="32"/>
      <c r="AU211" s="32"/>
      <c r="AV211" s="32"/>
      <c r="AW211" s="32"/>
      <c r="AX211" s="32"/>
      <c r="AY211" s="32"/>
      <c r="AZ211" s="32"/>
      <c r="BA211" s="32"/>
      <c r="BB211" s="32"/>
      <c r="BC211" s="32"/>
      <c r="BD211" s="32"/>
      <c r="BE211" s="32"/>
      <c r="BF211" s="32"/>
      <c r="BG211" s="32"/>
      <c r="BH211" s="32"/>
      <c r="BI211" s="32"/>
      <c r="BJ211" s="32"/>
      <c r="BK211" s="32"/>
      <c r="BL211" s="32"/>
      <c r="BM211" s="32"/>
      <c r="BN211" s="32"/>
      <c r="BO211" s="165"/>
      <c r="BP211" s="165"/>
      <c r="BQ211" s="165"/>
      <c r="BR211" s="165"/>
      <c r="BS211" s="165"/>
      <c r="BT211" s="165"/>
      <c r="BU211" s="165"/>
      <c r="BV211" s="55"/>
      <c r="BW211" s="160"/>
      <c r="BX211" s="32"/>
      <c r="BY211" s="24"/>
      <c r="BZ211" s="24"/>
      <c r="CA211" s="24"/>
      <c r="CB211" s="24"/>
      <c r="CC211" s="24"/>
      <c r="CD211" s="24"/>
      <c r="CE211" s="24"/>
    </row>
    <row r="212" spans="1:83" ht="15" customHeight="1">
      <c r="A212" s="4"/>
      <c r="B212" s="317">
        <f>IF($Q$8=$Q$7,CENY!B506,IF($Q$7=$Q$9,CENY!B507,CENY!B508))</f>
        <v>9257657</v>
      </c>
      <c r="C212" s="43" t="str">
        <f>VLOOKUP(B212,CENY!$B$11:$G$1054,2,FALSE)</f>
        <v>AvanY-spojky indiv.čela vn.Inlay/v187/strieb.</v>
      </c>
      <c r="D212" s="355">
        <f>VLOOKUP(B212,CENY!$B$11:$G$1054,3,FALSE)</f>
        <v>1</v>
      </c>
      <c r="E212" s="56" t="str">
        <f>IF(VLOOKUP(B212,CENY!$B$11:$G$1054,4,FALSE)=0,"",VLOOKUP(B212,CENY!$B$11:$G$1054,4,FALSE))</f>
        <v/>
      </c>
      <c r="F212" s="40" t="str">
        <f>IF(J212&lt;&gt;"",J212,IF(N212=0,"",N212))</f>
        <v/>
      </c>
      <c r="G212" s="52">
        <f>VLOOKUP(B212,CENY!$B$11:$M$1054,12,FALSE)</f>
        <v>557.04454999999996</v>
      </c>
      <c r="H212" s="54" t="str">
        <f t="shared" si="42"/>
        <v xml:space="preserve"> CZK</v>
      </c>
      <c r="I212" s="41" t="str">
        <f t="shared" si="43"/>
        <v/>
      </c>
      <c r="J212" s="122"/>
      <c r="K212" s="42" t="str">
        <f>VLOOKUP(B212,CENY!$B$11:$M$1054,8,FALSE)</f>
        <v xml:space="preserve"> </v>
      </c>
      <c r="L212" s="42" t="str">
        <f>VLOOKUP(B212,CENY!$B$11:$M$1054,9,FALSE)</f>
        <v>397754</v>
      </c>
      <c r="M212" s="32"/>
      <c r="N212" s="35">
        <f>SUM(P212:BW212)</f>
        <v>0</v>
      </c>
      <c r="O212" s="36">
        <v>0</v>
      </c>
      <c r="P212" s="32"/>
      <c r="Q212" s="32"/>
      <c r="R212" s="32"/>
      <c r="S212" s="32"/>
      <c r="T212" s="32"/>
      <c r="U212" s="32"/>
      <c r="V212" s="32"/>
      <c r="W212" s="32"/>
      <c r="X212" s="32"/>
      <c r="Y212" s="32"/>
      <c r="Z212" s="32"/>
      <c r="AA212" s="32"/>
      <c r="AB212" s="32"/>
      <c r="AC212" s="32"/>
      <c r="AD212" s="32"/>
      <c r="AE212" s="32"/>
      <c r="AF212" s="32"/>
      <c r="AG212" s="32"/>
      <c r="AH212" s="32"/>
      <c r="AI212" s="32"/>
      <c r="AJ212" s="337">
        <f>'AVT187In(vn-S)'!AZ84</f>
        <v>0</v>
      </c>
      <c r="AK212" s="337">
        <f>'AVT187In(vn-S)'!BI103</f>
        <v>0</v>
      </c>
      <c r="AL212" s="32"/>
      <c r="AM212" s="32"/>
      <c r="AN212" s="32"/>
      <c r="AO212" s="32"/>
      <c r="AP212" s="32"/>
      <c r="AQ212" s="32"/>
      <c r="AR212" s="32"/>
      <c r="AS212" s="32"/>
      <c r="AT212" s="32"/>
      <c r="AU212" s="32"/>
      <c r="AV212" s="32"/>
      <c r="AW212" s="32"/>
      <c r="AX212" s="32"/>
      <c r="AY212" s="32"/>
      <c r="AZ212" s="32"/>
      <c r="BA212" s="32"/>
      <c r="BB212" s="32"/>
      <c r="BC212" s="32"/>
      <c r="BD212" s="32"/>
      <c r="BE212" s="32"/>
      <c r="BF212" s="32"/>
      <c r="BG212" s="32"/>
      <c r="BH212" s="32"/>
      <c r="BI212" s="32"/>
      <c r="BJ212" s="32"/>
      <c r="BK212" s="32"/>
      <c r="BL212" s="32"/>
      <c r="BM212" s="32"/>
      <c r="BN212" s="32"/>
      <c r="BO212" s="165"/>
      <c r="BP212" s="165"/>
      <c r="BQ212" s="165"/>
      <c r="BR212" s="165"/>
      <c r="BS212" s="165"/>
      <c r="BT212" s="165"/>
      <c r="BU212" s="165"/>
      <c r="BV212" s="55"/>
      <c r="BW212" s="160"/>
      <c r="BX212" s="32"/>
      <c r="BY212" s="24"/>
      <c r="BZ212" s="24"/>
      <c r="CA212" s="24"/>
      <c r="CB212" s="24"/>
      <c r="CC212" s="24"/>
      <c r="CD212" s="24"/>
      <c r="CE212" s="24"/>
    </row>
    <row r="213" spans="1:83" ht="8.1" customHeight="1">
      <c r="A213" s="4"/>
      <c r="B213" s="126"/>
      <c r="C213" s="43"/>
      <c r="D213" s="39"/>
      <c r="E213" s="56"/>
      <c r="F213" s="60"/>
      <c r="G213" s="52"/>
      <c r="H213" s="54"/>
      <c r="I213" s="41"/>
      <c r="J213" s="122"/>
      <c r="K213" s="42"/>
      <c r="L213" s="42"/>
      <c r="M213" s="32"/>
      <c r="N213" s="35"/>
      <c r="O213" s="36">
        <v>0</v>
      </c>
      <c r="P213" s="32"/>
      <c r="Q213" s="32"/>
      <c r="R213" s="32"/>
      <c r="S213" s="32"/>
      <c r="T213" s="32"/>
      <c r="U213" s="32"/>
      <c r="V213" s="32"/>
      <c r="W213" s="32"/>
      <c r="X213" s="32"/>
      <c r="Y213" s="32"/>
      <c r="Z213" s="32"/>
      <c r="AA213" s="32"/>
      <c r="AB213" s="32"/>
      <c r="AC213" s="32"/>
      <c r="AD213" s="32"/>
      <c r="AE213" s="32"/>
      <c r="AF213" s="32"/>
      <c r="AG213" s="32"/>
      <c r="AH213" s="32"/>
      <c r="AI213" s="32"/>
      <c r="AJ213" s="32"/>
      <c r="AK213" s="32"/>
      <c r="AL213" s="32"/>
      <c r="AM213" s="32"/>
      <c r="AN213" s="32"/>
      <c r="AO213" s="32"/>
      <c r="AP213" s="32"/>
      <c r="AQ213" s="32"/>
      <c r="AR213" s="32"/>
      <c r="AS213" s="32"/>
      <c r="AT213" s="32"/>
      <c r="AU213" s="32"/>
      <c r="AV213" s="32"/>
      <c r="AW213" s="32"/>
      <c r="AX213" s="32"/>
      <c r="AY213" s="32"/>
      <c r="AZ213" s="32"/>
      <c r="BA213" s="32"/>
      <c r="BB213" s="32"/>
      <c r="BC213" s="32"/>
      <c r="BD213" s="32"/>
      <c r="BE213" s="32"/>
      <c r="BF213" s="32"/>
      <c r="BG213" s="32"/>
      <c r="BH213" s="32"/>
      <c r="BI213" s="32"/>
      <c r="BJ213" s="32"/>
      <c r="BK213" s="32"/>
      <c r="BL213" s="32"/>
      <c r="BM213" s="32"/>
      <c r="BN213" s="32"/>
      <c r="BO213" s="165"/>
      <c r="BP213" s="165"/>
      <c r="BQ213" s="165"/>
      <c r="BR213" s="165"/>
      <c r="BS213" s="165"/>
      <c r="BT213" s="165"/>
      <c r="BU213" s="165"/>
      <c r="BV213" s="55"/>
      <c r="BW213" s="160"/>
      <c r="BX213" s="32"/>
      <c r="BY213" s="24"/>
      <c r="BZ213" s="24"/>
      <c r="CA213" s="24"/>
      <c r="CB213" s="24"/>
      <c r="CC213" s="24"/>
      <c r="CD213" s="24"/>
      <c r="CE213" s="24"/>
    </row>
    <row r="214" spans="1:83" ht="15" customHeight="1">
      <c r="A214" s="4"/>
      <c r="B214" s="317">
        <f>VLOOKUP(FORM!AM21,FORM!AW16:AX22,2,FALSE)</f>
        <v>0</v>
      </c>
      <c r="C214" s="43" t="str">
        <f>IF(B214=0,"",VLOOKUP(B214,CENY!$B$11:$G$1054,2,FALSE))</f>
        <v/>
      </c>
      <c r="D214" s="353" t="str">
        <f>IF(B214=0,"",VLOOKUP(B214,CENY!$B$11:$G$1054,3,FALSE))</f>
        <v/>
      </c>
      <c r="E214" s="323" t="str">
        <f>IF(B214=0,"",IF(VLOOKUP(B214,CENY!$B$11:$G$1054,4,FALSE)=0,"",VLOOKUP(B214,CENY!$B$11:$G$1054,4,FALSE)))</f>
        <v/>
      </c>
      <c r="F214" s="40" t="str">
        <f>IF(J214&lt;&gt;"",J214,IF(N214=0,"",N214))</f>
        <v/>
      </c>
      <c r="G214" s="52" t="str">
        <f>IF(B214=0,"",VLOOKUP(B214,CENY!$B$11:$M$1054,12,FALSE))</f>
        <v/>
      </c>
      <c r="H214" s="54" t="str">
        <f>IF(G214="","",$H$22)</f>
        <v/>
      </c>
      <c r="I214" s="41" t="str">
        <f>IF(F214="","",G214*F214)</f>
        <v/>
      </c>
      <c r="J214" s="122"/>
      <c r="K214" s="42" t="str">
        <f>IF(B214=0,"",VLOOKUP(B214,CENY!$B$11:$M$1054,8,FALSE))</f>
        <v/>
      </c>
      <c r="L214" s="42" t="str">
        <f>IF(B214=0,"",VLOOKUP(B214,CENY!$B$11:$M$1054,9,FALSE))</f>
        <v/>
      </c>
      <c r="M214" s="32"/>
      <c r="N214" s="35">
        <f>SUM(P214:BW214)</f>
        <v>0</v>
      </c>
      <c r="O214" s="36">
        <v>0</v>
      </c>
      <c r="P214" s="325">
        <f>'AVT101'!AZ80</f>
        <v>0</v>
      </c>
      <c r="Q214" s="325">
        <f>'AVT101'!BI125</f>
        <v>0</v>
      </c>
      <c r="R214" s="325">
        <f>'AVT139'!AZ80</f>
        <v>0</v>
      </c>
      <c r="S214" s="325">
        <f>'AVT139'!BI125</f>
        <v>0</v>
      </c>
      <c r="T214" s="325">
        <f>'AVT187'!AZ80</f>
        <v>0</v>
      </c>
      <c r="U214" s="325">
        <f>'AVT187'!BI125</f>
        <v>0</v>
      </c>
      <c r="V214" s="325">
        <f>'AVT251'!AZ67</f>
        <v>0</v>
      </c>
      <c r="W214" s="325">
        <f>'AVT251'!BI100</f>
        <v>0</v>
      </c>
      <c r="X214" s="325">
        <f>AVT187In!AZ66</f>
        <v>0</v>
      </c>
      <c r="Y214" s="325">
        <f>AVT187In!BI99</f>
        <v>0</v>
      </c>
      <c r="Z214" s="325">
        <f>'AVT101(vn-A)'!AZ80</f>
        <v>0</v>
      </c>
      <c r="AA214" s="325">
        <f>'AVT101(vn-A)'!BI125</f>
        <v>0</v>
      </c>
      <c r="AB214" s="325">
        <f>'AVT139(vn-A)'!AZ80</f>
        <v>0</v>
      </c>
      <c r="AC214" s="325">
        <f>'AVT139(vn-A)'!BI125</f>
        <v>0</v>
      </c>
      <c r="AD214" s="325">
        <f>'AVT187(vn-A)'!AZ80</f>
        <v>0</v>
      </c>
      <c r="AE214" s="325">
        <f>'AVT187(vn-A)'!BI125</f>
        <v>0</v>
      </c>
      <c r="AF214" s="325">
        <f>'AVT187In(vn-A)'!AZ66</f>
        <v>0</v>
      </c>
      <c r="AG214" s="325">
        <f>'AVT187In(vn-A)'!BI99</f>
        <v>0</v>
      </c>
      <c r="AH214" s="325">
        <f>'AVT187(vn-S)'!AZ80</f>
        <v>0</v>
      </c>
      <c r="AI214" s="325">
        <f>'AVT187(vn-S)'!BI125</f>
        <v>0</v>
      </c>
      <c r="AJ214" s="325">
        <f>'AVT187In(vn-S)'!AZ66</f>
        <v>0</v>
      </c>
      <c r="AK214" s="325">
        <f>'AVT187In(vn-S)'!BI99</f>
        <v>0</v>
      </c>
      <c r="AL214" s="325">
        <f>'AVT77'!AZ48</f>
        <v>0</v>
      </c>
      <c r="AM214" s="325">
        <f>'AVT77'!BI68</f>
        <v>0</v>
      </c>
      <c r="AN214" s="325">
        <f>'AVT-celny-101+187'!AZ62</f>
        <v>0</v>
      </c>
      <c r="AO214" s="325">
        <f>'AVT-celny-101+187'!BI102</f>
        <v>0</v>
      </c>
      <c r="AP214" s="325">
        <f>'AVT-celny-139+187'!AZ53</f>
        <v>0</v>
      </c>
      <c r="AQ214" s="325">
        <f>'AVT-celny-139+187'!BI86</f>
        <v>0</v>
      </c>
      <c r="AR214" s="325">
        <f>'AVT-celny-2x187'!AZ51</f>
        <v>0</v>
      </c>
      <c r="AS214" s="325">
        <f>'AVT-celny-2x187'!BI82</f>
        <v>0</v>
      </c>
      <c r="AT214" s="325">
        <f>'AVT-celny-2x187In'!AZ43</f>
        <v>0</v>
      </c>
      <c r="AU214" s="325">
        <f>'AVT-celny-2x187In'!BI68</f>
        <v>0</v>
      </c>
      <c r="AV214" s="325">
        <f>'potr-v101+187'!AZ87</f>
        <v>0</v>
      </c>
      <c r="AW214" s="325">
        <f>'potr-v101+187'!BI139</f>
        <v>0</v>
      </c>
      <c r="AX214" s="325">
        <f>'potr-v101+187-IL'!AZ87</f>
        <v>0</v>
      </c>
      <c r="AY214" s="325">
        <f>'potr-v101+187-IL'!BI139</f>
        <v>0</v>
      </c>
      <c r="AZ214" s="32"/>
      <c r="BA214" s="32"/>
      <c r="BB214" s="32"/>
      <c r="BC214" s="32"/>
      <c r="BD214" s="32"/>
      <c r="BE214" s="32"/>
      <c r="BF214" s="32"/>
      <c r="BG214" s="32"/>
      <c r="BH214" s="32"/>
      <c r="BI214" s="32"/>
      <c r="BJ214" s="32"/>
      <c r="BK214" s="32"/>
      <c r="BL214" s="32"/>
      <c r="BM214" s="32"/>
      <c r="BN214" s="32"/>
      <c r="BO214" s="165"/>
      <c r="BP214" s="165"/>
      <c r="BQ214" s="165"/>
      <c r="BR214" s="165"/>
      <c r="BS214" s="165"/>
      <c r="BT214" s="165"/>
      <c r="BU214" s="165"/>
      <c r="BV214" s="55"/>
      <c r="BW214" s="160"/>
      <c r="BX214" s="32"/>
      <c r="BY214" s="24"/>
      <c r="BZ214" s="24"/>
      <c r="CA214" s="24"/>
      <c r="CB214" s="24"/>
      <c r="CC214" s="24"/>
      <c r="CD214" s="24"/>
      <c r="CE214" s="24"/>
    </row>
    <row r="215" spans="1:83" ht="8.1" customHeight="1">
      <c r="A215" s="4"/>
      <c r="B215" s="126"/>
      <c r="C215" s="43"/>
      <c r="D215" s="39"/>
      <c r="E215" s="56"/>
      <c r="F215" s="60"/>
      <c r="G215" s="52"/>
      <c r="H215" s="54"/>
      <c r="I215" s="41"/>
      <c r="J215" s="122"/>
      <c r="K215" s="42"/>
      <c r="L215" s="42"/>
      <c r="M215" s="32"/>
      <c r="N215" s="35"/>
      <c r="O215" s="36"/>
      <c r="P215" s="32"/>
      <c r="Q215" s="32"/>
      <c r="R215" s="32"/>
      <c r="S215" s="32"/>
      <c r="T215" s="32"/>
      <c r="U215" s="32"/>
      <c r="V215" s="32"/>
      <c r="W215" s="32"/>
      <c r="X215" s="32"/>
      <c r="Y215" s="32"/>
      <c r="Z215" s="32"/>
      <c r="AA215" s="32"/>
      <c r="AB215" s="32"/>
      <c r="AC215" s="32"/>
      <c r="AD215" s="32"/>
      <c r="AE215" s="32"/>
      <c r="AF215" s="32"/>
      <c r="AG215" s="32"/>
      <c r="AH215" s="32"/>
      <c r="AI215" s="32"/>
      <c r="AJ215" s="32"/>
      <c r="AK215" s="32"/>
      <c r="AL215" s="32"/>
      <c r="AM215" s="32"/>
      <c r="AN215" s="32"/>
      <c r="AO215" s="32"/>
      <c r="AP215" s="32"/>
      <c r="AQ215" s="32"/>
      <c r="AR215" s="32"/>
      <c r="AS215" s="32"/>
      <c r="AT215" s="32"/>
      <c r="AU215" s="32"/>
      <c r="AV215" s="32"/>
      <c r="AW215" s="32"/>
      <c r="AX215" s="32"/>
      <c r="AY215" s="32"/>
      <c r="AZ215" s="32"/>
      <c r="BA215" s="32"/>
      <c r="BB215" s="32"/>
      <c r="BC215" s="32"/>
      <c r="BD215" s="32"/>
      <c r="BE215" s="32"/>
      <c r="BF215" s="32"/>
      <c r="BG215" s="32"/>
      <c r="BH215" s="32"/>
      <c r="BI215" s="32"/>
      <c r="BJ215" s="32"/>
      <c r="BK215" s="32"/>
      <c r="BL215" s="32"/>
      <c r="BM215" s="32"/>
      <c r="BN215" s="32"/>
      <c r="BO215" s="165"/>
      <c r="BP215" s="165"/>
      <c r="BQ215" s="165"/>
      <c r="BR215" s="165"/>
      <c r="BS215" s="165"/>
      <c r="BT215" s="165"/>
      <c r="BU215" s="165"/>
      <c r="BV215" s="55"/>
      <c r="BW215" s="160"/>
      <c r="BX215" s="32"/>
      <c r="BY215" s="24"/>
      <c r="BZ215" s="24"/>
      <c r="CA215" s="24"/>
      <c r="CB215" s="24"/>
      <c r="CC215" s="24"/>
      <c r="CD215" s="24"/>
      <c r="CE215" s="24"/>
    </row>
    <row r="216" spans="1:83" ht="15" customHeight="1">
      <c r="A216" s="4"/>
      <c r="B216" s="317">
        <f>CENY!B569</f>
        <v>9283178</v>
      </c>
      <c r="C216" s="43" t="str">
        <f>VLOOKUP(B216,CENY!$B$11:$G$1054,2,FALSE)</f>
        <v>AvanY-Inlay sklenené boky 350mm; 2 x sklo</v>
      </c>
      <c r="D216" s="355">
        <f>VLOOKUP(B216,CENY!$B$11:$G$1054,3,FALSE)</f>
        <v>1</v>
      </c>
      <c r="E216" s="56" t="str">
        <f>IF(VLOOKUP(B216,CENY!$B$11:$G$1054,4,FALSE)=0,"",VLOOKUP(B216,CENY!$B$11:$G$1054,4,FALSE))</f>
        <v/>
      </c>
      <c r="F216" s="40" t="str">
        <f t="shared" ref="F216:F222" si="48">IF(J216&lt;&gt;"",J216,IF(N216=0,"",N216))</f>
        <v/>
      </c>
      <c r="G216" s="52">
        <f>VLOOKUP(B216,CENY!$B$11:$M$1054,12,FALSE)</f>
        <v>825.32597999999996</v>
      </c>
      <c r="H216" s="54" t="str">
        <f t="shared" ref="H216:H222" si="49">IF(G216="","",$H$22)</f>
        <v xml:space="preserve"> CZK</v>
      </c>
      <c r="I216" s="41" t="str">
        <f t="shared" ref="I216:I222" si="50">IF(F216="","",G216*F216)</f>
        <v/>
      </c>
      <c r="J216" s="122"/>
      <c r="K216" s="42" t="str">
        <f>VLOOKUP(B216,CENY!$B$11:$M$1054,8,FALSE)</f>
        <v xml:space="preserve"> </v>
      </c>
      <c r="L216" s="42" t="str">
        <f>VLOOKUP(B216,CENY!$B$11:$M$1054,9,FALSE)</f>
        <v>421346</v>
      </c>
      <c r="M216" s="32"/>
      <c r="N216" s="35">
        <f t="shared" ref="N216:N222" si="51">SUM(P216:BW216)</f>
        <v>0</v>
      </c>
      <c r="O216" s="36">
        <v>0</v>
      </c>
      <c r="P216" s="32"/>
      <c r="Q216" s="32"/>
      <c r="R216" s="32"/>
      <c r="S216" s="32"/>
      <c r="T216" s="32"/>
      <c r="U216" s="32"/>
      <c r="V216" s="32"/>
      <c r="W216" s="32"/>
      <c r="X216" s="325">
        <f>AVT187In!AZ13</f>
        <v>0</v>
      </c>
      <c r="Y216" s="325">
        <f>AVT187In!BI23</f>
        <v>0</v>
      </c>
      <c r="Z216" s="32"/>
      <c r="AA216" s="32"/>
      <c r="AB216" s="32"/>
      <c r="AC216" s="32"/>
      <c r="AD216" s="32"/>
      <c r="AE216" s="32"/>
      <c r="AF216" s="325">
        <f>'AVT187In(vn-A)'!AZ13</f>
        <v>0</v>
      </c>
      <c r="AG216" s="325">
        <f>'AVT187In(vn-A)'!BI23</f>
        <v>0</v>
      </c>
      <c r="AH216" s="32"/>
      <c r="AI216" s="32"/>
      <c r="AJ216" s="325">
        <f>'AVT187In(vn-S)'!AZ13</f>
        <v>0</v>
      </c>
      <c r="AK216" s="325">
        <f>'AVT187In(vn-S)'!BI23</f>
        <v>0</v>
      </c>
      <c r="AL216" s="32"/>
      <c r="AM216" s="32"/>
      <c r="AN216" s="32"/>
      <c r="AO216" s="32"/>
      <c r="AP216" s="32"/>
      <c r="AQ216" s="32"/>
      <c r="AR216" s="32"/>
      <c r="AS216" s="32"/>
      <c r="AT216" s="325">
        <f>'AVT-celny-2x187In'!AZ13</f>
        <v>0</v>
      </c>
      <c r="AU216" s="325">
        <f>'AVT-celny-2x187In'!BI23</f>
        <v>0</v>
      </c>
      <c r="AV216" s="32"/>
      <c r="AW216" s="32"/>
      <c r="AX216" s="32"/>
      <c r="AY216" s="32"/>
      <c r="AZ216" s="32"/>
      <c r="BA216" s="32"/>
      <c r="BB216" s="32"/>
      <c r="BC216" s="32"/>
      <c r="BD216" s="32"/>
      <c r="BE216" s="32"/>
      <c r="BF216" s="32"/>
      <c r="BG216" s="32"/>
      <c r="BH216" s="32"/>
      <c r="BI216" s="32"/>
      <c r="BJ216" s="32"/>
      <c r="BK216" s="32"/>
      <c r="BL216" s="32"/>
      <c r="BM216" s="32"/>
      <c r="BN216" s="32"/>
      <c r="BO216" s="165"/>
      <c r="BP216" s="165"/>
      <c r="BQ216" s="165"/>
      <c r="BR216" s="165"/>
      <c r="BS216" s="165"/>
      <c r="BT216" s="165"/>
      <c r="BU216" s="165"/>
      <c r="BV216" s="55"/>
      <c r="BW216" s="160"/>
      <c r="BX216" s="32"/>
      <c r="BY216" s="24"/>
      <c r="BZ216" s="24"/>
      <c r="CA216" s="24"/>
      <c r="CB216" s="24"/>
      <c r="CC216" s="24"/>
      <c r="CD216" s="24"/>
      <c r="CE216" s="24"/>
    </row>
    <row r="217" spans="1:83" ht="15" customHeight="1">
      <c r="A217" s="4"/>
      <c r="B217" s="317">
        <f>CENY!B570</f>
        <v>9283179</v>
      </c>
      <c r="C217" s="43" t="str">
        <f>VLOOKUP(B217,CENY!$B$11:$G$1054,2,FALSE)</f>
        <v>AvanY-Inlay sklenené boky 400mm; 2 x sklo</v>
      </c>
      <c r="D217" s="355">
        <f>VLOOKUP(B217,CENY!$B$11:$G$1054,3,FALSE)</f>
        <v>1</v>
      </c>
      <c r="E217" s="56" t="str">
        <f>IF(VLOOKUP(B217,CENY!$B$11:$G$1054,4,FALSE)=0,"",VLOOKUP(B217,CENY!$B$11:$G$1054,4,FALSE))</f>
        <v/>
      </c>
      <c r="F217" s="40" t="str">
        <f t="shared" si="48"/>
        <v/>
      </c>
      <c r="G217" s="52">
        <f>VLOOKUP(B217,CENY!$B$11:$M$1054,12,FALSE)</f>
        <v>872.05524000000003</v>
      </c>
      <c r="H217" s="54" t="str">
        <f t="shared" si="49"/>
        <v xml:space="preserve"> CZK</v>
      </c>
      <c r="I217" s="41" t="str">
        <f t="shared" si="50"/>
        <v/>
      </c>
      <c r="J217" s="122"/>
      <c r="K217" s="42" t="str">
        <f>VLOOKUP(B217,CENY!$B$11:$M$1054,8,FALSE)</f>
        <v xml:space="preserve"> </v>
      </c>
      <c r="L217" s="42" t="str">
        <f>VLOOKUP(B217,CENY!$B$11:$M$1054,9,FALSE)</f>
        <v>421347</v>
      </c>
      <c r="M217" s="32"/>
      <c r="N217" s="35">
        <f t="shared" si="51"/>
        <v>0</v>
      </c>
      <c r="O217" s="36">
        <v>0</v>
      </c>
      <c r="P217" s="32"/>
      <c r="Q217" s="32"/>
      <c r="R217" s="32"/>
      <c r="S217" s="32"/>
      <c r="T217" s="32"/>
      <c r="U217" s="32"/>
      <c r="V217" s="32"/>
      <c r="W217" s="32"/>
      <c r="X217" s="325">
        <f>AVT187In!AZ14</f>
        <v>0</v>
      </c>
      <c r="Y217" s="325">
        <f>AVT187In!BI24</f>
        <v>0</v>
      </c>
      <c r="Z217" s="32"/>
      <c r="AA217" s="32"/>
      <c r="AB217" s="32"/>
      <c r="AC217" s="32"/>
      <c r="AD217" s="32"/>
      <c r="AE217" s="32"/>
      <c r="AF217" s="325">
        <f>'AVT187In(vn-A)'!AZ14</f>
        <v>0</v>
      </c>
      <c r="AG217" s="325">
        <f>'AVT187In(vn-A)'!BI24</f>
        <v>0</v>
      </c>
      <c r="AH217" s="32"/>
      <c r="AI217" s="32"/>
      <c r="AJ217" s="325">
        <f>'AVT187In(vn-S)'!AZ14</f>
        <v>0</v>
      </c>
      <c r="AK217" s="325">
        <f>'AVT187In(vn-S)'!BI24</f>
        <v>0</v>
      </c>
      <c r="AL217" s="32"/>
      <c r="AM217" s="32"/>
      <c r="AN217" s="32"/>
      <c r="AO217" s="32"/>
      <c r="AP217" s="32"/>
      <c r="AQ217" s="32"/>
      <c r="AR217" s="32"/>
      <c r="AS217" s="32"/>
      <c r="AT217" s="325">
        <f>'AVT-celny-2x187In'!AZ14</f>
        <v>0</v>
      </c>
      <c r="AU217" s="325">
        <f>'AVT-celny-2x187In'!BI24</f>
        <v>0</v>
      </c>
      <c r="AV217" s="32"/>
      <c r="AW217" s="32"/>
      <c r="AX217" s="32"/>
      <c r="AY217" s="32"/>
      <c r="AZ217" s="32"/>
      <c r="BA217" s="32"/>
      <c r="BB217" s="32"/>
      <c r="BC217" s="32"/>
      <c r="BD217" s="32"/>
      <c r="BE217" s="32"/>
      <c r="BF217" s="32"/>
      <c r="BG217" s="32"/>
      <c r="BH217" s="32"/>
      <c r="BI217" s="32"/>
      <c r="BJ217" s="32"/>
      <c r="BK217" s="32"/>
      <c r="BL217" s="32"/>
      <c r="BM217" s="32"/>
      <c r="BN217" s="32"/>
      <c r="BO217" s="165"/>
      <c r="BP217" s="165"/>
      <c r="BQ217" s="165"/>
      <c r="BR217" s="165"/>
      <c r="BS217" s="165"/>
      <c r="BT217" s="165"/>
      <c r="BU217" s="165"/>
      <c r="BV217" s="55"/>
      <c r="BW217" s="160"/>
      <c r="BX217" s="32"/>
      <c r="BY217" s="24"/>
      <c r="BZ217" s="24"/>
      <c r="CA217" s="24"/>
      <c r="CB217" s="24"/>
      <c r="CC217" s="24"/>
      <c r="CD217" s="24"/>
      <c r="CE217" s="24"/>
    </row>
    <row r="218" spans="1:83" ht="15" customHeight="1">
      <c r="A218" s="4"/>
      <c r="B218" s="317">
        <f>CENY!B571</f>
        <v>9283180</v>
      </c>
      <c r="C218" s="43" t="str">
        <f>VLOOKUP(B218,CENY!$B$11:$G$1054,2,FALSE)</f>
        <v>AvanY-Inlay sklenené boky 450mm; 2 x sklo</v>
      </c>
      <c r="D218" s="355">
        <f>VLOOKUP(B218,CENY!$B$11:$G$1054,3,FALSE)</f>
        <v>1</v>
      </c>
      <c r="E218" s="56" t="str">
        <f>IF(VLOOKUP(B218,CENY!$B$11:$G$1054,4,FALSE)=0,"",VLOOKUP(B218,CENY!$B$11:$G$1054,4,FALSE))</f>
        <v/>
      </c>
      <c r="F218" s="40" t="str">
        <f t="shared" si="48"/>
        <v/>
      </c>
      <c r="G218" s="52">
        <f>VLOOKUP(B218,CENY!$B$11:$M$1054,12,FALSE)</f>
        <v>918.78985999999998</v>
      </c>
      <c r="H218" s="54" t="str">
        <f t="shared" si="49"/>
        <v xml:space="preserve"> CZK</v>
      </c>
      <c r="I218" s="41" t="str">
        <f t="shared" si="50"/>
        <v/>
      </c>
      <c r="J218" s="122"/>
      <c r="K218" s="42" t="str">
        <f>VLOOKUP(B218,CENY!$B$11:$M$1054,8,FALSE)</f>
        <v xml:space="preserve"> </v>
      </c>
      <c r="L218" s="42" t="str">
        <f>VLOOKUP(B218,CENY!$B$11:$M$1054,9,FALSE)</f>
        <v>421348</v>
      </c>
      <c r="M218" s="32"/>
      <c r="N218" s="35">
        <f t="shared" si="51"/>
        <v>0</v>
      </c>
      <c r="O218" s="36">
        <v>0</v>
      </c>
      <c r="P218" s="32"/>
      <c r="Q218" s="32"/>
      <c r="R218" s="32"/>
      <c r="S218" s="32"/>
      <c r="T218" s="32"/>
      <c r="U218" s="32"/>
      <c r="V218" s="32"/>
      <c r="W218" s="32"/>
      <c r="X218" s="325">
        <f>AVT187In!AZ15</f>
        <v>0</v>
      </c>
      <c r="Y218" s="325">
        <f>AVT187In!BI25</f>
        <v>0</v>
      </c>
      <c r="Z218" s="32"/>
      <c r="AA218" s="32"/>
      <c r="AB218" s="32"/>
      <c r="AC218" s="32"/>
      <c r="AD218" s="32"/>
      <c r="AE218" s="32"/>
      <c r="AF218" s="325">
        <f>'AVT187In(vn-A)'!AZ15</f>
        <v>0</v>
      </c>
      <c r="AG218" s="325">
        <f>'AVT187In(vn-A)'!BI25</f>
        <v>0</v>
      </c>
      <c r="AH218" s="32"/>
      <c r="AI218" s="32"/>
      <c r="AJ218" s="325">
        <f>'AVT187In(vn-S)'!AZ15</f>
        <v>0</v>
      </c>
      <c r="AK218" s="325">
        <f>'AVT187In(vn-S)'!BI25</f>
        <v>0</v>
      </c>
      <c r="AL218" s="32"/>
      <c r="AM218" s="32"/>
      <c r="AN218" s="32"/>
      <c r="AO218" s="32"/>
      <c r="AP218" s="32"/>
      <c r="AQ218" s="32"/>
      <c r="AR218" s="32"/>
      <c r="AS218" s="32"/>
      <c r="AT218" s="325">
        <f>'AVT-celny-2x187In'!AZ15</f>
        <v>0</v>
      </c>
      <c r="AU218" s="325">
        <f>'AVT-celny-2x187In'!BI25</f>
        <v>0</v>
      </c>
      <c r="AV218" s="32"/>
      <c r="AW218" s="32"/>
      <c r="AX218" s="32"/>
      <c r="AY218" s="32"/>
      <c r="AZ218" s="32"/>
      <c r="BA218" s="32"/>
      <c r="BB218" s="32"/>
      <c r="BC218" s="32"/>
      <c r="BD218" s="32"/>
      <c r="BE218" s="32"/>
      <c r="BF218" s="32"/>
      <c r="BG218" s="32"/>
      <c r="BH218" s="32"/>
      <c r="BI218" s="32"/>
      <c r="BJ218" s="32"/>
      <c r="BK218" s="32"/>
      <c r="BL218" s="32"/>
      <c r="BM218" s="32"/>
      <c r="BN218" s="32"/>
      <c r="BO218" s="165"/>
      <c r="BP218" s="165"/>
      <c r="BQ218" s="165"/>
      <c r="BR218" s="165"/>
      <c r="BS218" s="165"/>
      <c r="BT218" s="165"/>
      <c r="BU218" s="165"/>
      <c r="BV218" s="55"/>
      <c r="BW218" s="160"/>
      <c r="BX218" s="32"/>
      <c r="BY218" s="24"/>
      <c r="BZ218" s="24"/>
      <c r="CA218" s="24"/>
      <c r="CB218" s="24"/>
      <c r="CC218" s="24"/>
      <c r="CD218" s="24"/>
      <c r="CE218" s="24"/>
    </row>
    <row r="219" spans="1:83" ht="15" customHeight="1">
      <c r="A219" s="4"/>
      <c r="B219" s="317">
        <f>CENY!B572</f>
        <v>9283181</v>
      </c>
      <c r="C219" s="43" t="str">
        <f>VLOOKUP(B219,CENY!$B$11:$G$1054,2,FALSE)</f>
        <v>AvanY-Inlay sklenené boky 500mm; 2 x sklo</v>
      </c>
      <c r="D219" s="355">
        <f>VLOOKUP(B219,CENY!$B$11:$G$1054,3,FALSE)</f>
        <v>1</v>
      </c>
      <c r="E219" s="56" t="str">
        <f>IF(VLOOKUP(B219,CENY!$B$11:$G$1054,4,FALSE)=0,"",VLOOKUP(B219,CENY!$B$11:$G$1054,4,FALSE))</f>
        <v/>
      </c>
      <c r="F219" s="40" t="str">
        <f t="shared" si="48"/>
        <v/>
      </c>
      <c r="G219" s="52">
        <f>VLOOKUP(B219,CENY!$B$11:$M$1054,12,FALSE)</f>
        <v>965.52719000000002</v>
      </c>
      <c r="H219" s="54" t="str">
        <f t="shared" si="49"/>
        <v xml:space="preserve"> CZK</v>
      </c>
      <c r="I219" s="41" t="str">
        <f t="shared" si="50"/>
        <v/>
      </c>
      <c r="J219" s="122"/>
      <c r="K219" s="42" t="str">
        <f>VLOOKUP(B219,CENY!$B$11:$M$1054,8,FALSE)</f>
        <v xml:space="preserve"> </v>
      </c>
      <c r="L219" s="42" t="str">
        <f>VLOOKUP(B219,CENY!$B$11:$M$1054,9,FALSE)</f>
        <v>421349</v>
      </c>
      <c r="M219" s="32"/>
      <c r="N219" s="35">
        <f t="shared" si="51"/>
        <v>0</v>
      </c>
      <c r="O219" s="36">
        <v>0</v>
      </c>
      <c r="P219" s="32"/>
      <c r="Q219" s="32"/>
      <c r="R219" s="32"/>
      <c r="S219" s="32"/>
      <c r="T219" s="32"/>
      <c r="U219" s="32"/>
      <c r="V219" s="32"/>
      <c r="W219" s="32"/>
      <c r="X219" s="325">
        <f>AVT187In!AZ16</f>
        <v>0</v>
      </c>
      <c r="Y219" s="325">
        <f>AVT187In!BI26</f>
        <v>0</v>
      </c>
      <c r="Z219" s="32"/>
      <c r="AA219" s="32"/>
      <c r="AB219" s="32"/>
      <c r="AC219" s="32"/>
      <c r="AD219" s="32"/>
      <c r="AE219" s="32"/>
      <c r="AF219" s="325">
        <f>'AVT187In(vn-A)'!AZ16</f>
        <v>0</v>
      </c>
      <c r="AG219" s="325">
        <f>'AVT187In(vn-A)'!BI26</f>
        <v>0</v>
      </c>
      <c r="AH219" s="32"/>
      <c r="AI219" s="32"/>
      <c r="AJ219" s="325">
        <f>'AVT187In(vn-S)'!AZ16</f>
        <v>0</v>
      </c>
      <c r="AK219" s="325">
        <f>'AVT187In(vn-S)'!BI26</f>
        <v>0</v>
      </c>
      <c r="AL219" s="32"/>
      <c r="AM219" s="32"/>
      <c r="AN219" s="32"/>
      <c r="AO219" s="32"/>
      <c r="AP219" s="32"/>
      <c r="AQ219" s="32"/>
      <c r="AR219" s="32"/>
      <c r="AS219" s="32"/>
      <c r="AT219" s="325">
        <f>'AVT-celny-2x187In'!AZ16</f>
        <v>0</v>
      </c>
      <c r="AU219" s="325">
        <f>'AVT-celny-2x187In'!BI26</f>
        <v>0</v>
      </c>
      <c r="AV219" s="32"/>
      <c r="AW219" s="32"/>
      <c r="AX219" s="32"/>
      <c r="AY219" s="32"/>
      <c r="AZ219" s="32"/>
      <c r="BA219" s="32"/>
      <c r="BB219" s="32"/>
      <c r="BC219" s="32"/>
      <c r="BD219" s="32"/>
      <c r="BE219" s="32"/>
      <c r="BF219" s="32"/>
      <c r="BG219" s="32"/>
      <c r="BH219" s="32"/>
      <c r="BI219" s="32"/>
      <c r="BJ219" s="32"/>
      <c r="BK219" s="32"/>
      <c r="BL219" s="32"/>
      <c r="BM219" s="32"/>
      <c r="BN219" s="32"/>
      <c r="BO219" s="165"/>
      <c r="BP219" s="165"/>
      <c r="BQ219" s="165"/>
      <c r="BR219" s="165"/>
      <c r="BS219" s="165"/>
      <c r="BT219" s="165"/>
      <c r="BU219" s="165"/>
      <c r="BV219" s="55"/>
      <c r="BW219" s="160"/>
      <c r="BX219" s="32"/>
      <c r="BY219" s="24"/>
      <c r="BZ219" s="24"/>
      <c r="CA219" s="24"/>
      <c r="CB219" s="24"/>
      <c r="CC219" s="24"/>
      <c r="CD219" s="24"/>
      <c r="CE219" s="24"/>
    </row>
    <row r="220" spans="1:83" ht="15" customHeight="1">
      <c r="A220" s="4"/>
      <c r="B220" s="317">
        <f>CENY!B573</f>
        <v>9283182</v>
      </c>
      <c r="C220" s="43" t="str">
        <f>VLOOKUP(B220,CENY!$B$11:$G$1054,2,FALSE)</f>
        <v>AvanY-Inlay sklenené boky 550mm; 2 x sklo</v>
      </c>
      <c r="D220" s="355">
        <f>VLOOKUP(B220,CENY!$B$11:$G$1054,3,FALSE)</f>
        <v>1</v>
      </c>
      <c r="E220" s="56" t="str">
        <f>IF(VLOOKUP(B220,CENY!$B$11:$G$1054,4,FALSE)=0,"",VLOOKUP(B220,CENY!$B$11:$G$1054,4,FALSE))</f>
        <v/>
      </c>
      <c r="F220" s="40" t="str">
        <f t="shared" si="48"/>
        <v/>
      </c>
      <c r="G220" s="52">
        <f>VLOOKUP(B220,CENY!$B$11:$M$1054,12,FALSE)</f>
        <v>1058.9617900000001</v>
      </c>
      <c r="H220" s="54" t="str">
        <f t="shared" si="49"/>
        <v xml:space="preserve"> CZK</v>
      </c>
      <c r="I220" s="41" t="str">
        <f t="shared" si="50"/>
        <v/>
      </c>
      <c r="J220" s="122"/>
      <c r="K220" s="42" t="str">
        <f>VLOOKUP(B220,CENY!$B$11:$M$1054,8,FALSE)</f>
        <v xml:space="preserve"> </v>
      </c>
      <c r="L220" s="42" t="str">
        <f>VLOOKUP(B220,CENY!$B$11:$M$1054,9,FALSE)</f>
        <v>421350</v>
      </c>
      <c r="M220" s="32"/>
      <c r="N220" s="35">
        <f t="shared" si="51"/>
        <v>0</v>
      </c>
      <c r="O220" s="36">
        <v>0</v>
      </c>
      <c r="P220" s="32"/>
      <c r="Q220" s="32"/>
      <c r="R220" s="32"/>
      <c r="S220" s="32"/>
      <c r="T220" s="32"/>
      <c r="U220" s="32"/>
      <c r="V220" s="32"/>
      <c r="W220" s="32"/>
      <c r="X220" s="325">
        <f>AVT187In!AZ17</f>
        <v>0</v>
      </c>
      <c r="Y220" s="325">
        <f>AVT187In!BI27</f>
        <v>0</v>
      </c>
      <c r="Z220" s="32"/>
      <c r="AA220" s="32"/>
      <c r="AB220" s="32"/>
      <c r="AC220" s="32"/>
      <c r="AD220" s="32"/>
      <c r="AE220" s="32"/>
      <c r="AF220" s="325">
        <f>'AVT187In(vn-A)'!AZ17</f>
        <v>0</v>
      </c>
      <c r="AG220" s="325">
        <f>'AVT187In(vn-A)'!BI27</f>
        <v>0</v>
      </c>
      <c r="AH220" s="32"/>
      <c r="AI220" s="32"/>
      <c r="AJ220" s="325">
        <f>'AVT187In(vn-S)'!AZ17</f>
        <v>0</v>
      </c>
      <c r="AK220" s="325">
        <f>'AVT187In(vn-S)'!BI27</f>
        <v>0</v>
      </c>
      <c r="AL220" s="32"/>
      <c r="AM220" s="32"/>
      <c r="AN220" s="32"/>
      <c r="AO220" s="32"/>
      <c r="AP220" s="32"/>
      <c r="AQ220" s="32"/>
      <c r="AR220" s="32"/>
      <c r="AS220" s="32"/>
      <c r="AT220" s="325">
        <f>'AVT-celny-2x187In'!AZ17</f>
        <v>0</v>
      </c>
      <c r="AU220" s="325">
        <f>'AVT-celny-2x187In'!BI27</f>
        <v>0</v>
      </c>
      <c r="AV220" s="32"/>
      <c r="AW220" s="32"/>
      <c r="AX220" s="32"/>
      <c r="AY220" s="32"/>
      <c r="AZ220" s="32"/>
      <c r="BA220" s="32"/>
      <c r="BB220" s="32"/>
      <c r="BC220" s="32"/>
      <c r="BD220" s="32"/>
      <c r="BE220" s="32"/>
      <c r="BF220" s="32"/>
      <c r="BG220" s="32"/>
      <c r="BH220" s="32"/>
      <c r="BI220" s="32"/>
      <c r="BJ220" s="32"/>
      <c r="BK220" s="32"/>
      <c r="BL220" s="32"/>
      <c r="BM220" s="32"/>
      <c r="BN220" s="32"/>
      <c r="BO220" s="165"/>
      <c r="BP220" s="165"/>
      <c r="BQ220" s="165"/>
      <c r="BR220" s="165"/>
      <c r="BS220" s="165"/>
      <c r="BT220" s="165"/>
      <c r="BU220" s="165"/>
      <c r="BV220" s="55"/>
      <c r="BW220" s="160"/>
      <c r="BX220" s="32"/>
      <c r="BY220" s="24"/>
      <c r="BZ220" s="24"/>
      <c r="CA220" s="24"/>
      <c r="CB220" s="24"/>
      <c r="CC220" s="24"/>
      <c r="CD220" s="24"/>
      <c r="CE220" s="24"/>
    </row>
    <row r="221" spans="1:83" ht="15" customHeight="1">
      <c r="A221" s="4"/>
      <c r="B221" s="317">
        <f>CENY!B574</f>
        <v>9283183</v>
      </c>
      <c r="C221" s="43" t="str">
        <f>VLOOKUP(B221,CENY!$B$11:$G$1054,2,FALSE)</f>
        <v>AvanY-Inlay sklenené boky 600mm; 2 x sklo</v>
      </c>
      <c r="D221" s="355">
        <f>VLOOKUP(B221,CENY!$B$11:$G$1054,3,FALSE)</f>
        <v>1</v>
      </c>
      <c r="E221" s="56" t="str">
        <f>IF(VLOOKUP(B221,CENY!$B$11:$G$1054,4,FALSE)=0,"",VLOOKUP(B221,CENY!$B$11:$G$1054,4,FALSE))</f>
        <v/>
      </c>
      <c r="F221" s="40" t="str">
        <f t="shared" si="48"/>
        <v/>
      </c>
      <c r="G221" s="52">
        <f>VLOOKUP(B221,CENY!$B$11:$M$1054,12,FALSE)</f>
        <v>1152.39642</v>
      </c>
      <c r="H221" s="54" t="str">
        <f t="shared" si="49"/>
        <v xml:space="preserve"> CZK</v>
      </c>
      <c r="I221" s="41" t="str">
        <f t="shared" si="50"/>
        <v/>
      </c>
      <c r="J221" s="122"/>
      <c r="K221" s="42" t="str">
        <f>VLOOKUP(B221,CENY!$B$11:$M$1054,8,FALSE)</f>
        <v xml:space="preserve"> </v>
      </c>
      <c r="L221" s="42" t="str">
        <f>VLOOKUP(B221,CENY!$B$11:$M$1054,9,FALSE)</f>
        <v>421351</v>
      </c>
      <c r="M221" s="32"/>
      <c r="N221" s="35">
        <f t="shared" si="51"/>
        <v>0</v>
      </c>
      <c r="O221" s="36">
        <v>0</v>
      </c>
      <c r="P221" s="32"/>
      <c r="Q221" s="32"/>
      <c r="R221" s="32"/>
      <c r="S221" s="32"/>
      <c r="T221" s="32"/>
      <c r="U221" s="32"/>
      <c r="V221" s="32"/>
      <c r="W221" s="32"/>
      <c r="X221" s="325">
        <f>AVT187In!AZ18</f>
        <v>0</v>
      </c>
      <c r="Y221" s="325">
        <f>AVT187In!BI28</f>
        <v>0</v>
      </c>
      <c r="Z221" s="32"/>
      <c r="AA221" s="32"/>
      <c r="AB221" s="32"/>
      <c r="AC221" s="32"/>
      <c r="AD221" s="32"/>
      <c r="AE221" s="32"/>
      <c r="AF221" s="325">
        <f>'AVT187In(vn-A)'!AZ18</f>
        <v>0</v>
      </c>
      <c r="AG221" s="325">
        <f>'AVT187In(vn-A)'!BI28</f>
        <v>0</v>
      </c>
      <c r="AH221" s="32"/>
      <c r="AI221" s="32"/>
      <c r="AJ221" s="325">
        <f>'AVT187In(vn-S)'!AZ18</f>
        <v>0</v>
      </c>
      <c r="AK221" s="325">
        <f>'AVT187In(vn-S)'!BI28</f>
        <v>0</v>
      </c>
      <c r="AL221" s="32"/>
      <c r="AM221" s="32"/>
      <c r="AN221" s="32"/>
      <c r="AO221" s="32"/>
      <c r="AP221" s="32"/>
      <c r="AQ221" s="32"/>
      <c r="AR221" s="32"/>
      <c r="AS221" s="32"/>
      <c r="AT221" s="325">
        <f>'AVT-celny-2x187In'!AZ18</f>
        <v>0</v>
      </c>
      <c r="AU221" s="325">
        <f>'AVT-celny-2x187In'!BI28</f>
        <v>0</v>
      </c>
      <c r="AV221" s="32"/>
      <c r="AW221" s="32"/>
      <c r="AX221" s="32"/>
      <c r="AY221" s="32"/>
      <c r="AZ221" s="32"/>
      <c r="BA221" s="32"/>
      <c r="BB221" s="32"/>
      <c r="BC221" s="32"/>
      <c r="BD221" s="32"/>
      <c r="BE221" s="32"/>
      <c r="BF221" s="32"/>
      <c r="BG221" s="32"/>
      <c r="BH221" s="32"/>
      <c r="BI221" s="32"/>
      <c r="BJ221" s="32"/>
      <c r="BK221" s="32"/>
      <c r="BL221" s="32"/>
      <c r="BM221" s="32"/>
      <c r="BN221" s="32"/>
      <c r="BO221" s="165"/>
      <c r="BP221" s="165"/>
      <c r="BQ221" s="165"/>
      <c r="BR221" s="165"/>
      <c r="BS221" s="165"/>
      <c r="BT221" s="165"/>
      <c r="BU221" s="165"/>
      <c r="BV221" s="55"/>
      <c r="BW221" s="160"/>
      <c r="BX221" s="32"/>
      <c r="BY221" s="24"/>
      <c r="BZ221" s="24"/>
      <c r="CA221" s="24"/>
      <c r="CB221" s="24"/>
      <c r="CC221" s="24"/>
      <c r="CD221" s="24"/>
      <c r="CE221" s="24"/>
    </row>
    <row r="222" spans="1:83" ht="15" customHeight="1">
      <c r="A222" s="4"/>
      <c r="B222" s="317">
        <f>CENY!B575</f>
        <v>9283184</v>
      </c>
      <c r="C222" s="43" t="str">
        <f>VLOOKUP(B222,CENY!$B$11:$G$1054,2,FALSE)</f>
        <v>AvanY-Inlay sklenené boky 650mm; 2 x sklo</v>
      </c>
      <c r="D222" s="355">
        <f>VLOOKUP(B222,CENY!$B$11:$G$1054,3,FALSE)</f>
        <v>1</v>
      </c>
      <c r="E222" s="56" t="str">
        <f>IF(VLOOKUP(B222,CENY!$B$11:$G$1054,4,FALSE)=0,"",VLOOKUP(B222,CENY!$B$11:$G$1054,4,FALSE))</f>
        <v/>
      </c>
      <c r="F222" s="40" t="str">
        <f t="shared" si="48"/>
        <v/>
      </c>
      <c r="G222" s="52">
        <f>VLOOKUP(B222,CENY!$B$11:$M$1054,12,FALSE)</f>
        <v>1245.8336200000001</v>
      </c>
      <c r="H222" s="54" t="str">
        <f t="shared" si="49"/>
        <v xml:space="preserve"> CZK</v>
      </c>
      <c r="I222" s="41" t="str">
        <f t="shared" si="50"/>
        <v/>
      </c>
      <c r="J222" s="122"/>
      <c r="K222" s="42" t="str">
        <f>VLOOKUP(B222,CENY!$B$11:$M$1054,8,FALSE)</f>
        <v xml:space="preserve"> </v>
      </c>
      <c r="L222" s="42" t="str">
        <f>VLOOKUP(B222,CENY!$B$11:$M$1054,9,FALSE)</f>
        <v>421352</v>
      </c>
      <c r="M222" s="32"/>
      <c r="N222" s="35">
        <f t="shared" si="51"/>
        <v>0</v>
      </c>
      <c r="O222" s="36">
        <v>0</v>
      </c>
      <c r="P222" s="32"/>
      <c r="Q222" s="32"/>
      <c r="R222" s="32"/>
      <c r="S222" s="32"/>
      <c r="T222" s="32"/>
      <c r="U222" s="32"/>
      <c r="V222" s="32"/>
      <c r="W222" s="32"/>
      <c r="X222" s="325">
        <f>AVT187In!AZ19</f>
        <v>0</v>
      </c>
      <c r="Y222" s="325">
        <f>AVT187In!BI29</f>
        <v>0</v>
      </c>
      <c r="Z222" s="32"/>
      <c r="AA222" s="32"/>
      <c r="AB222" s="32"/>
      <c r="AC222" s="32"/>
      <c r="AD222" s="32"/>
      <c r="AE222" s="32"/>
      <c r="AF222" s="325">
        <f>'AVT187In(vn-A)'!AZ19</f>
        <v>0</v>
      </c>
      <c r="AG222" s="325">
        <f>'AVT187In(vn-A)'!BI29</f>
        <v>0</v>
      </c>
      <c r="AH222" s="32"/>
      <c r="AI222" s="32"/>
      <c r="AJ222" s="325">
        <f>'AVT187In(vn-S)'!AZ19</f>
        <v>0</v>
      </c>
      <c r="AK222" s="325">
        <f>'AVT187In(vn-S)'!BI29</f>
        <v>0</v>
      </c>
      <c r="AL222" s="32"/>
      <c r="AM222" s="32"/>
      <c r="AN222" s="32"/>
      <c r="AO222" s="32"/>
      <c r="AP222" s="32"/>
      <c r="AQ222" s="32"/>
      <c r="AR222" s="32"/>
      <c r="AS222" s="32"/>
      <c r="AT222" s="325">
        <f>'AVT-celny-2x187In'!AZ19</f>
        <v>0</v>
      </c>
      <c r="AU222" s="325">
        <f>'AVT-celny-2x187In'!BI29</f>
        <v>0</v>
      </c>
      <c r="AV222" s="32"/>
      <c r="AW222" s="32"/>
      <c r="AX222" s="32"/>
      <c r="AY222" s="32"/>
      <c r="AZ222" s="32"/>
      <c r="BA222" s="32"/>
      <c r="BB222" s="32"/>
      <c r="BC222" s="32"/>
      <c r="BD222" s="32"/>
      <c r="BE222" s="32"/>
      <c r="BF222" s="32"/>
      <c r="BG222" s="32"/>
      <c r="BH222" s="32"/>
      <c r="BI222" s="32"/>
      <c r="BJ222" s="32"/>
      <c r="BK222" s="32"/>
      <c r="BL222" s="32"/>
      <c r="BM222" s="32"/>
      <c r="BN222" s="32"/>
      <c r="BO222" s="165"/>
      <c r="BP222" s="165"/>
      <c r="BQ222" s="165"/>
      <c r="BR222" s="165"/>
      <c r="BS222" s="165"/>
      <c r="BT222" s="165"/>
      <c r="BU222" s="165"/>
      <c r="BV222" s="55"/>
      <c r="BW222" s="160"/>
      <c r="BX222" s="32"/>
      <c r="BY222" s="24"/>
      <c r="BZ222" s="24"/>
      <c r="CA222" s="24"/>
      <c r="CB222" s="24"/>
      <c r="CC222" s="24"/>
      <c r="CD222" s="24"/>
      <c r="CE222" s="24"/>
    </row>
    <row r="223" spans="1:83" ht="8.1" customHeight="1">
      <c r="A223" s="4"/>
      <c r="B223" s="126"/>
      <c r="C223" s="43"/>
      <c r="D223" s="39"/>
      <c r="E223" s="56"/>
      <c r="F223" s="60"/>
      <c r="G223" s="52"/>
      <c r="H223" s="54"/>
      <c r="I223" s="41"/>
      <c r="J223" s="122"/>
      <c r="K223" s="42"/>
      <c r="L223" s="42"/>
      <c r="M223" s="32"/>
      <c r="N223" s="35"/>
      <c r="O223" s="36"/>
      <c r="P223" s="32"/>
      <c r="Q223" s="32"/>
      <c r="R223" s="32"/>
      <c r="S223" s="32"/>
      <c r="T223" s="32"/>
      <c r="U223" s="32"/>
      <c r="V223" s="32"/>
      <c r="W223" s="32"/>
      <c r="X223" s="32"/>
      <c r="Y223" s="32"/>
      <c r="Z223" s="32"/>
      <c r="AA223" s="32"/>
      <c r="AB223" s="32"/>
      <c r="AC223" s="32"/>
      <c r="AD223" s="32"/>
      <c r="AE223" s="32"/>
      <c r="AF223" s="32"/>
      <c r="AG223" s="32"/>
      <c r="AH223" s="32"/>
      <c r="AI223" s="32"/>
      <c r="AJ223" s="32"/>
      <c r="AK223" s="32"/>
      <c r="AL223" s="32"/>
      <c r="AM223" s="32"/>
      <c r="AN223" s="32"/>
      <c r="AO223" s="32"/>
      <c r="AP223" s="32"/>
      <c r="AQ223" s="32"/>
      <c r="AR223" s="32"/>
      <c r="AS223" s="32"/>
      <c r="AT223" s="32"/>
      <c r="AU223" s="32"/>
      <c r="AV223" s="32"/>
      <c r="AW223" s="32"/>
      <c r="AX223" s="32"/>
      <c r="AY223" s="32"/>
      <c r="AZ223" s="32"/>
      <c r="BA223" s="32"/>
      <c r="BB223" s="32"/>
      <c r="BC223" s="32"/>
      <c r="BD223" s="32"/>
      <c r="BE223" s="32"/>
      <c r="BF223" s="32"/>
      <c r="BG223" s="32"/>
      <c r="BH223" s="32"/>
      <c r="BI223" s="32"/>
      <c r="BJ223" s="32"/>
      <c r="BK223" s="32"/>
      <c r="BL223" s="32"/>
      <c r="BM223" s="32"/>
      <c r="BN223" s="32"/>
      <c r="BO223" s="165"/>
      <c r="BP223" s="165"/>
      <c r="BQ223" s="165"/>
      <c r="BR223" s="165"/>
      <c r="BS223" s="165"/>
      <c r="BT223" s="165"/>
      <c r="BU223" s="165"/>
      <c r="BV223" s="55"/>
      <c r="BW223" s="160"/>
      <c r="BX223" s="32"/>
      <c r="BY223" s="24"/>
      <c r="BZ223" s="24"/>
      <c r="CA223" s="24"/>
      <c r="CB223" s="24"/>
      <c r="CC223" s="24"/>
      <c r="CD223" s="24"/>
      <c r="CE223" s="24"/>
    </row>
    <row r="224" spans="1:83" ht="15" customHeight="1">
      <c r="A224" s="4"/>
      <c r="B224" s="317">
        <f>IF($Y$8=$Y$7,CENY!B577,IF($Y$7=$Y$9,CENY!B581,CENY!B585))</f>
        <v>9283228</v>
      </c>
      <c r="C224" s="43" t="str">
        <f>VLOOKUP(B224,CENY!$B$11:$G$1054,2,FALSE)</f>
        <v>AvanY-sklo pre vnút.čelo /v66/s450/hr18</v>
      </c>
      <c r="D224" s="355">
        <f>VLOOKUP(B224,CENY!$B$11:$G$1054,3,FALSE)</f>
        <v>1</v>
      </c>
      <c r="E224" s="56" t="str">
        <f>IF(VLOOKUP(B224,CENY!$B$11:$G$1054,4,FALSE)=0,"",VLOOKUP(B224,CENY!$B$11:$G$1054,4,FALSE))</f>
        <v/>
      </c>
      <c r="F224" s="40" t="str">
        <f t="shared" ref="F224:F231" si="52">IF(J224&lt;&gt;"",J224,IF(N224=0,"",N224))</f>
        <v/>
      </c>
      <c r="G224" s="52">
        <f>VLOOKUP(B224,CENY!$B$11:$M$1054,12,FALSE)</f>
        <v>0</v>
      </c>
      <c r="H224" s="54" t="str">
        <f t="shared" si="42"/>
        <v xml:space="preserve"> CZK</v>
      </c>
      <c r="I224" s="41" t="str">
        <f t="shared" si="43"/>
        <v/>
      </c>
      <c r="J224" s="122"/>
      <c r="K224" s="42" t="str">
        <f>VLOOKUP(B224,CENY!$B$11:$M$1054,8,FALSE)</f>
        <v xml:space="preserve"> </v>
      </c>
      <c r="L224" s="42">
        <f>VLOOKUP(B224,CENY!$B$11:$M$1054,9,FALSE)</f>
        <v>0</v>
      </c>
      <c r="M224" s="32"/>
      <c r="N224" s="35">
        <f t="shared" ref="N224:N231" si="53">SUM(P224:BW224)</f>
        <v>0</v>
      </c>
      <c r="O224" s="36">
        <v>0</v>
      </c>
      <c r="P224" s="32"/>
      <c r="Q224" s="32"/>
      <c r="R224" s="32"/>
      <c r="S224" s="32"/>
      <c r="T224" s="32"/>
      <c r="U224" s="32"/>
      <c r="V224" s="32"/>
      <c r="W224" s="32"/>
      <c r="X224" s="32"/>
      <c r="Y224" s="32"/>
      <c r="Z224" s="32"/>
      <c r="AA224" s="32"/>
      <c r="AB224" s="32"/>
      <c r="AC224" s="32"/>
      <c r="AD224" s="32"/>
      <c r="AE224" s="32"/>
      <c r="AF224" s="32"/>
      <c r="AG224" s="32"/>
      <c r="AH224" s="337">
        <f>'AVT187(vn-S)'!AZ85</f>
        <v>0</v>
      </c>
      <c r="AI224" s="337">
        <f>'AVT187(vn-S)'!BI130</f>
        <v>0</v>
      </c>
      <c r="AJ224" s="337">
        <f>'AVT187In(vn-S)'!AZ85</f>
        <v>0</v>
      </c>
      <c r="AK224" s="337">
        <f>'AVT187In(vn-S)'!BI104</f>
        <v>0</v>
      </c>
      <c r="AL224" s="32"/>
      <c r="AM224" s="32"/>
      <c r="AN224" s="32"/>
      <c r="AO224" s="32"/>
      <c r="AP224" s="32"/>
      <c r="AQ224" s="32"/>
      <c r="AR224" s="32"/>
      <c r="AS224" s="32"/>
      <c r="AT224" s="32"/>
      <c r="AU224" s="32"/>
      <c r="AV224" s="32"/>
      <c r="AW224" s="32"/>
      <c r="AX224" s="32"/>
      <c r="AY224" s="32"/>
      <c r="AZ224" s="32"/>
      <c r="BA224" s="32"/>
      <c r="BB224" s="32"/>
      <c r="BC224" s="32"/>
      <c r="BD224" s="32"/>
      <c r="BE224" s="32"/>
      <c r="BF224" s="32"/>
      <c r="BG224" s="32"/>
      <c r="BH224" s="32"/>
      <c r="BI224" s="32"/>
      <c r="BJ224" s="32"/>
      <c r="BK224" s="32"/>
      <c r="BL224" s="32"/>
      <c r="BM224" s="32"/>
      <c r="BN224" s="32"/>
      <c r="BO224" s="165"/>
      <c r="BP224" s="165"/>
      <c r="BQ224" s="165"/>
      <c r="BR224" s="165"/>
      <c r="BS224" s="165"/>
      <c r="BT224" s="165"/>
      <c r="BU224" s="165"/>
      <c r="BV224" s="55"/>
      <c r="BW224" s="160"/>
      <c r="BX224" s="32"/>
      <c r="BY224" s="24"/>
      <c r="BZ224" s="24"/>
      <c r="CA224" s="24"/>
      <c r="CB224" s="24"/>
      <c r="CC224" s="24"/>
      <c r="CD224" s="24"/>
      <c r="CE224" s="24"/>
    </row>
    <row r="225" spans="1:83" ht="15" customHeight="1">
      <c r="A225" s="4"/>
      <c r="B225" s="317">
        <f>IF($Y$8=$Y$7,CENY!B578,IF($Y$7=$Y$9,CENY!B582,CENY!B586))</f>
        <v>9283229</v>
      </c>
      <c r="C225" s="43" t="str">
        <f>VLOOKUP(B225,CENY!$B$11:$G$1054,2,FALSE)</f>
        <v>AvanY-sklo pre vnút.čelo /v66/s600/hr18</v>
      </c>
      <c r="D225" s="355">
        <f>VLOOKUP(B225,CENY!$B$11:$G$1054,3,FALSE)</f>
        <v>1</v>
      </c>
      <c r="E225" s="56" t="str">
        <f>IF(VLOOKUP(B225,CENY!$B$11:$G$1054,4,FALSE)=0,"",VLOOKUP(B225,CENY!$B$11:$G$1054,4,FALSE))</f>
        <v/>
      </c>
      <c r="F225" s="40" t="str">
        <f t="shared" si="52"/>
        <v/>
      </c>
      <c r="G225" s="52">
        <f>VLOOKUP(B225,CENY!$B$11:$M$1054,12,FALSE)</f>
        <v>409.12</v>
      </c>
      <c r="H225" s="54" t="str">
        <f t="shared" si="42"/>
        <v xml:space="preserve"> CZK</v>
      </c>
      <c r="I225" s="41" t="str">
        <f t="shared" si="43"/>
        <v/>
      </c>
      <c r="J225" s="122"/>
      <c r="K225" s="42" t="str">
        <f>VLOOKUP(B225,CENY!$B$11:$M$1054,8,FALSE)</f>
        <v xml:space="preserve"> </v>
      </c>
      <c r="L225" s="42" t="str">
        <f>VLOOKUP(B225,CENY!$B$11:$M$1054,9,FALSE)</f>
        <v>489687</v>
      </c>
      <c r="M225" s="32"/>
      <c r="N225" s="35">
        <f t="shared" si="53"/>
        <v>0</v>
      </c>
      <c r="O225" s="36">
        <v>0</v>
      </c>
      <c r="P225" s="32"/>
      <c r="Q225" s="32"/>
      <c r="R225" s="32"/>
      <c r="S225" s="32"/>
      <c r="T225" s="32"/>
      <c r="U225" s="32"/>
      <c r="V225" s="32"/>
      <c r="W225" s="32"/>
      <c r="X225" s="32"/>
      <c r="Y225" s="32"/>
      <c r="Z225" s="32"/>
      <c r="AA225" s="32"/>
      <c r="AB225" s="32"/>
      <c r="AC225" s="32"/>
      <c r="AD225" s="32"/>
      <c r="AE225" s="32"/>
      <c r="AF225" s="32"/>
      <c r="AG225" s="32"/>
      <c r="AH225" s="337">
        <f>'AVT187(vn-S)'!AZ86</f>
        <v>0</v>
      </c>
      <c r="AI225" s="337">
        <f>'AVT187(vn-S)'!BI131</f>
        <v>0</v>
      </c>
      <c r="AJ225" s="337">
        <f>'AVT187In(vn-S)'!AZ86</f>
        <v>0</v>
      </c>
      <c r="AK225" s="337">
        <f>'AVT187In(vn-S)'!BI105</f>
        <v>0</v>
      </c>
      <c r="AL225" s="32"/>
      <c r="AM225" s="32"/>
      <c r="AN225" s="32"/>
      <c r="AO225" s="32"/>
      <c r="AP225" s="32"/>
      <c r="AQ225" s="32"/>
      <c r="AR225" s="32"/>
      <c r="AS225" s="32"/>
      <c r="AT225" s="32"/>
      <c r="AU225" s="32"/>
      <c r="AV225" s="32"/>
      <c r="AW225" s="32"/>
      <c r="AX225" s="32"/>
      <c r="AY225" s="32"/>
      <c r="AZ225" s="32"/>
      <c r="BA225" s="32"/>
      <c r="BB225" s="32"/>
      <c r="BC225" s="32"/>
      <c r="BD225" s="32"/>
      <c r="BE225" s="32"/>
      <c r="BF225" s="32"/>
      <c r="BG225" s="32"/>
      <c r="BH225" s="32"/>
      <c r="BI225" s="32"/>
      <c r="BJ225" s="32"/>
      <c r="BK225" s="32"/>
      <c r="BL225" s="32"/>
      <c r="BM225" s="32"/>
      <c r="BN225" s="32"/>
      <c r="BO225" s="165"/>
      <c r="BP225" s="165"/>
      <c r="BQ225" s="165"/>
      <c r="BR225" s="165"/>
      <c r="BS225" s="165"/>
      <c r="BT225" s="165"/>
      <c r="BU225" s="165"/>
      <c r="BV225" s="55"/>
      <c r="BW225" s="160"/>
      <c r="BX225" s="32"/>
      <c r="BY225" s="24"/>
      <c r="BZ225" s="24"/>
      <c r="CA225" s="24"/>
      <c r="CB225" s="24"/>
      <c r="CC225" s="24"/>
      <c r="CD225" s="24"/>
      <c r="CE225" s="24"/>
    </row>
    <row r="226" spans="1:83" ht="15" customHeight="1">
      <c r="A226" s="4"/>
      <c r="B226" s="317">
        <f>IF($Y$8=$Y$7,CENY!B579,IF($Y$7=$Y$9,CENY!B583,CENY!B587))</f>
        <v>9283231</v>
      </c>
      <c r="C226" s="43" t="str">
        <f>VLOOKUP(B226,CENY!$B$11:$G$1054,2,FALSE)</f>
        <v>AvanY-sklo pre vnút.čelo /v66/s900/hr18</v>
      </c>
      <c r="D226" s="355">
        <f>VLOOKUP(B226,CENY!$B$11:$G$1054,3,FALSE)</f>
        <v>1</v>
      </c>
      <c r="E226" s="56" t="str">
        <f>IF(VLOOKUP(B226,CENY!$B$11:$G$1054,4,FALSE)=0,"",VLOOKUP(B226,CENY!$B$11:$G$1054,4,FALSE))</f>
        <v/>
      </c>
      <c r="F226" s="40" t="str">
        <f t="shared" si="52"/>
        <v/>
      </c>
      <c r="G226" s="52">
        <f>VLOOKUP(B226,CENY!$B$11:$M$1054,12,FALSE)</f>
        <v>722.48258999999996</v>
      </c>
      <c r="H226" s="54" t="str">
        <f t="shared" si="42"/>
        <v xml:space="preserve"> CZK</v>
      </c>
      <c r="I226" s="41" t="str">
        <f t="shared" si="43"/>
        <v/>
      </c>
      <c r="J226" s="122"/>
      <c r="K226" s="42" t="str">
        <f>VLOOKUP(B226,CENY!$B$11:$M$1054,8,FALSE)</f>
        <v xml:space="preserve"> </v>
      </c>
      <c r="L226" s="42" t="str">
        <f>VLOOKUP(B226,CENY!$B$11:$M$1054,9,FALSE)</f>
        <v>518509</v>
      </c>
      <c r="M226" s="32"/>
      <c r="N226" s="35">
        <f t="shared" si="53"/>
        <v>0</v>
      </c>
      <c r="O226" s="36">
        <v>0</v>
      </c>
      <c r="P226" s="32"/>
      <c r="Q226" s="32"/>
      <c r="R226" s="32"/>
      <c r="S226" s="32"/>
      <c r="T226" s="32"/>
      <c r="U226" s="32"/>
      <c r="V226" s="32"/>
      <c r="W226" s="32"/>
      <c r="X226" s="32"/>
      <c r="Y226" s="32"/>
      <c r="Z226" s="32"/>
      <c r="AA226" s="32"/>
      <c r="AB226" s="32"/>
      <c r="AC226" s="32"/>
      <c r="AD226" s="32"/>
      <c r="AE226" s="32"/>
      <c r="AF226" s="32"/>
      <c r="AG226" s="32"/>
      <c r="AH226" s="337">
        <f>'AVT187(vn-S)'!AZ87</f>
        <v>0</v>
      </c>
      <c r="AI226" s="337">
        <f>'AVT187(vn-S)'!BI132</f>
        <v>0</v>
      </c>
      <c r="AJ226" s="337">
        <f>'AVT187In(vn-S)'!AZ87</f>
        <v>0</v>
      </c>
      <c r="AK226" s="337">
        <f>'AVT187In(vn-S)'!BI106</f>
        <v>0</v>
      </c>
      <c r="AL226" s="32"/>
      <c r="AM226" s="32"/>
      <c r="AN226" s="32"/>
      <c r="AO226" s="32"/>
      <c r="AP226" s="32"/>
      <c r="AQ226" s="32"/>
      <c r="AR226" s="32"/>
      <c r="AS226" s="32"/>
      <c r="AT226" s="32"/>
      <c r="AU226" s="32"/>
      <c r="AV226" s="32"/>
      <c r="AW226" s="32"/>
      <c r="AX226" s="32"/>
      <c r="AY226" s="32"/>
      <c r="AZ226" s="32"/>
      <c r="BA226" s="32"/>
      <c r="BB226" s="32"/>
      <c r="BC226" s="32"/>
      <c r="BD226" s="32"/>
      <c r="BE226" s="32"/>
      <c r="BF226" s="32"/>
      <c r="BG226" s="32"/>
      <c r="BH226" s="32"/>
      <c r="BI226" s="32"/>
      <c r="BJ226" s="32"/>
      <c r="BK226" s="32"/>
      <c r="BL226" s="32"/>
      <c r="BM226" s="32"/>
      <c r="BN226" s="32"/>
      <c r="BO226" s="165"/>
      <c r="BP226" s="165"/>
      <c r="BQ226" s="165"/>
      <c r="BR226" s="165"/>
      <c r="BS226" s="165"/>
      <c r="BT226" s="165"/>
      <c r="BU226" s="165"/>
      <c r="BV226" s="55"/>
      <c r="BW226" s="160"/>
      <c r="BX226" s="32"/>
      <c r="BY226" s="24"/>
      <c r="BZ226" s="24"/>
      <c r="CA226" s="24"/>
      <c r="CB226" s="24"/>
      <c r="CC226" s="24"/>
      <c r="CD226" s="24"/>
      <c r="CE226" s="24"/>
    </row>
    <row r="227" spans="1:83" ht="15" customHeight="1">
      <c r="A227" s="4"/>
      <c r="B227" s="317">
        <f>IF($Y$8=$Y$7,CENY!B580,IF($Y$7=$Y$9,CENY!B584,CENY!B588))</f>
        <v>9283232</v>
      </c>
      <c r="C227" s="43" t="str">
        <f>VLOOKUP(B227,CENY!$B$11:$G$1054,2,FALSE)</f>
        <v>AvanY-sklo pre vnút.čelo /v66/s1200/hr18</v>
      </c>
      <c r="D227" s="355">
        <f>VLOOKUP(B227,CENY!$B$11:$G$1054,3,FALSE)</f>
        <v>1</v>
      </c>
      <c r="E227" s="56" t="str">
        <f>IF(VLOOKUP(B227,CENY!$B$11:$G$1054,4,FALSE)=0,"",VLOOKUP(B227,CENY!$B$11:$G$1054,4,FALSE))</f>
        <v/>
      </c>
      <c r="F227" s="40" t="str">
        <f t="shared" si="52"/>
        <v/>
      </c>
      <c r="G227" s="52">
        <f>VLOOKUP(B227,CENY!$B$11:$M$1054,12,FALSE)</f>
        <v>931.38562999999999</v>
      </c>
      <c r="H227" s="54" t="str">
        <f t="shared" si="42"/>
        <v xml:space="preserve"> CZK</v>
      </c>
      <c r="I227" s="41" t="str">
        <f t="shared" si="43"/>
        <v/>
      </c>
      <c r="J227" s="122"/>
      <c r="K227" s="42" t="str">
        <f>VLOOKUP(B227,CENY!$B$11:$M$1054,8,FALSE)</f>
        <v xml:space="preserve"> </v>
      </c>
      <c r="L227" s="42" t="str">
        <f>VLOOKUP(B227,CENY!$B$11:$M$1054,9,FALSE)</f>
        <v>518502</v>
      </c>
      <c r="M227" s="32"/>
      <c r="N227" s="35">
        <f t="shared" si="53"/>
        <v>0</v>
      </c>
      <c r="O227" s="36">
        <v>0</v>
      </c>
      <c r="P227" s="32"/>
      <c r="Q227" s="32"/>
      <c r="R227" s="32"/>
      <c r="S227" s="32"/>
      <c r="T227" s="32"/>
      <c r="U227" s="32"/>
      <c r="V227" s="32"/>
      <c r="W227" s="32"/>
      <c r="X227" s="32"/>
      <c r="Y227" s="32"/>
      <c r="Z227" s="32"/>
      <c r="AA227" s="32"/>
      <c r="AB227" s="32"/>
      <c r="AC227" s="32"/>
      <c r="AD227" s="32"/>
      <c r="AE227" s="32"/>
      <c r="AF227" s="32"/>
      <c r="AG227" s="32"/>
      <c r="AH227" s="337">
        <f>'AVT187(vn-S)'!AZ88</f>
        <v>0</v>
      </c>
      <c r="AI227" s="337">
        <f>'AVT187(vn-S)'!BI133</f>
        <v>0</v>
      </c>
      <c r="AJ227" s="337">
        <f>'AVT187In(vn-S)'!AZ88</f>
        <v>0</v>
      </c>
      <c r="AK227" s="337">
        <f>'AVT187In(vn-S)'!BI107</f>
        <v>0</v>
      </c>
      <c r="AL227" s="32"/>
      <c r="AM227" s="32"/>
      <c r="AN227" s="32"/>
      <c r="AO227" s="32"/>
      <c r="AP227" s="32"/>
      <c r="AQ227" s="32"/>
      <c r="AR227" s="32"/>
      <c r="AS227" s="32"/>
      <c r="AT227" s="32"/>
      <c r="AU227" s="32"/>
      <c r="AV227" s="32"/>
      <c r="AW227" s="32"/>
      <c r="AX227" s="32"/>
      <c r="AY227" s="32"/>
      <c r="AZ227" s="32"/>
      <c r="BA227" s="32"/>
      <c r="BB227" s="32"/>
      <c r="BC227" s="32"/>
      <c r="BD227" s="32"/>
      <c r="BE227" s="32"/>
      <c r="BF227" s="32"/>
      <c r="BG227" s="32"/>
      <c r="BH227" s="32"/>
      <c r="BI227" s="32"/>
      <c r="BJ227" s="32"/>
      <c r="BK227" s="32"/>
      <c r="BL227" s="32"/>
      <c r="BM227" s="32"/>
      <c r="BN227" s="32"/>
      <c r="BO227" s="165"/>
      <c r="BP227" s="165"/>
      <c r="BQ227" s="165"/>
      <c r="BR227" s="165"/>
      <c r="BS227" s="165"/>
      <c r="BT227" s="165"/>
      <c r="BU227" s="165"/>
      <c r="BV227" s="55"/>
      <c r="BW227" s="160"/>
      <c r="BX227" s="32"/>
      <c r="BY227" s="24"/>
      <c r="BZ227" s="24"/>
      <c r="CA227" s="24"/>
      <c r="CB227" s="24"/>
      <c r="CC227" s="24"/>
      <c r="CD227" s="24"/>
      <c r="CE227" s="24"/>
    </row>
    <row r="228" spans="1:83" ht="15" customHeight="1">
      <c r="A228" s="4"/>
      <c r="B228" s="317">
        <f>IF($Y$8=$Y$7,CENY!B589,IF($Y$7=$Y$9,CENY!B593,CENY!B597))</f>
        <v>9283233</v>
      </c>
      <c r="C228" s="43" t="str">
        <f>VLOOKUP(B228,CENY!$B$11:$G$1054,2,FALSE)</f>
        <v>AvanY-sklo pre vnút.čelo /v130/s450/hr18</v>
      </c>
      <c r="D228" s="355">
        <f>VLOOKUP(B228,CENY!$B$11:$G$1054,3,FALSE)</f>
        <v>1</v>
      </c>
      <c r="E228" s="56" t="str">
        <f>IF(VLOOKUP(B228,CENY!$B$11:$G$1054,4,FALSE)=0,"",VLOOKUP(B228,CENY!$B$11:$G$1054,4,FALSE))</f>
        <v/>
      </c>
      <c r="F228" s="40" t="str">
        <f t="shared" si="52"/>
        <v/>
      </c>
      <c r="G228" s="52">
        <f>VLOOKUP(B228,CENY!$B$11:$M$1054,12,FALSE)</f>
        <v>564.20789000000002</v>
      </c>
      <c r="H228" s="54" t="str">
        <f t="shared" si="42"/>
        <v xml:space="preserve"> CZK</v>
      </c>
      <c r="I228" s="41" t="str">
        <f t="shared" si="43"/>
        <v/>
      </c>
      <c r="J228" s="122"/>
      <c r="K228" s="42" t="str">
        <f>VLOOKUP(B228,CENY!$B$11:$M$1054,8,FALSE)</f>
        <v xml:space="preserve"> </v>
      </c>
      <c r="L228" s="42" t="str">
        <f>VLOOKUP(B228,CENY!$B$11:$M$1054,9,FALSE)</f>
        <v>518494</v>
      </c>
      <c r="M228" s="32"/>
      <c r="N228" s="35">
        <f t="shared" si="53"/>
        <v>0</v>
      </c>
      <c r="O228" s="36">
        <v>0</v>
      </c>
      <c r="P228" s="32"/>
      <c r="Q228" s="32"/>
      <c r="R228" s="32"/>
      <c r="S228" s="32"/>
      <c r="T228" s="32"/>
      <c r="U228" s="32"/>
      <c r="V228" s="32"/>
      <c r="W228" s="32"/>
      <c r="X228" s="32"/>
      <c r="Y228" s="32"/>
      <c r="Z228" s="32"/>
      <c r="AA228" s="32"/>
      <c r="AB228" s="32"/>
      <c r="AC228" s="32"/>
      <c r="AD228" s="32"/>
      <c r="AE228" s="32"/>
      <c r="AF228" s="32"/>
      <c r="AG228" s="32"/>
      <c r="AH228" s="337">
        <f>'AVT187(vn-S)'!AZ89</f>
        <v>0</v>
      </c>
      <c r="AI228" s="337">
        <f>'AVT187(vn-S)'!BI134</f>
        <v>0</v>
      </c>
      <c r="AJ228" s="337">
        <f>'AVT187In(vn-S)'!AZ89</f>
        <v>0</v>
      </c>
      <c r="AK228" s="337">
        <f>'AVT187In(vn-S)'!BI108</f>
        <v>0</v>
      </c>
      <c r="AL228" s="32"/>
      <c r="AM228" s="32"/>
      <c r="AN228" s="32"/>
      <c r="AO228" s="32"/>
      <c r="AP228" s="32"/>
      <c r="AQ228" s="32"/>
      <c r="AR228" s="32"/>
      <c r="AS228" s="32"/>
      <c r="AT228" s="32"/>
      <c r="AU228" s="32"/>
      <c r="AV228" s="32"/>
      <c r="AW228" s="32"/>
      <c r="AX228" s="32"/>
      <c r="AY228" s="32"/>
      <c r="AZ228" s="32"/>
      <c r="BA228" s="32"/>
      <c r="BB228" s="32"/>
      <c r="BC228" s="32"/>
      <c r="BD228" s="32"/>
      <c r="BE228" s="32"/>
      <c r="BF228" s="32"/>
      <c r="BG228" s="32"/>
      <c r="BH228" s="32"/>
      <c r="BI228" s="32"/>
      <c r="BJ228" s="32"/>
      <c r="BK228" s="32"/>
      <c r="BL228" s="32"/>
      <c r="BM228" s="32"/>
      <c r="BN228" s="32"/>
      <c r="BO228" s="165"/>
      <c r="BP228" s="165"/>
      <c r="BQ228" s="165"/>
      <c r="BR228" s="165"/>
      <c r="BS228" s="165"/>
      <c r="BT228" s="165"/>
      <c r="BU228" s="165"/>
      <c r="BV228" s="55"/>
      <c r="BW228" s="160"/>
      <c r="BX228" s="32"/>
      <c r="BY228" s="24"/>
      <c r="BZ228" s="24"/>
      <c r="CA228" s="24"/>
      <c r="CB228" s="24"/>
      <c r="CC228" s="24"/>
      <c r="CD228" s="24"/>
      <c r="CE228" s="24"/>
    </row>
    <row r="229" spans="1:83" ht="15" customHeight="1">
      <c r="A229" s="4"/>
      <c r="B229" s="317">
        <f>IF($Y$8=$Y$7,CENY!B590,IF($Y$7=$Y$9,CENY!B594,CENY!B598))</f>
        <v>9283235</v>
      </c>
      <c r="C229" s="43" t="str">
        <f>VLOOKUP(B229,CENY!$B$11:$G$1054,2,FALSE)</f>
        <v>AvanY-sklo pre vnút.čelo /v130/s600/hr18</v>
      </c>
      <c r="D229" s="355">
        <f>VLOOKUP(B229,CENY!$B$11:$G$1054,3,FALSE)</f>
        <v>1</v>
      </c>
      <c r="E229" s="56" t="str">
        <f>IF(VLOOKUP(B229,CENY!$B$11:$G$1054,4,FALSE)=0,"",VLOOKUP(B229,CENY!$B$11:$G$1054,4,FALSE))</f>
        <v/>
      </c>
      <c r="F229" s="40" t="str">
        <f t="shared" si="52"/>
        <v/>
      </c>
      <c r="G229" s="52">
        <f>VLOOKUP(B229,CENY!$B$11:$M$1054,12,FALSE)</f>
        <v>641.17699000000005</v>
      </c>
      <c r="H229" s="54" t="str">
        <f t="shared" si="42"/>
        <v xml:space="preserve"> CZK</v>
      </c>
      <c r="I229" s="41" t="str">
        <f t="shared" si="43"/>
        <v/>
      </c>
      <c r="J229" s="122"/>
      <c r="K229" s="42" t="str">
        <f>VLOOKUP(B229,CENY!$B$11:$M$1054,8,FALSE)</f>
        <v xml:space="preserve"> </v>
      </c>
      <c r="L229" s="42" t="str">
        <f>VLOOKUP(B229,CENY!$B$11:$M$1054,9,FALSE)</f>
        <v>475081</v>
      </c>
      <c r="M229" s="32"/>
      <c r="N229" s="35">
        <f t="shared" si="53"/>
        <v>0</v>
      </c>
      <c r="O229" s="36">
        <v>0</v>
      </c>
      <c r="P229" s="32"/>
      <c r="Q229" s="32"/>
      <c r="R229" s="32"/>
      <c r="S229" s="32"/>
      <c r="T229" s="32"/>
      <c r="U229" s="32"/>
      <c r="V229" s="32"/>
      <c r="W229" s="32"/>
      <c r="X229" s="32"/>
      <c r="Y229" s="32"/>
      <c r="Z229" s="32"/>
      <c r="AA229" s="32"/>
      <c r="AB229" s="32"/>
      <c r="AC229" s="32"/>
      <c r="AD229" s="32"/>
      <c r="AE229" s="32"/>
      <c r="AF229" s="32"/>
      <c r="AG229" s="32"/>
      <c r="AH229" s="337">
        <f>'AVT187(vn-S)'!AZ90</f>
        <v>0</v>
      </c>
      <c r="AI229" s="337">
        <f>'AVT187(vn-S)'!BI135</f>
        <v>0</v>
      </c>
      <c r="AJ229" s="337">
        <f>'AVT187In(vn-S)'!AZ90</f>
        <v>0</v>
      </c>
      <c r="AK229" s="337">
        <f>'AVT187In(vn-S)'!BI109</f>
        <v>0</v>
      </c>
      <c r="AL229" s="32"/>
      <c r="AM229" s="32"/>
      <c r="AN229" s="32"/>
      <c r="AO229" s="32"/>
      <c r="AP229" s="32"/>
      <c r="AQ229" s="32"/>
      <c r="AR229" s="32"/>
      <c r="AS229" s="32"/>
      <c r="AT229" s="32"/>
      <c r="AU229" s="32"/>
      <c r="AV229" s="32"/>
      <c r="AW229" s="32"/>
      <c r="AX229" s="32"/>
      <c r="AY229" s="32"/>
      <c r="AZ229" s="32"/>
      <c r="BA229" s="32"/>
      <c r="BB229" s="32"/>
      <c r="BC229" s="32"/>
      <c r="BD229" s="32"/>
      <c r="BE229" s="32"/>
      <c r="BF229" s="32"/>
      <c r="BG229" s="32"/>
      <c r="BH229" s="32"/>
      <c r="BI229" s="32"/>
      <c r="BJ229" s="32"/>
      <c r="BK229" s="32"/>
      <c r="BL229" s="32"/>
      <c r="BM229" s="32"/>
      <c r="BN229" s="32"/>
      <c r="BO229" s="165"/>
      <c r="BP229" s="165"/>
      <c r="BQ229" s="165"/>
      <c r="BR229" s="165"/>
      <c r="BS229" s="165"/>
      <c r="BT229" s="165"/>
      <c r="BU229" s="165"/>
      <c r="BV229" s="55"/>
      <c r="BW229" s="160"/>
      <c r="BX229" s="32"/>
      <c r="BY229" s="24"/>
      <c r="BZ229" s="24"/>
      <c r="CA229" s="24"/>
      <c r="CB229" s="24"/>
      <c r="CC229" s="24"/>
      <c r="CD229" s="24"/>
      <c r="CE229" s="24"/>
    </row>
    <row r="230" spans="1:83" ht="15" customHeight="1">
      <c r="A230" s="4"/>
      <c r="B230" s="317">
        <f>IF($Y$8=$Y$7,CENY!B591,IF($Y$7=$Y$9,CENY!B595,CENY!B599))</f>
        <v>9283237</v>
      </c>
      <c r="C230" s="43" t="str">
        <f>VLOOKUP(B230,CENY!$B$11:$G$1054,2,FALSE)</f>
        <v>AvanY-sklo pre vnút.čelo /v130/s900/hr18</v>
      </c>
      <c r="D230" s="355">
        <f>VLOOKUP(B230,CENY!$B$11:$G$1054,3,FALSE)</f>
        <v>1</v>
      </c>
      <c r="E230" s="56" t="str">
        <f>IF(VLOOKUP(B230,CENY!$B$11:$G$1054,4,FALSE)=0,"",VLOOKUP(B230,CENY!$B$11:$G$1054,4,FALSE))</f>
        <v/>
      </c>
      <c r="F230" s="40" t="str">
        <f t="shared" si="52"/>
        <v/>
      </c>
      <c r="G230" s="52">
        <f>VLOOKUP(B230,CENY!$B$11:$M$1054,12,FALSE)</f>
        <v>1068.6239</v>
      </c>
      <c r="H230" s="54" t="str">
        <f t="shared" si="42"/>
        <v xml:space="preserve"> CZK</v>
      </c>
      <c r="I230" s="41" t="str">
        <f t="shared" si="43"/>
        <v/>
      </c>
      <c r="J230" s="122"/>
      <c r="K230" s="42" t="str">
        <f>VLOOKUP(B230,CENY!$B$11:$M$1054,8,FALSE)</f>
        <v xml:space="preserve"> </v>
      </c>
      <c r="L230" s="42" t="str">
        <f>VLOOKUP(B230,CENY!$B$11:$M$1054,9,FALSE)</f>
        <v>518499</v>
      </c>
      <c r="M230" s="32"/>
      <c r="N230" s="35">
        <f t="shared" si="53"/>
        <v>0</v>
      </c>
      <c r="O230" s="36">
        <v>0</v>
      </c>
      <c r="P230" s="32"/>
      <c r="Q230" s="32"/>
      <c r="R230" s="32"/>
      <c r="S230" s="32"/>
      <c r="T230" s="32"/>
      <c r="U230" s="32"/>
      <c r="V230" s="32"/>
      <c r="W230" s="32"/>
      <c r="X230" s="32"/>
      <c r="Y230" s="32"/>
      <c r="Z230" s="32"/>
      <c r="AA230" s="32"/>
      <c r="AB230" s="32"/>
      <c r="AC230" s="32"/>
      <c r="AD230" s="32"/>
      <c r="AE230" s="32"/>
      <c r="AF230" s="32"/>
      <c r="AG230" s="32"/>
      <c r="AH230" s="337">
        <f>'AVT187(vn-S)'!AZ91</f>
        <v>0</v>
      </c>
      <c r="AI230" s="337">
        <f>'AVT187(vn-S)'!BI136</f>
        <v>0</v>
      </c>
      <c r="AJ230" s="337">
        <f>'AVT187In(vn-S)'!AZ91</f>
        <v>0</v>
      </c>
      <c r="AK230" s="337">
        <f>'AVT187In(vn-S)'!BI110</f>
        <v>0</v>
      </c>
      <c r="AL230" s="32"/>
      <c r="AM230" s="32"/>
      <c r="AN230" s="32"/>
      <c r="AO230" s="32"/>
      <c r="AP230" s="32"/>
      <c r="AQ230" s="32"/>
      <c r="AR230" s="32"/>
      <c r="AS230" s="32"/>
      <c r="AT230" s="32"/>
      <c r="AU230" s="32"/>
      <c r="AV230" s="32"/>
      <c r="AW230" s="32"/>
      <c r="AX230" s="32"/>
      <c r="AY230" s="32"/>
      <c r="AZ230" s="32"/>
      <c r="BA230" s="32"/>
      <c r="BB230" s="32"/>
      <c r="BC230" s="32"/>
      <c r="BD230" s="32"/>
      <c r="BE230" s="32"/>
      <c r="BF230" s="32"/>
      <c r="BG230" s="32"/>
      <c r="BH230" s="32"/>
      <c r="BI230" s="32"/>
      <c r="BJ230" s="32"/>
      <c r="BK230" s="32"/>
      <c r="BL230" s="32"/>
      <c r="BM230" s="32"/>
      <c r="BN230" s="32"/>
      <c r="BO230" s="165"/>
      <c r="BP230" s="165"/>
      <c r="BQ230" s="165"/>
      <c r="BR230" s="165"/>
      <c r="BS230" s="165"/>
      <c r="BT230" s="165"/>
      <c r="BU230" s="165"/>
      <c r="BV230" s="55"/>
      <c r="BW230" s="160"/>
      <c r="BX230" s="32"/>
      <c r="BY230" s="24"/>
      <c r="BZ230" s="24"/>
      <c r="CA230" s="24"/>
      <c r="CB230" s="24"/>
      <c r="CC230" s="24"/>
      <c r="CD230" s="24"/>
      <c r="CE230" s="24"/>
    </row>
    <row r="231" spans="1:83" ht="15" customHeight="1">
      <c r="A231" s="4"/>
      <c r="B231" s="317">
        <f>IF($Y$8=$Y$7,CENY!B592,IF($Y$7=$Y$9,CENY!B596,CENY!B600))</f>
        <v>9283238</v>
      </c>
      <c r="C231" s="43" t="str">
        <f>VLOOKUP(B231,CENY!$B$11:$G$1054,2,FALSE)</f>
        <v>AvanY-sklo pre vnút.čelo /v130/s1200/hr18</v>
      </c>
      <c r="D231" s="355">
        <f>VLOOKUP(B231,CENY!$B$11:$G$1054,3,FALSE)</f>
        <v>1</v>
      </c>
      <c r="E231" s="56" t="str">
        <f>IF(VLOOKUP(B231,CENY!$B$11:$G$1054,4,FALSE)=0,"",VLOOKUP(B231,CENY!$B$11:$G$1054,4,FALSE))</f>
        <v/>
      </c>
      <c r="F231" s="40" t="str">
        <f t="shared" si="52"/>
        <v/>
      </c>
      <c r="G231" s="52">
        <f>VLOOKUP(B231,CENY!$B$11:$M$1054,12,FALSE)</f>
        <v>1376.3860500000001</v>
      </c>
      <c r="H231" s="54" t="str">
        <f t="shared" si="42"/>
        <v xml:space="preserve"> CZK</v>
      </c>
      <c r="I231" s="41" t="str">
        <f t="shared" si="43"/>
        <v/>
      </c>
      <c r="J231" s="122"/>
      <c r="K231" s="42" t="str">
        <f>VLOOKUP(B231,CENY!$B$11:$M$1054,8,FALSE)</f>
        <v xml:space="preserve"> </v>
      </c>
      <c r="L231" s="42" t="str">
        <f>VLOOKUP(B231,CENY!$B$11:$M$1054,9,FALSE)</f>
        <v>518491</v>
      </c>
      <c r="M231" s="32"/>
      <c r="N231" s="35">
        <f t="shared" si="53"/>
        <v>0</v>
      </c>
      <c r="O231" s="36">
        <v>0</v>
      </c>
      <c r="P231" s="32"/>
      <c r="Q231" s="32"/>
      <c r="R231" s="32"/>
      <c r="S231" s="32"/>
      <c r="T231" s="32"/>
      <c r="U231" s="32"/>
      <c r="V231" s="32"/>
      <c r="W231" s="32"/>
      <c r="X231" s="32"/>
      <c r="Y231" s="32"/>
      <c r="Z231" s="32"/>
      <c r="AA231" s="32"/>
      <c r="AB231" s="32"/>
      <c r="AC231" s="32"/>
      <c r="AD231" s="32"/>
      <c r="AE231" s="32"/>
      <c r="AF231" s="32"/>
      <c r="AG231" s="32"/>
      <c r="AH231" s="337">
        <f>'AVT187(vn-S)'!AZ92</f>
        <v>0</v>
      </c>
      <c r="AI231" s="337">
        <f>'AVT187(vn-S)'!BI137</f>
        <v>0</v>
      </c>
      <c r="AJ231" s="337">
        <f>'AVT187In(vn-S)'!AZ92</f>
        <v>0</v>
      </c>
      <c r="AK231" s="337">
        <f>'AVT187In(vn-S)'!BI111</f>
        <v>0</v>
      </c>
      <c r="AL231" s="32"/>
      <c r="AM231" s="32"/>
      <c r="AN231" s="32"/>
      <c r="AO231" s="32"/>
      <c r="AP231" s="32"/>
      <c r="AQ231" s="32"/>
      <c r="AR231" s="32"/>
      <c r="AS231" s="32"/>
      <c r="AT231" s="32"/>
      <c r="AU231" s="32"/>
      <c r="AV231" s="32"/>
      <c r="AW231" s="32"/>
      <c r="AX231" s="32"/>
      <c r="AY231" s="32"/>
      <c r="AZ231" s="32"/>
      <c r="BA231" s="32"/>
      <c r="BB231" s="32"/>
      <c r="BC231" s="32"/>
      <c r="BD231" s="32"/>
      <c r="BE231" s="32"/>
      <c r="BF231" s="32"/>
      <c r="BG231" s="32"/>
      <c r="BH231" s="32"/>
      <c r="BI231" s="32"/>
      <c r="BJ231" s="32"/>
      <c r="BK231" s="32"/>
      <c r="BL231" s="32"/>
      <c r="BM231" s="32"/>
      <c r="BN231" s="32"/>
      <c r="BO231" s="165"/>
      <c r="BP231" s="165"/>
      <c r="BQ231" s="165"/>
      <c r="BR231" s="165"/>
      <c r="BS231" s="165"/>
      <c r="BT231" s="165"/>
      <c r="BU231" s="165"/>
      <c r="BV231" s="55"/>
      <c r="BW231" s="160"/>
      <c r="BX231" s="32"/>
      <c r="BY231" s="24"/>
      <c r="BZ231" s="24"/>
      <c r="CA231" s="24"/>
      <c r="CB231" s="24"/>
      <c r="CC231" s="24"/>
      <c r="CD231" s="24"/>
      <c r="CE231" s="24"/>
    </row>
    <row r="232" spans="1:83" ht="8.1" customHeight="1">
      <c r="A232" s="4"/>
      <c r="B232" s="126"/>
      <c r="C232" s="43"/>
      <c r="D232" s="39"/>
      <c r="E232" s="56"/>
      <c r="F232" s="60"/>
      <c r="G232" s="52"/>
      <c r="H232" s="54"/>
      <c r="I232" s="41"/>
      <c r="J232" s="122"/>
      <c r="K232" s="42"/>
      <c r="L232" s="42"/>
      <c r="M232" s="32"/>
      <c r="N232" s="35"/>
      <c r="O232" s="36">
        <v>0</v>
      </c>
      <c r="P232" s="32"/>
      <c r="Q232" s="32"/>
      <c r="R232" s="32"/>
      <c r="S232" s="32"/>
      <c r="T232" s="32"/>
      <c r="U232" s="32"/>
      <c r="V232" s="32"/>
      <c r="W232" s="32"/>
      <c r="X232" s="32"/>
      <c r="Y232" s="32"/>
      <c r="Z232" s="32"/>
      <c r="AA232" s="32"/>
      <c r="AB232" s="32"/>
      <c r="AC232" s="32"/>
      <c r="AD232" s="32"/>
      <c r="AE232" s="32"/>
      <c r="AF232" s="32"/>
      <c r="AG232" s="32"/>
      <c r="AH232" s="32"/>
      <c r="AI232" s="32"/>
      <c r="AJ232" s="32"/>
      <c r="AK232" s="32"/>
      <c r="AL232" s="32"/>
      <c r="AM232" s="32"/>
      <c r="AN232" s="32"/>
      <c r="AO232" s="32"/>
      <c r="AP232" s="32"/>
      <c r="AQ232" s="32"/>
      <c r="AR232" s="32"/>
      <c r="AS232" s="32"/>
      <c r="AT232" s="32"/>
      <c r="AU232" s="32"/>
      <c r="AV232" s="32"/>
      <c r="AW232" s="32"/>
      <c r="AX232" s="32"/>
      <c r="AY232" s="32"/>
      <c r="AZ232" s="32"/>
      <c r="BA232" s="32"/>
      <c r="BB232" s="32"/>
      <c r="BC232" s="32"/>
      <c r="BD232" s="32"/>
      <c r="BE232" s="32"/>
      <c r="BF232" s="32"/>
      <c r="BG232" s="32"/>
      <c r="BH232" s="32"/>
      <c r="BI232" s="32"/>
      <c r="BJ232" s="32"/>
      <c r="BK232" s="32"/>
      <c r="BL232" s="32"/>
      <c r="BM232" s="32"/>
      <c r="BN232" s="32"/>
      <c r="BO232" s="165"/>
      <c r="BP232" s="165"/>
      <c r="BQ232" s="165"/>
      <c r="BR232" s="165"/>
      <c r="BS232" s="165"/>
      <c r="BT232" s="165"/>
      <c r="BU232" s="165"/>
      <c r="BV232" s="55"/>
      <c r="BW232" s="160"/>
      <c r="BX232" s="32"/>
      <c r="BY232" s="24"/>
      <c r="BZ232" s="24"/>
      <c r="CA232" s="24"/>
      <c r="CB232" s="24"/>
      <c r="CC232" s="24"/>
      <c r="CD232" s="24"/>
      <c r="CE232" s="24"/>
    </row>
    <row r="233" spans="1:83" ht="15" customHeight="1">
      <c r="A233" s="4"/>
      <c r="B233" s="318">
        <f>CENY!B609</f>
        <v>9318154</v>
      </c>
      <c r="C233" s="43" t="str">
        <f>VLOOKUP(B233,CENY!$B$11:$G$1054,2,FALSE)</f>
        <v>Actro You(S) 270/SiSy 10kg; EB21</v>
      </c>
      <c r="D233" s="364">
        <f>VLOOKUP(B233,CENY!$B$11:$G$1054,3,FALSE)</f>
        <v>1</v>
      </c>
      <c r="E233" s="56" t="str">
        <f>IF(VLOOKUP(B233,CENY!$B$11:$G$1054,4,FALSE)=0,"",VLOOKUP(B233,CENY!$B$11:$G$1054,4,FALSE))</f>
        <v/>
      </c>
      <c r="F233" s="40" t="str">
        <f t="shared" ref="F233:F241" si="54">IF(J233&lt;&gt;"",J233,IF(N233=0,"",N233))</f>
        <v/>
      </c>
      <c r="G233" s="52">
        <f>VLOOKUP(B233,CENY!$B$11:$M$1054,12,FALSE)</f>
        <v>657.45060999999998</v>
      </c>
      <c r="H233" s="54" t="str">
        <f t="shared" ref="H233:H295" si="55">IF(G233="","",$H$22)</f>
        <v xml:space="preserve"> CZK</v>
      </c>
      <c r="I233" s="41" t="str">
        <f t="shared" ref="I233:I295" si="56">IF(F233="","",G233*F233)</f>
        <v/>
      </c>
      <c r="J233" s="122"/>
      <c r="K233" s="42" t="str">
        <f>VLOOKUP(B233,CENY!$B$11:$M$1054,8,FALSE)</f>
        <v xml:space="preserve"> </v>
      </c>
      <c r="L233" s="42" t="str">
        <f>VLOOKUP(B233,CENY!$B$11:$M$1054,9,FALSE)</f>
        <v>518516</v>
      </c>
      <c r="M233" s="32"/>
      <c r="N233" s="35">
        <f t="shared" ref="N233:N241" si="57">SUM(P233:BW233)</f>
        <v>0</v>
      </c>
      <c r="O233" s="36">
        <v>0</v>
      </c>
      <c r="P233" s="325">
        <f>'AVT101'!AZ25</f>
        <v>0</v>
      </c>
      <c r="Q233" s="32"/>
      <c r="R233" s="325">
        <f>'AVT139'!AZ25</f>
        <v>0</v>
      </c>
      <c r="S233" s="32"/>
      <c r="T233" s="325">
        <f>'AVT187'!AZ25</f>
        <v>0</v>
      </c>
      <c r="U233" s="32"/>
      <c r="V233" s="32"/>
      <c r="W233" s="32"/>
      <c r="X233" s="32"/>
      <c r="Y233" s="32"/>
      <c r="Z233" s="325">
        <f>'AVT101(vn-A)'!AZ25</f>
        <v>0</v>
      </c>
      <c r="AA233" s="32"/>
      <c r="AB233" s="32"/>
      <c r="AC233" s="32"/>
      <c r="AD233" s="325">
        <f>'AVT187(vn-A)'!AZ25</f>
        <v>0</v>
      </c>
      <c r="AE233" s="32"/>
      <c r="AF233" s="32"/>
      <c r="AG233" s="32"/>
      <c r="AH233" s="325">
        <f>'AVT187(vn-S)'!AZ25</f>
        <v>0</v>
      </c>
      <c r="AI233" s="32"/>
      <c r="AJ233" s="32"/>
      <c r="AK233" s="32"/>
      <c r="AL233" s="32"/>
      <c r="AM233" s="32"/>
      <c r="AN233" s="32"/>
      <c r="AO233" s="32"/>
      <c r="AP233" s="32"/>
      <c r="AQ233" s="32"/>
      <c r="AR233" s="32"/>
      <c r="AS233" s="32"/>
      <c r="AT233" s="32"/>
      <c r="AU233" s="32"/>
      <c r="AV233" s="32"/>
      <c r="AW233" s="32"/>
      <c r="AX233" s="32"/>
      <c r="AY233" s="32"/>
      <c r="AZ233" s="32"/>
      <c r="BA233" s="32"/>
      <c r="BB233" s="32"/>
      <c r="BC233" s="32"/>
      <c r="BD233" s="32"/>
      <c r="BE233" s="32"/>
      <c r="BF233" s="32"/>
      <c r="BG233" s="32"/>
      <c r="BH233" s="32"/>
      <c r="BI233" s="32"/>
      <c r="BJ233" s="32"/>
      <c r="BK233" s="32"/>
      <c r="BL233" s="32"/>
      <c r="BM233" s="32"/>
      <c r="BN233" s="32"/>
      <c r="BO233" s="165"/>
      <c r="BP233" s="165"/>
      <c r="BQ233" s="165"/>
      <c r="BR233" s="165"/>
      <c r="BS233" s="165"/>
      <c r="BT233" s="165"/>
      <c r="BU233" s="165"/>
      <c r="BV233" s="55"/>
      <c r="BW233" s="160"/>
      <c r="BX233" s="32"/>
      <c r="BY233" s="24"/>
      <c r="BZ233" s="24"/>
      <c r="CA233" s="24"/>
      <c r="CB233" s="24"/>
      <c r="CC233" s="24"/>
      <c r="CD233" s="24"/>
      <c r="CE233" s="24"/>
    </row>
    <row r="234" spans="1:83" ht="15" customHeight="1">
      <c r="A234" s="4"/>
      <c r="B234" s="318">
        <f>CENY!B610</f>
        <v>9318156</v>
      </c>
      <c r="C234" s="43" t="str">
        <f>VLOOKUP(B234,CENY!$B$11:$G$1054,2,FALSE)</f>
        <v>Actro You(S) 300/SiSy 10kg; EB21</v>
      </c>
      <c r="D234" s="364">
        <f>VLOOKUP(B234,CENY!$B$11:$G$1054,3,FALSE)</f>
        <v>1</v>
      </c>
      <c r="E234" s="56" t="str">
        <f>IF(VLOOKUP(B234,CENY!$B$11:$G$1054,4,FALSE)=0,"",VLOOKUP(B234,CENY!$B$11:$G$1054,4,FALSE))</f>
        <v/>
      </c>
      <c r="F234" s="40" t="str">
        <f t="shared" si="54"/>
        <v/>
      </c>
      <c r="G234" s="52">
        <f>VLOOKUP(B234,CENY!$B$11:$M$1054,12,FALSE)</f>
        <v>657.45060999999998</v>
      </c>
      <c r="H234" s="54" t="str">
        <f t="shared" si="55"/>
        <v xml:space="preserve"> CZK</v>
      </c>
      <c r="I234" s="41" t="str">
        <f t="shared" si="56"/>
        <v/>
      </c>
      <c r="J234" s="122"/>
      <c r="K234" s="42" t="str">
        <f>VLOOKUP(B234,CENY!$B$11:$M$1054,8,FALSE)</f>
        <v xml:space="preserve"> </v>
      </c>
      <c r="L234" s="42" t="str">
        <f>VLOOKUP(B234,CENY!$B$11:$M$1054,9,FALSE)</f>
        <v>518519</v>
      </c>
      <c r="M234" s="32"/>
      <c r="N234" s="35">
        <f t="shared" si="57"/>
        <v>0</v>
      </c>
      <c r="O234" s="36">
        <v>0</v>
      </c>
      <c r="P234" s="325">
        <f>'AVT101'!AZ26</f>
        <v>0</v>
      </c>
      <c r="Q234" s="32"/>
      <c r="R234" s="325">
        <f>'AVT139'!AZ26</f>
        <v>0</v>
      </c>
      <c r="S234" s="32"/>
      <c r="T234" s="325">
        <f>'AVT187'!AZ26</f>
        <v>0</v>
      </c>
      <c r="U234" s="32"/>
      <c r="V234" s="32"/>
      <c r="W234" s="32"/>
      <c r="X234" s="32"/>
      <c r="Y234" s="32"/>
      <c r="Z234" s="325">
        <f>'AVT101(vn-A)'!AZ26</f>
        <v>0</v>
      </c>
      <c r="AA234" s="32"/>
      <c r="AB234" s="325">
        <f>'AVT139(vn-A)'!AZ26</f>
        <v>0</v>
      </c>
      <c r="AC234" s="32"/>
      <c r="AD234" s="325">
        <f>'AVT187(vn-A)'!AZ26</f>
        <v>0</v>
      </c>
      <c r="AE234" s="32"/>
      <c r="AF234" s="32"/>
      <c r="AG234" s="32"/>
      <c r="AH234" s="325">
        <f>'AVT187(vn-S)'!AZ26</f>
        <v>0</v>
      </c>
      <c r="AI234" s="32"/>
      <c r="AJ234" s="32"/>
      <c r="AK234" s="32"/>
      <c r="AL234" s="32"/>
      <c r="AM234" s="32"/>
      <c r="AN234" s="32"/>
      <c r="AO234" s="32"/>
      <c r="AP234" s="32"/>
      <c r="AQ234" s="32"/>
      <c r="AR234" s="32"/>
      <c r="AS234" s="32"/>
      <c r="AT234" s="32"/>
      <c r="AU234" s="32"/>
      <c r="AV234" s="32"/>
      <c r="AW234" s="32"/>
      <c r="AX234" s="32"/>
      <c r="AY234" s="32"/>
      <c r="AZ234" s="32"/>
      <c r="BA234" s="32"/>
      <c r="BB234" s="32"/>
      <c r="BC234" s="32"/>
      <c r="BD234" s="32"/>
      <c r="BE234" s="32"/>
      <c r="BF234" s="32"/>
      <c r="BG234" s="32"/>
      <c r="BH234" s="32"/>
      <c r="BI234" s="32"/>
      <c r="BJ234" s="32"/>
      <c r="BK234" s="32"/>
      <c r="BL234" s="32"/>
      <c r="BM234" s="32"/>
      <c r="BN234" s="32"/>
      <c r="BO234" s="165"/>
      <c r="BP234" s="165"/>
      <c r="BQ234" s="165"/>
      <c r="BR234" s="165"/>
      <c r="BS234" s="165"/>
      <c r="BT234" s="165"/>
      <c r="BU234" s="165"/>
      <c r="BV234" s="55"/>
      <c r="BW234" s="160"/>
      <c r="BX234" s="32"/>
      <c r="BY234" s="24"/>
      <c r="BZ234" s="24"/>
      <c r="CA234" s="24"/>
      <c r="CB234" s="24"/>
      <c r="CC234" s="24"/>
      <c r="CD234" s="24"/>
      <c r="CE234" s="24"/>
    </row>
    <row r="235" spans="1:83" ht="15" customHeight="1">
      <c r="A235" s="4"/>
      <c r="B235" s="318">
        <f>CENY!B611</f>
        <v>9318160</v>
      </c>
      <c r="C235" s="43" t="str">
        <f>VLOOKUP(B235,CENY!$B$11:$G$1054,2,FALSE)</f>
        <v>Actro You(S) 350/SiSy 10kg; EB21</v>
      </c>
      <c r="D235" s="364">
        <f>VLOOKUP(B235,CENY!$B$11:$G$1054,3,FALSE)</f>
        <v>1</v>
      </c>
      <c r="E235" s="56" t="str">
        <f>IF(VLOOKUP(B235,CENY!$B$11:$G$1054,4,FALSE)=0,"",VLOOKUP(B235,CENY!$B$11:$G$1054,4,FALSE))</f>
        <v/>
      </c>
      <c r="F235" s="40" t="str">
        <f t="shared" si="54"/>
        <v/>
      </c>
      <c r="G235" s="52">
        <f>VLOOKUP(B235,CENY!$B$11:$M$1054,12,FALSE)</f>
        <v>657.45060999999998</v>
      </c>
      <c r="H235" s="54" t="str">
        <f t="shared" si="55"/>
        <v xml:space="preserve"> CZK</v>
      </c>
      <c r="I235" s="41" t="str">
        <f t="shared" si="56"/>
        <v/>
      </c>
      <c r="J235" s="122"/>
      <c r="K235" s="42" t="str">
        <f>VLOOKUP(B235,CENY!$B$11:$M$1054,8,FALSE)</f>
        <v xml:space="preserve"> </v>
      </c>
      <c r="L235" s="42" t="str">
        <f>VLOOKUP(B235,CENY!$B$11:$M$1054,9,FALSE)</f>
        <v>518520</v>
      </c>
      <c r="M235" s="32"/>
      <c r="N235" s="35">
        <f t="shared" si="57"/>
        <v>0</v>
      </c>
      <c r="O235" s="36">
        <v>0</v>
      </c>
      <c r="P235" s="325">
        <f>'AVT101'!AZ27</f>
        <v>0</v>
      </c>
      <c r="Q235" s="32"/>
      <c r="R235" s="325">
        <f>'AVT139'!AZ27</f>
        <v>0</v>
      </c>
      <c r="S235" s="32"/>
      <c r="T235" s="325">
        <f>'AVT187'!AZ27</f>
        <v>0</v>
      </c>
      <c r="U235" s="32"/>
      <c r="V235" s="325">
        <f>'AVT251'!AZ21</f>
        <v>0</v>
      </c>
      <c r="W235" s="32"/>
      <c r="X235" s="325">
        <f>'AVT251'!AZ21</f>
        <v>0</v>
      </c>
      <c r="Y235" s="32"/>
      <c r="Z235" s="325">
        <f>'AVT101(vn-A)'!AZ27</f>
        <v>0</v>
      </c>
      <c r="AA235" s="32"/>
      <c r="AB235" s="325">
        <f>'AVT139(vn-A)'!AZ27</f>
        <v>0</v>
      </c>
      <c r="AC235" s="32"/>
      <c r="AD235" s="325">
        <f>'AVT187(vn-A)'!AZ27</f>
        <v>0</v>
      </c>
      <c r="AE235" s="32"/>
      <c r="AF235" s="325">
        <f>'AVT187In(vn-A)'!AZ21</f>
        <v>0</v>
      </c>
      <c r="AG235" s="32"/>
      <c r="AH235" s="325">
        <f>'AVT187(vn-S)'!AZ27</f>
        <v>0</v>
      </c>
      <c r="AI235" s="32"/>
      <c r="AJ235" s="325">
        <f>'AVT187In(vn-S)'!AZ21</f>
        <v>0</v>
      </c>
      <c r="AK235" s="32"/>
      <c r="AL235" s="32"/>
      <c r="AM235" s="32"/>
      <c r="AN235" s="32"/>
      <c r="AO235" s="32"/>
      <c r="AP235" s="32"/>
      <c r="AQ235" s="32"/>
      <c r="AR235" s="32"/>
      <c r="AS235" s="32"/>
      <c r="AT235" s="32"/>
      <c r="AU235" s="32"/>
      <c r="AV235" s="32"/>
      <c r="AW235" s="32"/>
      <c r="AX235" s="32"/>
      <c r="AY235" s="32"/>
      <c r="AZ235" s="32"/>
      <c r="BA235" s="32"/>
      <c r="BB235" s="32"/>
      <c r="BC235" s="32"/>
      <c r="BD235" s="32"/>
      <c r="BE235" s="32"/>
      <c r="BF235" s="32"/>
      <c r="BG235" s="32"/>
      <c r="BH235" s="32"/>
      <c r="BI235" s="32"/>
      <c r="BJ235" s="32"/>
      <c r="BK235" s="32"/>
      <c r="BL235" s="32"/>
      <c r="BM235" s="32"/>
      <c r="BN235" s="32"/>
      <c r="BO235" s="165"/>
      <c r="BP235" s="165"/>
      <c r="BQ235" s="165"/>
      <c r="BR235" s="165"/>
      <c r="BS235" s="165"/>
      <c r="BT235" s="165"/>
      <c r="BU235" s="165"/>
      <c r="BV235" s="55"/>
      <c r="BW235" s="160"/>
      <c r="BX235" s="32"/>
      <c r="BY235" s="24"/>
      <c r="BZ235" s="24"/>
      <c r="CA235" s="24"/>
      <c r="CB235" s="24"/>
      <c r="CC235" s="24"/>
      <c r="CD235" s="24"/>
      <c r="CE235" s="24"/>
    </row>
    <row r="236" spans="1:83" ht="15" customHeight="1">
      <c r="A236" s="4"/>
      <c r="B236" s="318">
        <f>CENY!B612</f>
        <v>9318145</v>
      </c>
      <c r="C236" s="43" t="str">
        <f>VLOOKUP(B236,CENY!$B$11:$G$1054,2,FALSE)</f>
        <v>Actro You(S) 270/SiSy 10kg; EB21; ľavý</v>
      </c>
      <c r="D236" s="353">
        <f>VLOOKUP(B236,CENY!$B$11:$G$1054,3,FALSE)</f>
        <v>10</v>
      </c>
      <c r="E236" s="56" t="str">
        <f>IF(VLOOKUP(B236,CENY!$B$11:$G$1054,4,FALSE)=0,"",VLOOKUP(B236,CENY!$B$11:$G$1054,4,FALSE))</f>
        <v/>
      </c>
      <c r="F236" s="40" t="str">
        <f t="shared" si="54"/>
        <v/>
      </c>
      <c r="G236" s="52">
        <f>VLOOKUP(B236,CENY!$B$11:$M$1054,12,FALSE)</f>
        <v>298.88173999999998</v>
      </c>
      <c r="H236" s="54" t="str">
        <f t="shared" si="55"/>
        <v xml:space="preserve"> CZK</v>
      </c>
      <c r="I236" s="41" t="str">
        <f t="shared" si="56"/>
        <v/>
      </c>
      <c r="J236" s="122"/>
      <c r="K236" s="42" t="str">
        <f>VLOOKUP(B236,CENY!$B$11:$M$1054,8,FALSE)</f>
        <v xml:space="preserve"> </v>
      </c>
      <c r="L236" s="42" t="str">
        <f>VLOOKUP(B236,CENY!$B$11:$M$1054,9,FALSE)</f>
        <v>397769</v>
      </c>
      <c r="M236" s="32"/>
      <c r="N236" s="35">
        <f t="shared" si="57"/>
        <v>0</v>
      </c>
      <c r="O236" s="36">
        <v>0</v>
      </c>
      <c r="P236" s="32"/>
      <c r="Q236" s="325">
        <f>'AVT101'!BI37</f>
        <v>0</v>
      </c>
      <c r="R236" s="32"/>
      <c r="S236" s="325">
        <f>'AVT139'!BI37</f>
        <v>0</v>
      </c>
      <c r="T236" s="32"/>
      <c r="U236" s="325">
        <f>'AVT187'!BI37</f>
        <v>0</v>
      </c>
      <c r="V236" s="32"/>
      <c r="W236" s="32"/>
      <c r="X236" s="32"/>
      <c r="Y236" s="32"/>
      <c r="Z236" s="32"/>
      <c r="AA236" s="325">
        <f>'AVT101(vn-A)'!BI37</f>
        <v>0</v>
      </c>
      <c r="AB236" s="32"/>
      <c r="AC236" s="32"/>
      <c r="AD236" s="32"/>
      <c r="AE236" s="325">
        <f>'AVT187(vn-A)'!BI37</f>
        <v>0</v>
      </c>
      <c r="AF236" s="32"/>
      <c r="AG236" s="32"/>
      <c r="AH236" s="32"/>
      <c r="AI236" s="325">
        <f>'AVT187(vn-S)'!BI37</f>
        <v>0</v>
      </c>
      <c r="AJ236" s="32"/>
      <c r="AK236" s="32"/>
      <c r="AL236" s="32"/>
      <c r="AM236" s="32"/>
      <c r="AN236" s="32"/>
      <c r="AO236" s="32"/>
      <c r="AP236" s="32"/>
      <c r="AQ236" s="32"/>
      <c r="AR236" s="32"/>
      <c r="AS236" s="32"/>
      <c r="AT236" s="32"/>
      <c r="AU236" s="32"/>
      <c r="AV236" s="32"/>
      <c r="AW236" s="32"/>
      <c r="AX236" s="32"/>
      <c r="AY236" s="32"/>
      <c r="AZ236" s="32"/>
      <c r="BA236" s="32"/>
      <c r="BB236" s="32"/>
      <c r="BC236" s="32"/>
      <c r="BD236" s="32"/>
      <c r="BE236" s="32"/>
      <c r="BF236" s="32"/>
      <c r="BG236" s="32"/>
      <c r="BH236" s="32"/>
      <c r="BI236" s="32"/>
      <c r="BJ236" s="32"/>
      <c r="BK236" s="32"/>
      <c r="BL236" s="32"/>
      <c r="BM236" s="32"/>
      <c r="BN236" s="32"/>
      <c r="BO236" s="165"/>
      <c r="BP236" s="165"/>
      <c r="BQ236" s="165"/>
      <c r="BR236" s="165"/>
      <c r="BS236" s="165"/>
      <c r="BT236" s="165"/>
      <c r="BU236" s="165"/>
      <c r="BV236" s="55"/>
      <c r="BW236" s="160"/>
      <c r="BX236" s="32"/>
      <c r="BY236" s="24"/>
      <c r="BZ236" s="24"/>
      <c r="CA236" s="24"/>
      <c r="CB236" s="24"/>
      <c r="CC236" s="24"/>
      <c r="CD236" s="24"/>
      <c r="CE236" s="24"/>
    </row>
    <row r="237" spans="1:83" ht="15" customHeight="1">
      <c r="A237" s="4"/>
      <c r="B237" s="318">
        <f>CENY!B613</f>
        <v>9318146</v>
      </c>
      <c r="C237" s="43" t="str">
        <f>VLOOKUP(B237,CENY!$B$11:$G$1054,2,FALSE)</f>
        <v>Actro You(S) 270/SiSy 10kg; EB21; pravý</v>
      </c>
      <c r="D237" s="353">
        <f>VLOOKUP(B237,CENY!$B$11:$G$1054,3,FALSE)</f>
        <v>10</v>
      </c>
      <c r="E237" s="56" t="str">
        <f>IF(VLOOKUP(B237,CENY!$B$11:$G$1054,4,FALSE)=0,"",VLOOKUP(B237,CENY!$B$11:$G$1054,4,FALSE))</f>
        <v/>
      </c>
      <c r="F237" s="40" t="str">
        <f t="shared" si="54"/>
        <v/>
      </c>
      <c r="G237" s="52">
        <f>VLOOKUP(B237,CENY!$B$11:$M$1054,12,FALSE)</f>
        <v>298.88173999999998</v>
      </c>
      <c r="H237" s="54" t="str">
        <f t="shared" si="55"/>
        <v xml:space="preserve"> CZK</v>
      </c>
      <c r="I237" s="41" t="str">
        <f t="shared" si="56"/>
        <v/>
      </c>
      <c r="J237" s="122"/>
      <c r="K237" s="42" t="str">
        <f>VLOOKUP(B237,CENY!$B$11:$M$1054,8,FALSE)</f>
        <v xml:space="preserve"> </v>
      </c>
      <c r="L237" s="42" t="str">
        <f>VLOOKUP(B237,CENY!$B$11:$M$1054,9,FALSE)</f>
        <v>397770</v>
      </c>
      <c r="M237" s="32"/>
      <c r="N237" s="35">
        <f t="shared" si="57"/>
        <v>0</v>
      </c>
      <c r="O237" s="36">
        <v>0</v>
      </c>
      <c r="P237" s="32"/>
      <c r="Q237" s="325">
        <f>'AVT101'!BI38</f>
        <v>0</v>
      </c>
      <c r="R237" s="32"/>
      <c r="S237" s="325">
        <f>'AVT139'!BI38</f>
        <v>0</v>
      </c>
      <c r="T237" s="32"/>
      <c r="U237" s="325">
        <f>'AVT187'!BI38</f>
        <v>0</v>
      </c>
      <c r="V237" s="32"/>
      <c r="W237" s="32"/>
      <c r="X237" s="32"/>
      <c r="Y237" s="32"/>
      <c r="Z237" s="32"/>
      <c r="AA237" s="325">
        <f>'AVT101(vn-A)'!BI38</f>
        <v>0</v>
      </c>
      <c r="AB237" s="32"/>
      <c r="AC237" s="32"/>
      <c r="AD237" s="32"/>
      <c r="AE237" s="325">
        <f>'AVT187(vn-A)'!BI38</f>
        <v>0</v>
      </c>
      <c r="AF237" s="32"/>
      <c r="AG237" s="32"/>
      <c r="AH237" s="32"/>
      <c r="AI237" s="325">
        <f>'AVT187(vn-S)'!BI38</f>
        <v>0</v>
      </c>
      <c r="AJ237" s="32"/>
      <c r="AK237" s="32"/>
      <c r="AL237" s="32"/>
      <c r="AM237" s="32"/>
      <c r="AN237" s="32"/>
      <c r="AO237" s="32"/>
      <c r="AP237" s="32"/>
      <c r="AQ237" s="32"/>
      <c r="AR237" s="32"/>
      <c r="AS237" s="32"/>
      <c r="AT237" s="32"/>
      <c r="AU237" s="32"/>
      <c r="AV237" s="32"/>
      <c r="AW237" s="32"/>
      <c r="AX237" s="32"/>
      <c r="AY237" s="32"/>
      <c r="AZ237" s="32"/>
      <c r="BA237" s="32"/>
      <c r="BB237" s="32"/>
      <c r="BC237" s="32"/>
      <c r="BD237" s="32"/>
      <c r="BE237" s="32"/>
      <c r="BF237" s="32"/>
      <c r="BG237" s="32"/>
      <c r="BH237" s="32"/>
      <c r="BI237" s="32"/>
      <c r="BJ237" s="32"/>
      <c r="BK237" s="32"/>
      <c r="BL237" s="32"/>
      <c r="BM237" s="32"/>
      <c r="BN237" s="32"/>
      <c r="BO237" s="165"/>
      <c r="BP237" s="165"/>
      <c r="BQ237" s="165"/>
      <c r="BR237" s="165"/>
      <c r="BS237" s="165"/>
      <c r="BT237" s="165"/>
      <c r="BU237" s="165"/>
      <c r="BV237" s="55"/>
      <c r="BW237" s="160"/>
      <c r="BX237" s="32"/>
      <c r="BY237" s="24"/>
      <c r="BZ237" s="24"/>
      <c r="CA237" s="24"/>
      <c r="CB237" s="24"/>
      <c r="CC237" s="24"/>
      <c r="CD237" s="24"/>
      <c r="CE237" s="24"/>
    </row>
    <row r="238" spans="1:83" ht="15" customHeight="1">
      <c r="A238" s="4"/>
      <c r="B238" s="318">
        <f>CENY!B614</f>
        <v>9318147</v>
      </c>
      <c r="C238" s="43" t="str">
        <f>VLOOKUP(B238,CENY!$B$11:$G$1054,2,FALSE)</f>
        <v>Actro You(S) 300/SiSy 10kg; EB21; ľavý</v>
      </c>
      <c r="D238" s="353">
        <f>VLOOKUP(B238,CENY!$B$11:$G$1054,3,FALSE)</f>
        <v>10</v>
      </c>
      <c r="E238" s="56" t="str">
        <f>IF(VLOOKUP(B238,CENY!$B$11:$G$1054,4,FALSE)=0,"",VLOOKUP(B238,CENY!$B$11:$G$1054,4,FALSE))</f>
        <v/>
      </c>
      <c r="F238" s="40" t="str">
        <f t="shared" si="54"/>
        <v/>
      </c>
      <c r="G238" s="52">
        <f>VLOOKUP(B238,CENY!$B$11:$M$1054,12,FALSE)</f>
        <v>298.88173999999998</v>
      </c>
      <c r="H238" s="54" t="str">
        <f t="shared" si="55"/>
        <v xml:space="preserve"> CZK</v>
      </c>
      <c r="I238" s="41" t="str">
        <f t="shared" si="56"/>
        <v/>
      </c>
      <c r="J238" s="122"/>
      <c r="K238" s="42" t="str">
        <f>VLOOKUP(B238,CENY!$B$11:$M$1054,8,FALSE)</f>
        <v xml:space="preserve"> </v>
      </c>
      <c r="L238" s="42" t="str">
        <f>VLOOKUP(B238,CENY!$B$11:$M$1054,9,FALSE)</f>
        <v>397771</v>
      </c>
      <c r="M238" s="32"/>
      <c r="N238" s="35">
        <f t="shared" si="57"/>
        <v>0</v>
      </c>
      <c r="O238" s="36">
        <v>0</v>
      </c>
      <c r="P238" s="32"/>
      <c r="Q238" s="325">
        <f>'AVT101'!BI39</f>
        <v>0</v>
      </c>
      <c r="R238" s="32"/>
      <c r="S238" s="325">
        <f>'AVT139'!BI39</f>
        <v>0</v>
      </c>
      <c r="T238" s="32"/>
      <c r="U238" s="325">
        <f>'AVT187'!BI39</f>
        <v>0</v>
      </c>
      <c r="V238" s="32"/>
      <c r="W238" s="32"/>
      <c r="X238" s="32"/>
      <c r="Y238" s="32"/>
      <c r="Z238" s="32"/>
      <c r="AA238" s="325">
        <f>'AVT101(vn-A)'!BI39</f>
        <v>0</v>
      </c>
      <c r="AB238" s="32"/>
      <c r="AC238" s="325">
        <f>'AVT139(vn-A)'!BI39</f>
        <v>0</v>
      </c>
      <c r="AD238" s="32"/>
      <c r="AE238" s="325">
        <f>'AVT187(vn-A)'!BI39</f>
        <v>0</v>
      </c>
      <c r="AF238" s="32"/>
      <c r="AG238" s="32"/>
      <c r="AH238" s="32"/>
      <c r="AI238" s="325">
        <f>'AVT187(vn-S)'!BI39</f>
        <v>0</v>
      </c>
      <c r="AJ238" s="32"/>
      <c r="AK238" s="32"/>
      <c r="AL238" s="32"/>
      <c r="AM238" s="32"/>
      <c r="AN238" s="32"/>
      <c r="AO238" s="32"/>
      <c r="AP238" s="32"/>
      <c r="AQ238" s="32"/>
      <c r="AR238" s="32"/>
      <c r="AS238" s="32"/>
      <c r="AT238" s="32"/>
      <c r="AU238" s="32"/>
      <c r="AV238" s="32"/>
      <c r="AW238" s="32"/>
      <c r="AX238" s="32"/>
      <c r="AY238" s="32"/>
      <c r="AZ238" s="32"/>
      <c r="BA238" s="32"/>
      <c r="BB238" s="32"/>
      <c r="BC238" s="32"/>
      <c r="BD238" s="32"/>
      <c r="BE238" s="32"/>
      <c r="BF238" s="32"/>
      <c r="BG238" s="32"/>
      <c r="BH238" s="32"/>
      <c r="BI238" s="32"/>
      <c r="BJ238" s="32"/>
      <c r="BK238" s="32"/>
      <c r="BL238" s="32"/>
      <c r="BM238" s="32"/>
      <c r="BN238" s="32"/>
      <c r="BO238" s="165"/>
      <c r="BP238" s="165"/>
      <c r="BQ238" s="165"/>
      <c r="BR238" s="165"/>
      <c r="BS238" s="165"/>
      <c r="BT238" s="165"/>
      <c r="BU238" s="165"/>
      <c r="BV238" s="55"/>
      <c r="BW238" s="160"/>
      <c r="BX238" s="32"/>
      <c r="BY238" s="24"/>
      <c r="BZ238" s="24"/>
      <c r="CA238" s="24"/>
      <c r="CB238" s="24"/>
      <c r="CC238" s="24"/>
      <c r="CD238" s="24"/>
      <c r="CE238" s="24"/>
    </row>
    <row r="239" spans="1:83" ht="15" customHeight="1">
      <c r="A239" s="4"/>
      <c r="B239" s="318">
        <f>CENY!B615</f>
        <v>9318148</v>
      </c>
      <c r="C239" s="43" t="str">
        <f>VLOOKUP(B239,CENY!$B$11:$G$1054,2,FALSE)</f>
        <v>Actro You(S) 300/SiSy 10kg; EB21; pravý</v>
      </c>
      <c r="D239" s="353">
        <f>VLOOKUP(B239,CENY!$B$11:$G$1054,3,FALSE)</f>
        <v>10</v>
      </c>
      <c r="E239" s="56" t="str">
        <f>IF(VLOOKUP(B239,CENY!$B$11:$G$1054,4,FALSE)=0,"",VLOOKUP(B239,CENY!$B$11:$G$1054,4,FALSE))</f>
        <v/>
      </c>
      <c r="F239" s="40" t="str">
        <f t="shared" si="54"/>
        <v/>
      </c>
      <c r="G239" s="52">
        <f>VLOOKUP(B239,CENY!$B$11:$M$1054,12,FALSE)</f>
        <v>298.88173999999998</v>
      </c>
      <c r="H239" s="54" t="str">
        <f t="shared" si="55"/>
        <v xml:space="preserve"> CZK</v>
      </c>
      <c r="I239" s="41" t="str">
        <f t="shared" si="56"/>
        <v/>
      </c>
      <c r="J239" s="122"/>
      <c r="K239" s="42" t="str">
        <f>VLOOKUP(B239,CENY!$B$11:$M$1054,8,FALSE)</f>
        <v xml:space="preserve"> </v>
      </c>
      <c r="L239" s="42" t="str">
        <f>VLOOKUP(B239,CENY!$B$11:$M$1054,9,FALSE)</f>
        <v>397772</v>
      </c>
      <c r="M239" s="32"/>
      <c r="N239" s="35">
        <f t="shared" si="57"/>
        <v>0</v>
      </c>
      <c r="O239" s="36">
        <v>0</v>
      </c>
      <c r="P239" s="32"/>
      <c r="Q239" s="325">
        <f>'AVT101'!BI40</f>
        <v>0</v>
      </c>
      <c r="R239" s="32"/>
      <c r="S239" s="325">
        <f>'AVT139'!BI40</f>
        <v>0</v>
      </c>
      <c r="T239" s="32"/>
      <c r="U239" s="325">
        <f>'AVT187'!BI40</f>
        <v>0</v>
      </c>
      <c r="V239" s="32"/>
      <c r="W239" s="32"/>
      <c r="X239" s="32"/>
      <c r="Y239" s="32"/>
      <c r="Z239" s="32"/>
      <c r="AA239" s="325">
        <f>'AVT101(vn-A)'!BI40</f>
        <v>0</v>
      </c>
      <c r="AB239" s="32"/>
      <c r="AC239" s="325">
        <f>'AVT139(vn-A)'!BI40</f>
        <v>0</v>
      </c>
      <c r="AD239" s="32"/>
      <c r="AE239" s="325">
        <f>'AVT187(vn-A)'!BI40</f>
        <v>0</v>
      </c>
      <c r="AF239" s="32"/>
      <c r="AG239" s="32"/>
      <c r="AH239" s="32"/>
      <c r="AI239" s="325">
        <f>'AVT187(vn-S)'!BI40</f>
        <v>0</v>
      </c>
      <c r="AJ239" s="32"/>
      <c r="AK239" s="32"/>
      <c r="AL239" s="32"/>
      <c r="AM239" s="32"/>
      <c r="AN239" s="32"/>
      <c r="AO239" s="32"/>
      <c r="AP239" s="32"/>
      <c r="AQ239" s="32"/>
      <c r="AR239" s="32"/>
      <c r="AS239" s="32"/>
      <c r="AT239" s="32"/>
      <c r="AU239" s="32"/>
      <c r="AV239" s="32"/>
      <c r="AW239" s="32"/>
      <c r="AX239" s="32"/>
      <c r="AY239" s="32"/>
      <c r="AZ239" s="32"/>
      <c r="BA239" s="32"/>
      <c r="BB239" s="32"/>
      <c r="BC239" s="32"/>
      <c r="BD239" s="32"/>
      <c r="BE239" s="32"/>
      <c r="BF239" s="32"/>
      <c r="BG239" s="32"/>
      <c r="BH239" s="32"/>
      <c r="BI239" s="32"/>
      <c r="BJ239" s="32"/>
      <c r="BK239" s="32"/>
      <c r="BL239" s="32"/>
      <c r="BM239" s="32"/>
      <c r="BN239" s="32"/>
      <c r="BO239" s="165"/>
      <c r="BP239" s="165"/>
      <c r="BQ239" s="165"/>
      <c r="BR239" s="165"/>
      <c r="BS239" s="165"/>
      <c r="BT239" s="165"/>
      <c r="BU239" s="165"/>
      <c r="BV239" s="55"/>
      <c r="BW239" s="160"/>
      <c r="BX239" s="32"/>
      <c r="BY239" s="24"/>
      <c r="BZ239" s="24"/>
      <c r="CA239" s="24"/>
      <c r="CB239" s="24"/>
      <c r="CC239" s="24"/>
      <c r="CD239" s="24"/>
      <c r="CE239" s="24"/>
    </row>
    <row r="240" spans="1:83" ht="15" customHeight="1">
      <c r="A240" s="4"/>
      <c r="B240" s="318">
        <f>CENY!B616</f>
        <v>9318149</v>
      </c>
      <c r="C240" s="43" t="str">
        <f>VLOOKUP(B240,CENY!$B$11:$G$1054,2,FALSE)</f>
        <v>Actro You(S) 350/SiSy 10kg; EB21; ľavý</v>
      </c>
      <c r="D240" s="353">
        <f>VLOOKUP(B240,CENY!$B$11:$G$1054,3,FALSE)</f>
        <v>10</v>
      </c>
      <c r="E240" s="56" t="str">
        <f>IF(VLOOKUP(B240,CENY!$B$11:$G$1054,4,FALSE)=0,"",VLOOKUP(B240,CENY!$B$11:$G$1054,4,FALSE))</f>
        <v/>
      </c>
      <c r="F240" s="40" t="str">
        <f t="shared" si="54"/>
        <v/>
      </c>
      <c r="G240" s="52">
        <f>VLOOKUP(B240,CENY!$B$11:$M$1054,12,FALSE)</f>
        <v>298.88173999999998</v>
      </c>
      <c r="H240" s="54" t="str">
        <f t="shared" si="55"/>
        <v xml:space="preserve"> CZK</v>
      </c>
      <c r="I240" s="41" t="str">
        <f t="shared" si="56"/>
        <v/>
      </c>
      <c r="J240" s="122"/>
      <c r="K240" s="42" t="str">
        <f>VLOOKUP(B240,CENY!$B$11:$M$1054,8,FALSE)</f>
        <v xml:space="preserve"> </v>
      </c>
      <c r="L240" s="42" t="str">
        <f>VLOOKUP(B240,CENY!$B$11:$M$1054,9,FALSE)</f>
        <v>397773</v>
      </c>
      <c r="M240" s="32"/>
      <c r="N240" s="35">
        <f t="shared" si="57"/>
        <v>0</v>
      </c>
      <c r="O240" s="36">
        <v>0</v>
      </c>
      <c r="P240" s="32"/>
      <c r="Q240" s="325">
        <f>'AVT101'!BI41</f>
        <v>0</v>
      </c>
      <c r="R240" s="32"/>
      <c r="S240" s="325">
        <f>'AVT139'!BI41</f>
        <v>0</v>
      </c>
      <c r="T240" s="32"/>
      <c r="U240" s="325">
        <f>'AVT187'!BI41</f>
        <v>0</v>
      </c>
      <c r="V240" s="32"/>
      <c r="W240" s="325">
        <f>'AVT251'!BI32</f>
        <v>0</v>
      </c>
      <c r="X240" s="32"/>
      <c r="Y240" s="325">
        <f>AVT187In!BI31</f>
        <v>0</v>
      </c>
      <c r="Z240" s="32"/>
      <c r="AA240" s="325">
        <f>'AVT101(vn-A)'!BI41</f>
        <v>0</v>
      </c>
      <c r="AB240" s="32"/>
      <c r="AC240" s="325">
        <f>'AVT139(vn-A)'!BI41</f>
        <v>0</v>
      </c>
      <c r="AD240" s="32"/>
      <c r="AE240" s="325">
        <f>'AVT187(vn-A)'!BI41</f>
        <v>0</v>
      </c>
      <c r="AF240" s="32"/>
      <c r="AG240" s="325">
        <f>'AVT187In(vn-A)'!BI31</f>
        <v>0</v>
      </c>
      <c r="AH240" s="32"/>
      <c r="AI240" s="325">
        <f>'AVT187(vn-S)'!BI41</f>
        <v>0</v>
      </c>
      <c r="AJ240" s="32"/>
      <c r="AK240" s="325">
        <f>'AVT187In(vn-S)'!BI31</f>
        <v>0</v>
      </c>
      <c r="AL240" s="32"/>
      <c r="AM240" s="32"/>
      <c r="AN240" s="32"/>
      <c r="AO240" s="32"/>
      <c r="AP240" s="32"/>
      <c r="AQ240" s="32"/>
      <c r="AR240" s="32"/>
      <c r="AS240" s="32"/>
      <c r="AT240" s="32"/>
      <c r="AU240" s="32"/>
      <c r="AV240" s="32"/>
      <c r="AW240" s="32"/>
      <c r="AX240" s="32"/>
      <c r="AY240" s="32"/>
      <c r="AZ240" s="32"/>
      <c r="BA240" s="32"/>
      <c r="BB240" s="32"/>
      <c r="BC240" s="32"/>
      <c r="BD240" s="32"/>
      <c r="BE240" s="32"/>
      <c r="BF240" s="32"/>
      <c r="BG240" s="32"/>
      <c r="BH240" s="32"/>
      <c r="BI240" s="32"/>
      <c r="BJ240" s="32"/>
      <c r="BK240" s="32"/>
      <c r="BL240" s="32"/>
      <c r="BM240" s="32"/>
      <c r="BN240" s="32"/>
      <c r="BO240" s="165"/>
      <c r="BP240" s="165"/>
      <c r="BQ240" s="165"/>
      <c r="BR240" s="165"/>
      <c r="BS240" s="165"/>
      <c r="BT240" s="165"/>
      <c r="BU240" s="165"/>
      <c r="BV240" s="55"/>
      <c r="BW240" s="160"/>
      <c r="BX240" s="32"/>
      <c r="BY240" s="24"/>
      <c r="BZ240" s="24"/>
      <c r="CA240" s="24"/>
      <c r="CB240" s="24"/>
      <c r="CC240" s="24"/>
      <c r="CD240" s="24"/>
      <c r="CE240" s="24"/>
    </row>
    <row r="241" spans="1:83" ht="15" customHeight="1">
      <c r="A241" s="4"/>
      <c r="B241" s="318">
        <f>CENY!B617</f>
        <v>9318150</v>
      </c>
      <c r="C241" s="43" t="str">
        <f>VLOOKUP(B241,CENY!$B$11:$G$1054,2,FALSE)</f>
        <v>Actro You(S) 350/SiSy 10kg; EB21; pravý</v>
      </c>
      <c r="D241" s="353">
        <f>VLOOKUP(B241,CENY!$B$11:$G$1054,3,FALSE)</f>
        <v>10</v>
      </c>
      <c r="E241" s="56" t="str">
        <f>IF(VLOOKUP(B241,CENY!$B$11:$G$1054,4,FALSE)=0,"",VLOOKUP(B241,CENY!$B$11:$G$1054,4,FALSE))</f>
        <v/>
      </c>
      <c r="F241" s="40" t="str">
        <f t="shared" si="54"/>
        <v/>
      </c>
      <c r="G241" s="52">
        <f>VLOOKUP(B241,CENY!$B$11:$M$1054,12,FALSE)</f>
        <v>298.88173999999998</v>
      </c>
      <c r="H241" s="54" t="str">
        <f t="shared" si="55"/>
        <v xml:space="preserve"> CZK</v>
      </c>
      <c r="I241" s="41" t="str">
        <f t="shared" si="56"/>
        <v/>
      </c>
      <c r="J241" s="122"/>
      <c r="K241" s="42" t="str">
        <f>VLOOKUP(B241,CENY!$B$11:$M$1054,8,FALSE)</f>
        <v xml:space="preserve"> </v>
      </c>
      <c r="L241" s="42" t="str">
        <f>VLOOKUP(B241,CENY!$B$11:$M$1054,9,FALSE)</f>
        <v>397774</v>
      </c>
      <c r="M241" s="32"/>
      <c r="N241" s="35">
        <f t="shared" si="57"/>
        <v>0</v>
      </c>
      <c r="O241" s="36">
        <v>0</v>
      </c>
      <c r="P241" s="32"/>
      <c r="Q241" s="325">
        <f>'AVT101'!BI42</f>
        <v>0</v>
      </c>
      <c r="R241" s="32"/>
      <c r="S241" s="325">
        <f>'AVT139'!BI42</f>
        <v>0</v>
      </c>
      <c r="T241" s="32"/>
      <c r="U241" s="325">
        <f>'AVT187'!BI42</f>
        <v>0</v>
      </c>
      <c r="V241" s="32"/>
      <c r="W241" s="325">
        <f>'AVT251'!BI33</f>
        <v>0</v>
      </c>
      <c r="X241" s="32"/>
      <c r="Y241" s="325">
        <f>AVT187In!BI32</f>
        <v>0</v>
      </c>
      <c r="Z241" s="32"/>
      <c r="AA241" s="325">
        <f>'AVT101(vn-A)'!BI42</f>
        <v>0</v>
      </c>
      <c r="AB241" s="32"/>
      <c r="AC241" s="325">
        <f>'AVT139(vn-A)'!BI42</f>
        <v>0</v>
      </c>
      <c r="AD241" s="32"/>
      <c r="AE241" s="325">
        <f>'AVT187(vn-A)'!BI42</f>
        <v>0</v>
      </c>
      <c r="AF241" s="32"/>
      <c r="AG241" s="325">
        <f>'AVT187In(vn-A)'!BI32</f>
        <v>0</v>
      </c>
      <c r="AH241" s="32"/>
      <c r="AI241" s="325">
        <f>'AVT187(vn-S)'!BI42</f>
        <v>0</v>
      </c>
      <c r="AJ241" s="32"/>
      <c r="AK241" s="325">
        <f>'AVT187In(vn-S)'!BI32</f>
        <v>0</v>
      </c>
      <c r="AL241" s="32"/>
      <c r="AM241" s="32"/>
      <c r="AN241" s="32"/>
      <c r="AO241" s="32"/>
      <c r="AP241" s="32"/>
      <c r="AQ241" s="32"/>
      <c r="AR241" s="32"/>
      <c r="AS241" s="32"/>
      <c r="AT241" s="32"/>
      <c r="AU241" s="32"/>
      <c r="AV241" s="32"/>
      <c r="AW241" s="32"/>
      <c r="AX241" s="32"/>
      <c r="AY241" s="32"/>
      <c r="AZ241" s="32"/>
      <c r="BA241" s="32"/>
      <c r="BB241" s="32"/>
      <c r="BC241" s="32"/>
      <c r="BD241" s="32"/>
      <c r="BE241" s="32"/>
      <c r="BF241" s="32"/>
      <c r="BG241" s="32"/>
      <c r="BH241" s="32"/>
      <c r="BI241" s="32"/>
      <c r="BJ241" s="32"/>
      <c r="BK241" s="32"/>
      <c r="BL241" s="32"/>
      <c r="BM241" s="32"/>
      <c r="BN241" s="32"/>
      <c r="BO241" s="165"/>
      <c r="BP241" s="165"/>
      <c r="BQ241" s="165"/>
      <c r="BR241" s="165"/>
      <c r="BS241" s="165"/>
      <c r="BT241" s="165"/>
      <c r="BU241" s="165"/>
      <c r="BV241" s="55"/>
      <c r="BW241" s="160"/>
      <c r="BX241" s="32"/>
      <c r="BY241" s="24"/>
      <c r="BZ241" s="24"/>
      <c r="CA241" s="24"/>
      <c r="CB241" s="24"/>
      <c r="CC241" s="24"/>
      <c r="CD241" s="24"/>
      <c r="CE241" s="24"/>
    </row>
    <row r="242" spans="1:83" ht="8.1" customHeight="1">
      <c r="A242" s="4"/>
      <c r="B242" s="126"/>
      <c r="C242" s="43"/>
      <c r="D242" s="39"/>
      <c r="E242" s="56"/>
      <c r="F242" s="60"/>
      <c r="G242" s="52"/>
      <c r="H242" s="54"/>
      <c r="I242" s="41"/>
      <c r="J242" s="122"/>
      <c r="K242" s="42"/>
      <c r="L242" s="42"/>
      <c r="M242" s="32"/>
      <c r="N242" s="35"/>
      <c r="O242" s="36">
        <v>0</v>
      </c>
      <c r="P242" s="32"/>
      <c r="Q242" s="32"/>
      <c r="R242" s="32"/>
      <c r="S242" s="32"/>
      <c r="T242" s="32"/>
      <c r="U242" s="32"/>
      <c r="V242" s="32"/>
      <c r="W242" s="32"/>
      <c r="X242" s="32"/>
      <c r="Y242" s="32"/>
      <c r="Z242" s="32"/>
      <c r="AA242" s="32"/>
      <c r="AB242" s="32"/>
      <c r="AC242" s="32"/>
      <c r="AD242" s="32"/>
      <c r="AE242" s="32"/>
      <c r="AF242" s="32"/>
      <c r="AG242" s="32"/>
      <c r="AH242" s="32"/>
      <c r="AI242" s="32"/>
      <c r="AJ242" s="32"/>
      <c r="AK242" s="32"/>
      <c r="AL242" s="32"/>
      <c r="AM242" s="32"/>
      <c r="AN242" s="32"/>
      <c r="AO242" s="32"/>
      <c r="AP242" s="32"/>
      <c r="AQ242" s="32"/>
      <c r="AR242" s="32"/>
      <c r="AS242" s="32"/>
      <c r="AT242" s="32"/>
      <c r="AU242" s="32"/>
      <c r="AV242" s="32"/>
      <c r="AW242" s="32"/>
      <c r="AX242" s="32"/>
      <c r="AY242" s="32"/>
      <c r="AZ242" s="32"/>
      <c r="BA242" s="32"/>
      <c r="BB242" s="32"/>
      <c r="BC242" s="32"/>
      <c r="BD242" s="32"/>
      <c r="BE242" s="32"/>
      <c r="BF242" s="32"/>
      <c r="BG242" s="32"/>
      <c r="BH242" s="32"/>
      <c r="BI242" s="32"/>
      <c r="BJ242" s="32"/>
      <c r="BK242" s="32"/>
      <c r="BL242" s="32"/>
      <c r="BM242" s="32"/>
      <c r="BN242" s="32"/>
      <c r="BO242" s="165"/>
      <c r="BP242" s="165"/>
      <c r="BQ242" s="165"/>
      <c r="BR242" s="165"/>
      <c r="BS242" s="165"/>
      <c r="BT242" s="165"/>
      <c r="BU242" s="165"/>
      <c r="BV242" s="55"/>
      <c r="BW242" s="160"/>
      <c r="BX242" s="32"/>
      <c r="BY242" s="24"/>
      <c r="BZ242" s="24"/>
      <c r="CA242" s="24"/>
      <c r="CB242" s="24"/>
      <c r="CC242" s="24"/>
      <c r="CD242" s="24"/>
      <c r="CE242" s="24"/>
    </row>
    <row r="243" spans="1:83" ht="15" customHeight="1">
      <c r="A243" s="4"/>
      <c r="B243" s="318">
        <f>CENY!B619</f>
        <v>9318186</v>
      </c>
      <c r="C243" s="43" t="str">
        <f>VLOOKUP(B243,CENY!$B$11:$G$1054,2,FALSE)</f>
        <v>Actro You(L) 270/SiSy 40kg; EB21</v>
      </c>
      <c r="D243" s="364">
        <f>VLOOKUP(B243,CENY!$B$11:$G$1054,3,FALSE)</f>
        <v>1</v>
      </c>
      <c r="E243" s="56" t="str">
        <f>IF(VLOOKUP(B243,CENY!$B$11:$G$1054,4,FALSE)=0,"",VLOOKUP(B243,CENY!$B$11:$G$1054,4,FALSE))</f>
        <v/>
      </c>
      <c r="F243" s="40" t="str">
        <f t="shared" ref="F243:F266" si="58">IF(J243&lt;&gt;"",J243,IF(N243=0,"",N243))</f>
        <v/>
      </c>
      <c r="G243" s="52">
        <f>VLOOKUP(B243,CENY!$B$11:$M$1054,12,FALSE)</f>
        <v>657.45060999999998</v>
      </c>
      <c r="H243" s="54" t="str">
        <f t="shared" si="55"/>
        <v xml:space="preserve"> CZK</v>
      </c>
      <c r="I243" s="41" t="str">
        <f t="shared" si="56"/>
        <v/>
      </c>
      <c r="J243" s="122"/>
      <c r="K243" s="42" t="str">
        <f>VLOOKUP(B243,CENY!$B$11:$M$1054,8,FALSE)</f>
        <v xml:space="preserve"> </v>
      </c>
      <c r="L243" s="42" t="str">
        <f>VLOOKUP(B243,CENY!$B$11:$M$1054,9,FALSE)</f>
        <v>518523</v>
      </c>
      <c r="M243" s="32"/>
      <c r="N243" s="35">
        <f t="shared" ref="N243:N266" si="59">SUM(P243:BW243)</f>
        <v>0</v>
      </c>
      <c r="O243" s="36">
        <v>0</v>
      </c>
      <c r="P243" s="325">
        <f>'AVT101'!AZ29</f>
        <v>0</v>
      </c>
      <c r="Q243" s="32"/>
      <c r="R243" s="325">
        <f>'AVT139'!AZ29</f>
        <v>0</v>
      </c>
      <c r="S243" s="32"/>
      <c r="T243" s="325">
        <f>'AVT187'!AZ29</f>
        <v>0</v>
      </c>
      <c r="U243" s="32"/>
      <c r="V243" s="32"/>
      <c r="W243" s="32"/>
      <c r="X243" s="32"/>
      <c r="Y243" s="32"/>
      <c r="Z243" s="325">
        <f>'AVT101(vn-A)'!AZ29</f>
        <v>0</v>
      </c>
      <c r="AA243" s="32"/>
      <c r="AB243" s="32"/>
      <c r="AC243" s="32"/>
      <c r="AD243" s="325">
        <f>'AVT187(vn-A)'!AZ29</f>
        <v>0</v>
      </c>
      <c r="AE243" s="32"/>
      <c r="AF243" s="32"/>
      <c r="AG243" s="32"/>
      <c r="AH243" s="325">
        <f>'AVT187(vn-S)'!AZ29</f>
        <v>0</v>
      </c>
      <c r="AI243" s="32"/>
      <c r="AJ243" s="32"/>
      <c r="AK243" s="32"/>
      <c r="AL243" s="32"/>
      <c r="AM243" s="32"/>
      <c r="AN243" s="325">
        <f>'AVT-celny-101+187'!AZ35</f>
        <v>0</v>
      </c>
      <c r="AO243" s="32"/>
      <c r="AP243" s="32"/>
      <c r="AQ243" s="32"/>
      <c r="AR243" s="325">
        <f>'AVT-celny-2x187'!AZ25</f>
        <v>0</v>
      </c>
      <c r="AS243" s="32"/>
      <c r="AT243" s="32"/>
      <c r="AU243" s="32"/>
      <c r="AV243" s="32"/>
      <c r="AW243" s="32"/>
      <c r="AX243" s="32"/>
      <c r="AY243" s="32"/>
      <c r="AZ243" s="32"/>
      <c r="BA243" s="32"/>
      <c r="BB243" s="32"/>
      <c r="BC243" s="32"/>
      <c r="BD243" s="32"/>
      <c r="BE243" s="32"/>
      <c r="BF243" s="32"/>
      <c r="BG243" s="32"/>
      <c r="BH243" s="32"/>
      <c r="BI243" s="32"/>
      <c r="BJ243" s="32"/>
      <c r="BK243" s="32"/>
      <c r="BL243" s="32"/>
      <c r="BM243" s="32"/>
      <c r="BN243" s="32"/>
      <c r="BO243" s="165"/>
      <c r="BP243" s="165"/>
      <c r="BQ243" s="165"/>
      <c r="BR243" s="165"/>
      <c r="BS243" s="165"/>
      <c r="BT243" s="165"/>
      <c r="BU243" s="165"/>
      <c r="BV243" s="55"/>
      <c r="BW243" s="160"/>
      <c r="BX243" s="32"/>
      <c r="BY243" s="24"/>
      <c r="BZ243" s="24"/>
      <c r="CA243" s="24"/>
      <c r="CB243" s="24"/>
      <c r="CC243" s="24"/>
      <c r="CD243" s="24"/>
      <c r="CE243" s="24"/>
    </row>
    <row r="244" spans="1:83" ht="15" customHeight="1">
      <c r="A244" s="4"/>
      <c r="B244" s="318">
        <f>CENY!B620</f>
        <v>9318187</v>
      </c>
      <c r="C244" s="43" t="str">
        <f>VLOOKUP(B244,CENY!$B$11:$G$1054,2,FALSE)</f>
        <v>Actro You(L) 300/SiSy 40kg; EB21</v>
      </c>
      <c r="D244" s="364">
        <f>VLOOKUP(B244,CENY!$B$11:$G$1054,3,FALSE)</f>
        <v>1</v>
      </c>
      <c r="E244" s="56" t="str">
        <f>IF(VLOOKUP(B244,CENY!$B$11:$G$1054,4,FALSE)=0,"",VLOOKUP(B244,CENY!$B$11:$G$1054,4,FALSE))</f>
        <v/>
      </c>
      <c r="F244" s="40" t="str">
        <f t="shared" si="58"/>
        <v/>
      </c>
      <c r="G244" s="52">
        <f>VLOOKUP(B244,CENY!$B$11:$M$1054,12,FALSE)</f>
        <v>657.45060999999998</v>
      </c>
      <c r="H244" s="54" t="str">
        <f t="shared" si="55"/>
        <v xml:space="preserve"> CZK</v>
      </c>
      <c r="I244" s="41" t="str">
        <f t="shared" si="56"/>
        <v/>
      </c>
      <c r="J244" s="122"/>
      <c r="K244" s="42" t="str">
        <f>VLOOKUP(B244,CENY!$B$11:$M$1054,8,FALSE)</f>
        <v xml:space="preserve"> </v>
      </c>
      <c r="L244" s="42" t="str">
        <f>VLOOKUP(B244,CENY!$B$11:$M$1054,9,FALSE)</f>
        <v>518524</v>
      </c>
      <c r="M244" s="32"/>
      <c r="N244" s="35">
        <f t="shared" si="59"/>
        <v>0</v>
      </c>
      <c r="O244" s="36">
        <v>0</v>
      </c>
      <c r="P244" s="325">
        <f>'AVT101'!AZ30</f>
        <v>0</v>
      </c>
      <c r="Q244" s="32"/>
      <c r="R244" s="325">
        <f>'AVT139'!AZ30</f>
        <v>0</v>
      </c>
      <c r="S244" s="32"/>
      <c r="T244" s="325">
        <f>'AVT187'!AZ30</f>
        <v>0</v>
      </c>
      <c r="U244" s="32"/>
      <c r="V244" s="32"/>
      <c r="W244" s="32"/>
      <c r="X244" s="32"/>
      <c r="Y244" s="32"/>
      <c r="Z244" s="325">
        <f>'AVT101(vn-A)'!AZ30</f>
        <v>0</v>
      </c>
      <c r="AA244" s="32"/>
      <c r="AB244" s="325">
        <f>'AVT139(vn-A)'!AZ30</f>
        <v>0</v>
      </c>
      <c r="AC244" s="32"/>
      <c r="AD244" s="325">
        <f>'AVT187(vn-A)'!AZ30</f>
        <v>0</v>
      </c>
      <c r="AE244" s="32"/>
      <c r="AF244" s="32"/>
      <c r="AG244" s="32"/>
      <c r="AH244" s="325">
        <f>'AVT187(vn-S)'!AZ30</f>
        <v>0</v>
      </c>
      <c r="AI244" s="32"/>
      <c r="AJ244" s="32"/>
      <c r="AK244" s="32"/>
      <c r="AL244" s="32"/>
      <c r="AM244" s="32"/>
      <c r="AN244" s="325">
        <f>'AVT-celny-101+187'!AZ36</f>
        <v>0</v>
      </c>
      <c r="AO244" s="32"/>
      <c r="AP244" s="325">
        <f>'AVT-celny-139+187'!AZ29</f>
        <v>0</v>
      </c>
      <c r="AQ244" s="32"/>
      <c r="AR244" s="325">
        <f>'AVT-celny-2x187'!AZ26</f>
        <v>0</v>
      </c>
      <c r="AS244" s="32"/>
      <c r="AT244" s="32"/>
      <c r="AU244" s="32"/>
      <c r="AV244" s="32"/>
      <c r="AW244" s="32"/>
      <c r="AX244" s="32"/>
      <c r="AY244" s="32"/>
      <c r="AZ244" s="32"/>
      <c r="BA244" s="32"/>
      <c r="BB244" s="32"/>
      <c r="BC244" s="32"/>
      <c r="BD244" s="32"/>
      <c r="BE244" s="32"/>
      <c r="BF244" s="32"/>
      <c r="BG244" s="32"/>
      <c r="BH244" s="32"/>
      <c r="BI244" s="32"/>
      <c r="BJ244" s="32"/>
      <c r="BK244" s="32"/>
      <c r="BL244" s="32"/>
      <c r="BM244" s="32"/>
      <c r="BN244" s="32"/>
      <c r="BO244" s="165"/>
      <c r="BP244" s="165"/>
      <c r="BQ244" s="165"/>
      <c r="BR244" s="165"/>
      <c r="BS244" s="165"/>
      <c r="BT244" s="165"/>
      <c r="BU244" s="165"/>
      <c r="BV244" s="55"/>
      <c r="BW244" s="160"/>
      <c r="BX244" s="32"/>
      <c r="BY244" s="24"/>
      <c r="BZ244" s="24"/>
      <c r="CA244" s="24"/>
      <c r="CB244" s="24"/>
      <c r="CC244" s="24"/>
      <c r="CD244" s="24"/>
      <c r="CE244" s="24"/>
    </row>
    <row r="245" spans="1:83" ht="15" customHeight="1">
      <c r="A245" s="4"/>
      <c r="B245" s="318">
        <f>CENY!B621</f>
        <v>9318188</v>
      </c>
      <c r="C245" s="43" t="str">
        <f>VLOOKUP(B245,CENY!$B$11:$G$1054,2,FALSE)</f>
        <v>Actro You(L) 350/SiSy 40kg; EB21</v>
      </c>
      <c r="D245" s="364">
        <f>VLOOKUP(B245,CENY!$B$11:$G$1054,3,FALSE)</f>
        <v>1</v>
      </c>
      <c r="E245" s="56" t="str">
        <f>IF(VLOOKUP(B245,CENY!$B$11:$G$1054,4,FALSE)=0,"",VLOOKUP(B245,CENY!$B$11:$G$1054,4,FALSE))</f>
        <v/>
      </c>
      <c r="F245" s="40" t="str">
        <f t="shared" si="58"/>
        <v/>
      </c>
      <c r="G245" s="52">
        <f>VLOOKUP(B245,CENY!$B$11:$M$1054,12,FALSE)</f>
        <v>657.45060999999998</v>
      </c>
      <c r="H245" s="54" t="str">
        <f t="shared" si="55"/>
        <v xml:space="preserve"> CZK</v>
      </c>
      <c r="I245" s="41" t="str">
        <f t="shared" si="56"/>
        <v/>
      </c>
      <c r="J245" s="122"/>
      <c r="K245" s="42" t="str">
        <f>VLOOKUP(B245,CENY!$B$11:$M$1054,8,FALSE)</f>
        <v xml:space="preserve"> </v>
      </c>
      <c r="L245" s="42" t="str">
        <f>VLOOKUP(B245,CENY!$B$11:$M$1054,9,FALSE)</f>
        <v>518526</v>
      </c>
      <c r="M245" s="32"/>
      <c r="N245" s="35">
        <f t="shared" si="59"/>
        <v>0</v>
      </c>
      <c r="O245" s="36">
        <v>0</v>
      </c>
      <c r="P245" s="325">
        <f>'AVT101'!AZ31</f>
        <v>0</v>
      </c>
      <c r="Q245" s="32"/>
      <c r="R245" s="325">
        <f>'AVT139'!AZ31</f>
        <v>0</v>
      </c>
      <c r="S245" s="32"/>
      <c r="T245" s="325">
        <f>'AVT187'!AZ31</f>
        <v>0</v>
      </c>
      <c r="U245" s="32"/>
      <c r="V245" s="325">
        <f>'AVT251'!AZ23</f>
        <v>0</v>
      </c>
      <c r="W245" s="32"/>
      <c r="X245" s="325">
        <f>AVT187In!AZ23</f>
        <v>0</v>
      </c>
      <c r="Y245" s="32"/>
      <c r="Z245" s="325">
        <f>'AVT101(vn-A)'!AZ31</f>
        <v>0</v>
      </c>
      <c r="AA245" s="32"/>
      <c r="AB245" s="325">
        <f>'AVT139(vn-A)'!AZ31</f>
        <v>0</v>
      </c>
      <c r="AC245" s="32"/>
      <c r="AD245" s="325">
        <f>'AVT187(vn-A)'!AZ31</f>
        <v>0</v>
      </c>
      <c r="AE245" s="32"/>
      <c r="AF245" s="325">
        <f>'AVT187In(vn-A)'!AZ23</f>
        <v>0</v>
      </c>
      <c r="AG245" s="32"/>
      <c r="AH245" s="325">
        <f>'AVT187(vn-S)'!AZ31</f>
        <v>0</v>
      </c>
      <c r="AI245" s="32"/>
      <c r="AJ245" s="325">
        <f>'AVT187In(vn-S)'!AZ23</f>
        <v>0</v>
      </c>
      <c r="AK245" s="32"/>
      <c r="AL245" s="32"/>
      <c r="AM245" s="32"/>
      <c r="AN245" s="325">
        <f>'AVT-celny-101+187'!AZ37</f>
        <v>0</v>
      </c>
      <c r="AO245" s="32"/>
      <c r="AP245" s="325">
        <f>'AVT-celny-139+187'!AZ30</f>
        <v>0</v>
      </c>
      <c r="AQ245" s="32"/>
      <c r="AR245" s="325">
        <f>'AVT-celny-2x187'!AZ27</f>
        <v>0</v>
      </c>
      <c r="AS245" s="32"/>
      <c r="AT245" s="325">
        <f>'AVT-celny-2x187In'!AZ21</f>
        <v>0</v>
      </c>
      <c r="AU245" s="32"/>
      <c r="AV245" s="32"/>
      <c r="AW245" s="32"/>
      <c r="AX245" s="32"/>
      <c r="AY245" s="32"/>
      <c r="AZ245" s="32"/>
      <c r="BA245" s="32"/>
      <c r="BB245" s="32"/>
      <c r="BC245" s="32"/>
      <c r="BD245" s="32"/>
      <c r="BE245" s="32"/>
      <c r="BF245" s="32"/>
      <c r="BG245" s="32"/>
      <c r="BH245" s="32"/>
      <c r="BI245" s="32"/>
      <c r="BJ245" s="32"/>
      <c r="BK245" s="32"/>
      <c r="BL245" s="32"/>
      <c r="BM245" s="32"/>
      <c r="BN245" s="32"/>
      <c r="BO245" s="165"/>
      <c r="BP245" s="165"/>
      <c r="BQ245" s="165"/>
      <c r="BR245" s="165"/>
      <c r="BS245" s="165"/>
      <c r="BT245" s="165"/>
      <c r="BU245" s="165"/>
      <c r="BV245" s="55"/>
      <c r="BW245" s="160"/>
      <c r="BX245" s="32"/>
      <c r="BY245" s="24"/>
      <c r="BZ245" s="24"/>
      <c r="CA245" s="24"/>
      <c r="CB245" s="24"/>
      <c r="CC245" s="24"/>
      <c r="CD245" s="24"/>
      <c r="CE245" s="24"/>
    </row>
    <row r="246" spans="1:83" ht="15" customHeight="1">
      <c r="A246" s="4"/>
      <c r="B246" s="318">
        <f>CENY!B622</f>
        <v>9318190</v>
      </c>
      <c r="C246" s="43" t="str">
        <f>VLOOKUP(B246,CENY!$B$11:$G$1054,2,FALSE)</f>
        <v>Actro You(L) 400/SiSy 40kg; EB21</v>
      </c>
      <c r="D246" s="364">
        <f>VLOOKUP(B246,CENY!$B$11:$G$1054,3,FALSE)</f>
        <v>1</v>
      </c>
      <c r="E246" s="56" t="str">
        <f>IF(VLOOKUP(B246,CENY!$B$11:$G$1054,4,FALSE)=0,"",VLOOKUP(B246,CENY!$B$11:$G$1054,4,FALSE))</f>
        <v/>
      </c>
      <c r="F246" s="40" t="str">
        <f t="shared" si="58"/>
        <v/>
      </c>
      <c r="G246" s="52">
        <f>VLOOKUP(B246,CENY!$B$11:$M$1054,12,FALSE)</f>
        <v>664.73978</v>
      </c>
      <c r="H246" s="54" t="str">
        <f t="shared" si="55"/>
        <v xml:space="preserve"> CZK</v>
      </c>
      <c r="I246" s="41" t="str">
        <f t="shared" si="56"/>
        <v/>
      </c>
      <c r="J246" s="122"/>
      <c r="K246" s="42" t="str">
        <f>VLOOKUP(B246,CENY!$B$11:$M$1054,8,FALSE)</f>
        <v xml:space="preserve"> </v>
      </c>
      <c r="L246" s="42" t="str">
        <f>VLOOKUP(B246,CENY!$B$11:$M$1054,9,FALSE)</f>
        <v>422188</v>
      </c>
      <c r="M246" s="32"/>
      <c r="N246" s="35">
        <f t="shared" si="59"/>
        <v>0</v>
      </c>
      <c r="O246" s="36">
        <v>0</v>
      </c>
      <c r="P246" s="325">
        <f>'AVT101'!AZ32</f>
        <v>0</v>
      </c>
      <c r="Q246" s="32"/>
      <c r="R246" s="325">
        <f>'AVT139'!AZ32</f>
        <v>0</v>
      </c>
      <c r="S246" s="32"/>
      <c r="T246" s="325">
        <f>'AVT187'!AZ32</f>
        <v>0</v>
      </c>
      <c r="U246" s="32"/>
      <c r="V246" s="325">
        <f>'AVT251'!AZ24</f>
        <v>0</v>
      </c>
      <c r="W246" s="32"/>
      <c r="X246" s="325">
        <f>AVT187In!AZ24</f>
        <v>0</v>
      </c>
      <c r="Y246" s="32"/>
      <c r="Z246" s="325">
        <f>'AVT101(vn-A)'!AZ32</f>
        <v>0</v>
      </c>
      <c r="AA246" s="32"/>
      <c r="AB246" s="325">
        <f>'AVT139(vn-A)'!AZ32</f>
        <v>0</v>
      </c>
      <c r="AC246" s="32"/>
      <c r="AD246" s="325">
        <f>'AVT187(vn-A)'!AZ32</f>
        <v>0</v>
      </c>
      <c r="AE246" s="32"/>
      <c r="AF246" s="325">
        <f>'AVT187In(vn-A)'!AZ24</f>
        <v>0</v>
      </c>
      <c r="AG246" s="32"/>
      <c r="AH246" s="325">
        <f>'AVT187(vn-S)'!AZ32</f>
        <v>0</v>
      </c>
      <c r="AI246" s="32"/>
      <c r="AJ246" s="325">
        <f>'AVT187In(vn-S)'!AZ24</f>
        <v>0</v>
      </c>
      <c r="AK246" s="32"/>
      <c r="AL246" s="325">
        <f>'AVT77'!AZ15</f>
        <v>0</v>
      </c>
      <c r="AM246" s="32"/>
      <c r="AN246" s="325">
        <f>'AVT-celny-101+187'!AZ38</f>
        <v>0</v>
      </c>
      <c r="AO246" s="32"/>
      <c r="AP246" s="325">
        <f>'AVT-celny-139+187'!AZ31</f>
        <v>0</v>
      </c>
      <c r="AQ246" s="32"/>
      <c r="AR246" s="325">
        <f>'AVT-celny-2x187'!AZ28</f>
        <v>0</v>
      </c>
      <c r="AS246" s="32"/>
      <c r="AT246" s="325">
        <f>'AVT-celny-2x187In'!AZ22</f>
        <v>0</v>
      </c>
      <c r="AU246" s="32"/>
      <c r="AV246" s="32"/>
      <c r="AW246" s="32"/>
      <c r="AX246" s="32"/>
      <c r="AY246" s="32"/>
      <c r="AZ246" s="32"/>
      <c r="BA246" s="32"/>
      <c r="BB246" s="32"/>
      <c r="BC246" s="32"/>
      <c r="BD246" s="32"/>
      <c r="BE246" s="32"/>
      <c r="BF246" s="32"/>
      <c r="BG246" s="32"/>
      <c r="BH246" s="32"/>
      <c r="BI246" s="32"/>
      <c r="BJ246" s="32"/>
      <c r="BK246" s="32"/>
      <c r="BL246" s="32"/>
      <c r="BM246" s="32"/>
      <c r="BN246" s="32"/>
      <c r="BO246" s="165"/>
      <c r="BP246" s="165"/>
      <c r="BQ246" s="165"/>
      <c r="BR246" s="165"/>
      <c r="BS246" s="165"/>
      <c r="BT246" s="165"/>
      <c r="BU246" s="165"/>
      <c r="BV246" s="55"/>
      <c r="BW246" s="160"/>
      <c r="BX246" s="32"/>
      <c r="BY246" s="24"/>
      <c r="BZ246" s="24"/>
      <c r="CA246" s="24"/>
      <c r="CB246" s="24"/>
      <c r="CC246" s="24"/>
      <c r="CD246" s="24"/>
      <c r="CE246" s="24"/>
    </row>
    <row r="247" spans="1:83" ht="15" customHeight="1">
      <c r="A247" s="4"/>
      <c r="B247" s="318">
        <f>CENY!B623</f>
        <v>9318191</v>
      </c>
      <c r="C247" s="43" t="str">
        <f>VLOOKUP(B247,CENY!$B$11:$G$1054,2,FALSE)</f>
        <v>Actro You(L) 450/SiSy 40kg; EB21</v>
      </c>
      <c r="D247" s="364">
        <f>VLOOKUP(B247,CENY!$B$11:$G$1054,3,FALSE)</f>
        <v>1</v>
      </c>
      <c r="E247" s="56" t="str">
        <f>IF(VLOOKUP(B247,CENY!$B$11:$G$1054,4,FALSE)=0,"",VLOOKUP(B247,CENY!$B$11:$G$1054,4,FALSE))</f>
        <v/>
      </c>
      <c r="F247" s="40" t="str">
        <f t="shared" si="58"/>
        <v/>
      </c>
      <c r="G247" s="52">
        <f>VLOOKUP(B247,CENY!$B$11:$M$1054,12,FALSE)</f>
        <v>671.97520999999995</v>
      </c>
      <c r="H247" s="54" t="str">
        <f t="shared" si="55"/>
        <v xml:space="preserve"> CZK</v>
      </c>
      <c r="I247" s="41" t="str">
        <f t="shared" si="56"/>
        <v/>
      </c>
      <c r="J247" s="122"/>
      <c r="K247" s="42" t="str">
        <f>VLOOKUP(B247,CENY!$B$11:$M$1054,8,FALSE)</f>
        <v xml:space="preserve"> </v>
      </c>
      <c r="L247" s="42" t="str">
        <f>VLOOKUP(B247,CENY!$B$11:$M$1054,9,FALSE)</f>
        <v>421497</v>
      </c>
      <c r="M247" s="32"/>
      <c r="N247" s="35">
        <f t="shared" si="59"/>
        <v>0</v>
      </c>
      <c r="O247" s="36">
        <v>0</v>
      </c>
      <c r="P247" s="325">
        <f>'AVT101'!AZ33</f>
        <v>0</v>
      </c>
      <c r="Q247" s="32"/>
      <c r="R247" s="325">
        <f>'AVT139'!AZ33</f>
        <v>0</v>
      </c>
      <c r="S247" s="32"/>
      <c r="T247" s="325">
        <f>'AVT187'!AZ33</f>
        <v>0</v>
      </c>
      <c r="U247" s="32"/>
      <c r="V247" s="325">
        <f>'AVT251'!AZ25</f>
        <v>0</v>
      </c>
      <c r="W247" s="32"/>
      <c r="X247" s="325">
        <f>AVT187In!AZ25</f>
        <v>0</v>
      </c>
      <c r="Y247" s="32"/>
      <c r="Z247" s="325">
        <f>'AVT101(vn-A)'!AZ33</f>
        <v>0</v>
      </c>
      <c r="AA247" s="32"/>
      <c r="AB247" s="325">
        <f>'AVT139(vn-A)'!AZ33</f>
        <v>0</v>
      </c>
      <c r="AC247" s="32"/>
      <c r="AD247" s="325">
        <f>'AVT187(vn-A)'!AZ33</f>
        <v>0</v>
      </c>
      <c r="AE247" s="32"/>
      <c r="AF247" s="325">
        <f>'AVT187In(vn-A)'!AZ25</f>
        <v>0</v>
      </c>
      <c r="AG247" s="32"/>
      <c r="AH247" s="325">
        <f>'AVT187(vn-S)'!AZ33</f>
        <v>0</v>
      </c>
      <c r="AI247" s="32"/>
      <c r="AJ247" s="325">
        <f>'AVT187In(vn-S)'!AZ25</f>
        <v>0</v>
      </c>
      <c r="AK247" s="32"/>
      <c r="AL247" s="325">
        <f>'AVT77'!AZ16</f>
        <v>0</v>
      </c>
      <c r="AM247" s="32"/>
      <c r="AN247" s="325">
        <f>'AVT-celny-101+187'!AZ39</f>
        <v>0</v>
      </c>
      <c r="AO247" s="32"/>
      <c r="AP247" s="325">
        <f>'AVT-celny-139+187'!AZ32</f>
        <v>0</v>
      </c>
      <c r="AQ247" s="32"/>
      <c r="AR247" s="325">
        <f>'AVT-celny-2x187'!AZ29</f>
        <v>0</v>
      </c>
      <c r="AS247" s="32"/>
      <c r="AT247" s="325">
        <f>'AVT-celny-2x187In'!AZ23</f>
        <v>0</v>
      </c>
      <c r="AU247" s="32"/>
      <c r="AV247" s="325">
        <f>'potr-v101+187'!AZ39</f>
        <v>0</v>
      </c>
      <c r="AW247" s="32"/>
      <c r="AX247" s="325">
        <f>'potr-v101+187-IL'!AZ39</f>
        <v>0</v>
      </c>
      <c r="AY247" s="32"/>
      <c r="AZ247" s="32"/>
      <c r="BA247" s="32"/>
      <c r="BB247" s="32"/>
      <c r="BC247" s="32"/>
      <c r="BD247" s="32"/>
      <c r="BE247" s="32"/>
      <c r="BF247" s="32"/>
      <c r="BG247" s="32"/>
      <c r="BH247" s="32"/>
      <c r="BI247" s="32"/>
      <c r="BJ247" s="32"/>
      <c r="BK247" s="32"/>
      <c r="BL247" s="32"/>
      <c r="BM247" s="32"/>
      <c r="BN247" s="32"/>
      <c r="BO247" s="165"/>
      <c r="BP247" s="165"/>
      <c r="BQ247" s="165"/>
      <c r="BR247" s="165"/>
      <c r="BS247" s="165"/>
      <c r="BT247" s="165"/>
      <c r="BU247" s="165"/>
      <c r="BV247" s="55"/>
      <c r="BW247" s="160"/>
      <c r="BX247" s="32"/>
      <c r="BY247" s="24"/>
      <c r="BZ247" s="24"/>
      <c r="CA247" s="24"/>
      <c r="CB247" s="24"/>
      <c r="CC247" s="24"/>
      <c r="CD247" s="24"/>
      <c r="CE247" s="24"/>
    </row>
    <row r="248" spans="1:83" ht="15" customHeight="1">
      <c r="A248" s="4"/>
      <c r="B248" s="318">
        <f>CENY!B624</f>
        <v>9318192</v>
      </c>
      <c r="C248" s="43" t="str">
        <f>VLOOKUP(B248,CENY!$B$11:$G$1054,2,FALSE)</f>
        <v>Actro You(L) 500/SiSy 40kg; EB21</v>
      </c>
      <c r="D248" s="364">
        <f>VLOOKUP(B248,CENY!$B$11:$G$1054,3,FALSE)</f>
        <v>1</v>
      </c>
      <c r="E248" s="56" t="str">
        <f>IF(VLOOKUP(B248,CENY!$B$11:$G$1054,4,FALSE)=0,"",VLOOKUP(B248,CENY!$B$11:$G$1054,4,FALSE))</f>
        <v/>
      </c>
      <c r="F248" s="40" t="str">
        <f t="shared" si="58"/>
        <v/>
      </c>
      <c r="G248" s="52">
        <f>VLOOKUP(B248,CENY!$B$11:$M$1054,12,FALSE)</f>
        <v>164.23333</v>
      </c>
      <c r="H248" s="54" t="str">
        <f t="shared" si="55"/>
        <v xml:space="preserve"> CZK</v>
      </c>
      <c r="I248" s="41" t="str">
        <f t="shared" si="56"/>
        <v/>
      </c>
      <c r="J248" s="122"/>
      <c r="K248" s="42" t="str">
        <f>VLOOKUP(B248,CENY!$B$11:$M$1054,8,FALSE)</f>
        <v xml:space="preserve"> </v>
      </c>
      <c r="L248" s="42" t="str">
        <f>VLOOKUP(B248,CENY!$B$11:$M$1054,9,FALSE)</f>
        <v>504786</v>
      </c>
      <c r="M248" s="32"/>
      <c r="N248" s="35">
        <f t="shared" si="59"/>
        <v>0</v>
      </c>
      <c r="O248" s="36">
        <v>0</v>
      </c>
      <c r="P248" s="325">
        <f>'AVT101'!AZ34</f>
        <v>0</v>
      </c>
      <c r="Q248" s="32"/>
      <c r="R248" s="325">
        <f>'AVT139'!AZ34</f>
        <v>0</v>
      </c>
      <c r="S248" s="32"/>
      <c r="T248" s="325">
        <f>'AVT187'!AZ34</f>
        <v>0</v>
      </c>
      <c r="U248" s="32"/>
      <c r="V248" s="325">
        <f>'AVT251'!AZ26</f>
        <v>0</v>
      </c>
      <c r="W248" s="32"/>
      <c r="X248" s="325">
        <f>AVT187In!AZ26</f>
        <v>0</v>
      </c>
      <c r="Y248" s="32"/>
      <c r="Z248" s="325">
        <f>'AVT101(vn-A)'!AZ34</f>
        <v>0</v>
      </c>
      <c r="AA248" s="32"/>
      <c r="AB248" s="325">
        <f>'AVT139(vn-A)'!AZ34</f>
        <v>0</v>
      </c>
      <c r="AC248" s="32"/>
      <c r="AD248" s="325">
        <f>'AVT187(vn-A)'!AZ34</f>
        <v>0</v>
      </c>
      <c r="AE248" s="32"/>
      <c r="AF248" s="325">
        <f>'AVT187In(vn-A)'!AZ26</f>
        <v>0</v>
      </c>
      <c r="AG248" s="32"/>
      <c r="AH248" s="325">
        <f>'AVT187(vn-S)'!AZ34</f>
        <v>0</v>
      </c>
      <c r="AI248" s="32"/>
      <c r="AJ248" s="325">
        <f>'AVT187In(vn-S)'!AZ26</f>
        <v>0</v>
      </c>
      <c r="AK248" s="32"/>
      <c r="AL248" s="325">
        <f>'AVT77'!AZ17</f>
        <v>0</v>
      </c>
      <c r="AM248" s="32"/>
      <c r="AN248" s="325">
        <f>'AVT-celny-101+187'!AZ40</f>
        <v>0</v>
      </c>
      <c r="AO248" s="32"/>
      <c r="AP248" s="325">
        <f>'AVT-celny-139+187'!AZ33</f>
        <v>0</v>
      </c>
      <c r="AQ248" s="32"/>
      <c r="AR248" s="325">
        <f>'AVT-celny-2x187'!AZ30</f>
        <v>0</v>
      </c>
      <c r="AS248" s="32"/>
      <c r="AT248" s="325">
        <f>'AVT-celny-2x187In'!AZ24</f>
        <v>0</v>
      </c>
      <c r="AU248" s="32"/>
      <c r="AV248" s="325">
        <f>'potr-v101+187'!AZ40</f>
        <v>0</v>
      </c>
      <c r="AW248" s="32"/>
      <c r="AX248" s="325">
        <f>'potr-v101+187-IL'!AZ40</f>
        <v>0</v>
      </c>
      <c r="AY248" s="32"/>
      <c r="AZ248" s="32"/>
      <c r="BA248" s="32"/>
      <c r="BB248" s="32"/>
      <c r="BC248" s="32"/>
      <c r="BD248" s="32"/>
      <c r="BE248" s="32"/>
      <c r="BF248" s="32"/>
      <c r="BG248" s="32"/>
      <c r="BH248" s="32"/>
      <c r="BI248" s="32"/>
      <c r="BJ248" s="32"/>
      <c r="BK248" s="32"/>
      <c r="BL248" s="32"/>
      <c r="BM248" s="32"/>
      <c r="BN248" s="32"/>
      <c r="BO248" s="165"/>
      <c r="BP248" s="165"/>
      <c r="BQ248" s="165"/>
      <c r="BR248" s="165"/>
      <c r="BS248" s="165"/>
      <c r="BT248" s="165"/>
      <c r="BU248" s="165"/>
      <c r="BV248" s="55"/>
      <c r="BW248" s="160"/>
      <c r="BX248" s="32"/>
      <c r="BY248" s="24"/>
      <c r="BZ248" s="24"/>
      <c r="CA248" s="24"/>
      <c r="CB248" s="24"/>
      <c r="CC248" s="24"/>
      <c r="CD248" s="24"/>
      <c r="CE248" s="24"/>
    </row>
    <row r="249" spans="1:83" ht="15" customHeight="1">
      <c r="A249" s="4"/>
      <c r="B249" s="318">
        <f>CENY!B625</f>
        <v>9318194</v>
      </c>
      <c r="C249" s="43" t="str">
        <f>VLOOKUP(B249,CENY!$B$11:$G$1054,2,FALSE)</f>
        <v>Actro You(L) 550/SiSy 40kg; EB21</v>
      </c>
      <c r="D249" s="364">
        <f>VLOOKUP(B249,CENY!$B$11:$G$1054,3,FALSE)</f>
        <v>1</v>
      </c>
      <c r="E249" s="56" t="str">
        <f>IF(VLOOKUP(B249,CENY!$B$11:$G$1054,4,FALSE)=0,"",VLOOKUP(B249,CENY!$B$11:$G$1054,4,FALSE))</f>
        <v/>
      </c>
      <c r="F249" s="40" t="str">
        <f t="shared" si="58"/>
        <v/>
      </c>
      <c r="G249" s="52">
        <f>VLOOKUP(B249,CENY!$B$11:$M$1054,12,FALSE)</f>
        <v>173.62268</v>
      </c>
      <c r="H249" s="54" t="str">
        <f t="shared" si="55"/>
        <v xml:space="preserve"> CZK</v>
      </c>
      <c r="I249" s="41" t="str">
        <f t="shared" si="56"/>
        <v/>
      </c>
      <c r="J249" s="122"/>
      <c r="K249" s="42" t="str">
        <f>VLOOKUP(B249,CENY!$B$11:$M$1054,8,FALSE)</f>
        <v xml:space="preserve"> </v>
      </c>
      <c r="L249" s="42" t="str">
        <f>VLOOKUP(B249,CENY!$B$11:$M$1054,9,FALSE)</f>
        <v>491192</v>
      </c>
      <c r="M249" s="32"/>
      <c r="N249" s="35">
        <f t="shared" si="59"/>
        <v>0</v>
      </c>
      <c r="O249" s="36">
        <v>0</v>
      </c>
      <c r="P249" s="325">
        <f>'AVT101'!AZ35</f>
        <v>0</v>
      </c>
      <c r="Q249" s="32"/>
      <c r="R249" s="325">
        <f>'AVT139'!AZ35</f>
        <v>0</v>
      </c>
      <c r="S249" s="32"/>
      <c r="T249" s="325">
        <f>'AVT187'!AZ35</f>
        <v>0</v>
      </c>
      <c r="U249" s="32"/>
      <c r="V249" s="325">
        <f>'AVT251'!AZ27</f>
        <v>0</v>
      </c>
      <c r="W249" s="32"/>
      <c r="X249" s="325">
        <f>AVT187In!AZ27</f>
        <v>0</v>
      </c>
      <c r="Y249" s="32"/>
      <c r="Z249" s="325">
        <f>'AVT101(vn-A)'!AZ35</f>
        <v>0</v>
      </c>
      <c r="AA249" s="32"/>
      <c r="AB249" s="325">
        <f>'AVT139(vn-A)'!AZ35</f>
        <v>0</v>
      </c>
      <c r="AC249" s="32"/>
      <c r="AD249" s="325">
        <f>'AVT187(vn-A)'!AZ35</f>
        <v>0</v>
      </c>
      <c r="AE249" s="32"/>
      <c r="AF249" s="325">
        <f>'AVT187In(vn-A)'!AZ27</f>
        <v>0</v>
      </c>
      <c r="AG249" s="32"/>
      <c r="AH249" s="325">
        <f>'AVT187(vn-S)'!AZ35</f>
        <v>0</v>
      </c>
      <c r="AI249" s="32"/>
      <c r="AJ249" s="325">
        <f>'AVT187In(vn-S)'!AZ27</f>
        <v>0</v>
      </c>
      <c r="AK249" s="32"/>
      <c r="AL249" s="325">
        <f>'AVT77'!AZ18</f>
        <v>0</v>
      </c>
      <c r="AM249" s="32"/>
      <c r="AN249" s="325">
        <f>'AVT-celny-101+187'!AZ41</f>
        <v>0</v>
      </c>
      <c r="AO249" s="32"/>
      <c r="AP249" s="325">
        <f>'AVT-celny-139+187'!AZ34</f>
        <v>0</v>
      </c>
      <c r="AQ249" s="32"/>
      <c r="AR249" s="325">
        <f>'AVT-celny-2x187'!AZ31</f>
        <v>0</v>
      </c>
      <c r="AS249" s="32"/>
      <c r="AT249" s="325">
        <f>'AVT-celny-2x187In'!AZ25</f>
        <v>0</v>
      </c>
      <c r="AU249" s="32"/>
      <c r="AV249" s="325">
        <f>'potr-v101+187'!AZ41</f>
        <v>0</v>
      </c>
      <c r="AW249" s="32"/>
      <c r="AX249" s="325">
        <f>'potr-v101+187-IL'!AZ41</f>
        <v>0</v>
      </c>
      <c r="AY249" s="32"/>
      <c r="AZ249" s="32"/>
      <c r="BA249" s="32"/>
      <c r="BB249" s="32"/>
      <c r="BC249" s="32"/>
      <c r="BD249" s="32"/>
      <c r="BE249" s="32"/>
      <c r="BF249" s="32"/>
      <c r="BG249" s="32"/>
      <c r="BH249" s="32"/>
      <c r="BI249" s="32"/>
      <c r="BJ249" s="32"/>
      <c r="BK249" s="32"/>
      <c r="BL249" s="32"/>
      <c r="BM249" s="32"/>
      <c r="BN249" s="32"/>
      <c r="BO249" s="165"/>
      <c r="BP249" s="165"/>
      <c r="BQ249" s="165"/>
      <c r="BR249" s="165"/>
      <c r="BS249" s="165"/>
      <c r="BT249" s="165"/>
      <c r="BU249" s="165"/>
      <c r="BV249" s="55"/>
      <c r="BW249" s="160"/>
      <c r="BX249" s="32"/>
      <c r="BY249" s="24"/>
      <c r="BZ249" s="24"/>
      <c r="CA249" s="24"/>
      <c r="CB249" s="24"/>
      <c r="CC249" s="24"/>
      <c r="CD249" s="24"/>
      <c r="CE249" s="24"/>
    </row>
    <row r="250" spans="1:83" ht="15" customHeight="1">
      <c r="A250" s="4"/>
      <c r="B250" s="318">
        <f>CENY!B626</f>
        <v>9318196</v>
      </c>
      <c r="C250" s="43" t="str">
        <f>VLOOKUP(B250,CENY!$B$11:$G$1054,2,FALSE)</f>
        <v>Actro You(L) 600/SiSy 40kg; EB21</v>
      </c>
      <c r="D250" s="364">
        <f>VLOOKUP(B250,CENY!$B$11:$G$1054,3,FALSE)</f>
        <v>1</v>
      </c>
      <c r="E250" s="56" t="str">
        <f>IF(VLOOKUP(B250,CENY!$B$11:$G$1054,4,FALSE)=0,"",VLOOKUP(B250,CENY!$B$11:$G$1054,4,FALSE))</f>
        <v/>
      </c>
      <c r="F250" s="40" t="str">
        <f t="shared" si="58"/>
        <v/>
      </c>
      <c r="G250" s="52">
        <f>VLOOKUP(B250,CENY!$B$11:$M$1054,12,FALSE)</f>
        <v>726.70140000000004</v>
      </c>
      <c r="H250" s="54" t="str">
        <f t="shared" si="55"/>
        <v xml:space="preserve"> CZK</v>
      </c>
      <c r="I250" s="41" t="str">
        <f t="shared" si="56"/>
        <v/>
      </c>
      <c r="J250" s="122"/>
      <c r="K250" s="42" t="str">
        <f>VLOOKUP(B250,CENY!$B$11:$M$1054,8,FALSE)</f>
        <v xml:space="preserve"> </v>
      </c>
      <c r="L250" s="42" t="str">
        <f>VLOOKUP(B250,CENY!$B$11:$M$1054,9,FALSE)</f>
        <v>518532</v>
      </c>
      <c r="M250" s="32"/>
      <c r="N250" s="35">
        <f t="shared" si="59"/>
        <v>0</v>
      </c>
      <c r="O250" s="36">
        <v>0</v>
      </c>
      <c r="P250" s="325">
        <f>'AVT101'!AZ36</f>
        <v>0</v>
      </c>
      <c r="Q250" s="32"/>
      <c r="R250" s="325">
        <f>'AVT139'!AZ36</f>
        <v>0</v>
      </c>
      <c r="S250" s="32"/>
      <c r="T250" s="325">
        <f>'AVT187'!AZ36</f>
        <v>0</v>
      </c>
      <c r="U250" s="32"/>
      <c r="V250" s="325">
        <f>'AVT251'!AZ28</f>
        <v>0</v>
      </c>
      <c r="W250" s="32"/>
      <c r="X250" s="325">
        <f>AVT187In!AZ28</f>
        <v>0</v>
      </c>
      <c r="Y250" s="32"/>
      <c r="Z250" s="325">
        <f>'AVT101(vn-A)'!AZ36</f>
        <v>0</v>
      </c>
      <c r="AA250" s="32"/>
      <c r="AB250" s="325">
        <f>'AVT139(vn-A)'!AZ36</f>
        <v>0</v>
      </c>
      <c r="AC250" s="32"/>
      <c r="AD250" s="325">
        <f>'AVT187(vn-A)'!AZ36</f>
        <v>0</v>
      </c>
      <c r="AE250" s="32"/>
      <c r="AF250" s="325">
        <f>'AVT187In(vn-A)'!AZ28</f>
        <v>0</v>
      </c>
      <c r="AG250" s="32"/>
      <c r="AH250" s="325">
        <f>'AVT187(vn-S)'!AZ36</f>
        <v>0</v>
      </c>
      <c r="AI250" s="32"/>
      <c r="AJ250" s="325">
        <f>'AVT187In(vn-S)'!AZ28</f>
        <v>0</v>
      </c>
      <c r="AK250" s="32"/>
      <c r="AL250" s="32"/>
      <c r="AM250" s="32"/>
      <c r="AN250" s="325">
        <f>'AVT-celny-101+187'!AZ42</f>
        <v>0</v>
      </c>
      <c r="AO250" s="32"/>
      <c r="AP250" s="325">
        <f>'AVT-celny-139+187'!AZ35</f>
        <v>0</v>
      </c>
      <c r="AQ250" s="32"/>
      <c r="AR250" s="325">
        <f>'AVT-celny-2x187'!AZ32</f>
        <v>0</v>
      </c>
      <c r="AS250" s="32"/>
      <c r="AT250" s="325">
        <f>'AVT-celny-2x187In'!AZ26</f>
        <v>0</v>
      </c>
      <c r="AU250" s="32"/>
      <c r="AV250" s="325">
        <f>'potr-v101+187'!AZ42</f>
        <v>0</v>
      </c>
      <c r="AW250" s="32"/>
      <c r="AX250" s="325">
        <f>'potr-v101+187-IL'!AZ42</f>
        <v>0</v>
      </c>
      <c r="AY250" s="32"/>
      <c r="AZ250" s="32"/>
      <c r="BA250" s="32"/>
      <c r="BB250" s="32"/>
      <c r="BC250" s="32"/>
      <c r="BD250" s="32"/>
      <c r="BE250" s="32"/>
      <c r="BF250" s="32"/>
      <c r="BG250" s="32"/>
      <c r="BH250" s="32"/>
      <c r="BI250" s="32"/>
      <c r="BJ250" s="32"/>
      <c r="BK250" s="32"/>
      <c r="BL250" s="32"/>
      <c r="BM250" s="32"/>
      <c r="BN250" s="32"/>
      <c r="BO250" s="165"/>
      <c r="BP250" s="165"/>
      <c r="BQ250" s="165"/>
      <c r="BR250" s="165"/>
      <c r="BS250" s="165"/>
      <c r="BT250" s="165"/>
      <c r="BU250" s="165"/>
      <c r="BV250" s="55"/>
      <c r="BW250" s="160"/>
      <c r="BX250" s="32"/>
      <c r="BY250" s="24"/>
      <c r="BZ250" s="24"/>
      <c r="CA250" s="24"/>
      <c r="CB250" s="24"/>
      <c r="CC250" s="24"/>
      <c r="CD250" s="24"/>
      <c r="CE250" s="24"/>
    </row>
    <row r="251" spans="1:83" ht="15" customHeight="1">
      <c r="A251" s="4"/>
      <c r="B251" s="318">
        <f>CENY!B627</f>
        <v>9318167</v>
      </c>
      <c r="C251" s="43" t="str">
        <f>VLOOKUP(B251,CENY!$B$11:$G$1054,2,FALSE)</f>
        <v>Actro You(L) 270/SiSy 40kg; EB21; ľavý</v>
      </c>
      <c r="D251" s="353">
        <f>VLOOKUP(B251,CENY!$B$11:$G$1054,3,FALSE)</f>
        <v>10</v>
      </c>
      <c r="E251" s="56" t="str">
        <f>IF(VLOOKUP(B251,CENY!$B$11:$G$1054,4,FALSE)=0,"",VLOOKUP(B251,CENY!$B$11:$G$1054,4,FALSE))</f>
        <v/>
      </c>
      <c r="F251" s="40" t="str">
        <f t="shared" si="58"/>
        <v/>
      </c>
      <c r="G251" s="52">
        <f>VLOOKUP(B251,CENY!$B$11:$M$1054,12,FALSE)</f>
        <v>298.88173999999998</v>
      </c>
      <c r="H251" s="54" t="str">
        <f t="shared" si="55"/>
        <v xml:space="preserve"> CZK</v>
      </c>
      <c r="I251" s="41" t="str">
        <f t="shared" si="56"/>
        <v/>
      </c>
      <c r="J251" s="122"/>
      <c r="K251" s="42" t="str">
        <f>VLOOKUP(B251,CENY!$B$11:$M$1054,8,FALSE)</f>
        <v xml:space="preserve"> </v>
      </c>
      <c r="L251" s="42" t="str">
        <f>VLOOKUP(B251,CENY!$B$11:$M$1054,9,FALSE)</f>
        <v>397775</v>
      </c>
      <c r="M251" s="32"/>
      <c r="N251" s="35">
        <f t="shared" si="59"/>
        <v>0</v>
      </c>
      <c r="O251" s="36">
        <v>0</v>
      </c>
      <c r="P251" s="32"/>
      <c r="Q251" s="325">
        <f>'AVT101'!BI44</f>
        <v>0</v>
      </c>
      <c r="R251" s="32"/>
      <c r="S251" s="325">
        <f>'AVT139'!BI44</f>
        <v>0</v>
      </c>
      <c r="T251" s="32"/>
      <c r="U251" s="325">
        <f>'AVT187'!BI44</f>
        <v>0</v>
      </c>
      <c r="V251" s="32"/>
      <c r="W251" s="32"/>
      <c r="X251" s="32"/>
      <c r="Y251" s="32"/>
      <c r="Z251" s="32"/>
      <c r="AA251" s="325">
        <f>'AVT101(vn-A)'!BI44</f>
        <v>0</v>
      </c>
      <c r="AB251" s="32"/>
      <c r="AC251" s="32"/>
      <c r="AD251" s="32"/>
      <c r="AE251" s="325">
        <f>'AVT187(vn-A)'!BI44</f>
        <v>0</v>
      </c>
      <c r="AF251" s="32"/>
      <c r="AG251" s="32"/>
      <c r="AH251" s="32"/>
      <c r="AI251" s="325">
        <f>'AVT187(vn-S)'!BI44</f>
        <v>0</v>
      </c>
      <c r="AJ251" s="32"/>
      <c r="AK251" s="32"/>
      <c r="AL251" s="32"/>
      <c r="AM251" s="32"/>
      <c r="AN251" s="32"/>
      <c r="AO251" s="325">
        <f>'AVT-celny-101+187'!BI57</f>
        <v>0</v>
      </c>
      <c r="AP251" s="32"/>
      <c r="AQ251" s="32"/>
      <c r="AR251" s="32"/>
      <c r="AS251" s="325">
        <f>'AVT-celny-2x187'!BI37</f>
        <v>0</v>
      </c>
      <c r="AT251" s="32"/>
      <c r="AU251" s="32"/>
      <c r="AV251" s="32"/>
      <c r="AW251" s="32"/>
      <c r="AX251" s="32"/>
      <c r="AY251" s="32"/>
      <c r="AZ251" s="32"/>
      <c r="BA251" s="32"/>
      <c r="BB251" s="32"/>
      <c r="BC251" s="32"/>
      <c r="BD251" s="32"/>
      <c r="BE251" s="32"/>
      <c r="BF251" s="32"/>
      <c r="BG251" s="32"/>
      <c r="BH251" s="32"/>
      <c r="BI251" s="32"/>
      <c r="BJ251" s="32"/>
      <c r="BK251" s="32"/>
      <c r="BL251" s="32"/>
      <c r="BM251" s="32"/>
      <c r="BN251" s="32"/>
      <c r="BO251" s="165"/>
      <c r="BP251" s="165"/>
      <c r="BQ251" s="165"/>
      <c r="BR251" s="165"/>
      <c r="BS251" s="165"/>
      <c r="BT251" s="165"/>
      <c r="BU251" s="165"/>
      <c r="BV251" s="55"/>
      <c r="BW251" s="160"/>
      <c r="BX251" s="32"/>
      <c r="BY251" s="24"/>
      <c r="BZ251" s="24"/>
      <c r="CA251" s="24"/>
      <c r="CB251" s="24"/>
      <c r="CC251" s="24"/>
      <c r="CD251" s="24"/>
      <c r="CE251" s="24"/>
    </row>
    <row r="252" spans="1:83" ht="15" customHeight="1">
      <c r="A252" s="4"/>
      <c r="B252" s="318">
        <f>CENY!B628</f>
        <v>9318170</v>
      </c>
      <c r="C252" s="43" t="str">
        <f>VLOOKUP(B252,CENY!$B$11:$G$1054,2,FALSE)</f>
        <v>Actro You(L) 270/SiSy 40kg; EB21; pravý</v>
      </c>
      <c r="D252" s="353">
        <f>VLOOKUP(B252,CENY!$B$11:$G$1054,3,FALSE)</f>
        <v>10</v>
      </c>
      <c r="E252" s="56" t="str">
        <f>IF(VLOOKUP(B252,CENY!$B$11:$G$1054,4,FALSE)=0,"",VLOOKUP(B252,CENY!$B$11:$G$1054,4,FALSE))</f>
        <v/>
      </c>
      <c r="F252" s="40" t="str">
        <f t="shared" si="58"/>
        <v/>
      </c>
      <c r="G252" s="52">
        <f>VLOOKUP(B252,CENY!$B$11:$M$1054,12,FALSE)</f>
        <v>298.88173999999998</v>
      </c>
      <c r="H252" s="54" t="str">
        <f t="shared" si="55"/>
        <v xml:space="preserve"> CZK</v>
      </c>
      <c r="I252" s="41" t="str">
        <f t="shared" si="56"/>
        <v/>
      </c>
      <c r="J252" s="122"/>
      <c r="K252" s="42" t="str">
        <f>VLOOKUP(B252,CENY!$B$11:$M$1054,8,FALSE)</f>
        <v xml:space="preserve"> </v>
      </c>
      <c r="L252" s="42" t="str">
        <f>VLOOKUP(B252,CENY!$B$11:$M$1054,9,FALSE)</f>
        <v>397776</v>
      </c>
      <c r="M252" s="32"/>
      <c r="N252" s="35">
        <f t="shared" si="59"/>
        <v>0</v>
      </c>
      <c r="O252" s="36">
        <v>0</v>
      </c>
      <c r="P252" s="32"/>
      <c r="Q252" s="325">
        <f>'AVT101'!BI45</f>
        <v>0</v>
      </c>
      <c r="R252" s="32"/>
      <c r="S252" s="325">
        <f>'AVT139'!BI45</f>
        <v>0</v>
      </c>
      <c r="T252" s="32"/>
      <c r="U252" s="325">
        <f>'AVT187'!BI45</f>
        <v>0</v>
      </c>
      <c r="V252" s="32"/>
      <c r="W252" s="32"/>
      <c r="X252" s="32"/>
      <c r="Y252" s="32"/>
      <c r="Z252" s="32"/>
      <c r="AA252" s="325">
        <f>'AVT101(vn-A)'!BI45</f>
        <v>0</v>
      </c>
      <c r="AB252" s="32"/>
      <c r="AC252" s="32"/>
      <c r="AD252" s="32"/>
      <c r="AE252" s="325">
        <f>'AVT187(vn-A)'!BI45</f>
        <v>0</v>
      </c>
      <c r="AF252" s="32"/>
      <c r="AG252" s="32"/>
      <c r="AH252" s="32"/>
      <c r="AI252" s="325">
        <f>'AVT187(vn-S)'!BI45</f>
        <v>0</v>
      </c>
      <c r="AJ252" s="32"/>
      <c r="AK252" s="32"/>
      <c r="AL252" s="32"/>
      <c r="AM252" s="32"/>
      <c r="AN252" s="32"/>
      <c r="AO252" s="325">
        <f>'AVT-celny-101+187'!BI58</f>
        <v>0</v>
      </c>
      <c r="AP252" s="32"/>
      <c r="AQ252" s="32"/>
      <c r="AR252" s="32"/>
      <c r="AS252" s="325">
        <f>'AVT-celny-2x187'!BI38</f>
        <v>0</v>
      </c>
      <c r="AT252" s="32"/>
      <c r="AU252" s="32"/>
      <c r="AV252" s="32"/>
      <c r="AW252" s="32"/>
      <c r="AX252" s="32"/>
      <c r="AY252" s="32"/>
      <c r="AZ252" s="32"/>
      <c r="BA252" s="32"/>
      <c r="BB252" s="32"/>
      <c r="BC252" s="32"/>
      <c r="BD252" s="32"/>
      <c r="BE252" s="32"/>
      <c r="BF252" s="32"/>
      <c r="BG252" s="32"/>
      <c r="BH252" s="32"/>
      <c r="BI252" s="32"/>
      <c r="BJ252" s="32"/>
      <c r="BK252" s="32"/>
      <c r="BL252" s="32"/>
      <c r="BM252" s="32"/>
      <c r="BN252" s="32"/>
      <c r="BO252" s="165"/>
      <c r="BP252" s="165"/>
      <c r="BQ252" s="165"/>
      <c r="BR252" s="165"/>
      <c r="BS252" s="165"/>
      <c r="BT252" s="165"/>
      <c r="BU252" s="165"/>
      <c r="BV252" s="55"/>
      <c r="BW252" s="160"/>
      <c r="BX252" s="32"/>
      <c r="BY252" s="24"/>
      <c r="BZ252" s="24"/>
      <c r="CA252" s="24"/>
      <c r="CB252" s="24"/>
      <c r="CC252" s="24"/>
      <c r="CD252" s="24"/>
      <c r="CE252" s="24"/>
    </row>
    <row r="253" spans="1:83" ht="15" customHeight="1">
      <c r="A253" s="4"/>
      <c r="B253" s="318">
        <f>CENY!B629</f>
        <v>9318171</v>
      </c>
      <c r="C253" s="43" t="str">
        <f>VLOOKUP(B253,CENY!$B$11:$G$1054,2,FALSE)</f>
        <v>Actro You(L) 300/SiSy 40kg; EB21; ľavý</v>
      </c>
      <c r="D253" s="353">
        <f>VLOOKUP(B253,CENY!$B$11:$G$1054,3,FALSE)</f>
        <v>10</v>
      </c>
      <c r="E253" s="56" t="str">
        <f>IF(VLOOKUP(B253,CENY!$B$11:$G$1054,4,FALSE)=0,"",VLOOKUP(B253,CENY!$B$11:$G$1054,4,FALSE))</f>
        <v/>
      </c>
      <c r="F253" s="40" t="str">
        <f t="shared" si="58"/>
        <v/>
      </c>
      <c r="G253" s="52">
        <f>VLOOKUP(B253,CENY!$B$11:$M$1054,12,FALSE)</f>
        <v>298.88173999999998</v>
      </c>
      <c r="H253" s="54" t="str">
        <f t="shared" si="55"/>
        <v xml:space="preserve"> CZK</v>
      </c>
      <c r="I253" s="41" t="str">
        <f t="shared" si="56"/>
        <v/>
      </c>
      <c r="J253" s="122"/>
      <c r="K253" s="42" t="str">
        <f>VLOOKUP(B253,CENY!$B$11:$M$1054,8,FALSE)</f>
        <v xml:space="preserve"> </v>
      </c>
      <c r="L253" s="42" t="str">
        <f>VLOOKUP(B253,CENY!$B$11:$M$1054,9,FALSE)</f>
        <v>397777</v>
      </c>
      <c r="M253" s="32"/>
      <c r="N253" s="35">
        <f t="shared" si="59"/>
        <v>0</v>
      </c>
      <c r="O253" s="36">
        <v>0</v>
      </c>
      <c r="P253" s="32"/>
      <c r="Q253" s="325">
        <f>'AVT101'!BI46</f>
        <v>0</v>
      </c>
      <c r="R253" s="32"/>
      <c r="S253" s="325">
        <f>'AVT139'!BI46</f>
        <v>0</v>
      </c>
      <c r="T253" s="32"/>
      <c r="U253" s="325">
        <f>'AVT187'!BI46</f>
        <v>0</v>
      </c>
      <c r="V253" s="32"/>
      <c r="W253" s="32"/>
      <c r="X253" s="32"/>
      <c r="Y253" s="32"/>
      <c r="Z253" s="32"/>
      <c r="AA253" s="325">
        <f>'AVT101(vn-A)'!BI46</f>
        <v>0</v>
      </c>
      <c r="AB253" s="32"/>
      <c r="AC253" s="325">
        <f>'AVT139(vn-A)'!BI46</f>
        <v>0</v>
      </c>
      <c r="AD253" s="32"/>
      <c r="AE253" s="325">
        <f>'AVT187(vn-A)'!BI46</f>
        <v>0</v>
      </c>
      <c r="AF253" s="32"/>
      <c r="AG253" s="32"/>
      <c r="AH253" s="32"/>
      <c r="AI253" s="325">
        <f>'AVT187(vn-S)'!BI46</f>
        <v>0</v>
      </c>
      <c r="AJ253" s="32"/>
      <c r="AK253" s="32"/>
      <c r="AL253" s="32"/>
      <c r="AM253" s="32"/>
      <c r="AN253" s="32"/>
      <c r="AO253" s="325">
        <f>'AVT-celny-101+187'!BI59</f>
        <v>0</v>
      </c>
      <c r="AP253" s="32"/>
      <c r="AQ253" s="325">
        <f>'AVT-celny-139+187'!BI47</f>
        <v>0</v>
      </c>
      <c r="AR253" s="32"/>
      <c r="AS253" s="325">
        <f>'AVT-celny-2x187'!BI39</f>
        <v>0</v>
      </c>
      <c r="AT253" s="32"/>
      <c r="AU253" s="32"/>
      <c r="AV253" s="32"/>
      <c r="AW253" s="32"/>
      <c r="AX253" s="32"/>
      <c r="AY253" s="32"/>
      <c r="AZ253" s="32"/>
      <c r="BA253" s="32"/>
      <c r="BB253" s="32"/>
      <c r="BC253" s="32"/>
      <c r="BD253" s="32"/>
      <c r="BE253" s="32"/>
      <c r="BF253" s="32"/>
      <c r="BG253" s="32"/>
      <c r="BH253" s="32"/>
      <c r="BI253" s="32"/>
      <c r="BJ253" s="32"/>
      <c r="BK253" s="32"/>
      <c r="BL253" s="32"/>
      <c r="BM253" s="32"/>
      <c r="BN253" s="32"/>
      <c r="BO253" s="165"/>
      <c r="BP253" s="165"/>
      <c r="BQ253" s="165"/>
      <c r="BR253" s="165"/>
      <c r="BS253" s="165"/>
      <c r="BT253" s="165"/>
      <c r="BU253" s="165"/>
      <c r="BV253" s="55"/>
      <c r="BW253" s="160"/>
      <c r="BX253" s="32"/>
      <c r="BY253" s="24"/>
      <c r="BZ253" s="24"/>
      <c r="CA253" s="24"/>
      <c r="CB253" s="24"/>
      <c r="CC253" s="24"/>
      <c r="CD253" s="24"/>
      <c r="CE253" s="24"/>
    </row>
    <row r="254" spans="1:83" ht="15" customHeight="1">
      <c r="A254" s="4"/>
      <c r="B254" s="318">
        <f>CENY!B630</f>
        <v>9318172</v>
      </c>
      <c r="C254" s="43" t="str">
        <f>VLOOKUP(B254,CENY!$B$11:$G$1054,2,FALSE)</f>
        <v>Actro You(L) 300/SiSy 40kg; EB21; pravý</v>
      </c>
      <c r="D254" s="353">
        <f>VLOOKUP(B254,CENY!$B$11:$G$1054,3,FALSE)</f>
        <v>10</v>
      </c>
      <c r="E254" s="56" t="str">
        <f>IF(VLOOKUP(B254,CENY!$B$11:$G$1054,4,FALSE)=0,"",VLOOKUP(B254,CENY!$B$11:$G$1054,4,FALSE))</f>
        <v/>
      </c>
      <c r="F254" s="40" t="str">
        <f t="shared" si="58"/>
        <v/>
      </c>
      <c r="G254" s="52">
        <f>VLOOKUP(B254,CENY!$B$11:$M$1054,12,FALSE)</f>
        <v>298.88173999999998</v>
      </c>
      <c r="H254" s="54" t="str">
        <f t="shared" si="55"/>
        <v xml:space="preserve"> CZK</v>
      </c>
      <c r="I254" s="41" t="str">
        <f t="shared" si="56"/>
        <v/>
      </c>
      <c r="J254" s="122"/>
      <c r="K254" s="42" t="str">
        <f>VLOOKUP(B254,CENY!$B$11:$M$1054,8,FALSE)</f>
        <v xml:space="preserve"> </v>
      </c>
      <c r="L254" s="42" t="str">
        <f>VLOOKUP(B254,CENY!$B$11:$M$1054,9,FALSE)</f>
        <v>397778</v>
      </c>
      <c r="M254" s="32"/>
      <c r="N254" s="35">
        <f t="shared" si="59"/>
        <v>0</v>
      </c>
      <c r="O254" s="36">
        <v>0</v>
      </c>
      <c r="P254" s="32"/>
      <c r="Q254" s="325">
        <f>'AVT101'!BI47</f>
        <v>0</v>
      </c>
      <c r="R254" s="32"/>
      <c r="S254" s="325">
        <f>'AVT139'!BI47</f>
        <v>0</v>
      </c>
      <c r="T254" s="32"/>
      <c r="U254" s="325">
        <f>'AVT187'!BI47</f>
        <v>0</v>
      </c>
      <c r="V254" s="32"/>
      <c r="W254" s="32"/>
      <c r="X254" s="32"/>
      <c r="Y254" s="32"/>
      <c r="Z254" s="32"/>
      <c r="AA254" s="325">
        <f>'AVT101(vn-A)'!BI47</f>
        <v>0</v>
      </c>
      <c r="AB254" s="32"/>
      <c r="AC254" s="325">
        <f>'AVT139(vn-A)'!BI47</f>
        <v>0</v>
      </c>
      <c r="AD254" s="32"/>
      <c r="AE254" s="325">
        <f>'AVT187(vn-A)'!BI47</f>
        <v>0</v>
      </c>
      <c r="AF254" s="32"/>
      <c r="AG254" s="32"/>
      <c r="AH254" s="32"/>
      <c r="AI254" s="325">
        <f>'AVT187(vn-S)'!BI47</f>
        <v>0</v>
      </c>
      <c r="AJ254" s="32"/>
      <c r="AK254" s="32"/>
      <c r="AL254" s="32"/>
      <c r="AM254" s="32"/>
      <c r="AN254" s="32"/>
      <c r="AO254" s="325">
        <f>'AVT-celny-101+187'!BI60</f>
        <v>0</v>
      </c>
      <c r="AP254" s="32"/>
      <c r="AQ254" s="325">
        <f>'AVT-celny-139+187'!BI48</f>
        <v>0</v>
      </c>
      <c r="AR254" s="32"/>
      <c r="AS254" s="325">
        <f>'AVT-celny-2x187'!BI40</f>
        <v>0</v>
      </c>
      <c r="AT254" s="32"/>
      <c r="AU254" s="32"/>
      <c r="AV254" s="32"/>
      <c r="AW254" s="32"/>
      <c r="AX254" s="32"/>
      <c r="AY254" s="32"/>
      <c r="AZ254" s="32"/>
      <c r="BA254" s="32"/>
      <c r="BB254" s="32"/>
      <c r="BC254" s="32"/>
      <c r="BD254" s="32"/>
      <c r="BE254" s="32"/>
      <c r="BF254" s="32"/>
      <c r="BG254" s="32"/>
      <c r="BH254" s="32"/>
      <c r="BI254" s="32"/>
      <c r="BJ254" s="32"/>
      <c r="BK254" s="32"/>
      <c r="BL254" s="32"/>
      <c r="BM254" s="32"/>
      <c r="BN254" s="32"/>
      <c r="BO254" s="165"/>
      <c r="BP254" s="165"/>
      <c r="BQ254" s="165"/>
      <c r="BR254" s="165"/>
      <c r="BS254" s="165"/>
      <c r="BT254" s="165"/>
      <c r="BU254" s="165"/>
      <c r="BV254" s="55"/>
      <c r="BW254" s="160"/>
      <c r="BX254" s="32"/>
      <c r="BY254" s="24"/>
      <c r="BZ254" s="24"/>
      <c r="CA254" s="24"/>
      <c r="CB254" s="24"/>
      <c r="CC254" s="24"/>
      <c r="CD254" s="24"/>
      <c r="CE254" s="24"/>
    </row>
    <row r="255" spans="1:83" ht="15" customHeight="1">
      <c r="A255" s="4"/>
      <c r="B255" s="318">
        <f>CENY!B631</f>
        <v>9318173</v>
      </c>
      <c r="C255" s="43" t="str">
        <f>VLOOKUP(B255,CENY!$B$11:$G$1054,2,FALSE)</f>
        <v>Actro You(L) 350/SiSy 40kg; EB21; ľavý</v>
      </c>
      <c r="D255" s="353">
        <f>VLOOKUP(B255,CENY!$B$11:$G$1054,3,FALSE)</f>
        <v>10</v>
      </c>
      <c r="E255" s="56" t="str">
        <f>IF(VLOOKUP(B255,CENY!$B$11:$G$1054,4,FALSE)=0,"",VLOOKUP(B255,CENY!$B$11:$G$1054,4,FALSE))</f>
        <v/>
      </c>
      <c r="F255" s="40" t="str">
        <f t="shared" si="58"/>
        <v/>
      </c>
      <c r="G255" s="52">
        <f>VLOOKUP(B255,CENY!$B$11:$M$1054,12,FALSE)</f>
        <v>298.88173999999998</v>
      </c>
      <c r="H255" s="54" t="str">
        <f t="shared" si="55"/>
        <v xml:space="preserve"> CZK</v>
      </c>
      <c r="I255" s="41" t="str">
        <f t="shared" si="56"/>
        <v/>
      </c>
      <c r="J255" s="122"/>
      <c r="K255" s="42" t="str">
        <f>VLOOKUP(B255,CENY!$B$11:$M$1054,8,FALSE)</f>
        <v xml:space="preserve"> </v>
      </c>
      <c r="L255" s="42" t="str">
        <f>VLOOKUP(B255,CENY!$B$11:$M$1054,9,FALSE)</f>
        <v>397779</v>
      </c>
      <c r="M255" s="32"/>
      <c r="N255" s="35">
        <f t="shared" si="59"/>
        <v>0</v>
      </c>
      <c r="O255" s="36">
        <v>0</v>
      </c>
      <c r="P255" s="32"/>
      <c r="Q255" s="325">
        <f>'AVT101'!BI48</f>
        <v>0</v>
      </c>
      <c r="R255" s="32"/>
      <c r="S255" s="325">
        <f>'AVT139'!BI48</f>
        <v>0</v>
      </c>
      <c r="T255" s="32"/>
      <c r="U255" s="325">
        <f>'AVT187'!BI48</f>
        <v>0</v>
      </c>
      <c r="V255" s="32"/>
      <c r="W255" s="325">
        <f>'AVT251'!BI35</f>
        <v>0</v>
      </c>
      <c r="X255" s="32"/>
      <c r="Y255" s="325">
        <f>AVT187In!BI34</f>
        <v>0</v>
      </c>
      <c r="Z255" s="32"/>
      <c r="AA255" s="325">
        <f>'AVT101(vn-A)'!BI48</f>
        <v>0</v>
      </c>
      <c r="AB255" s="32"/>
      <c r="AC255" s="325">
        <f>'AVT139(vn-A)'!BI48</f>
        <v>0</v>
      </c>
      <c r="AD255" s="32"/>
      <c r="AE255" s="325">
        <f>'AVT187(vn-A)'!BI48</f>
        <v>0</v>
      </c>
      <c r="AF255" s="32"/>
      <c r="AG255" s="325">
        <f>'AVT187In(vn-A)'!BI34</f>
        <v>0</v>
      </c>
      <c r="AH255" s="32"/>
      <c r="AI255" s="325">
        <f>'AVT187(vn-S)'!BI48</f>
        <v>0</v>
      </c>
      <c r="AJ255" s="32"/>
      <c r="AK255" s="325">
        <f>'AVT187In(vn-S)'!BI34</f>
        <v>0</v>
      </c>
      <c r="AL255" s="32"/>
      <c r="AM255" s="32"/>
      <c r="AN255" s="32"/>
      <c r="AO255" s="325">
        <f>'AVT-celny-101+187'!BI61</f>
        <v>0</v>
      </c>
      <c r="AP255" s="32"/>
      <c r="AQ255" s="325">
        <f>'AVT-celny-139+187'!BI49</f>
        <v>0</v>
      </c>
      <c r="AR255" s="32"/>
      <c r="AS255" s="325">
        <f>'AVT-celny-2x187'!BI41</f>
        <v>0</v>
      </c>
      <c r="AT255" s="32"/>
      <c r="AU255" s="325">
        <f>'AVT-celny-2x187In'!BI31</f>
        <v>0</v>
      </c>
      <c r="AV255" s="32"/>
      <c r="AW255" s="32"/>
      <c r="AX255" s="32"/>
      <c r="AY255" s="32"/>
      <c r="AZ255" s="32"/>
      <c r="BA255" s="32"/>
      <c r="BB255" s="32"/>
      <c r="BC255" s="32"/>
      <c r="BD255" s="32"/>
      <c r="BE255" s="32"/>
      <c r="BF255" s="32"/>
      <c r="BG255" s="32"/>
      <c r="BH255" s="32"/>
      <c r="BI255" s="32"/>
      <c r="BJ255" s="32"/>
      <c r="BK255" s="32"/>
      <c r="BL255" s="32"/>
      <c r="BM255" s="32"/>
      <c r="BN255" s="32"/>
      <c r="BO255" s="165"/>
      <c r="BP255" s="165"/>
      <c r="BQ255" s="165"/>
      <c r="BR255" s="165"/>
      <c r="BS255" s="165"/>
      <c r="BT255" s="165"/>
      <c r="BU255" s="165"/>
      <c r="BV255" s="55"/>
      <c r="BW255" s="160"/>
      <c r="BX255" s="32"/>
      <c r="BY255" s="24"/>
      <c r="BZ255" s="24"/>
      <c r="CA255" s="24"/>
      <c r="CB255" s="24"/>
      <c r="CC255" s="24"/>
      <c r="CD255" s="24"/>
      <c r="CE255" s="24"/>
    </row>
    <row r="256" spans="1:83" ht="15" customHeight="1">
      <c r="A256" s="4"/>
      <c r="B256" s="318">
        <f>CENY!B632</f>
        <v>9318174</v>
      </c>
      <c r="C256" s="43" t="str">
        <f>VLOOKUP(B256,CENY!$B$11:$G$1054,2,FALSE)</f>
        <v>Actro You(L) 350/SiSy 40kg; EB21; pravý</v>
      </c>
      <c r="D256" s="353">
        <f>VLOOKUP(B256,CENY!$B$11:$G$1054,3,FALSE)</f>
        <v>10</v>
      </c>
      <c r="E256" s="56" t="str">
        <f>IF(VLOOKUP(B256,CENY!$B$11:$G$1054,4,FALSE)=0,"",VLOOKUP(B256,CENY!$B$11:$G$1054,4,FALSE))</f>
        <v/>
      </c>
      <c r="F256" s="40" t="str">
        <f t="shared" si="58"/>
        <v/>
      </c>
      <c r="G256" s="52">
        <f>VLOOKUP(B256,CENY!$B$11:$M$1054,12,FALSE)</f>
        <v>298.88173999999998</v>
      </c>
      <c r="H256" s="54" t="str">
        <f t="shared" si="55"/>
        <v xml:space="preserve"> CZK</v>
      </c>
      <c r="I256" s="41" t="str">
        <f t="shared" si="56"/>
        <v/>
      </c>
      <c r="J256" s="122"/>
      <c r="K256" s="42" t="str">
        <f>VLOOKUP(B256,CENY!$B$11:$M$1054,8,FALSE)</f>
        <v xml:space="preserve"> </v>
      </c>
      <c r="L256" s="42" t="str">
        <f>VLOOKUP(B256,CENY!$B$11:$M$1054,9,FALSE)</f>
        <v>397780</v>
      </c>
      <c r="M256" s="32"/>
      <c r="N256" s="35">
        <f t="shared" si="59"/>
        <v>0</v>
      </c>
      <c r="O256" s="36">
        <v>0</v>
      </c>
      <c r="P256" s="32"/>
      <c r="Q256" s="325">
        <f>'AVT101'!BI49</f>
        <v>0</v>
      </c>
      <c r="R256" s="32"/>
      <c r="S256" s="325">
        <f>'AVT139'!BI49</f>
        <v>0</v>
      </c>
      <c r="T256" s="32"/>
      <c r="U256" s="325">
        <f>'AVT187'!BI49</f>
        <v>0</v>
      </c>
      <c r="V256" s="32"/>
      <c r="W256" s="325">
        <f>'AVT251'!BI36</f>
        <v>0</v>
      </c>
      <c r="X256" s="32"/>
      <c r="Y256" s="325">
        <f>AVT187In!BI35</f>
        <v>0</v>
      </c>
      <c r="Z256" s="32"/>
      <c r="AA256" s="325">
        <f>'AVT101(vn-A)'!BI49</f>
        <v>0</v>
      </c>
      <c r="AB256" s="32"/>
      <c r="AC256" s="325">
        <f>'AVT139(vn-A)'!BI49</f>
        <v>0</v>
      </c>
      <c r="AD256" s="32"/>
      <c r="AE256" s="325">
        <f>'AVT187(vn-A)'!BI49</f>
        <v>0</v>
      </c>
      <c r="AF256" s="32"/>
      <c r="AG256" s="325">
        <f>'AVT187In(vn-A)'!BI35</f>
        <v>0</v>
      </c>
      <c r="AH256" s="32"/>
      <c r="AI256" s="325">
        <f>'AVT187(vn-S)'!BI49</f>
        <v>0</v>
      </c>
      <c r="AJ256" s="32"/>
      <c r="AK256" s="325">
        <f>'AVT187In(vn-S)'!BI35</f>
        <v>0</v>
      </c>
      <c r="AL256" s="32"/>
      <c r="AM256" s="32"/>
      <c r="AN256" s="32"/>
      <c r="AO256" s="325">
        <f>'AVT-celny-101+187'!BI62</f>
        <v>0</v>
      </c>
      <c r="AP256" s="32"/>
      <c r="AQ256" s="325">
        <f>'AVT-celny-139+187'!BI50</f>
        <v>0</v>
      </c>
      <c r="AR256" s="32"/>
      <c r="AS256" s="325">
        <f>'AVT-celny-2x187'!BI42</f>
        <v>0</v>
      </c>
      <c r="AT256" s="32"/>
      <c r="AU256" s="325">
        <f>'AVT-celny-2x187In'!BI32</f>
        <v>0</v>
      </c>
      <c r="AV256" s="32"/>
      <c r="AW256" s="32"/>
      <c r="AX256" s="32"/>
      <c r="AY256" s="32"/>
      <c r="AZ256" s="32"/>
      <c r="BA256" s="32"/>
      <c r="BB256" s="32"/>
      <c r="BC256" s="32"/>
      <c r="BD256" s="32"/>
      <c r="BE256" s="32"/>
      <c r="BF256" s="32"/>
      <c r="BG256" s="32"/>
      <c r="BH256" s="32"/>
      <c r="BI256" s="32"/>
      <c r="BJ256" s="32"/>
      <c r="BK256" s="32"/>
      <c r="BL256" s="32"/>
      <c r="BM256" s="32"/>
      <c r="BN256" s="32"/>
      <c r="BO256" s="165"/>
      <c r="BP256" s="165"/>
      <c r="BQ256" s="165"/>
      <c r="BR256" s="165"/>
      <c r="BS256" s="165"/>
      <c r="BT256" s="165"/>
      <c r="BU256" s="165"/>
      <c r="BV256" s="55"/>
      <c r="BW256" s="160"/>
      <c r="BX256" s="32"/>
      <c r="BY256" s="24"/>
      <c r="BZ256" s="24"/>
      <c r="CA256" s="24"/>
      <c r="CB256" s="24"/>
      <c r="CC256" s="24"/>
      <c r="CD256" s="24"/>
      <c r="CE256" s="24"/>
    </row>
    <row r="257" spans="1:83" ht="15" customHeight="1">
      <c r="A257" s="4"/>
      <c r="B257" s="318">
        <f>CENY!B633</f>
        <v>9318175</v>
      </c>
      <c r="C257" s="43" t="str">
        <f>VLOOKUP(B257,CENY!$B$11:$G$1054,2,FALSE)</f>
        <v>Actro You(L) 400/SiSy 40kg; EB21; ľavý</v>
      </c>
      <c r="D257" s="353">
        <f>VLOOKUP(B257,CENY!$B$11:$G$1054,3,FALSE)</f>
        <v>10</v>
      </c>
      <c r="E257" s="56" t="str">
        <f>IF(VLOOKUP(B257,CENY!$B$11:$G$1054,4,FALSE)=0,"",VLOOKUP(B257,CENY!$B$11:$G$1054,4,FALSE))</f>
        <v/>
      </c>
      <c r="F257" s="40" t="str">
        <f t="shared" si="58"/>
        <v/>
      </c>
      <c r="G257" s="52">
        <f>VLOOKUP(B257,CENY!$B$11:$M$1054,12,FALSE)</f>
        <v>302.69770999999997</v>
      </c>
      <c r="H257" s="54" t="str">
        <f t="shared" si="55"/>
        <v xml:space="preserve"> CZK</v>
      </c>
      <c r="I257" s="41" t="str">
        <f t="shared" si="56"/>
        <v/>
      </c>
      <c r="J257" s="122"/>
      <c r="K257" s="42" t="str">
        <f>VLOOKUP(B257,CENY!$B$11:$M$1054,8,FALSE)</f>
        <v xml:space="preserve"> </v>
      </c>
      <c r="L257" s="42" t="str">
        <f>VLOOKUP(B257,CENY!$B$11:$M$1054,9,FALSE)</f>
        <v>397781</v>
      </c>
      <c r="M257" s="32"/>
      <c r="N257" s="35">
        <f t="shared" si="59"/>
        <v>0</v>
      </c>
      <c r="O257" s="36">
        <v>0</v>
      </c>
      <c r="P257" s="32"/>
      <c r="Q257" s="325">
        <f>'AVT101'!BI50</f>
        <v>0</v>
      </c>
      <c r="R257" s="32"/>
      <c r="S257" s="325">
        <f>'AVT139'!BI50</f>
        <v>0</v>
      </c>
      <c r="T257" s="32"/>
      <c r="U257" s="325">
        <f>'AVT187'!BI50</f>
        <v>0</v>
      </c>
      <c r="V257" s="32"/>
      <c r="W257" s="325">
        <f>'AVT251'!BI37</f>
        <v>0</v>
      </c>
      <c r="X257" s="32"/>
      <c r="Y257" s="325">
        <f>AVT187In!BI36</f>
        <v>0</v>
      </c>
      <c r="Z257" s="32"/>
      <c r="AA257" s="325">
        <f>'AVT101(vn-A)'!BI50</f>
        <v>0</v>
      </c>
      <c r="AB257" s="32"/>
      <c r="AC257" s="325">
        <f>'AVT139(vn-A)'!BI50</f>
        <v>0</v>
      </c>
      <c r="AD257" s="32"/>
      <c r="AE257" s="325">
        <f>'AVT187(vn-A)'!BI50</f>
        <v>0</v>
      </c>
      <c r="AF257" s="32"/>
      <c r="AG257" s="325">
        <f>'AVT187In(vn-A)'!BI36</f>
        <v>0</v>
      </c>
      <c r="AH257" s="32"/>
      <c r="AI257" s="325">
        <f>'AVT187(vn-S)'!BI50</f>
        <v>0</v>
      </c>
      <c r="AJ257" s="32"/>
      <c r="AK257" s="325">
        <f>'AVT187In(vn-S)'!BI36</f>
        <v>0</v>
      </c>
      <c r="AL257" s="32"/>
      <c r="AM257" s="325">
        <f>'AVT77'!BI22</f>
        <v>0</v>
      </c>
      <c r="AN257" s="32"/>
      <c r="AO257" s="325">
        <f>'AVT-celny-101+187'!BI63</f>
        <v>0</v>
      </c>
      <c r="AP257" s="32"/>
      <c r="AQ257" s="325">
        <f>'AVT-celny-139+187'!BI51</f>
        <v>0</v>
      </c>
      <c r="AR257" s="32"/>
      <c r="AS257" s="325">
        <f>'AVT-celny-2x187'!BI43</f>
        <v>0</v>
      </c>
      <c r="AT257" s="32"/>
      <c r="AU257" s="325">
        <f>'AVT-celny-2x187In'!BI33</f>
        <v>0</v>
      </c>
      <c r="AV257" s="32"/>
      <c r="AW257" s="32"/>
      <c r="AX257" s="32"/>
      <c r="AY257" s="32"/>
      <c r="AZ257" s="32"/>
      <c r="BA257" s="32"/>
      <c r="BB257" s="32"/>
      <c r="BC257" s="32"/>
      <c r="BD257" s="32"/>
      <c r="BE257" s="32"/>
      <c r="BF257" s="32"/>
      <c r="BG257" s="32"/>
      <c r="BH257" s="32"/>
      <c r="BI257" s="32"/>
      <c r="BJ257" s="32"/>
      <c r="BK257" s="32"/>
      <c r="BL257" s="32"/>
      <c r="BM257" s="32"/>
      <c r="BN257" s="32"/>
      <c r="BO257" s="165"/>
      <c r="BP257" s="165"/>
      <c r="BQ257" s="165"/>
      <c r="BR257" s="165"/>
      <c r="BS257" s="165"/>
      <c r="BT257" s="165"/>
      <c r="BU257" s="165"/>
      <c r="BV257" s="55"/>
      <c r="BW257" s="160"/>
      <c r="BX257" s="32"/>
      <c r="BY257" s="24"/>
      <c r="BZ257" s="24"/>
      <c r="CA257" s="24"/>
      <c r="CB257" s="24"/>
      <c r="CC257" s="24"/>
      <c r="CD257" s="24"/>
      <c r="CE257" s="24"/>
    </row>
    <row r="258" spans="1:83" ht="15" customHeight="1">
      <c r="A258" s="4"/>
      <c r="B258" s="318">
        <f>CENY!B634</f>
        <v>9318176</v>
      </c>
      <c r="C258" s="43" t="str">
        <f>VLOOKUP(B258,CENY!$B$11:$G$1054,2,FALSE)</f>
        <v>Actro You(L) 400/SiSy 40kg; EB21; pravý</v>
      </c>
      <c r="D258" s="353">
        <f>VLOOKUP(B258,CENY!$B$11:$G$1054,3,FALSE)</f>
        <v>10</v>
      </c>
      <c r="E258" s="56" t="str">
        <f>IF(VLOOKUP(B258,CENY!$B$11:$G$1054,4,FALSE)=0,"",VLOOKUP(B258,CENY!$B$11:$G$1054,4,FALSE))</f>
        <v/>
      </c>
      <c r="F258" s="40" t="str">
        <f t="shared" si="58"/>
        <v/>
      </c>
      <c r="G258" s="52">
        <f>VLOOKUP(B258,CENY!$B$11:$M$1054,12,FALSE)</f>
        <v>302.69770999999997</v>
      </c>
      <c r="H258" s="54" t="str">
        <f t="shared" si="55"/>
        <v xml:space="preserve"> CZK</v>
      </c>
      <c r="I258" s="41" t="str">
        <f t="shared" si="56"/>
        <v/>
      </c>
      <c r="J258" s="122"/>
      <c r="K258" s="42" t="str">
        <f>VLOOKUP(B258,CENY!$B$11:$M$1054,8,FALSE)</f>
        <v xml:space="preserve"> </v>
      </c>
      <c r="L258" s="42" t="str">
        <f>VLOOKUP(B258,CENY!$B$11:$M$1054,9,FALSE)</f>
        <v>397782</v>
      </c>
      <c r="M258" s="32"/>
      <c r="N258" s="35">
        <f t="shared" si="59"/>
        <v>0</v>
      </c>
      <c r="O258" s="36">
        <v>0</v>
      </c>
      <c r="P258" s="32"/>
      <c r="Q258" s="325">
        <f>'AVT101'!BI51</f>
        <v>0</v>
      </c>
      <c r="R258" s="32"/>
      <c r="S258" s="325">
        <f>'AVT139'!BI51</f>
        <v>0</v>
      </c>
      <c r="T258" s="32"/>
      <c r="U258" s="325">
        <f>'AVT187'!BI51</f>
        <v>0</v>
      </c>
      <c r="V258" s="32"/>
      <c r="W258" s="325">
        <f>'AVT251'!BI38</f>
        <v>0</v>
      </c>
      <c r="X258" s="32"/>
      <c r="Y258" s="325">
        <f>AVT187In!BI37</f>
        <v>0</v>
      </c>
      <c r="Z258" s="32"/>
      <c r="AA258" s="325">
        <f>'AVT101(vn-A)'!BI51</f>
        <v>0</v>
      </c>
      <c r="AB258" s="32"/>
      <c r="AC258" s="325">
        <f>'AVT139(vn-A)'!BI51</f>
        <v>0</v>
      </c>
      <c r="AD258" s="32"/>
      <c r="AE258" s="325">
        <f>'AVT187(vn-A)'!BI51</f>
        <v>0</v>
      </c>
      <c r="AF258" s="32"/>
      <c r="AG258" s="325">
        <f>'AVT187In(vn-A)'!BI37</f>
        <v>0</v>
      </c>
      <c r="AH258" s="32"/>
      <c r="AI258" s="325">
        <f>'AVT187(vn-S)'!BI51</f>
        <v>0</v>
      </c>
      <c r="AJ258" s="32"/>
      <c r="AK258" s="325">
        <f>'AVT187In(vn-S)'!BI37</f>
        <v>0</v>
      </c>
      <c r="AL258" s="32"/>
      <c r="AM258" s="325">
        <f>'AVT77'!BI23</f>
        <v>0</v>
      </c>
      <c r="AN258" s="32"/>
      <c r="AO258" s="325">
        <f>'AVT-celny-101+187'!BI64</f>
        <v>0</v>
      </c>
      <c r="AP258" s="32"/>
      <c r="AQ258" s="325">
        <f>'AVT-celny-139+187'!BI52</f>
        <v>0</v>
      </c>
      <c r="AR258" s="32"/>
      <c r="AS258" s="325">
        <f>'AVT-celny-2x187'!BI44</f>
        <v>0</v>
      </c>
      <c r="AT258" s="32"/>
      <c r="AU258" s="325">
        <f>'AVT-celny-2x187In'!BI34</f>
        <v>0</v>
      </c>
      <c r="AV258" s="32"/>
      <c r="AW258" s="32"/>
      <c r="AX258" s="32"/>
      <c r="AY258" s="32"/>
      <c r="AZ258" s="32"/>
      <c r="BA258" s="32"/>
      <c r="BB258" s="32"/>
      <c r="BC258" s="32"/>
      <c r="BD258" s="32"/>
      <c r="BE258" s="32"/>
      <c r="BF258" s="32"/>
      <c r="BG258" s="32"/>
      <c r="BH258" s="32"/>
      <c r="BI258" s="32"/>
      <c r="BJ258" s="32"/>
      <c r="BK258" s="32"/>
      <c r="BL258" s="32"/>
      <c r="BM258" s="32"/>
      <c r="BN258" s="32"/>
      <c r="BO258" s="165"/>
      <c r="BP258" s="165"/>
      <c r="BQ258" s="165"/>
      <c r="BR258" s="165"/>
      <c r="BS258" s="165"/>
      <c r="BT258" s="165"/>
      <c r="BU258" s="165"/>
      <c r="BV258" s="55"/>
      <c r="BW258" s="160"/>
      <c r="BX258" s="32"/>
      <c r="BY258" s="24"/>
      <c r="BZ258" s="24"/>
      <c r="CA258" s="24"/>
      <c r="CB258" s="24"/>
      <c r="CC258" s="24"/>
      <c r="CD258" s="24"/>
      <c r="CE258" s="24"/>
    </row>
    <row r="259" spans="1:83" ht="15" customHeight="1">
      <c r="A259" s="4"/>
      <c r="B259" s="318">
        <f>CENY!B635</f>
        <v>9318177</v>
      </c>
      <c r="C259" s="43" t="str">
        <f>VLOOKUP(B259,CENY!$B$11:$G$1054,2,FALSE)</f>
        <v>Actro You(L) 450/SiSy 40kg; EB21; ľavý</v>
      </c>
      <c r="D259" s="353">
        <f>VLOOKUP(B259,CENY!$B$11:$G$1054,3,FALSE)</f>
        <v>10</v>
      </c>
      <c r="E259" s="56" t="str">
        <f>IF(VLOOKUP(B259,CENY!$B$11:$G$1054,4,FALSE)=0,"",VLOOKUP(B259,CENY!$B$11:$G$1054,4,FALSE))</f>
        <v/>
      </c>
      <c r="F259" s="40" t="str">
        <f t="shared" si="58"/>
        <v/>
      </c>
      <c r="G259" s="52">
        <f>VLOOKUP(B259,CENY!$B$11:$M$1054,12,FALSE)</f>
        <v>298.33073999999999</v>
      </c>
      <c r="H259" s="54" t="str">
        <f t="shared" si="55"/>
        <v xml:space="preserve"> CZK</v>
      </c>
      <c r="I259" s="41" t="str">
        <f t="shared" si="56"/>
        <v/>
      </c>
      <c r="J259" s="122"/>
      <c r="K259" s="42" t="str">
        <f>VLOOKUP(B259,CENY!$B$11:$M$1054,8,FALSE)</f>
        <v xml:space="preserve"> </v>
      </c>
      <c r="L259" s="42" t="str">
        <f>VLOOKUP(B259,CENY!$B$11:$M$1054,9,FALSE)</f>
        <v>397783</v>
      </c>
      <c r="M259" s="32"/>
      <c r="N259" s="35">
        <f t="shared" si="59"/>
        <v>0</v>
      </c>
      <c r="O259" s="36">
        <v>0</v>
      </c>
      <c r="P259" s="32"/>
      <c r="Q259" s="325">
        <f>'AVT101'!BI52</f>
        <v>0</v>
      </c>
      <c r="R259" s="32"/>
      <c r="S259" s="325">
        <f>'AVT139'!BI52</f>
        <v>0</v>
      </c>
      <c r="T259" s="32"/>
      <c r="U259" s="325">
        <f>'AVT187'!BI52</f>
        <v>0</v>
      </c>
      <c r="V259" s="32"/>
      <c r="W259" s="325">
        <f>'AVT251'!BI39</f>
        <v>0</v>
      </c>
      <c r="X259" s="32"/>
      <c r="Y259" s="325">
        <f>AVT187In!BI38</f>
        <v>0</v>
      </c>
      <c r="Z259" s="32"/>
      <c r="AA259" s="325">
        <f>'AVT101(vn-A)'!BI52</f>
        <v>0</v>
      </c>
      <c r="AB259" s="32"/>
      <c r="AC259" s="325">
        <f>'AVT139(vn-A)'!BI52</f>
        <v>0</v>
      </c>
      <c r="AD259" s="32"/>
      <c r="AE259" s="325">
        <f>'AVT187(vn-A)'!BI52</f>
        <v>0</v>
      </c>
      <c r="AF259" s="32"/>
      <c r="AG259" s="325">
        <f>'AVT187In(vn-A)'!BI38</f>
        <v>0</v>
      </c>
      <c r="AH259" s="32"/>
      <c r="AI259" s="325">
        <f>'AVT187(vn-S)'!BI52</f>
        <v>0</v>
      </c>
      <c r="AJ259" s="32"/>
      <c r="AK259" s="325">
        <f>'AVT187In(vn-S)'!BI38</f>
        <v>0</v>
      </c>
      <c r="AL259" s="32"/>
      <c r="AM259" s="325">
        <f>'AVT77'!BI24</f>
        <v>0</v>
      </c>
      <c r="AN259" s="32"/>
      <c r="AO259" s="325">
        <f>'AVT-celny-101+187'!BI65</f>
        <v>0</v>
      </c>
      <c r="AP259" s="32"/>
      <c r="AQ259" s="325">
        <f>'AVT-celny-139+187'!BI53</f>
        <v>0</v>
      </c>
      <c r="AR259" s="32"/>
      <c r="AS259" s="325">
        <f>'AVT-celny-2x187'!BI45</f>
        <v>0</v>
      </c>
      <c r="AT259" s="32"/>
      <c r="AU259" s="325">
        <f>'AVT-celny-2x187In'!BI35</f>
        <v>0</v>
      </c>
      <c r="AV259" s="32"/>
      <c r="AW259" s="325">
        <f>'potr-v101+187'!BI66</f>
        <v>0</v>
      </c>
      <c r="AX259" s="32"/>
      <c r="AY259" s="325">
        <f>'potr-v101+187-IL'!BI66</f>
        <v>0</v>
      </c>
      <c r="AZ259" s="32"/>
      <c r="BA259" s="32"/>
      <c r="BB259" s="32"/>
      <c r="BC259" s="32"/>
      <c r="BD259" s="32"/>
      <c r="BE259" s="32"/>
      <c r="BF259" s="32"/>
      <c r="BG259" s="32"/>
      <c r="BH259" s="32"/>
      <c r="BI259" s="32"/>
      <c r="BJ259" s="32"/>
      <c r="BK259" s="32"/>
      <c r="BL259" s="32"/>
      <c r="BM259" s="32"/>
      <c r="BN259" s="32"/>
      <c r="BO259" s="165"/>
      <c r="BP259" s="165"/>
      <c r="BQ259" s="165"/>
      <c r="BR259" s="165"/>
      <c r="BS259" s="165"/>
      <c r="BT259" s="165"/>
      <c r="BU259" s="165"/>
      <c r="BV259" s="55"/>
      <c r="BW259" s="160"/>
      <c r="BX259" s="32"/>
      <c r="BY259" s="24"/>
      <c r="BZ259" s="24"/>
      <c r="CA259" s="24"/>
      <c r="CB259" s="24"/>
      <c r="CC259" s="24"/>
      <c r="CD259" s="24"/>
      <c r="CE259" s="24"/>
    </row>
    <row r="260" spans="1:83" ht="15" customHeight="1">
      <c r="A260" s="4"/>
      <c r="B260" s="318">
        <f>CENY!B636</f>
        <v>9318178</v>
      </c>
      <c r="C260" s="43" t="str">
        <f>VLOOKUP(B260,CENY!$B$11:$G$1054,2,FALSE)</f>
        <v>Actro You(L) 450/SiSy 40kg; EB21; pravý</v>
      </c>
      <c r="D260" s="353">
        <f>VLOOKUP(B260,CENY!$B$11:$G$1054,3,FALSE)</f>
        <v>10</v>
      </c>
      <c r="E260" s="56" t="str">
        <f>IF(VLOOKUP(B260,CENY!$B$11:$G$1054,4,FALSE)=0,"",VLOOKUP(B260,CENY!$B$11:$G$1054,4,FALSE))</f>
        <v/>
      </c>
      <c r="F260" s="40" t="str">
        <f t="shared" si="58"/>
        <v/>
      </c>
      <c r="G260" s="52">
        <f>VLOOKUP(B260,CENY!$B$11:$M$1054,12,FALSE)</f>
        <v>298.33073999999999</v>
      </c>
      <c r="H260" s="54" t="str">
        <f t="shared" si="55"/>
        <v xml:space="preserve"> CZK</v>
      </c>
      <c r="I260" s="41" t="str">
        <f t="shared" si="56"/>
        <v/>
      </c>
      <c r="J260" s="122"/>
      <c r="K260" s="42" t="str">
        <f>VLOOKUP(B260,CENY!$B$11:$M$1054,8,FALSE)</f>
        <v xml:space="preserve"> </v>
      </c>
      <c r="L260" s="42" t="str">
        <f>VLOOKUP(B260,CENY!$B$11:$M$1054,9,FALSE)</f>
        <v>397784</v>
      </c>
      <c r="M260" s="32"/>
      <c r="N260" s="35">
        <f t="shared" si="59"/>
        <v>0</v>
      </c>
      <c r="O260" s="36">
        <v>0</v>
      </c>
      <c r="P260" s="32"/>
      <c r="Q260" s="325">
        <f>'AVT101'!BI53</f>
        <v>0</v>
      </c>
      <c r="R260" s="32"/>
      <c r="S260" s="325">
        <f>'AVT139'!BI53</f>
        <v>0</v>
      </c>
      <c r="T260" s="32"/>
      <c r="U260" s="325">
        <f>'AVT187'!BI53</f>
        <v>0</v>
      </c>
      <c r="V260" s="32"/>
      <c r="W260" s="325">
        <f>'AVT251'!BI40</f>
        <v>0</v>
      </c>
      <c r="X260" s="32"/>
      <c r="Y260" s="325">
        <f>AVT187In!BI39</f>
        <v>0</v>
      </c>
      <c r="Z260" s="32"/>
      <c r="AA260" s="325">
        <f>'AVT101(vn-A)'!BI53</f>
        <v>0</v>
      </c>
      <c r="AB260" s="32"/>
      <c r="AC260" s="325">
        <f>'AVT139(vn-A)'!BI53</f>
        <v>0</v>
      </c>
      <c r="AD260" s="32"/>
      <c r="AE260" s="325">
        <f>'AVT187(vn-A)'!BI53</f>
        <v>0</v>
      </c>
      <c r="AF260" s="32"/>
      <c r="AG260" s="325">
        <f>'AVT187In(vn-A)'!BI39</f>
        <v>0</v>
      </c>
      <c r="AH260" s="32"/>
      <c r="AI260" s="325">
        <f>'AVT187(vn-S)'!BI53</f>
        <v>0</v>
      </c>
      <c r="AJ260" s="32"/>
      <c r="AK260" s="325">
        <f>'AVT187In(vn-S)'!BI39</f>
        <v>0</v>
      </c>
      <c r="AL260" s="32"/>
      <c r="AM260" s="325">
        <f>'AVT77'!BI25</f>
        <v>0</v>
      </c>
      <c r="AN260" s="32"/>
      <c r="AO260" s="325">
        <f>'AVT-celny-101+187'!BI66</f>
        <v>0</v>
      </c>
      <c r="AP260" s="32"/>
      <c r="AQ260" s="325">
        <f>'AVT-celny-139+187'!BI54</f>
        <v>0</v>
      </c>
      <c r="AR260" s="32"/>
      <c r="AS260" s="325">
        <f>'AVT-celny-2x187'!BI46</f>
        <v>0</v>
      </c>
      <c r="AT260" s="32"/>
      <c r="AU260" s="325">
        <f>'AVT-celny-2x187In'!BI36</f>
        <v>0</v>
      </c>
      <c r="AV260" s="32"/>
      <c r="AW260" s="325">
        <f>'potr-v101+187'!BI67</f>
        <v>0</v>
      </c>
      <c r="AX260" s="32"/>
      <c r="AY260" s="325">
        <f>'potr-v101+187-IL'!BI67</f>
        <v>0</v>
      </c>
      <c r="AZ260" s="32"/>
      <c r="BA260" s="32"/>
      <c r="BB260" s="32"/>
      <c r="BC260" s="32"/>
      <c r="BD260" s="32"/>
      <c r="BE260" s="32"/>
      <c r="BF260" s="32"/>
      <c r="BG260" s="32"/>
      <c r="BH260" s="32"/>
      <c r="BI260" s="32"/>
      <c r="BJ260" s="32"/>
      <c r="BK260" s="32"/>
      <c r="BL260" s="32"/>
      <c r="BM260" s="32"/>
      <c r="BN260" s="32"/>
      <c r="BO260" s="165"/>
      <c r="BP260" s="165"/>
      <c r="BQ260" s="165"/>
      <c r="BR260" s="165"/>
      <c r="BS260" s="165"/>
      <c r="BT260" s="165"/>
      <c r="BU260" s="165"/>
      <c r="BV260" s="55"/>
      <c r="BW260" s="160"/>
      <c r="BX260" s="32"/>
      <c r="BY260" s="24"/>
      <c r="BZ260" s="24"/>
      <c r="CA260" s="24"/>
      <c r="CB260" s="24"/>
      <c r="CC260" s="24"/>
      <c r="CD260" s="24"/>
      <c r="CE260" s="24"/>
    </row>
    <row r="261" spans="1:83" ht="15" customHeight="1">
      <c r="A261" s="4"/>
      <c r="B261" s="318">
        <f>CENY!B637</f>
        <v>9318179</v>
      </c>
      <c r="C261" s="43" t="str">
        <f>VLOOKUP(B261,CENY!$B$11:$G$1054,2,FALSE)</f>
        <v>Actro You(L) 500/SiSy 40kg; EB21; ľavý</v>
      </c>
      <c r="D261" s="353">
        <f>VLOOKUP(B261,CENY!$B$11:$G$1054,3,FALSE)</f>
        <v>10</v>
      </c>
      <c r="E261" s="56" t="str">
        <f>IF(VLOOKUP(B261,CENY!$B$11:$G$1054,4,FALSE)=0,"",VLOOKUP(B261,CENY!$B$11:$G$1054,4,FALSE))</f>
        <v/>
      </c>
      <c r="F261" s="40" t="str">
        <f t="shared" si="58"/>
        <v/>
      </c>
      <c r="G261" s="52">
        <f>VLOOKUP(B261,CENY!$B$11:$M$1054,12,FALSE)</f>
        <v>296.00905</v>
      </c>
      <c r="H261" s="54" t="str">
        <f t="shared" si="55"/>
        <v xml:space="preserve"> CZK</v>
      </c>
      <c r="I261" s="41" t="str">
        <f t="shared" si="56"/>
        <v/>
      </c>
      <c r="J261" s="122"/>
      <c r="K261" s="42" t="str">
        <f>VLOOKUP(B261,CENY!$B$11:$M$1054,8,FALSE)</f>
        <v xml:space="preserve"> </v>
      </c>
      <c r="L261" s="42" t="str">
        <f>VLOOKUP(B261,CENY!$B$11:$M$1054,9,FALSE)</f>
        <v>397785</v>
      </c>
      <c r="M261" s="32"/>
      <c r="N261" s="35">
        <f t="shared" si="59"/>
        <v>0</v>
      </c>
      <c r="O261" s="36">
        <v>0</v>
      </c>
      <c r="P261" s="32"/>
      <c r="Q261" s="325">
        <f>'AVT101'!BI54</f>
        <v>0</v>
      </c>
      <c r="R261" s="32"/>
      <c r="S261" s="325">
        <f>'AVT139'!BI54</f>
        <v>0</v>
      </c>
      <c r="T261" s="32"/>
      <c r="U261" s="325">
        <f>'AVT187'!BI54</f>
        <v>0</v>
      </c>
      <c r="V261" s="32"/>
      <c r="W261" s="325">
        <f>'AVT251'!BI41</f>
        <v>0</v>
      </c>
      <c r="X261" s="32"/>
      <c r="Y261" s="325">
        <f>AVT187In!BI40</f>
        <v>0</v>
      </c>
      <c r="Z261" s="32"/>
      <c r="AA261" s="325">
        <f>'AVT101(vn-A)'!BI54</f>
        <v>0</v>
      </c>
      <c r="AB261" s="32"/>
      <c r="AC261" s="325">
        <f>'AVT139(vn-A)'!BI54</f>
        <v>0</v>
      </c>
      <c r="AD261" s="32"/>
      <c r="AE261" s="325">
        <f>'AVT187(vn-A)'!BI54</f>
        <v>0</v>
      </c>
      <c r="AF261" s="32"/>
      <c r="AG261" s="325">
        <f>'AVT187In(vn-A)'!BI40</f>
        <v>0</v>
      </c>
      <c r="AH261" s="32"/>
      <c r="AI261" s="325">
        <f>'AVT187(vn-S)'!BI54</f>
        <v>0</v>
      </c>
      <c r="AJ261" s="32"/>
      <c r="AK261" s="325">
        <f>'AVT187In(vn-S)'!BI40</f>
        <v>0</v>
      </c>
      <c r="AL261" s="32"/>
      <c r="AM261" s="325">
        <f>'AVT77'!BI26</f>
        <v>0</v>
      </c>
      <c r="AN261" s="32"/>
      <c r="AO261" s="325">
        <f>'AVT-celny-101+187'!BI67</f>
        <v>0</v>
      </c>
      <c r="AP261" s="32"/>
      <c r="AQ261" s="325">
        <f>'AVT-celny-139+187'!BI55</f>
        <v>0</v>
      </c>
      <c r="AR261" s="32"/>
      <c r="AS261" s="325">
        <f>'AVT-celny-2x187'!BI47</f>
        <v>0</v>
      </c>
      <c r="AT261" s="32"/>
      <c r="AU261" s="325">
        <f>'AVT-celny-2x187In'!BI37</f>
        <v>0</v>
      </c>
      <c r="AV261" s="32"/>
      <c r="AW261" s="325">
        <f>'potr-v101+187'!BI68</f>
        <v>0</v>
      </c>
      <c r="AX261" s="32"/>
      <c r="AY261" s="325">
        <f>'potr-v101+187-IL'!BI68</f>
        <v>0</v>
      </c>
      <c r="AZ261" s="32"/>
      <c r="BA261" s="32"/>
      <c r="BB261" s="32"/>
      <c r="BC261" s="32"/>
      <c r="BD261" s="32"/>
      <c r="BE261" s="32"/>
      <c r="BF261" s="32"/>
      <c r="BG261" s="32"/>
      <c r="BH261" s="32"/>
      <c r="BI261" s="32"/>
      <c r="BJ261" s="32"/>
      <c r="BK261" s="32"/>
      <c r="BL261" s="32"/>
      <c r="BM261" s="32"/>
      <c r="BN261" s="32"/>
      <c r="BO261" s="165"/>
      <c r="BP261" s="165"/>
      <c r="BQ261" s="165"/>
      <c r="BR261" s="165"/>
      <c r="BS261" s="165"/>
      <c r="BT261" s="165"/>
      <c r="BU261" s="165"/>
      <c r="BV261" s="55"/>
      <c r="BW261" s="160"/>
      <c r="BX261" s="32"/>
      <c r="BY261" s="24"/>
      <c r="BZ261" s="24"/>
      <c r="CA261" s="24"/>
      <c r="CB261" s="24"/>
      <c r="CC261" s="24"/>
      <c r="CD261" s="24"/>
      <c r="CE261" s="24"/>
    </row>
    <row r="262" spans="1:83" ht="15" customHeight="1">
      <c r="A262" s="4"/>
      <c r="B262" s="318">
        <f>CENY!B638</f>
        <v>9318180</v>
      </c>
      <c r="C262" s="43" t="str">
        <f>VLOOKUP(B262,CENY!$B$11:$G$1054,2,FALSE)</f>
        <v>Actro You(L) 500/SiSy 40kg; EB21; pravý</v>
      </c>
      <c r="D262" s="353">
        <f>VLOOKUP(B262,CENY!$B$11:$G$1054,3,FALSE)</f>
        <v>10</v>
      </c>
      <c r="E262" s="56" t="str">
        <f>IF(VLOOKUP(B262,CENY!$B$11:$G$1054,4,FALSE)=0,"",VLOOKUP(B262,CENY!$B$11:$G$1054,4,FALSE))</f>
        <v/>
      </c>
      <c r="F262" s="40" t="str">
        <f t="shared" si="58"/>
        <v/>
      </c>
      <c r="G262" s="52">
        <f>VLOOKUP(B262,CENY!$B$11:$M$1054,12,FALSE)</f>
        <v>296.00905</v>
      </c>
      <c r="H262" s="54" t="str">
        <f t="shared" si="55"/>
        <v xml:space="preserve"> CZK</v>
      </c>
      <c r="I262" s="41" t="str">
        <f t="shared" si="56"/>
        <v/>
      </c>
      <c r="J262" s="122"/>
      <c r="K262" s="42" t="str">
        <f>VLOOKUP(B262,CENY!$B$11:$M$1054,8,FALSE)</f>
        <v xml:space="preserve"> </v>
      </c>
      <c r="L262" s="42" t="str">
        <f>VLOOKUP(B262,CENY!$B$11:$M$1054,9,FALSE)</f>
        <v>397786</v>
      </c>
      <c r="M262" s="32"/>
      <c r="N262" s="35">
        <f t="shared" si="59"/>
        <v>0</v>
      </c>
      <c r="O262" s="36">
        <v>0</v>
      </c>
      <c r="P262" s="32"/>
      <c r="Q262" s="325">
        <f>'AVT101'!BI55</f>
        <v>0</v>
      </c>
      <c r="R262" s="32"/>
      <c r="S262" s="325">
        <f>'AVT139'!BI55</f>
        <v>0</v>
      </c>
      <c r="T262" s="32"/>
      <c r="U262" s="325">
        <f>'AVT187'!BI55</f>
        <v>0</v>
      </c>
      <c r="V262" s="32"/>
      <c r="W262" s="325">
        <f>'AVT251'!BI42</f>
        <v>0</v>
      </c>
      <c r="X262" s="32"/>
      <c r="Y262" s="325">
        <f>AVT187In!BI41</f>
        <v>0</v>
      </c>
      <c r="Z262" s="32"/>
      <c r="AA262" s="325">
        <f>'AVT101(vn-A)'!BI55</f>
        <v>0</v>
      </c>
      <c r="AB262" s="32"/>
      <c r="AC262" s="325">
        <f>'AVT139(vn-A)'!BI55</f>
        <v>0</v>
      </c>
      <c r="AD262" s="32"/>
      <c r="AE262" s="325">
        <f>'AVT187(vn-A)'!BI55</f>
        <v>0</v>
      </c>
      <c r="AF262" s="32"/>
      <c r="AG262" s="325">
        <f>'AVT187In(vn-A)'!BI41</f>
        <v>0</v>
      </c>
      <c r="AH262" s="32"/>
      <c r="AI262" s="325">
        <f>'AVT187(vn-S)'!BI55</f>
        <v>0</v>
      </c>
      <c r="AJ262" s="32"/>
      <c r="AK262" s="325">
        <f>'AVT187In(vn-S)'!BI41</f>
        <v>0</v>
      </c>
      <c r="AL262" s="32"/>
      <c r="AM262" s="325">
        <f>'AVT77'!BI27</f>
        <v>0</v>
      </c>
      <c r="AN262" s="32"/>
      <c r="AO262" s="325">
        <f>'AVT-celny-101+187'!BI68</f>
        <v>0</v>
      </c>
      <c r="AP262" s="32"/>
      <c r="AQ262" s="325">
        <f>'AVT-celny-139+187'!BI56</f>
        <v>0</v>
      </c>
      <c r="AR262" s="32"/>
      <c r="AS262" s="325">
        <f>'AVT-celny-2x187'!BI48</f>
        <v>0</v>
      </c>
      <c r="AT262" s="32"/>
      <c r="AU262" s="325">
        <f>'AVT-celny-2x187In'!BI38</f>
        <v>0</v>
      </c>
      <c r="AV262" s="32"/>
      <c r="AW262" s="325">
        <f>'potr-v101+187'!BI69</f>
        <v>0</v>
      </c>
      <c r="AX262" s="32"/>
      <c r="AY262" s="325">
        <f>'potr-v101+187-IL'!BI69</f>
        <v>0</v>
      </c>
      <c r="AZ262" s="32"/>
      <c r="BA262" s="32"/>
      <c r="BB262" s="32"/>
      <c r="BC262" s="32"/>
      <c r="BD262" s="32"/>
      <c r="BE262" s="32"/>
      <c r="BF262" s="32"/>
      <c r="BG262" s="32"/>
      <c r="BH262" s="32"/>
      <c r="BI262" s="32"/>
      <c r="BJ262" s="32"/>
      <c r="BK262" s="32"/>
      <c r="BL262" s="32"/>
      <c r="BM262" s="32"/>
      <c r="BN262" s="32"/>
      <c r="BO262" s="165"/>
      <c r="BP262" s="165"/>
      <c r="BQ262" s="165"/>
      <c r="BR262" s="165"/>
      <c r="BS262" s="165"/>
      <c r="BT262" s="165"/>
      <c r="BU262" s="165"/>
      <c r="BV262" s="55"/>
      <c r="BW262" s="160"/>
      <c r="BX262" s="32"/>
      <c r="BY262" s="24"/>
      <c r="BZ262" s="24"/>
      <c r="CA262" s="24"/>
      <c r="CB262" s="24"/>
      <c r="CC262" s="24"/>
      <c r="CD262" s="24"/>
      <c r="CE262" s="24"/>
    </row>
    <row r="263" spans="1:83" ht="15" customHeight="1">
      <c r="A263" s="4"/>
      <c r="B263" s="318">
        <f>CENY!B639</f>
        <v>9318181</v>
      </c>
      <c r="C263" s="43" t="str">
        <f>VLOOKUP(B263,CENY!$B$11:$G$1054,2,FALSE)</f>
        <v>Actro You(L) 550/SiSy 40kg; EB21; ľavý</v>
      </c>
      <c r="D263" s="353">
        <f>VLOOKUP(B263,CENY!$B$11:$G$1054,3,FALSE)</f>
        <v>10</v>
      </c>
      <c r="E263" s="56" t="str">
        <f>IF(VLOOKUP(B263,CENY!$B$11:$G$1054,4,FALSE)=0,"",VLOOKUP(B263,CENY!$B$11:$G$1054,4,FALSE))</f>
        <v/>
      </c>
      <c r="F263" s="40" t="str">
        <f t="shared" si="58"/>
        <v/>
      </c>
      <c r="G263" s="52">
        <f>VLOOKUP(B263,CENY!$B$11:$M$1054,12,FALSE)</f>
        <v>321.83461999999997</v>
      </c>
      <c r="H263" s="54" t="str">
        <f t="shared" si="55"/>
        <v xml:space="preserve"> CZK</v>
      </c>
      <c r="I263" s="41" t="str">
        <f t="shared" si="56"/>
        <v/>
      </c>
      <c r="J263" s="122"/>
      <c r="K263" s="42" t="str">
        <f>VLOOKUP(B263,CENY!$B$11:$M$1054,8,FALSE)</f>
        <v xml:space="preserve"> </v>
      </c>
      <c r="L263" s="42" t="str">
        <f>VLOOKUP(B263,CENY!$B$11:$M$1054,9,FALSE)</f>
        <v>397787</v>
      </c>
      <c r="M263" s="32"/>
      <c r="N263" s="35">
        <f t="shared" si="59"/>
        <v>0</v>
      </c>
      <c r="O263" s="36">
        <v>0</v>
      </c>
      <c r="P263" s="32"/>
      <c r="Q263" s="325">
        <f>'AVT101'!BI56</f>
        <v>0</v>
      </c>
      <c r="R263" s="32"/>
      <c r="S263" s="325">
        <f>'AVT139'!BI56</f>
        <v>0</v>
      </c>
      <c r="T263" s="32"/>
      <c r="U263" s="325">
        <f>'AVT187'!BI56</f>
        <v>0</v>
      </c>
      <c r="V263" s="32"/>
      <c r="W263" s="325">
        <f>'AVT251'!BI43</f>
        <v>0</v>
      </c>
      <c r="X263" s="32"/>
      <c r="Y263" s="325">
        <f>AVT187In!BI42</f>
        <v>0</v>
      </c>
      <c r="Z263" s="32"/>
      <c r="AA263" s="325">
        <f>'AVT101(vn-A)'!BI56</f>
        <v>0</v>
      </c>
      <c r="AB263" s="32"/>
      <c r="AC263" s="325">
        <f>'AVT139(vn-A)'!BI56</f>
        <v>0</v>
      </c>
      <c r="AD263" s="32"/>
      <c r="AE263" s="325">
        <f>'AVT187(vn-A)'!BI56</f>
        <v>0</v>
      </c>
      <c r="AF263" s="32"/>
      <c r="AG263" s="325">
        <f>'AVT187In(vn-A)'!BI42</f>
        <v>0</v>
      </c>
      <c r="AH263" s="32"/>
      <c r="AI263" s="325">
        <f>'AVT187(vn-S)'!BI56</f>
        <v>0</v>
      </c>
      <c r="AJ263" s="32"/>
      <c r="AK263" s="325">
        <f>'AVT187In(vn-S)'!BI42</f>
        <v>0</v>
      </c>
      <c r="AL263" s="32"/>
      <c r="AM263" s="325">
        <f>'AVT77'!BI28</f>
        <v>0</v>
      </c>
      <c r="AN263" s="32"/>
      <c r="AO263" s="325">
        <f>'AVT-celny-101+187'!BI69</f>
        <v>0</v>
      </c>
      <c r="AP263" s="32"/>
      <c r="AQ263" s="325">
        <f>'AVT-celny-139+187'!BI57</f>
        <v>0</v>
      </c>
      <c r="AR263" s="32"/>
      <c r="AS263" s="325">
        <f>'AVT-celny-2x187'!BI49</f>
        <v>0</v>
      </c>
      <c r="AT263" s="32"/>
      <c r="AU263" s="325">
        <f>'AVT-celny-2x187In'!BI39</f>
        <v>0</v>
      </c>
      <c r="AV263" s="32"/>
      <c r="AW263" s="325">
        <f>'potr-v101+187'!BI70</f>
        <v>0</v>
      </c>
      <c r="AX263" s="32"/>
      <c r="AY263" s="325">
        <f>'potr-v101+187-IL'!BI70</f>
        <v>0</v>
      </c>
      <c r="AZ263" s="32"/>
      <c r="BA263" s="32"/>
      <c r="BB263" s="32"/>
      <c r="BC263" s="32"/>
      <c r="BD263" s="32"/>
      <c r="BE263" s="32"/>
      <c r="BF263" s="32"/>
      <c r="BG263" s="32"/>
      <c r="BH263" s="32"/>
      <c r="BI263" s="32"/>
      <c r="BJ263" s="32"/>
      <c r="BK263" s="32"/>
      <c r="BL263" s="32"/>
      <c r="BM263" s="32"/>
      <c r="BN263" s="32"/>
      <c r="BO263" s="165"/>
      <c r="BP263" s="165"/>
      <c r="BQ263" s="165"/>
      <c r="BR263" s="165"/>
      <c r="BS263" s="165"/>
      <c r="BT263" s="165"/>
      <c r="BU263" s="165"/>
      <c r="BV263" s="55"/>
      <c r="BW263" s="160"/>
      <c r="BX263" s="32"/>
      <c r="BY263" s="24"/>
      <c r="BZ263" s="24"/>
      <c r="CA263" s="24"/>
      <c r="CB263" s="24"/>
      <c r="CC263" s="24"/>
      <c r="CD263" s="24"/>
      <c r="CE263" s="24"/>
    </row>
    <row r="264" spans="1:83" ht="15" customHeight="1">
      <c r="A264" s="4"/>
      <c r="B264" s="318">
        <f>CENY!B640</f>
        <v>9318182</v>
      </c>
      <c r="C264" s="43" t="str">
        <f>VLOOKUP(B264,CENY!$B$11:$G$1054,2,FALSE)</f>
        <v>Actro You(L) 550/SiSy 40kg; EB21; pravý</v>
      </c>
      <c r="D264" s="353">
        <f>VLOOKUP(B264,CENY!$B$11:$G$1054,3,FALSE)</f>
        <v>10</v>
      </c>
      <c r="E264" s="56" t="str">
        <f>IF(VLOOKUP(B264,CENY!$B$11:$G$1054,4,FALSE)=0,"",VLOOKUP(B264,CENY!$B$11:$G$1054,4,FALSE))</f>
        <v/>
      </c>
      <c r="F264" s="40" t="str">
        <f t="shared" si="58"/>
        <v/>
      </c>
      <c r="G264" s="52">
        <f>VLOOKUP(B264,CENY!$B$11:$M$1054,12,FALSE)</f>
        <v>321.83461999999997</v>
      </c>
      <c r="H264" s="54" t="str">
        <f t="shared" si="55"/>
        <v xml:space="preserve"> CZK</v>
      </c>
      <c r="I264" s="41" t="str">
        <f t="shared" si="56"/>
        <v/>
      </c>
      <c r="J264" s="122"/>
      <c r="K264" s="42" t="str">
        <f>VLOOKUP(B264,CENY!$B$11:$M$1054,8,FALSE)</f>
        <v xml:space="preserve"> </v>
      </c>
      <c r="L264" s="42" t="str">
        <f>VLOOKUP(B264,CENY!$B$11:$M$1054,9,FALSE)</f>
        <v>397788</v>
      </c>
      <c r="M264" s="32"/>
      <c r="N264" s="35">
        <f t="shared" si="59"/>
        <v>0</v>
      </c>
      <c r="O264" s="36">
        <v>0</v>
      </c>
      <c r="P264" s="32"/>
      <c r="Q264" s="325">
        <f>'AVT101'!BI57</f>
        <v>0</v>
      </c>
      <c r="R264" s="32"/>
      <c r="S264" s="325">
        <f>'AVT139'!BI57</f>
        <v>0</v>
      </c>
      <c r="T264" s="32"/>
      <c r="U264" s="325">
        <f>'AVT187'!BI57</f>
        <v>0</v>
      </c>
      <c r="V264" s="32"/>
      <c r="W264" s="325">
        <f>'AVT251'!BI44</f>
        <v>0</v>
      </c>
      <c r="X264" s="32"/>
      <c r="Y264" s="325">
        <f>AVT187In!BI43</f>
        <v>0</v>
      </c>
      <c r="Z264" s="32"/>
      <c r="AA264" s="325">
        <f>'AVT101(vn-A)'!BI57</f>
        <v>0</v>
      </c>
      <c r="AB264" s="32"/>
      <c r="AC264" s="325">
        <f>'AVT139(vn-A)'!BI57</f>
        <v>0</v>
      </c>
      <c r="AD264" s="32"/>
      <c r="AE264" s="325">
        <f>'AVT187(vn-A)'!BI57</f>
        <v>0</v>
      </c>
      <c r="AF264" s="32"/>
      <c r="AG264" s="325">
        <f>'AVT187In(vn-A)'!BI43</f>
        <v>0</v>
      </c>
      <c r="AH264" s="32"/>
      <c r="AI264" s="325">
        <f>'AVT187(vn-S)'!BI57</f>
        <v>0</v>
      </c>
      <c r="AJ264" s="32"/>
      <c r="AK264" s="325">
        <f>'AVT187In(vn-S)'!BI43</f>
        <v>0</v>
      </c>
      <c r="AL264" s="32"/>
      <c r="AM264" s="325">
        <f>'AVT77'!BI29</f>
        <v>0</v>
      </c>
      <c r="AN264" s="32"/>
      <c r="AO264" s="325">
        <f>'AVT-celny-101+187'!BI70</f>
        <v>0</v>
      </c>
      <c r="AP264" s="32"/>
      <c r="AQ264" s="325">
        <f>'AVT-celny-139+187'!BI58</f>
        <v>0</v>
      </c>
      <c r="AR264" s="32"/>
      <c r="AS264" s="325">
        <f>'AVT-celny-2x187'!BI50</f>
        <v>0</v>
      </c>
      <c r="AT264" s="32"/>
      <c r="AU264" s="325">
        <f>'AVT-celny-2x187In'!BI40</f>
        <v>0</v>
      </c>
      <c r="AV264" s="32"/>
      <c r="AW264" s="325">
        <f>'potr-v101+187'!BI71</f>
        <v>0</v>
      </c>
      <c r="AX264" s="32"/>
      <c r="AY264" s="325">
        <f>'potr-v101+187-IL'!BI71</f>
        <v>0</v>
      </c>
      <c r="AZ264" s="32"/>
      <c r="BA264" s="32"/>
      <c r="BB264" s="32"/>
      <c r="BC264" s="32"/>
      <c r="BD264" s="32"/>
      <c r="BE264" s="32"/>
      <c r="BF264" s="32"/>
      <c r="BG264" s="32"/>
      <c r="BH264" s="32"/>
      <c r="BI264" s="32"/>
      <c r="BJ264" s="32"/>
      <c r="BK264" s="32"/>
      <c r="BL264" s="32"/>
      <c r="BM264" s="32"/>
      <c r="BN264" s="32"/>
      <c r="BO264" s="165"/>
      <c r="BP264" s="165"/>
      <c r="BQ264" s="165"/>
      <c r="BR264" s="165"/>
      <c r="BS264" s="165"/>
      <c r="BT264" s="165"/>
      <c r="BU264" s="165"/>
      <c r="BV264" s="55"/>
      <c r="BW264" s="160"/>
      <c r="BX264" s="32"/>
      <c r="BY264" s="24"/>
      <c r="BZ264" s="24"/>
      <c r="CA264" s="24"/>
      <c r="CB264" s="24"/>
      <c r="CC264" s="24"/>
      <c r="CD264" s="24"/>
      <c r="CE264" s="24"/>
    </row>
    <row r="265" spans="1:83" ht="15" customHeight="1">
      <c r="A265" s="4"/>
      <c r="B265" s="318">
        <f>CENY!B641</f>
        <v>9318183</v>
      </c>
      <c r="C265" s="43" t="str">
        <f>VLOOKUP(B265,CENY!$B$11:$G$1054,2,FALSE)</f>
        <v>Actro You(L) 600/SiSy 40kg; EB21; ľavý</v>
      </c>
      <c r="D265" s="353">
        <f>VLOOKUP(B265,CENY!$B$11:$G$1054,3,FALSE)</f>
        <v>10</v>
      </c>
      <c r="E265" s="56" t="str">
        <f>IF(VLOOKUP(B265,CENY!$B$11:$G$1054,4,FALSE)=0,"",VLOOKUP(B265,CENY!$B$11:$G$1054,4,FALSE))</f>
        <v/>
      </c>
      <c r="F265" s="40" t="str">
        <f t="shared" si="58"/>
        <v/>
      </c>
      <c r="G265" s="52">
        <f>VLOOKUP(B265,CENY!$B$11:$M$1054,12,FALSE)</f>
        <v>326.21229</v>
      </c>
      <c r="H265" s="54" t="str">
        <f t="shared" si="55"/>
        <v xml:space="preserve"> CZK</v>
      </c>
      <c r="I265" s="41" t="str">
        <f t="shared" si="56"/>
        <v/>
      </c>
      <c r="J265" s="122"/>
      <c r="K265" s="42" t="str">
        <f>VLOOKUP(B265,CENY!$B$11:$M$1054,8,FALSE)</f>
        <v xml:space="preserve"> </v>
      </c>
      <c r="L265" s="42" t="str">
        <f>VLOOKUP(B265,CENY!$B$11:$M$1054,9,FALSE)</f>
        <v>397789</v>
      </c>
      <c r="M265" s="32"/>
      <c r="N265" s="35">
        <f t="shared" si="59"/>
        <v>0</v>
      </c>
      <c r="O265" s="36">
        <v>0</v>
      </c>
      <c r="P265" s="32"/>
      <c r="Q265" s="325">
        <f>'AVT101'!BI58</f>
        <v>0</v>
      </c>
      <c r="R265" s="32"/>
      <c r="S265" s="325">
        <f>'AVT139'!BI58</f>
        <v>0</v>
      </c>
      <c r="T265" s="32"/>
      <c r="U265" s="325">
        <f>'AVT187'!BI58</f>
        <v>0</v>
      </c>
      <c r="V265" s="32"/>
      <c r="W265" s="325">
        <f>'AVT251'!BI45</f>
        <v>0</v>
      </c>
      <c r="X265" s="32"/>
      <c r="Y265" s="325">
        <f>AVT187In!BI44</f>
        <v>0</v>
      </c>
      <c r="Z265" s="32"/>
      <c r="AA265" s="325">
        <f>'AVT101(vn-A)'!BI58</f>
        <v>0</v>
      </c>
      <c r="AB265" s="32"/>
      <c r="AC265" s="325">
        <f>'AVT139(vn-A)'!BI58</f>
        <v>0</v>
      </c>
      <c r="AD265" s="32"/>
      <c r="AE265" s="325">
        <f>'AVT187(vn-A)'!BI58</f>
        <v>0</v>
      </c>
      <c r="AF265" s="32"/>
      <c r="AG265" s="325">
        <f>'AVT187In(vn-A)'!BI44</f>
        <v>0</v>
      </c>
      <c r="AH265" s="32"/>
      <c r="AI265" s="325">
        <f>'AVT187(vn-S)'!BI58</f>
        <v>0</v>
      </c>
      <c r="AJ265" s="32"/>
      <c r="AK265" s="325">
        <f>'AVT187In(vn-S)'!BI44</f>
        <v>0</v>
      </c>
      <c r="AL265" s="32"/>
      <c r="AM265" s="32"/>
      <c r="AN265" s="32"/>
      <c r="AO265" s="325">
        <f>'AVT-celny-101+187'!BI71</f>
        <v>0</v>
      </c>
      <c r="AP265" s="32"/>
      <c r="AQ265" s="325">
        <f>'AVT-celny-139+187'!BI59</f>
        <v>0</v>
      </c>
      <c r="AR265" s="32"/>
      <c r="AS265" s="325">
        <f>'AVT-celny-2x187'!BI51</f>
        <v>0</v>
      </c>
      <c r="AT265" s="32"/>
      <c r="AU265" s="325">
        <f>'AVT-celny-2x187In'!BI41</f>
        <v>0</v>
      </c>
      <c r="AV265" s="32"/>
      <c r="AW265" s="325">
        <f>'potr-v101+187'!BI72</f>
        <v>0</v>
      </c>
      <c r="AX265" s="32"/>
      <c r="AY265" s="325">
        <f>'potr-v101+187-IL'!BI72</f>
        <v>0</v>
      </c>
      <c r="AZ265" s="32"/>
      <c r="BA265" s="32"/>
      <c r="BB265" s="32"/>
      <c r="BC265" s="32"/>
      <c r="BD265" s="32"/>
      <c r="BE265" s="32"/>
      <c r="BF265" s="32"/>
      <c r="BG265" s="32"/>
      <c r="BH265" s="32"/>
      <c r="BI265" s="32"/>
      <c r="BJ265" s="32"/>
      <c r="BK265" s="32"/>
      <c r="BL265" s="32"/>
      <c r="BM265" s="32"/>
      <c r="BN265" s="32"/>
      <c r="BO265" s="165"/>
      <c r="BP265" s="165"/>
      <c r="BQ265" s="165"/>
      <c r="BR265" s="165"/>
      <c r="BS265" s="165"/>
      <c r="BT265" s="165"/>
      <c r="BU265" s="165"/>
      <c r="BV265" s="55"/>
      <c r="BW265" s="160"/>
      <c r="BX265" s="32"/>
      <c r="BY265" s="24"/>
      <c r="BZ265" s="24"/>
      <c r="CA265" s="24"/>
      <c r="CB265" s="24"/>
      <c r="CC265" s="24"/>
      <c r="CD265" s="24"/>
      <c r="CE265" s="24"/>
    </row>
    <row r="266" spans="1:83" ht="15" customHeight="1">
      <c r="A266" s="4"/>
      <c r="B266" s="318">
        <f>CENY!B642</f>
        <v>9318184</v>
      </c>
      <c r="C266" s="43" t="str">
        <f>VLOOKUP(B266,CENY!$B$11:$G$1054,2,FALSE)</f>
        <v>Actro You(L) 600/SiSy 40kg; EB21; pravý</v>
      </c>
      <c r="D266" s="353">
        <f>VLOOKUP(B266,CENY!$B$11:$G$1054,3,FALSE)</f>
        <v>10</v>
      </c>
      <c r="E266" s="56" t="str">
        <f>IF(VLOOKUP(B266,CENY!$B$11:$G$1054,4,FALSE)=0,"",VLOOKUP(B266,CENY!$B$11:$G$1054,4,FALSE))</f>
        <v/>
      </c>
      <c r="F266" s="40" t="str">
        <f t="shared" si="58"/>
        <v/>
      </c>
      <c r="G266" s="52">
        <f>VLOOKUP(B266,CENY!$B$11:$M$1054,12,FALSE)</f>
        <v>326.21229</v>
      </c>
      <c r="H266" s="54" t="str">
        <f t="shared" si="55"/>
        <v xml:space="preserve"> CZK</v>
      </c>
      <c r="I266" s="41" t="str">
        <f t="shared" si="56"/>
        <v/>
      </c>
      <c r="J266" s="122"/>
      <c r="K266" s="42" t="str">
        <f>VLOOKUP(B266,CENY!$B$11:$M$1054,8,FALSE)</f>
        <v xml:space="preserve"> </v>
      </c>
      <c r="L266" s="42" t="str">
        <f>VLOOKUP(B266,CENY!$B$11:$M$1054,9,FALSE)</f>
        <v>397790</v>
      </c>
      <c r="M266" s="32"/>
      <c r="N266" s="35">
        <f t="shared" si="59"/>
        <v>0</v>
      </c>
      <c r="O266" s="36">
        <v>0</v>
      </c>
      <c r="P266" s="32"/>
      <c r="Q266" s="325">
        <f>'AVT101'!BI59</f>
        <v>0</v>
      </c>
      <c r="R266" s="32"/>
      <c r="S266" s="325">
        <f>'AVT139'!BI59</f>
        <v>0</v>
      </c>
      <c r="T266" s="32"/>
      <c r="U266" s="325">
        <f>'AVT187'!BI59</f>
        <v>0</v>
      </c>
      <c r="V266" s="32"/>
      <c r="W266" s="325">
        <f>'AVT251'!BI46</f>
        <v>0</v>
      </c>
      <c r="X266" s="32"/>
      <c r="Y266" s="325">
        <f>AVT187In!BI45</f>
        <v>0</v>
      </c>
      <c r="Z266" s="32"/>
      <c r="AA266" s="325">
        <f>'AVT101(vn-A)'!BI59</f>
        <v>0</v>
      </c>
      <c r="AB266" s="32"/>
      <c r="AC266" s="325">
        <f>'AVT139(vn-A)'!BI59</f>
        <v>0</v>
      </c>
      <c r="AD266" s="32"/>
      <c r="AE266" s="325">
        <f>'AVT187(vn-A)'!BI59</f>
        <v>0</v>
      </c>
      <c r="AF266" s="32"/>
      <c r="AG266" s="325">
        <f>'AVT187In(vn-A)'!BI45</f>
        <v>0</v>
      </c>
      <c r="AH266" s="32"/>
      <c r="AI266" s="325">
        <f>'AVT187(vn-S)'!BI59</f>
        <v>0</v>
      </c>
      <c r="AJ266" s="32"/>
      <c r="AK266" s="325">
        <f>'AVT187In(vn-S)'!BI45</f>
        <v>0</v>
      </c>
      <c r="AL266" s="32"/>
      <c r="AM266" s="32"/>
      <c r="AN266" s="32"/>
      <c r="AO266" s="325">
        <f>'AVT-celny-101+187'!BI72</f>
        <v>0</v>
      </c>
      <c r="AP266" s="32"/>
      <c r="AQ266" s="325">
        <f>'AVT-celny-139+187'!BI60</f>
        <v>0</v>
      </c>
      <c r="AR266" s="32"/>
      <c r="AS266" s="325">
        <f>'AVT-celny-2x187'!BI52</f>
        <v>0</v>
      </c>
      <c r="AT266" s="32"/>
      <c r="AU266" s="325">
        <f>'AVT-celny-2x187In'!BI42</f>
        <v>0</v>
      </c>
      <c r="AV266" s="32"/>
      <c r="AW266" s="325">
        <f>'potr-v101+187'!BI73</f>
        <v>0</v>
      </c>
      <c r="AX266" s="32"/>
      <c r="AY266" s="325">
        <f>'potr-v101+187-IL'!BI73</f>
        <v>0</v>
      </c>
      <c r="AZ266" s="32"/>
      <c r="BA266" s="32"/>
      <c r="BB266" s="32"/>
      <c r="BC266" s="32"/>
      <c r="BD266" s="32"/>
      <c r="BE266" s="32"/>
      <c r="BF266" s="32"/>
      <c r="BG266" s="32"/>
      <c r="BH266" s="32"/>
      <c r="BI266" s="32"/>
      <c r="BJ266" s="32"/>
      <c r="BK266" s="32"/>
      <c r="BL266" s="32"/>
      <c r="BM266" s="32"/>
      <c r="BN266" s="32"/>
      <c r="BO266" s="165"/>
      <c r="BP266" s="165"/>
      <c r="BQ266" s="165"/>
      <c r="BR266" s="165"/>
      <c r="BS266" s="165"/>
      <c r="BT266" s="165"/>
      <c r="BU266" s="165"/>
      <c r="BV266" s="55"/>
      <c r="BW266" s="160"/>
      <c r="BX266" s="32"/>
      <c r="BY266" s="24"/>
      <c r="BZ266" s="24"/>
      <c r="CA266" s="24"/>
      <c r="CB266" s="24"/>
      <c r="CC266" s="24"/>
      <c r="CD266" s="24"/>
      <c r="CE266" s="24"/>
    </row>
    <row r="267" spans="1:83" ht="8.1" customHeight="1">
      <c r="A267" s="4"/>
      <c r="B267" s="126"/>
      <c r="C267" s="43"/>
      <c r="D267" s="39"/>
      <c r="E267" s="56"/>
      <c r="F267" s="60"/>
      <c r="G267" s="52"/>
      <c r="H267" s="54"/>
      <c r="I267" s="41"/>
      <c r="J267" s="122"/>
      <c r="K267" s="42"/>
      <c r="L267" s="42"/>
      <c r="M267" s="32"/>
      <c r="N267" s="35"/>
      <c r="O267" s="36">
        <v>0</v>
      </c>
      <c r="P267" s="32"/>
      <c r="Q267" s="32"/>
      <c r="R267" s="32"/>
      <c r="S267" s="32"/>
      <c r="T267" s="32"/>
      <c r="U267" s="32"/>
      <c r="V267" s="32"/>
      <c r="W267" s="32"/>
      <c r="X267" s="32"/>
      <c r="Y267" s="32"/>
      <c r="Z267" s="32"/>
      <c r="AA267" s="32"/>
      <c r="AB267" s="32"/>
      <c r="AC267" s="32"/>
      <c r="AD267" s="32"/>
      <c r="AE267" s="32"/>
      <c r="AF267" s="32"/>
      <c r="AG267" s="32"/>
      <c r="AH267" s="32"/>
      <c r="AI267" s="32"/>
      <c r="AJ267" s="32"/>
      <c r="AK267" s="32"/>
      <c r="AL267" s="32"/>
      <c r="AM267" s="32"/>
      <c r="AN267" s="32"/>
      <c r="AO267" s="32"/>
      <c r="AP267" s="32"/>
      <c r="AQ267" s="32"/>
      <c r="AR267" s="32"/>
      <c r="AS267" s="32"/>
      <c r="AT267" s="32"/>
      <c r="AU267" s="32"/>
      <c r="AV267" s="32"/>
      <c r="AW267" s="32"/>
      <c r="AX267" s="32"/>
      <c r="AY267" s="32"/>
      <c r="AZ267" s="32"/>
      <c r="BA267" s="32"/>
      <c r="BB267" s="32"/>
      <c r="BC267" s="32"/>
      <c r="BD267" s="32"/>
      <c r="BE267" s="32"/>
      <c r="BF267" s="32"/>
      <c r="BG267" s="32"/>
      <c r="BH267" s="32"/>
      <c r="BI267" s="32"/>
      <c r="BJ267" s="32"/>
      <c r="BK267" s="32"/>
      <c r="BL267" s="32"/>
      <c r="BM267" s="32"/>
      <c r="BN267" s="32"/>
      <c r="BO267" s="165"/>
      <c r="BP267" s="165"/>
      <c r="BQ267" s="165"/>
      <c r="BR267" s="165"/>
      <c r="BS267" s="165"/>
      <c r="BT267" s="165"/>
      <c r="BU267" s="165"/>
      <c r="BV267" s="55"/>
      <c r="BW267" s="160"/>
      <c r="BX267" s="32"/>
      <c r="BY267" s="24"/>
      <c r="BZ267" s="24"/>
      <c r="CA267" s="24"/>
      <c r="CB267" s="24"/>
      <c r="CC267" s="24"/>
      <c r="CD267" s="24"/>
      <c r="CE267" s="24"/>
    </row>
    <row r="268" spans="1:83" ht="15" customHeight="1">
      <c r="A268" s="4"/>
      <c r="B268" s="318">
        <f>CENY!B644</f>
        <v>9318215</v>
      </c>
      <c r="C268" s="43" t="str">
        <f>VLOOKUP(B268,CENY!$B$11:$G$1054,2,FALSE)</f>
        <v>Actro You(XL) 450/SiSy 70kg; EB21</v>
      </c>
      <c r="D268" s="364">
        <f>VLOOKUP(B268,CENY!$B$11:$G$1054,3,FALSE)</f>
        <v>1</v>
      </c>
      <c r="E268" s="56" t="str">
        <f>IF(VLOOKUP(B268,CENY!$B$11:$G$1054,4,FALSE)=0,"",VLOOKUP(B268,CENY!$B$11:$G$1054,4,FALSE))</f>
        <v/>
      </c>
      <c r="F268" s="40" t="str">
        <f t="shared" ref="F268:F282" si="60">IF(J268&lt;&gt;"",J268,IF(N268=0,"",N268))</f>
        <v/>
      </c>
      <c r="G268" s="52">
        <f>VLOOKUP(B268,CENY!$B$11:$M$1054,12,FALSE)</f>
        <v>197.37184999999999</v>
      </c>
      <c r="H268" s="54" t="str">
        <f t="shared" si="55"/>
        <v xml:space="preserve"> CZK</v>
      </c>
      <c r="I268" s="41" t="str">
        <f t="shared" si="56"/>
        <v/>
      </c>
      <c r="J268" s="122"/>
      <c r="K268" s="42" t="str">
        <f>VLOOKUP(B268,CENY!$B$11:$M$1054,8,FALSE)</f>
        <v xml:space="preserve"> </v>
      </c>
      <c r="L268" s="42" t="str">
        <f>VLOOKUP(B268,CENY!$B$11:$M$1054,9,FALSE)</f>
        <v>503827</v>
      </c>
      <c r="M268" s="32"/>
      <c r="N268" s="35">
        <f t="shared" ref="N268:N282" si="61">SUM(P268:BW268)</f>
        <v>0</v>
      </c>
      <c r="O268" s="36">
        <v>0</v>
      </c>
      <c r="P268" s="325">
        <f>'AVT101'!AZ38</f>
        <v>0</v>
      </c>
      <c r="Q268" s="32"/>
      <c r="R268" s="325">
        <f>'AVT139'!AZ38</f>
        <v>0</v>
      </c>
      <c r="S268" s="32"/>
      <c r="T268" s="325">
        <f>'AVT187'!AZ38</f>
        <v>0</v>
      </c>
      <c r="U268" s="32"/>
      <c r="V268" s="325">
        <f>'AVT251'!AZ30</f>
        <v>0</v>
      </c>
      <c r="W268" s="32"/>
      <c r="X268" s="325">
        <f>AVT187In!AZ30</f>
        <v>0</v>
      </c>
      <c r="Y268" s="32"/>
      <c r="Z268" s="325">
        <f>'AVT101(vn-A)'!AZ38</f>
        <v>0</v>
      </c>
      <c r="AA268" s="32"/>
      <c r="AB268" s="325">
        <f>'AVT139(vn-A)'!AZ38</f>
        <v>0</v>
      </c>
      <c r="AC268" s="32"/>
      <c r="AD268" s="325">
        <f>'AVT187(vn-A)'!AZ38</f>
        <v>0</v>
      </c>
      <c r="AE268" s="32"/>
      <c r="AF268" s="325">
        <f>'AVT187In(vn-A)'!AZ30</f>
        <v>0</v>
      </c>
      <c r="AG268" s="32"/>
      <c r="AH268" s="325">
        <f>'AVT187(vn-S)'!AZ38</f>
        <v>0</v>
      </c>
      <c r="AI268" s="32"/>
      <c r="AJ268" s="325">
        <f>'AVT187In(vn-S)'!AZ30</f>
        <v>0</v>
      </c>
      <c r="AK268" s="32"/>
      <c r="AL268" s="325">
        <f>'AVT77'!AZ20</f>
        <v>0</v>
      </c>
      <c r="AM268" s="32"/>
      <c r="AN268" s="325">
        <f>'AVT-celny-101+187'!AZ44</f>
        <v>0</v>
      </c>
      <c r="AO268" s="32"/>
      <c r="AP268" s="325">
        <f>'AVT-celny-139+187'!AZ37</f>
        <v>0</v>
      </c>
      <c r="AQ268" s="32"/>
      <c r="AR268" s="325">
        <f>'AVT-celny-2x187'!AZ34</f>
        <v>0</v>
      </c>
      <c r="AS268" s="32"/>
      <c r="AT268" s="325">
        <f>'AVT-celny-2x187In'!AZ28</f>
        <v>0</v>
      </c>
      <c r="AU268" s="32"/>
      <c r="AV268" s="325">
        <f>'potr-v101+187'!AZ44</f>
        <v>0</v>
      </c>
      <c r="AW268" s="32"/>
      <c r="AX268" s="325">
        <f>'potr-v101+187-IL'!AZ44</f>
        <v>0</v>
      </c>
      <c r="AY268" s="32"/>
      <c r="AZ268" s="32"/>
      <c r="BA268" s="32"/>
      <c r="BB268" s="32"/>
      <c r="BC268" s="32"/>
      <c r="BD268" s="32"/>
      <c r="BE268" s="32"/>
      <c r="BF268" s="32"/>
      <c r="BG268" s="32"/>
      <c r="BH268" s="32"/>
      <c r="BI268" s="32"/>
      <c r="BJ268" s="32"/>
      <c r="BK268" s="32"/>
      <c r="BL268" s="32"/>
      <c r="BM268" s="32"/>
      <c r="BN268" s="32"/>
      <c r="BO268" s="165"/>
      <c r="BP268" s="165"/>
      <c r="BQ268" s="165"/>
      <c r="BR268" s="165"/>
      <c r="BS268" s="165"/>
      <c r="BT268" s="165"/>
      <c r="BU268" s="165"/>
      <c r="BV268" s="55"/>
      <c r="BW268" s="160"/>
      <c r="BX268" s="32"/>
      <c r="BY268" s="24"/>
      <c r="BZ268" s="24"/>
      <c r="CA268" s="24"/>
      <c r="CB268" s="24"/>
      <c r="CC268" s="24"/>
      <c r="CD268" s="24"/>
      <c r="CE268" s="24"/>
    </row>
    <row r="269" spans="1:83" ht="15" customHeight="1">
      <c r="A269" s="4"/>
      <c r="B269" s="318">
        <f>CENY!B645</f>
        <v>9318216</v>
      </c>
      <c r="C269" s="43" t="str">
        <f>VLOOKUP(B269,CENY!$B$11:$G$1054,2,FALSE)</f>
        <v>Actro You(XL) 500/SiSy 70kg; EB21</v>
      </c>
      <c r="D269" s="364">
        <f>VLOOKUP(B269,CENY!$B$11:$G$1054,3,FALSE)</f>
        <v>1</v>
      </c>
      <c r="E269" s="56" t="str">
        <f>IF(VLOOKUP(B269,CENY!$B$11:$G$1054,4,FALSE)=0,"",VLOOKUP(B269,CENY!$B$11:$G$1054,4,FALSE))</f>
        <v/>
      </c>
      <c r="F269" s="40" t="str">
        <f t="shared" si="60"/>
        <v/>
      </c>
      <c r="G269" s="52">
        <f>VLOOKUP(B269,CENY!$B$11:$M$1054,12,FALSE)</f>
        <v>823.68502000000001</v>
      </c>
      <c r="H269" s="54" t="str">
        <f t="shared" si="55"/>
        <v xml:space="preserve"> CZK</v>
      </c>
      <c r="I269" s="41" t="str">
        <f t="shared" si="56"/>
        <v/>
      </c>
      <c r="J269" s="122"/>
      <c r="K269" s="42" t="str">
        <f>VLOOKUP(B269,CENY!$B$11:$M$1054,8,FALSE)</f>
        <v xml:space="preserve"> </v>
      </c>
      <c r="L269" s="42" t="str">
        <f>VLOOKUP(B269,CENY!$B$11:$M$1054,9,FALSE)</f>
        <v>422189</v>
      </c>
      <c r="M269" s="32"/>
      <c r="N269" s="35">
        <f t="shared" si="61"/>
        <v>0</v>
      </c>
      <c r="O269" s="36">
        <v>0</v>
      </c>
      <c r="P269" s="325">
        <f>'AVT101'!AZ39</f>
        <v>0</v>
      </c>
      <c r="Q269" s="32"/>
      <c r="R269" s="325">
        <f>'AVT139'!AZ39</f>
        <v>0</v>
      </c>
      <c r="S269" s="32"/>
      <c r="T269" s="325">
        <f>'AVT187'!AZ39</f>
        <v>0</v>
      </c>
      <c r="U269" s="32"/>
      <c r="V269" s="325">
        <f>'AVT251'!AZ31</f>
        <v>0</v>
      </c>
      <c r="W269" s="32"/>
      <c r="X269" s="325">
        <f>AVT187In!AZ31</f>
        <v>0</v>
      </c>
      <c r="Y269" s="32"/>
      <c r="Z269" s="325">
        <f>'AVT101(vn-A)'!AZ39</f>
        <v>0</v>
      </c>
      <c r="AA269" s="32"/>
      <c r="AB269" s="325">
        <f>'AVT139(vn-A)'!AZ39</f>
        <v>0</v>
      </c>
      <c r="AC269" s="32"/>
      <c r="AD269" s="325">
        <f>'AVT187(vn-A)'!AZ39</f>
        <v>0</v>
      </c>
      <c r="AE269" s="32"/>
      <c r="AF269" s="325">
        <f>'AVT187In(vn-A)'!AZ31</f>
        <v>0</v>
      </c>
      <c r="AG269" s="32"/>
      <c r="AH269" s="325">
        <f>'AVT187(vn-S)'!AZ39</f>
        <v>0</v>
      </c>
      <c r="AI269" s="32"/>
      <c r="AJ269" s="325">
        <f>'AVT187In(vn-S)'!AZ31</f>
        <v>0</v>
      </c>
      <c r="AK269" s="32"/>
      <c r="AL269" s="325">
        <f>'AVT77'!AZ21</f>
        <v>0</v>
      </c>
      <c r="AM269" s="32"/>
      <c r="AN269" s="325">
        <f>'AVT-celny-101+187'!AZ45</f>
        <v>0</v>
      </c>
      <c r="AO269" s="32"/>
      <c r="AP269" s="325">
        <f>'AVT-celny-139+187'!AZ38</f>
        <v>0</v>
      </c>
      <c r="AQ269" s="32"/>
      <c r="AR269" s="325">
        <f>'AVT-celny-2x187'!AZ35</f>
        <v>0</v>
      </c>
      <c r="AS269" s="32"/>
      <c r="AT269" s="325">
        <f>'AVT-celny-2x187In'!AZ29</f>
        <v>0</v>
      </c>
      <c r="AU269" s="32"/>
      <c r="AV269" s="325">
        <f>'potr-v101+187'!AZ45</f>
        <v>0</v>
      </c>
      <c r="AW269" s="32"/>
      <c r="AX269" s="325">
        <f>'potr-v101+187-IL'!AZ45</f>
        <v>0</v>
      </c>
      <c r="AY269" s="32"/>
      <c r="AZ269" s="32"/>
      <c r="BA269" s="32"/>
      <c r="BB269" s="32"/>
      <c r="BC269" s="32"/>
      <c r="BD269" s="32"/>
      <c r="BE269" s="32"/>
      <c r="BF269" s="32"/>
      <c r="BG269" s="32"/>
      <c r="BH269" s="32"/>
      <c r="BI269" s="32"/>
      <c r="BJ269" s="32"/>
      <c r="BK269" s="32"/>
      <c r="BL269" s="32"/>
      <c r="BM269" s="32"/>
      <c r="BN269" s="32"/>
      <c r="BO269" s="165"/>
      <c r="BP269" s="165"/>
      <c r="BQ269" s="165"/>
      <c r="BR269" s="165"/>
      <c r="BS269" s="165"/>
      <c r="BT269" s="165"/>
      <c r="BU269" s="165"/>
      <c r="BV269" s="55"/>
      <c r="BW269" s="160"/>
      <c r="BX269" s="32"/>
      <c r="BY269" s="24"/>
      <c r="BZ269" s="24"/>
      <c r="CA269" s="24"/>
      <c r="CB269" s="24"/>
      <c r="CC269" s="24"/>
      <c r="CD269" s="24"/>
      <c r="CE269" s="24"/>
    </row>
    <row r="270" spans="1:83" ht="15" customHeight="1">
      <c r="A270" s="4"/>
      <c r="B270" s="318">
        <f>CENY!B646</f>
        <v>9318217</v>
      </c>
      <c r="C270" s="43" t="str">
        <f>VLOOKUP(B270,CENY!$B$11:$G$1054,2,FALSE)</f>
        <v>Actro You(XL) 550/SiSy 70kg; EB21</v>
      </c>
      <c r="D270" s="364">
        <f>VLOOKUP(B270,CENY!$B$11:$G$1054,3,FALSE)</f>
        <v>1</v>
      </c>
      <c r="E270" s="56" t="str">
        <f>IF(VLOOKUP(B270,CENY!$B$11:$G$1054,4,FALSE)=0,"",VLOOKUP(B270,CENY!$B$11:$G$1054,4,FALSE))</f>
        <v/>
      </c>
      <c r="F270" s="40" t="str">
        <f t="shared" si="60"/>
        <v/>
      </c>
      <c r="G270" s="52">
        <f>VLOOKUP(B270,CENY!$B$11:$M$1054,12,FALSE)</f>
        <v>862.82307000000003</v>
      </c>
      <c r="H270" s="54" t="str">
        <f t="shared" si="55"/>
        <v xml:space="preserve"> CZK</v>
      </c>
      <c r="I270" s="41" t="str">
        <f t="shared" si="56"/>
        <v/>
      </c>
      <c r="J270" s="122"/>
      <c r="K270" s="42" t="str">
        <f>VLOOKUP(B270,CENY!$B$11:$M$1054,8,FALSE)</f>
        <v xml:space="preserve"> </v>
      </c>
      <c r="L270" s="42" t="str">
        <f>VLOOKUP(B270,CENY!$B$11:$M$1054,9,FALSE)</f>
        <v>518538</v>
      </c>
      <c r="M270" s="32"/>
      <c r="N270" s="35">
        <f t="shared" si="61"/>
        <v>0</v>
      </c>
      <c r="O270" s="36">
        <v>0</v>
      </c>
      <c r="P270" s="325">
        <f>'AVT101'!AZ40</f>
        <v>0</v>
      </c>
      <c r="Q270" s="32"/>
      <c r="R270" s="325">
        <f>'AVT139'!AZ40</f>
        <v>0</v>
      </c>
      <c r="S270" s="32"/>
      <c r="T270" s="325">
        <f>'AVT187'!AZ40</f>
        <v>0</v>
      </c>
      <c r="U270" s="32"/>
      <c r="V270" s="325">
        <f>'AVT251'!AZ32</f>
        <v>0</v>
      </c>
      <c r="W270" s="32"/>
      <c r="X270" s="325">
        <f>AVT187In!AZ32</f>
        <v>0</v>
      </c>
      <c r="Y270" s="32"/>
      <c r="Z270" s="325">
        <f>'AVT101(vn-A)'!AZ40</f>
        <v>0</v>
      </c>
      <c r="AA270" s="32"/>
      <c r="AB270" s="325">
        <f>'AVT139(vn-A)'!AZ40</f>
        <v>0</v>
      </c>
      <c r="AC270" s="32"/>
      <c r="AD270" s="325">
        <f>'AVT187(vn-A)'!AZ40</f>
        <v>0</v>
      </c>
      <c r="AE270" s="32"/>
      <c r="AF270" s="325">
        <f>'AVT187In(vn-A)'!AZ32</f>
        <v>0</v>
      </c>
      <c r="AG270" s="32"/>
      <c r="AH270" s="325">
        <f>'AVT187(vn-S)'!AZ40</f>
        <v>0</v>
      </c>
      <c r="AI270" s="32"/>
      <c r="AJ270" s="325">
        <f>'AVT187In(vn-S)'!AZ32</f>
        <v>0</v>
      </c>
      <c r="AK270" s="32"/>
      <c r="AL270" s="325">
        <f>'AVT77'!AZ22</f>
        <v>0</v>
      </c>
      <c r="AM270" s="32"/>
      <c r="AN270" s="325">
        <f>'AVT-celny-101+187'!AZ46</f>
        <v>0</v>
      </c>
      <c r="AO270" s="32"/>
      <c r="AP270" s="325">
        <f>'AVT-celny-139+187'!AZ39</f>
        <v>0</v>
      </c>
      <c r="AQ270" s="32"/>
      <c r="AR270" s="325">
        <f>'AVT-celny-2x187'!AZ36</f>
        <v>0</v>
      </c>
      <c r="AS270" s="32"/>
      <c r="AT270" s="325">
        <f>'AVT-celny-2x187In'!AZ30</f>
        <v>0</v>
      </c>
      <c r="AU270" s="32"/>
      <c r="AV270" s="325">
        <f>'potr-v101+187'!AZ46</f>
        <v>0</v>
      </c>
      <c r="AW270" s="32"/>
      <c r="AX270" s="325">
        <f>'potr-v101+187-IL'!AZ46</f>
        <v>0</v>
      </c>
      <c r="AY270" s="32"/>
      <c r="AZ270" s="32"/>
      <c r="BA270" s="32"/>
      <c r="BB270" s="32"/>
      <c r="BC270" s="32"/>
      <c r="BD270" s="32"/>
      <c r="BE270" s="32"/>
      <c r="BF270" s="32"/>
      <c r="BG270" s="32"/>
      <c r="BH270" s="32"/>
      <c r="BI270" s="32"/>
      <c r="BJ270" s="32"/>
      <c r="BK270" s="32"/>
      <c r="BL270" s="32"/>
      <c r="BM270" s="32"/>
      <c r="BN270" s="32"/>
      <c r="BO270" s="165"/>
      <c r="BP270" s="165"/>
      <c r="BQ270" s="165"/>
      <c r="BR270" s="165"/>
      <c r="BS270" s="165"/>
      <c r="BT270" s="165"/>
      <c r="BU270" s="165"/>
      <c r="BV270" s="55"/>
      <c r="BW270" s="160"/>
      <c r="BX270" s="32"/>
      <c r="BY270" s="24"/>
      <c r="BZ270" s="24"/>
      <c r="CA270" s="24"/>
      <c r="CB270" s="24"/>
      <c r="CC270" s="24"/>
      <c r="CD270" s="24"/>
      <c r="CE270" s="24"/>
    </row>
    <row r="271" spans="1:83" ht="15" customHeight="1">
      <c r="A271" s="4"/>
      <c r="B271" s="318">
        <f>CENY!B647</f>
        <v>9318218</v>
      </c>
      <c r="C271" s="43" t="str">
        <f>VLOOKUP(B271,CENY!$B$11:$G$1054,2,FALSE)</f>
        <v>Actro You(XL) 600/SiSy 70kg; EB21</v>
      </c>
      <c r="D271" s="364">
        <f>VLOOKUP(B271,CENY!$B$11:$G$1054,3,FALSE)</f>
        <v>1</v>
      </c>
      <c r="E271" s="56" t="str">
        <f>IF(VLOOKUP(B271,CENY!$B$11:$G$1054,4,FALSE)=0,"",VLOOKUP(B271,CENY!$B$11:$G$1054,4,FALSE))</f>
        <v/>
      </c>
      <c r="F271" s="40" t="str">
        <f t="shared" si="60"/>
        <v/>
      </c>
      <c r="G271" s="52">
        <f>VLOOKUP(B271,CENY!$B$11:$M$1054,12,FALSE)</f>
        <v>941.88580999999999</v>
      </c>
      <c r="H271" s="54" t="str">
        <f t="shared" si="55"/>
        <v xml:space="preserve"> CZK</v>
      </c>
      <c r="I271" s="41" t="str">
        <f t="shared" si="56"/>
        <v/>
      </c>
      <c r="J271" s="122"/>
      <c r="K271" s="42" t="str">
        <f>VLOOKUP(B271,CENY!$B$11:$M$1054,8,FALSE)</f>
        <v xml:space="preserve"> </v>
      </c>
      <c r="L271" s="42" t="str">
        <f>VLOOKUP(B271,CENY!$B$11:$M$1054,9,FALSE)</f>
        <v>462510</v>
      </c>
      <c r="M271" s="32"/>
      <c r="N271" s="35">
        <f t="shared" si="61"/>
        <v>0</v>
      </c>
      <c r="O271" s="36">
        <v>0</v>
      </c>
      <c r="P271" s="325">
        <f>'AVT101'!AZ41</f>
        <v>0</v>
      </c>
      <c r="Q271" s="32"/>
      <c r="R271" s="325">
        <f>'AVT139'!AZ41</f>
        <v>0</v>
      </c>
      <c r="S271" s="32"/>
      <c r="T271" s="325">
        <f>'AVT187'!AZ41</f>
        <v>0</v>
      </c>
      <c r="U271" s="32"/>
      <c r="V271" s="325">
        <f>'AVT251'!AZ33</f>
        <v>0</v>
      </c>
      <c r="W271" s="32"/>
      <c r="X271" s="325">
        <f>AVT187In!AZ33</f>
        <v>0</v>
      </c>
      <c r="Y271" s="32"/>
      <c r="Z271" s="325">
        <f>'AVT101(vn-A)'!AZ41</f>
        <v>0</v>
      </c>
      <c r="AA271" s="32"/>
      <c r="AB271" s="325">
        <f>'AVT139(vn-A)'!AZ41</f>
        <v>0</v>
      </c>
      <c r="AC271" s="32"/>
      <c r="AD271" s="325">
        <f>'AVT187(vn-A)'!AZ41</f>
        <v>0</v>
      </c>
      <c r="AE271" s="32"/>
      <c r="AF271" s="325">
        <f>'AVT187In(vn-A)'!AZ33</f>
        <v>0</v>
      </c>
      <c r="AG271" s="32"/>
      <c r="AH271" s="325">
        <f>'AVT187(vn-S)'!AZ41</f>
        <v>0</v>
      </c>
      <c r="AI271" s="32"/>
      <c r="AJ271" s="325">
        <f>'AVT187In(vn-S)'!AZ33</f>
        <v>0</v>
      </c>
      <c r="AK271" s="32"/>
      <c r="AL271" s="32"/>
      <c r="AM271" s="32"/>
      <c r="AN271" s="325">
        <f>'AVT-celny-101+187'!AZ47</f>
        <v>0</v>
      </c>
      <c r="AO271" s="32"/>
      <c r="AP271" s="325">
        <f>'AVT-celny-139+187'!AZ40</f>
        <v>0</v>
      </c>
      <c r="AQ271" s="32"/>
      <c r="AR271" s="325">
        <f>'AVT-celny-2x187'!AZ37</f>
        <v>0</v>
      </c>
      <c r="AS271" s="32"/>
      <c r="AT271" s="325">
        <f>'AVT-celny-2x187In'!AZ31</f>
        <v>0</v>
      </c>
      <c r="AU271" s="32"/>
      <c r="AV271" s="325">
        <f>'potr-v101+187'!AZ47</f>
        <v>0</v>
      </c>
      <c r="AW271" s="32"/>
      <c r="AX271" s="325">
        <f>'potr-v101+187-IL'!AZ47</f>
        <v>0</v>
      </c>
      <c r="AY271" s="32"/>
      <c r="AZ271" s="32"/>
      <c r="BA271" s="32"/>
      <c r="BB271" s="32"/>
      <c r="BC271" s="32"/>
      <c r="BD271" s="32"/>
      <c r="BE271" s="32"/>
      <c r="BF271" s="32"/>
      <c r="BG271" s="32"/>
      <c r="BH271" s="32"/>
      <c r="BI271" s="32"/>
      <c r="BJ271" s="32"/>
      <c r="BK271" s="32"/>
      <c r="BL271" s="32"/>
      <c r="BM271" s="32"/>
      <c r="BN271" s="32"/>
      <c r="BO271" s="165"/>
      <c r="BP271" s="165"/>
      <c r="BQ271" s="165"/>
      <c r="BR271" s="165"/>
      <c r="BS271" s="165"/>
      <c r="BT271" s="165"/>
      <c r="BU271" s="165"/>
      <c r="BV271" s="55"/>
      <c r="BW271" s="160"/>
      <c r="BX271" s="32"/>
      <c r="BY271" s="24"/>
      <c r="BZ271" s="24"/>
      <c r="CA271" s="24"/>
      <c r="CB271" s="24"/>
      <c r="CC271" s="24"/>
      <c r="CD271" s="24"/>
      <c r="CE271" s="24"/>
    </row>
    <row r="272" spans="1:83" ht="15" customHeight="1">
      <c r="A272" s="4"/>
      <c r="B272" s="318">
        <f>CENY!B648</f>
        <v>9318219</v>
      </c>
      <c r="C272" s="43" t="str">
        <f>VLOOKUP(B272,CENY!$B$11:$G$1054,2,FALSE)</f>
        <v>Actro You(XL) 650/SiSy 70kg; EB21</v>
      </c>
      <c r="D272" s="364">
        <f>VLOOKUP(B272,CENY!$B$11:$G$1054,3,FALSE)</f>
        <v>1</v>
      </c>
      <c r="E272" s="56" t="str">
        <f>IF(VLOOKUP(B272,CENY!$B$11:$G$1054,4,FALSE)=0,"",VLOOKUP(B272,CENY!$B$11:$G$1054,4,FALSE))</f>
        <v/>
      </c>
      <c r="F272" s="40" t="str">
        <f t="shared" si="60"/>
        <v/>
      </c>
      <c r="G272" s="52">
        <f>VLOOKUP(B272,CENY!$B$11:$M$1054,12,FALSE)</f>
        <v>977.56314999999995</v>
      </c>
      <c r="H272" s="54" t="str">
        <f t="shared" si="55"/>
        <v xml:space="preserve"> CZK</v>
      </c>
      <c r="I272" s="41" t="str">
        <f t="shared" si="56"/>
        <v/>
      </c>
      <c r="J272" s="122"/>
      <c r="K272" s="42" t="str">
        <f>VLOOKUP(B272,CENY!$B$11:$M$1054,8,FALSE)</f>
        <v xml:space="preserve"> </v>
      </c>
      <c r="L272" s="42" t="str">
        <f>VLOOKUP(B272,CENY!$B$11:$M$1054,9,FALSE)</f>
        <v>518543</v>
      </c>
      <c r="M272" s="32"/>
      <c r="N272" s="35">
        <f t="shared" si="61"/>
        <v>0</v>
      </c>
      <c r="O272" s="36">
        <v>0</v>
      </c>
      <c r="P272" s="325">
        <f>'AVT101'!AZ42</f>
        <v>0</v>
      </c>
      <c r="Q272" s="32"/>
      <c r="R272" s="325">
        <f>'AVT139'!AZ42</f>
        <v>0</v>
      </c>
      <c r="S272" s="32"/>
      <c r="T272" s="325">
        <f>'AVT187'!AZ42</f>
        <v>0</v>
      </c>
      <c r="U272" s="32"/>
      <c r="V272" s="325">
        <f>'AVT251'!AZ34</f>
        <v>0</v>
      </c>
      <c r="W272" s="32"/>
      <c r="X272" s="325">
        <f>AVT187In!AZ34</f>
        <v>0</v>
      </c>
      <c r="Y272" s="32"/>
      <c r="Z272" s="325">
        <f>'AVT101(vn-A)'!AZ42</f>
        <v>0</v>
      </c>
      <c r="AA272" s="32"/>
      <c r="AB272" s="32"/>
      <c r="AC272" s="32"/>
      <c r="AD272" s="325">
        <f>'AVT187(vn-A)'!AZ42</f>
        <v>0</v>
      </c>
      <c r="AE272" s="32"/>
      <c r="AF272" s="325">
        <f>'AVT187In(vn-A)'!AZ34</f>
        <v>0</v>
      </c>
      <c r="AG272" s="32"/>
      <c r="AH272" s="325">
        <f>'AVT187(vn-S)'!AZ42</f>
        <v>0</v>
      </c>
      <c r="AI272" s="32"/>
      <c r="AJ272" s="325">
        <f>'AVT187In(vn-S)'!AZ34</f>
        <v>0</v>
      </c>
      <c r="AK272" s="32"/>
      <c r="AL272" s="32"/>
      <c r="AM272" s="32"/>
      <c r="AN272" s="325">
        <f>'AVT-celny-101+187'!AZ48</f>
        <v>0</v>
      </c>
      <c r="AO272" s="32"/>
      <c r="AP272" s="32"/>
      <c r="AQ272" s="32"/>
      <c r="AR272" s="325">
        <f>'AVT-celny-2x187'!AZ38</f>
        <v>0</v>
      </c>
      <c r="AS272" s="32"/>
      <c r="AT272" s="325">
        <f>'AVT-celny-2x187In'!AZ32</f>
        <v>0</v>
      </c>
      <c r="AU272" s="32"/>
      <c r="AV272" s="325">
        <f>'potr-v101+187'!AZ48</f>
        <v>0</v>
      </c>
      <c r="AW272" s="32"/>
      <c r="AX272" s="325">
        <f>'potr-v101+187-IL'!AZ48</f>
        <v>0</v>
      </c>
      <c r="AY272" s="32"/>
      <c r="AZ272" s="32"/>
      <c r="BA272" s="32"/>
      <c r="BB272" s="32"/>
      <c r="BC272" s="32"/>
      <c r="BD272" s="32"/>
      <c r="BE272" s="32"/>
      <c r="BF272" s="32"/>
      <c r="BG272" s="32"/>
      <c r="BH272" s="32"/>
      <c r="BI272" s="32"/>
      <c r="BJ272" s="32"/>
      <c r="BK272" s="32"/>
      <c r="BL272" s="32"/>
      <c r="BM272" s="32"/>
      <c r="BN272" s="32"/>
      <c r="BO272" s="165"/>
      <c r="BP272" s="165"/>
      <c r="BQ272" s="165"/>
      <c r="BR272" s="165"/>
      <c r="BS272" s="165"/>
      <c r="BT272" s="165"/>
      <c r="BU272" s="165"/>
      <c r="BV272" s="55"/>
      <c r="BW272" s="160"/>
      <c r="BX272" s="32"/>
      <c r="BY272" s="24"/>
      <c r="BZ272" s="24"/>
      <c r="CA272" s="24"/>
      <c r="CB272" s="24"/>
      <c r="CC272" s="24"/>
      <c r="CD272" s="24"/>
      <c r="CE272" s="24"/>
    </row>
    <row r="273" spans="1:83" ht="15" customHeight="1">
      <c r="A273" s="4"/>
      <c r="B273" s="318">
        <f>CENY!B649</f>
        <v>9318198</v>
      </c>
      <c r="C273" s="43" t="str">
        <f>VLOOKUP(B273,CENY!$B$11:$G$1054,2,FALSE)</f>
        <v>Actro You(XL) 450/SiSy 70kg; EB21; ľavý</v>
      </c>
      <c r="D273" s="353">
        <f>VLOOKUP(B273,CENY!$B$11:$G$1054,3,FALSE)</f>
        <v>10</v>
      </c>
      <c r="E273" s="56" t="str">
        <f>IF(VLOOKUP(B273,CENY!$B$11:$G$1054,4,FALSE)=0,"",VLOOKUP(B273,CENY!$B$11:$G$1054,4,FALSE))</f>
        <v/>
      </c>
      <c r="F273" s="40" t="str">
        <f t="shared" si="60"/>
        <v/>
      </c>
      <c r="G273" s="52">
        <f>VLOOKUP(B273,CENY!$B$11:$M$1054,12,FALSE)</f>
        <v>368.62277</v>
      </c>
      <c r="H273" s="54" t="str">
        <f t="shared" si="55"/>
        <v xml:space="preserve"> CZK</v>
      </c>
      <c r="I273" s="41" t="str">
        <f t="shared" si="56"/>
        <v/>
      </c>
      <c r="J273" s="122"/>
      <c r="K273" s="42" t="str">
        <f>VLOOKUP(B273,CENY!$B$11:$M$1054,8,FALSE)</f>
        <v xml:space="preserve"> </v>
      </c>
      <c r="L273" s="42" t="str">
        <f>VLOOKUP(B273,CENY!$B$11:$M$1054,9,FALSE)</f>
        <v>397791</v>
      </c>
      <c r="M273" s="32"/>
      <c r="N273" s="35">
        <f t="shared" si="61"/>
        <v>0</v>
      </c>
      <c r="O273" s="36">
        <v>0</v>
      </c>
      <c r="P273" s="32"/>
      <c r="Q273" s="325">
        <f>'AVT101'!BI61</f>
        <v>0</v>
      </c>
      <c r="R273" s="32"/>
      <c r="S273" s="325">
        <f>'AVT139'!BI61</f>
        <v>0</v>
      </c>
      <c r="T273" s="32"/>
      <c r="U273" s="325">
        <f>'AVT187'!BI61</f>
        <v>0</v>
      </c>
      <c r="V273" s="32"/>
      <c r="W273" s="325">
        <f>'AVT251'!BI48</f>
        <v>0</v>
      </c>
      <c r="X273" s="32"/>
      <c r="Y273" s="325">
        <f>AVT187In!BI47</f>
        <v>0</v>
      </c>
      <c r="Z273" s="32"/>
      <c r="AA273" s="325">
        <f>'AVT101(vn-A)'!BI61</f>
        <v>0</v>
      </c>
      <c r="AB273" s="32"/>
      <c r="AC273" s="325">
        <f>'AVT139(vn-A)'!BI61</f>
        <v>0</v>
      </c>
      <c r="AD273" s="32"/>
      <c r="AE273" s="325">
        <f>'AVT187(vn-A)'!BI61</f>
        <v>0</v>
      </c>
      <c r="AF273" s="32"/>
      <c r="AG273" s="325">
        <f>'AVT187In(vn-A)'!BI47</f>
        <v>0</v>
      </c>
      <c r="AH273" s="32"/>
      <c r="AI273" s="325">
        <f>'AVT187(vn-S)'!BI61</f>
        <v>0</v>
      </c>
      <c r="AJ273" s="32"/>
      <c r="AK273" s="325">
        <f>'AVT187In(vn-S)'!BI47</f>
        <v>0</v>
      </c>
      <c r="AL273" s="32"/>
      <c r="AM273" s="325">
        <f>'AVT77'!BI31</f>
        <v>0</v>
      </c>
      <c r="AN273" s="32"/>
      <c r="AO273" s="325">
        <f>'AVT-celny-101+187'!BI74</f>
        <v>0</v>
      </c>
      <c r="AP273" s="32"/>
      <c r="AQ273" s="325">
        <f>'AVT-celny-139+187'!BI62</f>
        <v>0</v>
      </c>
      <c r="AR273" s="32"/>
      <c r="AS273" s="325">
        <f>'AVT-celny-2x187'!BI54</f>
        <v>0</v>
      </c>
      <c r="AT273" s="32"/>
      <c r="AU273" s="325">
        <f>'AVT-celny-2x187In'!BI44</f>
        <v>0</v>
      </c>
      <c r="AV273" s="32"/>
      <c r="AW273" s="325">
        <f>'potr-v101+187'!BI75</f>
        <v>0</v>
      </c>
      <c r="AX273" s="32"/>
      <c r="AY273" s="325">
        <f>'potr-v101+187-IL'!BI75</f>
        <v>0</v>
      </c>
      <c r="AZ273" s="32"/>
      <c r="BA273" s="32"/>
      <c r="BB273" s="32"/>
      <c r="BC273" s="32"/>
      <c r="BD273" s="32"/>
      <c r="BE273" s="32"/>
      <c r="BF273" s="32"/>
      <c r="BG273" s="32"/>
      <c r="BH273" s="32"/>
      <c r="BI273" s="32"/>
      <c r="BJ273" s="32"/>
      <c r="BK273" s="32"/>
      <c r="BL273" s="32"/>
      <c r="BM273" s="32"/>
      <c r="BN273" s="32"/>
      <c r="BO273" s="165"/>
      <c r="BP273" s="165"/>
      <c r="BQ273" s="165"/>
      <c r="BR273" s="165"/>
      <c r="BS273" s="165"/>
      <c r="BT273" s="165"/>
      <c r="BU273" s="165"/>
      <c r="BV273" s="55"/>
      <c r="BW273" s="160"/>
      <c r="BX273" s="32"/>
      <c r="BY273" s="24"/>
      <c r="BZ273" s="24"/>
      <c r="CA273" s="24"/>
      <c r="CB273" s="24"/>
      <c r="CC273" s="24"/>
      <c r="CD273" s="24"/>
      <c r="CE273" s="24"/>
    </row>
    <row r="274" spans="1:83" ht="15" customHeight="1">
      <c r="A274" s="4"/>
      <c r="B274" s="318">
        <f>CENY!B650</f>
        <v>9318199</v>
      </c>
      <c r="C274" s="43" t="str">
        <f>VLOOKUP(B274,CENY!$B$11:$G$1054,2,FALSE)</f>
        <v>Actro You(XL) 450/SiSy 70kg; EB21; pravý</v>
      </c>
      <c r="D274" s="353">
        <f>VLOOKUP(B274,CENY!$B$11:$G$1054,3,FALSE)</f>
        <v>10</v>
      </c>
      <c r="E274" s="56" t="str">
        <f>IF(VLOOKUP(B274,CENY!$B$11:$G$1054,4,FALSE)=0,"",VLOOKUP(B274,CENY!$B$11:$G$1054,4,FALSE))</f>
        <v/>
      </c>
      <c r="F274" s="40" t="str">
        <f t="shared" si="60"/>
        <v/>
      </c>
      <c r="G274" s="52">
        <f>VLOOKUP(B274,CENY!$B$11:$M$1054,12,FALSE)</f>
        <v>368.62277</v>
      </c>
      <c r="H274" s="54" t="str">
        <f t="shared" si="55"/>
        <v xml:space="preserve"> CZK</v>
      </c>
      <c r="I274" s="41" t="str">
        <f t="shared" si="56"/>
        <v/>
      </c>
      <c r="J274" s="122"/>
      <c r="K274" s="42" t="str">
        <f>VLOOKUP(B274,CENY!$B$11:$M$1054,8,FALSE)</f>
        <v xml:space="preserve"> </v>
      </c>
      <c r="L274" s="42" t="str">
        <f>VLOOKUP(B274,CENY!$B$11:$M$1054,9,FALSE)</f>
        <v>397792</v>
      </c>
      <c r="M274" s="32"/>
      <c r="N274" s="35">
        <f t="shared" si="61"/>
        <v>0</v>
      </c>
      <c r="O274" s="36">
        <v>0</v>
      </c>
      <c r="P274" s="32"/>
      <c r="Q274" s="325">
        <f>'AVT101'!BI62</f>
        <v>0</v>
      </c>
      <c r="R274" s="32"/>
      <c r="S274" s="325">
        <f>'AVT139'!BI62</f>
        <v>0</v>
      </c>
      <c r="T274" s="32"/>
      <c r="U274" s="325">
        <f>'AVT187'!BI62</f>
        <v>0</v>
      </c>
      <c r="V274" s="32"/>
      <c r="W274" s="325">
        <f>'AVT251'!BI49</f>
        <v>0</v>
      </c>
      <c r="X274" s="32"/>
      <c r="Y274" s="325">
        <f>AVT187In!BI48</f>
        <v>0</v>
      </c>
      <c r="Z274" s="32"/>
      <c r="AA274" s="325">
        <f>'AVT101(vn-A)'!BI62</f>
        <v>0</v>
      </c>
      <c r="AB274" s="32"/>
      <c r="AC274" s="325">
        <f>'AVT139(vn-A)'!BI62</f>
        <v>0</v>
      </c>
      <c r="AD274" s="32"/>
      <c r="AE274" s="325">
        <f>'AVT187(vn-A)'!BI62</f>
        <v>0</v>
      </c>
      <c r="AF274" s="32"/>
      <c r="AG274" s="325">
        <f>'AVT187In(vn-A)'!BI48</f>
        <v>0</v>
      </c>
      <c r="AH274" s="32"/>
      <c r="AI274" s="325">
        <f>'AVT187(vn-S)'!BI62</f>
        <v>0</v>
      </c>
      <c r="AJ274" s="32"/>
      <c r="AK274" s="325">
        <f>'AVT187In(vn-S)'!BI48</f>
        <v>0</v>
      </c>
      <c r="AL274" s="32"/>
      <c r="AM274" s="325">
        <f>'AVT77'!BI32</f>
        <v>0</v>
      </c>
      <c r="AN274" s="32"/>
      <c r="AO274" s="325">
        <f>'AVT-celny-101+187'!BI75</f>
        <v>0</v>
      </c>
      <c r="AP274" s="32"/>
      <c r="AQ274" s="325">
        <f>'AVT-celny-139+187'!BI63</f>
        <v>0</v>
      </c>
      <c r="AR274" s="32"/>
      <c r="AS274" s="325">
        <f>'AVT-celny-2x187'!BI55</f>
        <v>0</v>
      </c>
      <c r="AT274" s="32"/>
      <c r="AU274" s="325">
        <f>'AVT-celny-2x187In'!BI45</f>
        <v>0</v>
      </c>
      <c r="AV274" s="32"/>
      <c r="AW274" s="325">
        <f>'potr-v101+187'!BI76</f>
        <v>0</v>
      </c>
      <c r="AX274" s="32"/>
      <c r="AY274" s="325">
        <f>'potr-v101+187-IL'!BI76</f>
        <v>0</v>
      </c>
      <c r="AZ274" s="32"/>
      <c r="BA274" s="32"/>
      <c r="BB274" s="32"/>
      <c r="BC274" s="32"/>
      <c r="BD274" s="32"/>
      <c r="BE274" s="32"/>
      <c r="BF274" s="32"/>
      <c r="BG274" s="32"/>
      <c r="BH274" s="32"/>
      <c r="BI274" s="32"/>
      <c r="BJ274" s="32"/>
      <c r="BK274" s="32"/>
      <c r="BL274" s="32"/>
      <c r="BM274" s="32"/>
      <c r="BN274" s="32"/>
      <c r="BO274" s="165"/>
      <c r="BP274" s="165"/>
      <c r="BQ274" s="165"/>
      <c r="BR274" s="165"/>
      <c r="BS274" s="165"/>
      <c r="BT274" s="165"/>
      <c r="BU274" s="165"/>
      <c r="BV274" s="55"/>
      <c r="BW274" s="160"/>
      <c r="BX274" s="32"/>
      <c r="BY274" s="24"/>
      <c r="BZ274" s="24"/>
      <c r="CA274" s="24"/>
      <c r="CB274" s="24"/>
      <c r="CC274" s="24"/>
      <c r="CD274" s="24"/>
      <c r="CE274" s="24"/>
    </row>
    <row r="275" spans="1:83" ht="15" customHeight="1">
      <c r="A275" s="4"/>
      <c r="B275" s="318">
        <f>CENY!B651</f>
        <v>9318201</v>
      </c>
      <c r="C275" s="43" t="str">
        <f>VLOOKUP(B275,CENY!$B$11:$G$1054,2,FALSE)</f>
        <v>Actro You(XL) 500/SiSy 70kg; EB21; ľavý</v>
      </c>
      <c r="D275" s="353">
        <f>VLOOKUP(B275,CENY!$B$11:$G$1054,3,FALSE)</f>
        <v>10</v>
      </c>
      <c r="E275" s="56" t="str">
        <f>IF(VLOOKUP(B275,CENY!$B$11:$G$1054,4,FALSE)=0,"",VLOOKUP(B275,CENY!$B$11:$G$1054,4,FALSE))</f>
        <v/>
      </c>
      <c r="F275" s="40" t="str">
        <f t="shared" si="60"/>
        <v/>
      </c>
      <c r="G275" s="52">
        <f>VLOOKUP(B275,CENY!$B$11:$M$1054,12,FALSE)</f>
        <v>372.33726999999999</v>
      </c>
      <c r="H275" s="54" t="str">
        <f t="shared" si="55"/>
        <v xml:space="preserve"> CZK</v>
      </c>
      <c r="I275" s="41" t="str">
        <f t="shared" si="56"/>
        <v/>
      </c>
      <c r="J275" s="122"/>
      <c r="K275" s="42" t="str">
        <f>VLOOKUP(B275,CENY!$B$11:$M$1054,8,FALSE)</f>
        <v xml:space="preserve"> </v>
      </c>
      <c r="L275" s="42" t="str">
        <f>VLOOKUP(B275,CENY!$B$11:$M$1054,9,FALSE)</f>
        <v>397793</v>
      </c>
      <c r="M275" s="32"/>
      <c r="N275" s="35">
        <f t="shared" si="61"/>
        <v>0</v>
      </c>
      <c r="O275" s="36">
        <v>0</v>
      </c>
      <c r="P275" s="32"/>
      <c r="Q275" s="325">
        <f>'AVT101'!BI63</f>
        <v>0</v>
      </c>
      <c r="R275" s="32"/>
      <c r="S275" s="325">
        <f>'AVT139'!BI63</f>
        <v>0</v>
      </c>
      <c r="T275" s="32"/>
      <c r="U275" s="325">
        <f>'AVT187'!BI63</f>
        <v>0</v>
      </c>
      <c r="V275" s="32"/>
      <c r="W275" s="325">
        <f>'AVT251'!BI50</f>
        <v>0</v>
      </c>
      <c r="X275" s="32"/>
      <c r="Y275" s="325">
        <f>AVT187In!BI49</f>
        <v>0</v>
      </c>
      <c r="Z275" s="32"/>
      <c r="AA275" s="325">
        <f>'AVT101(vn-A)'!BI63</f>
        <v>0</v>
      </c>
      <c r="AB275" s="32"/>
      <c r="AC275" s="325">
        <f>'AVT139(vn-A)'!BI63</f>
        <v>0</v>
      </c>
      <c r="AD275" s="32"/>
      <c r="AE275" s="325">
        <f>'AVT187(vn-A)'!BI63</f>
        <v>0</v>
      </c>
      <c r="AF275" s="32"/>
      <c r="AG275" s="325">
        <f>'AVT187In(vn-A)'!BI49</f>
        <v>0</v>
      </c>
      <c r="AH275" s="32"/>
      <c r="AI275" s="325">
        <f>'AVT187(vn-S)'!BI63</f>
        <v>0</v>
      </c>
      <c r="AJ275" s="32"/>
      <c r="AK275" s="325">
        <f>'AVT187In(vn-S)'!BI49</f>
        <v>0</v>
      </c>
      <c r="AL275" s="32"/>
      <c r="AM275" s="325">
        <f>'AVT77'!BI33</f>
        <v>0</v>
      </c>
      <c r="AN275" s="32"/>
      <c r="AO275" s="325">
        <f>'AVT-celny-101+187'!BI76</f>
        <v>0</v>
      </c>
      <c r="AP275" s="32"/>
      <c r="AQ275" s="325">
        <f>'AVT-celny-139+187'!BI64</f>
        <v>0</v>
      </c>
      <c r="AR275" s="32"/>
      <c r="AS275" s="325">
        <f>'AVT-celny-2x187'!BI56</f>
        <v>0</v>
      </c>
      <c r="AT275" s="32"/>
      <c r="AU275" s="325">
        <f>'AVT-celny-2x187In'!BI46</f>
        <v>0</v>
      </c>
      <c r="AV275" s="32"/>
      <c r="AW275" s="325">
        <f>'potr-v101+187'!BI77</f>
        <v>0</v>
      </c>
      <c r="AX275" s="32"/>
      <c r="AY275" s="325">
        <f>'potr-v101+187-IL'!BI77</f>
        <v>0</v>
      </c>
      <c r="AZ275" s="32"/>
      <c r="BA275" s="32"/>
      <c r="BB275" s="32"/>
      <c r="BC275" s="32"/>
      <c r="BD275" s="32"/>
      <c r="BE275" s="32"/>
      <c r="BF275" s="32"/>
      <c r="BG275" s="32"/>
      <c r="BH275" s="32"/>
      <c r="BI275" s="32"/>
      <c r="BJ275" s="32"/>
      <c r="BK275" s="32"/>
      <c r="BL275" s="32"/>
      <c r="BM275" s="32"/>
      <c r="BN275" s="32"/>
      <c r="BO275" s="165"/>
      <c r="BP275" s="165"/>
      <c r="BQ275" s="165"/>
      <c r="BR275" s="165"/>
      <c r="BS275" s="165"/>
      <c r="BT275" s="165"/>
      <c r="BU275" s="165"/>
      <c r="BV275" s="55"/>
      <c r="BW275" s="160"/>
      <c r="BX275" s="32"/>
      <c r="BY275" s="24"/>
      <c r="BZ275" s="24"/>
      <c r="CA275" s="24"/>
      <c r="CB275" s="24"/>
      <c r="CC275" s="24"/>
      <c r="CD275" s="24"/>
      <c r="CE275" s="24"/>
    </row>
    <row r="276" spans="1:83" ht="15" customHeight="1">
      <c r="A276" s="4"/>
      <c r="B276" s="318">
        <f>CENY!B652</f>
        <v>9318203</v>
      </c>
      <c r="C276" s="43" t="str">
        <f>VLOOKUP(B276,CENY!$B$11:$G$1054,2,FALSE)</f>
        <v>Actro You(XL) 500/SiSy 70kg; EB21; pravý</v>
      </c>
      <c r="D276" s="353">
        <f>VLOOKUP(B276,CENY!$B$11:$G$1054,3,FALSE)</f>
        <v>10</v>
      </c>
      <c r="E276" s="56" t="str">
        <f>IF(VLOOKUP(B276,CENY!$B$11:$G$1054,4,FALSE)=0,"",VLOOKUP(B276,CENY!$B$11:$G$1054,4,FALSE))</f>
        <v/>
      </c>
      <c r="F276" s="40" t="str">
        <f t="shared" si="60"/>
        <v/>
      </c>
      <c r="G276" s="52">
        <f>VLOOKUP(B276,CENY!$B$11:$M$1054,12,FALSE)</f>
        <v>372.33726999999999</v>
      </c>
      <c r="H276" s="54" t="str">
        <f t="shared" si="55"/>
        <v xml:space="preserve"> CZK</v>
      </c>
      <c r="I276" s="41" t="str">
        <f t="shared" si="56"/>
        <v/>
      </c>
      <c r="J276" s="122"/>
      <c r="K276" s="42" t="str">
        <f>VLOOKUP(B276,CENY!$B$11:$M$1054,8,FALSE)</f>
        <v xml:space="preserve"> </v>
      </c>
      <c r="L276" s="42" t="str">
        <f>VLOOKUP(B276,CENY!$B$11:$M$1054,9,FALSE)</f>
        <v>397794</v>
      </c>
      <c r="M276" s="32"/>
      <c r="N276" s="35">
        <f t="shared" si="61"/>
        <v>0</v>
      </c>
      <c r="O276" s="36">
        <v>0</v>
      </c>
      <c r="P276" s="32"/>
      <c r="Q276" s="325">
        <f>'AVT101'!BI64</f>
        <v>0</v>
      </c>
      <c r="R276" s="32"/>
      <c r="S276" s="325">
        <f>'AVT139'!BI64</f>
        <v>0</v>
      </c>
      <c r="T276" s="32"/>
      <c r="U276" s="325">
        <f>'AVT187'!BI64</f>
        <v>0</v>
      </c>
      <c r="V276" s="32"/>
      <c r="W276" s="325">
        <f>'AVT251'!BI51</f>
        <v>0</v>
      </c>
      <c r="X276" s="32"/>
      <c r="Y276" s="325">
        <f>AVT187In!BI50</f>
        <v>0</v>
      </c>
      <c r="Z276" s="32"/>
      <c r="AA276" s="325">
        <f>'AVT101(vn-A)'!BI64</f>
        <v>0</v>
      </c>
      <c r="AB276" s="32"/>
      <c r="AC276" s="325">
        <f>'AVT139(vn-A)'!BI64</f>
        <v>0</v>
      </c>
      <c r="AD276" s="32"/>
      <c r="AE276" s="325">
        <f>'AVT187(vn-A)'!BI64</f>
        <v>0</v>
      </c>
      <c r="AF276" s="32"/>
      <c r="AG276" s="325">
        <f>'AVT187In(vn-A)'!BI50</f>
        <v>0</v>
      </c>
      <c r="AH276" s="32"/>
      <c r="AI276" s="325">
        <f>'AVT187(vn-S)'!BI64</f>
        <v>0</v>
      </c>
      <c r="AJ276" s="32"/>
      <c r="AK276" s="325">
        <f>'AVT187In(vn-S)'!BI50</f>
        <v>0</v>
      </c>
      <c r="AL276" s="32"/>
      <c r="AM276" s="325">
        <f>'AVT77'!BI34</f>
        <v>0</v>
      </c>
      <c r="AN276" s="32"/>
      <c r="AO276" s="325">
        <f>'AVT-celny-101+187'!BI77</f>
        <v>0</v>
      </c>
      <c r="AP276" s="32"/>
      <c r="AQ276" s="325">
        <f>'AVT-celny-139+187'!BI65</f>
        <v>0</v>
      </c>
      <c r="AR276" s="32"/>
      <c r="AS276" s="325">
        <f>'AVT-celny-2x187'!BI57</f>
        <v>0</v>
      </c>
      <c r="AT276" s="32"/>
      <c r="AU276" s="325">
        <f>'AVT-celny-2x187In'!BI47</f>
        <v>0</v>
      </c>
      <c r="AV276" s="32"/>
      <c r="AW276" s="325">
        <f>'potr-v101+187'!BI78</f>
        <v>0</v>
      </c>
      <c r="AX276" s="32"/>
      <c r="AY276" s="325">
        <f>'potr-v101+187-IL'!BI78</f>
        <v>0</v>
      </c>
      <c r="AZ276" s="32"/>
      <c r="BA276" s="32"/>
      <c r="BB276" s="32"/>
      <c r="BC276" s="32"/>
      <c r="BD276" s="32"/>
      <c r="BE276" s="32"/>
      <c r="BF276" s="32"/>
      <c r="BG276" s="32"/>
      <c r="BH276" s="32"/>
      <c r="BI276" s="32"/>
      <c r="BJ276" s="32"/>
      <c r="BK276" s="32"/>
      <c r="BL276" s="32"/>
      <c r="BM276" s="32"/>
      <c r="BN276" s="32"/>
      <c r="BO276" s="165"/>
      <c r="BP276" s="165"/>
      <c r="BQ276" s="165"/>
      <c r="BR276" s="165"/>
      <c r="BS276" s="165"/>
      <c r="BT276" s="165"/>
      <c r="BU276" s="165"/>
      <c r="BV276" s="55"/>
      <c r="BW276" s="160"/>
      <c r="BX276" s="32"/>
      <c r="BY276" s="24"/>
      <c r="BZ276" s="24"/>
      <c r="CA276" s="24"/>
      <c r="CB276" s="24"/>
      <c r="CC276" s="24"/>
      <c r="CD276" s="24"/>
      <c r="CE276" s="24"/>
    </row>
    <row r="277" spans="1:83" ht="15" customHeight="1">
      <c r="A277" s="4"/>
      <c r="B277" s="318">
        <f>CENY!B653</f>
        <v>9318208</v>
      </c>
      <c r="C277" s="43" t="str">
        <f>VLOOKUP(B277,CENY!$B$11:$G$1054,2,FALSE)</f>
        <v>Actro You(XL) 550/SiSy 70kg; EB21; ľavý</v>
      </c>
      <c r="D277" s="353">
        <f>VLOOKUP(B277,CENY!$B$11:$G$1054,3,FALSE)</f>
        <v>10</v>
      </c>
      <c r="E277" s="56" t="str">
        <f>IF(VLOOKUP(B277,CENY!$B$11:$G$1054,4,FALSE)=0,"",VLOOKUP(B277,CENY!$B$11:$G$1054,4,FALSE))</f>
        <v/>
      </c>
      <c r="F277" s="40" t="str">
        <f t="shared" si="60"/>
        <v/>
      </c>
      <c r="G277" s="52">
        <f>VLOOKUP(B277,CENY!$B$11:$M$1054,12,FALSE)</f>
        <v>392.11943000000002</v>
      </c>
      <c r="H277" s="54" t="str">
        <f t="shared" si="55"/>
        <v xml:space="preserve"> CZK</v>
      </c>
      <c r="I277" s="41" t="str">
        <f t="shared" si="56"/>
        <v/>
      </c>
      <c r="J277" s="122"/>
      <c r="K277" s="42" t="str">
        <f>VLOOKUP(B277,CENY!$B$11:$M$1054,8,FALSE)</f>
        <v xml:space="preserve"> </v>
      </c>
      <c r="L277" s="42" t="str">
        <f>VLOOKUP(B277,CENY!$B$11:$M$1054,9,FALSE)</f>
        <v>397795</v>
      </c>
      <c r="M277" s="32"/>
      <c r="N277" s="35">
        <f t="shared" si="61"/>
        <v>0</v>
      </c>
      <c r="O277" s="36">
        <v>0</v>
      </c>
      <c r="P277" s="32"/>
      <c r="Q277" s="325">
        <f>'AVT101'!BI65</f>
        <v>0</v>
      </c>
      <c r="R277" s="32"/>
      <c r="S277" s="325">
        <f>'AVT139'!BI65</f>
        <v>0</v>
      </c>
      <c r="T277" s="32"/>
      <c r="U277" s="325">
        <f>'AVT187'!BI65</f>
        <v>0</v>
      </c>
      <c r="V277" s="32"/>
      <c r="W277" s="325">
        <f>'AVT251'!BI52</f>
        <v>0</v>
      </c>
      <c r="X277" s="32"/>
      <c r="Y277" s="325">
        <f>AVT187In!BI51</f>
        <v>0</v>
      </c>
      <c r="Z277" s="32"/>
      <c r="AA277" s="325">
        <f>'AVT101(vn-A)'!BI65</f>
        <v>0</v>
      </c>
      <c r="AB277" s="32"/>
      <c r="AC277" s="325">
        <f>'AVT139(vn-A)'!BI65</f>
        <v>0</v>
      </c>
      <c r="AD277" s="32"/>
      <c r="AE277" s="325">
        <f>'AVT187(vn-A)'!BI65</f>
        <v>0</v>
      </c>
      <c r="AF277" s="32"/>
      <c r="AG277" s="325">
        <f>'AVT187In(vn-A)'!BI51</f>
        <v>0</v>
      </c>
      <c r="AH277" s="32"/>
      <c r="AI277" s="325">
        <f>'AVT187(vn-S)'!BI65</f>
        <v>0</v>
      </c>
      <c r="AJ277" s="32"/>
      <c r="AK277" s="325">
        <f>'AVT187In(vn-S)'!BI51</f>
        <v>0</v>
      </c>
      <c r="AL277" s="32"/>
      <c r="AM277" s="325">
        <f>'AVT77'!BI35</f>
        <v>0</v>
      </c>
      <c r="AN277" s="32"/>
      <c r="AO277" s="325">
        <f>'AVT-celny-101+187'!BI78</f>
        <v>0</v>
      </c>
      <c r="AP277" s="32"/>
      <c r="AQ277" s="325">
        <f>'AVT-celny-139+187'!BI66</f>
        <v>0</v>
      </c>
      <c r="AR277" s="32"/>
      <c r="AS277" s="325">
        <f>'AVT-celny-2x187'!BI58</f>
        <v>0</v>
      </c>
      <c r="AT277" s="32"/>
      <c r="AU277" s="325">
        <f>'AVT-celny-2x187In'!BI48</f>
        <v>0</v>
      </c>
      <c r="AV277" s="32"/>
      <c r="AW277" s="325">
        <f>'potr-v101+187'!BI79</f>
        <v>0</v>
      </c>
      <c r="AX277" s="32"/>
      <c r="AY277" s="325">
        <f>'potr-v101+187-IL'!BI79</f>
        <v>0</v>
      </c>
      <c r="AZ277" s="32"/>
      <c r="BA277" s="32"/>
      <c r="BB277" s="32"/>
      <c r="BC277" s="32"/>
      <c r="BD277" s="32"/>
      <c r="BE277" s="32"/>
      <c r="BF277" s="32"/>
      <c r="BG277" s="32"/>
      <c r="BH277" s="32"/>
      <c r="BI277" s="32"/>
      <c r="BJ277" s="32"/>
      <c r="BK277" s="32"/>
      <c r="BL277" s="32"/>
      <c r="BM277" s="32"/>
      <c r="BN277" s="32"/>
      <c r="BO277" s="165"/>
      <c r="BP277" s="165"/>
      <c r="BQ277" s="165"/>
      <c r="BR277" s="165"/>
      <c r="BS277" s="165"/>
      <c r="BT277" s="165"/>
      <c r="BU277" s="165"/>
      <c r="BV277" s="55"/>
      <c r="BW277" s="160"/>
      <c r="BX277" s="32"/>
      <c r="BY277" s="24"/>
      <c r="BZ277" s="24"/>
      <c r="CA277" s="24"/>
      <c r="CB277" s="24"/>
      <c r="CC277" s="24"/>
      <c r="CD277" s="24"/>
      <c r="CE277" s="24"/>
    </row>
    <row r="278" spans="1:83" ht="15" customHeight="1">
      <c r="A278" s="4"/>
      <c r="B278" s="318">
        <f>CENY!B654</f>
        <v>9318209</v>
      </c>
      <c r="C278" s="43" t="str">
        <f>VLOOKUP(B278,CENY!$B$11:$G$1054,2,FALSE)</f>
        <v>Actro You(XL) 550/SiSy 70kg; EB21; pravý</v>
      </c>
      <c r="D278" s="353">
        <f>VLOOKUP(B278,CENY!$B$11:$G$1054,3,FALSE)</f>
        <v>10</v>
      </c>
      <c r="E278" s="56" t="str">
        <f>IF(VLOOKUP(B278,CENY!$B$11:$G$1054,4,FALSE)=0,"",VLOOKUP(B278,CENY!$B$11:$G$1054,4,FALSE))</f>
        <v/>
      </c>
      <c r="F278" s="40" t="str">
        <f t="shared" si="60"/>
        <v/>
      </c>
      <c r="G278" s="52">
        <f>VLOOKUP(B278,CENY!$B$11:$M$1054,12,FALSE)</f>
        <v>392.11943000000002</v>
      </c>
      <c r="H278" s="54" t="str">
        <f t="shared" si="55"/>
        <v xml:space="preserve"> CZK</v>
      </c>
      <c r="I278" s="41" t="str">
        <f t="shared" si="56"/>
        <v/>
      </c>
      <c r="J278" s="122"/>
      <c r="K278" s="42" t="str">
        <f>VLOOKUP(B278,CENY!$B$11:$M$1054,8,FALSE)</f>
        <v xml:space="preserve"> </v>
      </c>
      <c r="L278" s="42" t="str">
        <f>VLOOKUP(B278,CENY!$B$11:$M$1054,9,FALSE)</f>
        <v>397796</v>
      </c>
      <c r="M278" s="32"/>
      <c r="N278" s="35">
        <f t="shared" si="61"/>
        <v>0</v>
      </c>
      <c r="O278" s="36">
        <v>0</v>
      </c>
      <c r="P278" s="32"/>
      <c r="Q278" s="325">
        <f>'AVT101'!BI66</f>
        <v>0</v>
      </c>
      <c r="R278" s="32"/>
      <c r="S278" s="325">
        <f>'AVT139'!BI66</f>
        <v>0</v>
      </c>
      <c r="T278" s="32"/>
      <c r="U278" s="325">
        <f>'AVT187'!BI66</f>
        <v>0</v>
      </c>
      <c r="V278" s="32"/>
      <c r="W278" s="325">
        <f>'AVT251'!BI53</f>
        <v>0</v>
      </c>
      <c r="X278" s="32"/>
      <c r="Y278" s="325">
        <f>AVT187In!BI52</f>
        <v>0</v>
      </c>
      <c r="Z278" s="32"/>
      <c r="AA278" s="325">
        <f>'AVT101(vn-A)'!BI66</f>
        <v>0</v>
      </c>
      <c r="AB278" s="32"/>
      <c r="AC278" s="325">
        <f>'AVT139(vn-A)'!BI66</f>
        <v>0</v>
      </c>
      <c r="AD278" s="32"/>
      <c r="AE278" s="325">
        <f>'AVT187(vn-A)'!BI66</f>
        <v>0</v>
      </c>
      <c r="AF278" s="32"/>
      <c r="AG278" s="325">
        <f>'AVT187In(vn-A)'!BI52</f>
        <v>0</v>
      </c>
      <c r="AH278" s="32"/>
      <c r="AI278" s="325">
        <f>'AVT187(vn-S)'!BI66</f>
        <v>0</v>
      </c>
      <c r="AJ278" s="32"/>
      <c r="AK278" s="325">
        <f>'AVT187In(vn-S)'!BI52</f>
        <v>0</v>
      </c>
      <c r="AL278" s="32"/>
      <c r="AM278" s="325">
        <f>'AVT77'!BI36</f>
        <v>0</v>
      </c>
      <c r="AN278" s="32"/>
      <c r="AO278" s="325">
        <f>'AVT-celny-101+187'!BI79</f>
        <v>0</v>
      </c>
      <c r="AP278" s="32"/>
      <c r="AQ278" s="325">
        <f>'AVT-celny-139+187'!BI67</f>
        <v>0</v>
      </c>
      <c r="AR278" s="32"/>
      <c r="AS278" s="325">
        <f>'AVT-celny-2x187'!BI59</f>
        <v>0</v>
      </c>
      <c r="AT278" s="32"/>
      <c r="AU278" s="325">
        <f>'AVT-celny-2x187In'!BI49</f>
        <v>0</v>
      </c>
      <c r="AV278" s="32"/>
      <c r="AW278" s="325">
        <f>'potr-v101+187'!BI80</f>
        <v>0</v>
      </c>
      <c r="AX278" s="32"/>
      <c r="AY278" s="325">
        <f>'potr-v101+187-IL'!BI80</f>
        <v>0</v>
      </c>
      <c r="AZ278" s="32"/>
      <c r="BA278" s="32"/>
      <c r="BB278" s="32"/>
      <c r="BC278" s="32"/>
      <c r="BD278" s="32"/>
      <c r="BE278" s="32"/>
      <c r="BF278" s="32"/>
      <c r="BG278" s="32"/>
      <c r="BH278" s="32"/>
      <c r="BI278" s="32"/>
      <c r="BJ278" s="32"/>
      <c r="BK278" s="32"/>
      <c r="BL278" s="32"/>
      <c r="BM278" s="32"/>
      <c r="BN278" s="32"/>
      <c r="BO278" s="165"/>
      <c r="BP278" s="165"/>
      <c r="BQ278" s="165"/>
      <c r="BR278" s="165"/>
      <c r="BS278" s="165"/>
      <c r="BT278" s="165"/>
      <c r="BU278" s="165"/>
      <c r="BV278" s="55"/>
      <c r="BW278" s="160"/>
      <c r="BX278" s="32"/>
      <c r="BY278" s="24"/>
      <c r="BZ278" s="24"/>
      <c r="CA278" s="24"/>
      <c r="CB278" s="24"/>
      <c r="CC278" s="24"/>
      <c r="CD278" s="24"/>
      <c r="CE278" s="24"/>
    </row>
    <row r="279" spans="1:83" ht="15" customHeight="1">
      <c r="A279" s="4"/>
      <c r="B279" s="318">
        <f>CENY!B655</f>
        <v>9318211</v>
      </c>
      <c r="C279" s="43" t="str">
        <f>VLOOKUP(B279,CENY!$B$11:$G$1054,2,FALSE)</f>
        <v>Actro You(XL) 600/SiSy 70kg; EB21; ľavý</v>
      </c>
      <c r="D279" s="353">
        <f>VLOOKUP(B279,CENY!$B$11:$G$1054,3,FALSE)</f>
        <v>10</v>
      </c>
      <c r="E279" s="56" t="str">
        <f>IF(VLOOKUP(B279,CENY!$B$11:$G$1054,4,FALSE)=0,"",VLOOKUP(B279,CENY!$B$11:$G$1054,4,FALSE))</f>
        <v/>
      </c>
      <c r="F279" s="40" t="str">
        <f t="shared" si="60"/>
        <v/>
      </c>
      <c r="G279" s="52">
        <f>VLOOKUP(B279,CENY!$B$11:$M$1054,12,FALSE)</f>
        <v>443.89010999999999</v>
      </c>
      <c r="H279" s="54" t="str">
        <f t="shared" si="55"/>
        <v xml:space="preserve"> CZK</v>
      </c>
      <c r="I279" s="41" t="str">
        <f t="shared" si="56"/>
        <v/>
      </c>
      <c r="J279" s="122"/>
      <c r="K279" s="42" t="str">
        <f>VLOOKUP(B279,CENY!$B$11:$M$1054,8,FALSE)</f>
        <v xml:space="preserve"> </v>
      </c>
      <c r="L279" s="42" t="str">
        <f>VLOOKUP(B279,CENY!$B$11:$M$1054,9,FALSE)</f>
        <v>398924</v>
      </c>
      <c r="M279" s="32"/>
      <c r="N279" s="35">
        <f t="shared" si="61"/>
        <v>0</v>
      </c>
      <c r="O279" s="36">
        <v>0</v>
      </c>
      <c r="P279" s="32"/>
      <c r="Q279" s="325">
        <f>'AVT101'!BI67</f>
        <v>0</v>
      </c>
      <c r="R279" s="32"/>
      <c r="S279" s="325">
        <f>'AVT139'!BI67</f>
        <v>0</v>
      </c>
      <c r="T279" s="32"/>
      <c r="U279" s="325">
        <f>'AVT187'!BI67</f>
        <v>0</v>
      </c>
      <c r="V279" s="32"/>
      <c r="W279" s="325">
        <f>'AVT251'!BI54</f>
        <v>0</v>
      </c>
      <c r="X279" s="32"/>
      <c r="Y279" s="325">
        <f>AVT187In!BI53</f>
        <v>0</v>
      </c>
      <c r="Z279" s="32"/>
      <c r="AA279" s="325">
        <f>'AVT101(vn-A)'!BI67</f>
        <v>0</v>
      </c>
      <c r="AB279" s="32"/>
      <c r="AC279" s="325">
        <f>'AVT139(vn-A)'!BI67</f>
        <v>0</v>
      </c>
      <c r="AD279" s="32"/>
      <c r="AE279" s="325">
        <f>'AVT187(vn-A)'!BI67</f>
        <v>0</v>
      </c>
      <c r="AF279" s="32"/>
      <c r="AG279" s="325">
        <f>'AVT187In(vn-A)'!BI53</f>
        <v>0</v>
      </c>
      <c r="AH279" s="32"/>
      <c r="AI279" s="325">
        <f>'AVT187(vn-S)'!BI67</f>
        <v>0</v>
      </c>
      <c r="AJ279" s="32"/>
      <c r="AK279" s="325">
        <f>'AVT187In(vn-S)'!BI53</f>
        <v>0</v>
      </c>
      <c r="AL279" s="32"/>
      <c r="AM279" s="32"/>
      <c r="AN279" s="32"/>
      <c r="AO279" s="325">
        <f>'AVT-celny-101+187'!BI80</f>
        <v>0</v>
      </c>
      <c r="AP279" s="32"/>
      <c r="AQ279" s="325">
        <f>'AVT-celny-139+187'!BI68</f>
        <v>0</v>
      </c>
      <c r="AR279" s="32"/>
      <c r="AS279" s="325">
        <f>'AVT-celny-2x187'!BI60</f>
        <v>0</v>
      </c>
      <c r="AT279" s="32"/>
      <c r="AU279" s="325">
        <f>'AVT-celny-2x187In'!BI50</f>
        <v>0</v>
      </c>
      <c r="AV279" s="32"/>
      <c r="AW279" s="325">
        <f>'potr-v101+187'!BI81</f>
        <v>0</v>
      </c>
      <c r="AX279" s="32"/>
      <c r="AY279" s="325">
        <f>'potr-v101+187-IL'!BI81</f>
        <v>0</v>
      </c>
      <c r="AZ279" s="32"/>
      <c r="BA279" s="32"/>
      <c r="BB279" s="32"/>
      <c r="BC279" s="32"/>
      <c r="BD279" s="32"/>
      <c r="BE279" s="32"/>
      <c r="BF279" s="32"/>
      <c r="BG279" s="32"/>
      <c r="BH279" s="32"/>
      <c r="BI279" s="32"/>
      <c r="BJ279" s="32"/>
      <c r="BK279" s="32"/>
      <c r="BL279" s="32"/>
      <c r="BM279" s="32"/>
      <c r="BN279" s="32"/>
      <c r="BO279" s="165"/>
      <c r="BP279" s="165"/>
      <c r="BQ279" s="165"/>
      <c r="BR279" s="165"/>
      <c r="BS279" s="165"/>
      <c r="BT279" s="165"/>
      <c r="BU279" s="165"/>
      <c r="BV279" s="55"/>
      <c r="BW279" s="160"/>
      <c r="BX279" s="32"/>
      <c r="BY279" s="24"/>
      <c r="BZ279" s="24"/>
      <c r="CA279" s="24"/>
      <c r="CB279" s="24"/>
      <c r="CC279" s="24"/>
      <c r="CD279" s="24"/>
      <c r="CE279" s="24"/>
    </row>
    <row r="280" spans="1:83" ht="15" customHeight="1">
      <c r="A280" s="4"/>
      <c r="B280" s="318">
        <f>CENY!B656</f>
        <v>9318212</v>
      </c>
      <c r="C280" s="43" t="str">
        <f>VLOOKUP(B280,CENY!$B$11:$G$1054,2,FALSE)</f>
        <v>Actro You(XL) 600/SiSy 70kg; EB21; pravý</v>
      </c>
      <c r="D280" s="353">
        <f>VLOOKUP(B280,CENY!$B$11:$G$1054,3,FALSE)</f>
        <v>10</v>
      </c>
      <c r="E280" s="56" t="str">
        <f>IF(VLOOKUP(B280,CENY!$B$11:$G$1054,4,FALSE)=0,"",VLOOKUP(B280,CENY!$B$11:$G$1054,4,FALSE))</f>
        <v/>
      </c>
      <c r="F280" s="40" t="str">
        <f t="shared" si="60"/>
        <v/>
      </c>
      <c r="G280" s="52">
        <f>VLOOKUP(B280,CENY!$B$11:$M$1054,12,FALSE)</f>
        <v>443.89010999999999</v>
      </c>
      <c r="H280" s="54" t="str">
        <f t="shared" si="55"/>
        <v xml:space="preserve"> CZK</v>
      </c>
      <c r="I280" s="41" t="str">
        <f t="shared" si="56"/>
        <v/>
      </c>
      <c r="J280" s="122"/>
      <c r="K280" s="42" t="str">
        <f>VLOOKUP(B280,CENY!$B$11:$M$1054,8,FALSE)</f>
        <v xml:space="preserve"> </v>
      </c>
      <c r="L280" s="42" t="str">
        <f>VLOOKUP(B280,CENY!$B$11:$M$1054,9,FALSE)</f>
        <v>398925</v>
      </c>
      <c r="M280" s="32"/>
      <c r="N280" s="35">
        <f t="shared" si="61"/>
        <v>0</v>
      </c>
      <c r="O280" s="36">
        <v>0</v>
      </c>
      <c r="P280" s="32"/>
      <c r="Q280" s="325">
        <f>'AVT101'!BI68</f>
        <v>0</v>
      </c>
      <c r="R280" s="32"/>
      <c r="S280" s="325">
        <f>'AVT139'!BI68</f>
        <v>0</v>
      </c>
      <c r="T280" s="32"/>
      <c r="U280" s="325">
        <f>'AVT187'!BI68</f>
        <v>0</v>
      </c>
      <c r="V280" s="32"/>
      <c r="W280" s="325">
        <f>'AVT251'!BI55</f>
        <v>0</v>
      </c>
      <c r="X280" s="32"/>
      <c r="Y280" s="325">
        <f>AVT187In!BI54</f>
        <v>0</v>
      </c>
      <c r="Z280" s="32"/>
      <c r="AA280" s="325">
        <f>'AVT101(vn-A)'!BI68</f>
        <v>0</v>
      </c>
      <c r="AB280" s="32"/>
      <c r="AC280" s="325">
        <f>'AVT139(vn-A)'!BI68</f>
        <v>0</v>
      </c>
      <c r="AD280" s="32"/>
      <c r="AE280" s="325">
        <f>'AVT187(vn-A)'!BI68</f>
        <v>0</v>
      </c>
      <c r="AF280" s="32"/>
      <c r="AG280" s="325">
        <f>'AVT187In(vn-A)'!BI54</f>
        <v>0</v>
      </c>
      <c r="AH280" s="32"/>
      <c r="AI280" s="325">
        <f>'AVT187(vn-S)'!BI68</f>
        <v>0</v>
      </c>
      <c r="AJ280" s="32"/>
      <c r="AK280" s="325">
        <f>'AVT187In(vn-S)'!BI54</f>
        <v>0</v>
      </c>
      <c r="AL280" s="32"/>
      <c r="AM280" s="32"/>
      <c r="AN280" s="32"/>
      <c r="AO280" s="325">
        <f>'AVT-celny-101+187'!BI81</f>
        <v>0</v>
      </c>
      <c r="AP280" s="32"/>
      <c r="AQ280" s="325">
        <f>'AVT-celny-139+187'!BI69</f>
        <v>0</v>
      </c>
      <c r="AR280" s="32"/>
      <c r="AS280" s="325">
        <f>'AVT-celny-2x187'!BI61</f>
        <v>0</v>
      </c>
      <c r="AT280" s="32"/>
      <c r="AU280" s="325">
        <f>'AVT-celny-2x187In'!BI51</f>
        <v>0</v>
      </c>
      <c r="AV280" s="32"/>
      <c r="AW280" s="325">
        <f>'potr-v101+187'!BI82</f>
        <v>0</v>
      </c>
      <c r="AX280" s="32"/>
      <c r="AY280" s="325">
        <f>'potr-v101+187-IL'!BI82</f>
        <v>0</v>
      </c>
      <c r="AZ280" s="32"/>
      <c r="BA280" s="32"/>
      <c r="BB280" s="32"/>
      <c r="BC280" s="32"/>
      <c r="BD280" s="32"/>
      <c r="BE280" s="32"/>
      <c r="BF280" s="32"/>
      <c r="BG280" s="32"/>
      <c r="BH280" s="32"/>
      <c r="BI280" s="32"/>
      <c r="BJ280" s="32"/>
      <c r="BK280" s="32"/>
      <c r="BL280" s="32"/>
      <c r="BM280" s="32"/>
      <c r="BN280" s="32"/>
      <c r="BO280" s="165"/>
      <c r="BP280" s="165"/>
      <c r="BQ280" s="165"/>
      <c r="BR280" s="165"/>
      <c r="BS280" s="165"/>
      <c r="BT280" s="165"/>
      <c r="BU280" s="165"/>
      <c r="BV280" s="55"/>
      <c r="BW280" s="160"/>
      <c r="BX280" s="32"/>
      <c r="BY280" s="24"/>
      <c r="BZ280" s="24"/>
      <c r="CA280" s="24"/>
      <c r="CB280" s="24"/>
      <c r="CC280" s="24"/>
      <c r="CD280" s="24"/>
      <c r="CE280" s="24"/>
    </row>
    <row r="281" spans="1:83" ht="15" customHeight="1">
      <c r="A281" s="4"/>
      <c r="B281" s="318">
        <f>CENY!B657</f>
        <v>9318213</v>
      </c>
      <c r="C281" s="43" t="str">
        <f>VLOOKUP(B281,CENY!$B$11:$G$1054,2,FALSE)</f>
        <v>Actro You(XL) 650/SiSy 70kg; EB21; ľavý</v>
      </c>
      <c r="D281" s="353">
        <f>VLOOKUP(B281,CENY!$B$11:$G$1054,3,FALSE)</f>
        <v>5</v>
      </c>
      <c r="E281" s="56" t="str">
        <f>IF(VLOOKUP(B281,CENY!$B$11:$G$1054,4,FALSE)=0,"",VLOOKUP(B281,CENY!$B$11:$G$1054,4,FALSE))</f>
        <v/>
      </c>
      <c r="F281" s="40" t="str">
        <f t="shared" si="60"/>
        <v/>
      </c>
      <c r="G281" s="52">
        <f>VLOOKUP(B281,CENY!$B$11:$M$1054,12,FALSE)</f>
        <v>462.41142000000002</v>
      </c>
      <c r="H281" s="54" t="str">
        <f t="shared" si="55"/>
        <v xml:space="preserve"> CZK</v>
      </c>
      <c r="I281" s="41" t="str">
        <f t="shared" si="56"/>
        <v/>
      </c>
      <c r="J281" s="122"/>
      <c r="K281" s="42" t="str">
        <f>VLOOKUP(B281,CENY!$B$11:$M$1054,8,FALSE)</f>
        <v xml:space="preserve"> </v>
      </c>
      <c r="L281" s="42" t="str">
        <f>VLOOKUP(B281,CENY!$B$11:$M$1054,9,FALSE)</f>
        <v>397797</v>
      </c>
      <c r="M281" s="32"/>
      <c r="N281" s="35">
        <f t="shared" si="61"/>
        <v>0</v>
      </c>
      <c r="O281" s="36">
        <v>0</v>
      </c>
      <c r="P281" s="32"/>
      <c r="Q281" s="325">
        <f>'AVT101'!BI69</f>
        <v>0</v>
      </c>
      <c r="R281" s="32"/>
      <c r="S281" s="325">
        <f>'AVT139'!BI69</f>
        <v>0</v>
      </c>
      <c r="T281" s="32"/>
      <c r="U281" s="325">
        <f>'AVT187'!BI69</f>
        <v>0</v>
      </c>
      <c r="V281" s="32"/>
      <c r="W281" s="325">
        <f>'AVT251'!BI56</f>
        <v>0</v>
      </c>
      <c r="X281" s="32"/>
      <c r="Y281" s="325">
        <f>AVT187In!BI55</f>
        <v>0</v>
      </c>
      <c r="Z281" s="32"/>
      <c r="AA281" s="325">
        <f>'AVT101(vn-A)'!BI69</f>
        <v>0</v>
      </c>
      <c r="AB281" s="32"/>
      <c r="AC281" s="32"/>
      <c r="AD281" s="32"/>
      <c r="AE281" s="325">
        <f>'AVT187(vn-A)'!BI69</f>
        <v>0</v>
      </c>
      <c r="AF281" s="32"/>
      <c r="AG281" s="325">
        <f>'AVT187In(vn-A)'!BI55</f>
        <v>0</v>
      </c>
      <c r="AH281" s="32"/>
      <c r="AI281" s="325">
        <f>'AVT187(vn-S)'!BI69</f>
        <v>0</v>
      </c>
      <c r="AJ281" s="32"/>
      <c r="AK281" s="325">
        <f>'AVT187In(vn-S)'!BI55</f>
        <v>0</v>
      </c>
      <c r="AL281" s="32"/>
      <c r="AM281" s="32"/>
      <c r="AN281" s="32"/>
      <c r="AO281" s="325">
        <f>'AVT-celny-101+187'!BI82</f>
        <v>0</v>
      </c>
      <c r="AP281" s="32"/>
      <c r="AQ281" s="32"/>
      <c r="AR281" s="32"/>
      <c r="AS281" s="325">
        <f>'AVT-celny-2x187'!BI62</f>
        <v>0</v>
      </c>
      <c r="AT281" s="32"/>
      <c r="AU281" s="325">
        <f>'AVT-celny-2x187In'!BI52</f>
        <v>0</v>
      </c>
      <c r="AV281" s="32"/>
      <c r="AW281" s="325">
        <f>'potr-v101+187'!BI83</f>
        <v>0</v>
      </c>
      <c r="AX281" s="32"/>
      <c r="AY281" s="325">
        <f>'potr-v101+187-IL'!BI83</f>
        <v>0</v>
      </c>
      <c r="AZ281" s="32"/>
      <c r="BA281" s="32"/>
      <c r="BB281" s="32"/>
      <c r="BC281" s="32"/>
      <c r="BD281" s="32"/>
      <c r="BE281" s="32"/>
      <c r="BF281" s="32"/>
      <c r="BG281" s="32"/>
      <c r="BH281" s="32"/>
      <c r="BI281" s="32"/>
      <c r="BJ281" s="32"/>
      <c r="BK281" s="32"/>
      <c r="BL281" s="32"/>
      <c r="BM281" s="32"/>
      <c r="BN281" s="32"/>
      <c r="BO281" s="165"/>
      <c r="BP281" s="165"/>
      <c r="BQ281" s="165"/>
      <c r="BR281" s="165"/>
      <c r="BS281" s="165"/>
      <c r="BT281" s="165"/>
      <c r="BU281" s="165"/>
      <c r="BV281" s="55"/>
      <c r="BW281" s="160"/>
      <c r="BX281" s="32"/>
      <c r="BY281" s="24"/>
      <c r="BZ281" s="24"/>
      <c r="CA281" s="24"/>
      <c r="CB281" s="24"/>
      <c r="CC281" s="24"/>
      <c r="CD281" s="24"/>
      <c r="CE281" s="24"/>
    </row>
    <row r="282" spans="1:83" ht="15" customHeight="1">
      <c r="A282" s="4"/>
      <c r="B282" s="318">
        <f>CENY!B658</f>
        <v>9318214</v>
      </c>
      <c r="C282" s="43" t="str">
        <f>VLOOKUP(B282,CENY!$B$11:$G$1054,2,FALSE)</f>
        <v>Actro You(XL) 650/SiSy 70kg; EB21; pravý</v>
      </c>
      <c r="D282" s="353">
        <f>VLOOKUP(B282,CENY!$B$11:$G$1054,3,FALSE)</f>
        <v>5</v>
      </c>
      <c r="E282" s="56" t="str">
        <f>IF(VLOOKUP(B282,CENY!$B$11:$G$1054,4,FALSE)=0,"",VLOOKUP(B282,CENY!$B$11:$G$1054,4,FALSE))</f>
        <v/>
      </c>
      <c r="F282" s="40" t="str">
        <f t="shared" si="60"/>
        <v/>
      </c>
      <c r="G282" s="52">
        <f>VLOOKUP(B282,CENY!$B$11:$M$1054,12,FALSE)</f>
        <v>462.41142000000002</v>
      </c>
      <c r="H282" s="54" t="str">
        <f t="shared" si="55"/>
        <v xml:space="preserve"> CZK</v>
      </c>
      <c r="I282" s="41" t="str">
        <f t="shared" si="56"/>
        <v/>
      </c>
      <c r="J282" s="122"/>
      <c r="K282" s="42" t="str">
        <f>VLOOKUP(B282,CENY!$B$11:$M$1054,8,FALSE)</f>
        <v xml:space="preserve"> </v>
      </c>
      <c r="L282" s="42" t="str">
        <f>VLOOKUP(B282,CENY!$B$11:$M$1054,9,FALSE)</f>
        <v>397798</v>
      </c>
      <c r="M282" s="32"/>
      <c r="N282" s="35">
        <f t="shared" si="61"/>
        <v>0</v>
      </c>
      <c r="O282" s="36">
        <v>0</v>
      </c>
      <c r="P282" s="32"/>
      <c r="Q282" s="325">
        <f>'AVT101'!BI70</f>
        <v>0</v>
      </c>
      <c r="R282" s="32"/>
      <c r="S282" s="325">
        <f>'AVT139'!BI70</f>
        <v>0</v>
      </c>
      <c r="T282" s="32"/>
      <c r="U282" s="325">
        <f>'AVT187'!BI70</f>
        <v>0</v>
      </c>
      <c r="V282" s="32"/>
      <c r="W282" s="325">
        <f>'AVT251'!BI57</f>
        <v>0</v>
      </c>
      <c r="X282" s="32"/>
      <c r="Y282" s="325">
        <f>AVT187In!BI56</f>
        <v>0</v>
      </c>
      <c r="Z282" s="32"/>
      <c r="AA282" s="325">
        <f>'AVT101(vn-A)'!BI70</f>
        <v>0</v>
      </c>
      <c r="AB282" s="32"/>
      <c r="AC282" s="32"/>
      <c r="AD282" s="32"/>
      <c r="AE282" s="325">
        <f>'AVT187(vn-A)'!BI70</f>
        <v>0</v>
      </c>
      <c r="AF282" s="32"/>
      <c r="AG282" s="325">
        <f>'AVT187In(vn-A)'!BI56</f>
        <v>0</v>
      </c>
      <c r="AH282" s="32"/>
      <c r="AI282" s="325">
        <f>'AVT187(vn-S)'!BI70</f>
        <v>0</v>
      </c>
      <c r="AJ282" s="32"/>
      <c r="AK282" s="325">
        <f>'AVT187In(vn-S)'!BI56</f>
        <v>0</v>
      </c>
      <c r="AL282" s="32"/>
      <c r="AM282" s="32"/>
      <c r="AN282" s="32"/>
      <c r="AO282" s="325">
        <f>'AVT-celny-101+187'!BI83</f>
        <v>0</v>
      </c>
      <c r="AP282" s="32"/>
      <c r="AQ282" s="32"/>
      <c r="AR282" s="32"/>
      <c r="AS282" s="325">
        <f>'AVT-celny-2x187'!BI63</f>
        <v>0</v>
      </c>
      <c r="AT282" s="32"/>
      <c r="AU282" s="325">
        <f>'AVT-celny-2x187In'!BI53</f>
        <v>0</v>
      </c>
      <c r="AV282" s="32"/>
      <c r="AW282" s="325">
        <f>'potr-v101+187'!BI84</f>
        <v>0</v>
      </c>
      <c r="AX282" s="32"/>
      <c r="AY282" s="325">
        <f>'potr-v101+187-IL'!BI84</f>
        <v>0</v>
      </c>
      <c r="AZ282" s="32"/>
      <c r="BA282" s="32"/>
      <c r="BB282" s="32"/>
      <c r="BC282" s="32"/>
      <c r="BD282" s="32"/>
      <c r="BE282" s="32"/>
      <c r="BF282" s="32"/>
      <c r="BG282" s="32"/>
      <c r="BH282" s="32"/>
      <c r="BI282" s="32"/>
      <c r="BJ282" s="32"/>
      <c r="BK282" s="32"/>
      <c r="BL282" s="32"/>
      <c r="BM282" s="32"/>
      <c r="BN282" s="32"/>
      <c r="BO282" s="165"/>
      <c r="BP282" s="165"/>
      <c r="BQ282" s="165"/>
      <c r="BR282" s="165"/>
      <c r="BS282" s="165"/>
      <c r="BT282" s="165"/>
      <c r="BU282" s="165"/>
      <c r="BV282" s="55"/>
      <c r="BW282" s="160"/>
      <c r="BX282" s="32"/>
      <c r="BY282" s="24"/>
      <c r="BZ282" s="24"/>
      <c r="CA282" s="24"/>
      <c r="CB282" s="24"/>
      <c r="CC282" s="24"/>
      <c r="CD282" s="24"/>
      <c r="CE282" s="24"/>
    </row>
    <row r="283" spans="1:83" ht="8.1" customHeight="1">
      <c r="A283" s="4"/>
      <c r="B283" s="126"/>
      <c r="C283" s="43"/>
      <c r="D283" s="39"/>
      <c r="E283" s="56"/>
      <c r="F283" s="60"/>
      <c r="G283" s="52"/>
      <c r="H283" s="54"/>
      <c r="I283" s="41"/>
      <c r="J283" s="122"/>
      <c r="K283" s="42"/>
      <c r="L283" s="42"/>
      <c r="M283" s="32"/>
      <c r="N283" s="35"/>
      <c r="O283" s="36">
        <v>0</v>
      </c>
      <c r="P283" s="32"/>
      <c r="Q283" s="32"/>
      <c r="R283" s="32"/>
      <c r="S283" s="32"/>
      <c r="T283" s="32"/>
      <c r="U283" s="32"/>
      <c r="V283" s="32"/>
      <c r="W283" s="32"/>
      <c r="X283" s="32"/>
      <c r="Y283" s="32"/>
      <c r="Z283" s="32"/>
      <c r="AA283" s="32"/>
      <c r="AB283" s="32"/>
      <c r="AC283" s="32"/>
      <c r="AD283" s="32"/>
      <c r="AE283" s="32"/>
      <c r="AF283" s="32"/>
      <c r="AG283" s="32"/>
      <c r="AH283" s="32"/>
      <c r="AI283" s="32"/>
      <c r="AJ283" s="32"/>
      <c r="AK283" s="32"/>
      <c r="AL283" s="32"/>
      <c r="AM283" s="32"/>
      <c r="AN283" s="32"/>
      <c r="AO283" s="32"/>
      <c r="AP283" s="32"/>
      <c r="AQ283" s="32"/>
      <c r="AR283" s="32"/>
      <c r="AS283" s="32"/>
      <c r="AT283" s="32"/>
      <c r="AU283" s="32"/>
      <c r="AV283" s="32"/>
      <c r="AW283" s="32"/>
      <c r="AX283" s="32"/>
      <c r="AY283" s="32"/>
      <c r="AZ283" s="32"/>
      <c r="BA283" s="32"/>
      <c r="BB283" s="32"/>
      <c r="BC283" s="32"/>
      <c r="BD283" s="32"/>
      <c r="BE283" s="32"/>
      <c r="BF283" s="32"/>
      <c r="BG283" s="32"/>
      <c r="BH283" s="32"/>
      <c r="BI283" s="32"/>
      <c r="BJ283" s="32"/>
      <c r="BK283" s="32"/>
      <c r="BL283" s="32"/>
      <c r="BM283" s="32"/>
      <c r="BN283" s="32"/>
      <c r="BO283" s="165"/>
      <c r="BP283" s="165"/>
      <c r="BQ283" s="165"/>
      <c r="BR283" s="165"/>
      <c r="BS283" s="165"/>
      <c r="BT283" s="165"/>
      <c r="BU283" s="165"/>
      <c r="BV283" s="55"/>
      <c r="BW283" s="160"/>
      <c r="BX283" s="32"/>
      <c r="BY283" s="24"/>
      <c r="BZ283" s="24"/>
      <c r="CA283" s="24"/>
      <c r="CB283" s="24"/>
      <c r="CC283" s="24"/>
      <c r="CD283" s="24"/>
      <c r="CE283" s="24"/>
    </row>
    <row r="284" spans="1:83" ht="15" customHeight="1">
      <c r="A284" s="4"/>
      <c r="B284" s="318">
        <f>CENY!B660</f>
        <v>9257890</v>
      </c>
      <c r="C284" s="43" t="str">
        <f>VLOOKUP(B284,CENY!$B$11:$G$1054,2,FALSE)</f>
        <v>Actro You - Push to open Silent; &lt;10kg</v>
      </c>
      <c r="D284" s="355">
        <f>VLOOKUP(B284,CENY!$B$11:$G$1054,3,FALSE)</f>
        <v>1</v>
      </c>
      <c r="E284" s="56" t="str">
        <f>IF(VLOOKUP(B284,CENY!$B$11:$G$1054,4,FALSE)=0,"",VLOOKUP(B284,CENY!$B$11:$G$1054,4,FALSE))</f>
        <v/>
      </c>
      <c r="F284" s="40" t="str">
        <f t="shared" ref="F284:F292" si="62">IF(J284&lt;&gt;"",J284,IF(N284=0,"",N284))</f>
        <v/>
      </c>
      <c r="G284" s="52">
        <f>VLOOKUP(B284,CENY!$B$11:$M$1054,12,FALSE)</f>
        <v>481.81412999999998</v>
      </c>
      <c r="H284" s="54" t="str">
        <f t="shared" si="55"/>
        <v xml:space="preserve"> CZK</v>
      </c>
      <c r="I284" s="41" t="str">
        <f t="shared" si="56"/>
        <v/>
      </c>
      <c r="J284" s="122"/>
      <c r="K284" s="42" t="str">
        <f>VLOOKUP(B284,CENY!$B$11:$M$1054,8,FALSE)</f>
        <v xml:space="preserve"> </v>
      </c>
      <c r="L284" s="42" t="str">
        <f>VLOOKUP(B284,CENY!$B$11:$M$1054,9,FALSE)</f>
        <v>397802</v>
      </c>
      <c r="M284" s="32"/>
      <c r="N284" s="35">
        <f t="shared" ref="N284:N292" si="63">SUM(P284:BW284)</f>
        <v>0</v>
      </c>
      <c r="O284" s="36">
        <v>0</v>
      </c>
      <c r="P284" s="325">
        <f>'AVT101'!AZ44</f>
        <v>0</v>
      </c>
      <c r="Q284" s="325">
        <f>'AVT101'!BI72</f>
        <v>0</v>
      </c>
      <c r="R284" s="325">
        <f>'AVT139'!AZ44</f>
        <v>0</v>
      </c>
      <c r="S284" s="325">
        <f>'AVT139'!BI72</f>
        <v>0</v>
      </c>
      <c r="T284" s="325">
        <f>'AVT187'!AZ44</f>
        <v>0</v>
      </c>
      <c r="U284" s="325">
        <f>'AVT187'!BI72</f>
        <v>0</v>
      </c>
      <c r="V284" s="325">
        <f>'AVT251'!AZ36</f>
        <v>0</v>
      </c>
      <c r="W284" s="325">
        <f>'AVT251'!BI59</f>
        <v>0</v>
      </c>
      <c r="X284" s="325">
        <f>AVT187In!AZ36</f>
        <v>0</v>
      </c>
      <c r="Y284" s="325">
        <f>AVT187In!BI58</f>
        <v>0</v>
      </c>
      <c r="Z284" s="325">
        <f>'AVT101(vn-A)'!AZ44</f>
        <v>0</v>
      </c>
      <c r="AA284" s="325">
        <f>'AVT101(vn-A)'!BI72</f>
        <v>0</v>
      </c>
      <c r="AB284" s="325">
        <f>'AVT139(vn-A)'!AZ44</f>
        <v>0</v>
      </c>
      <c r="AC284" s="325">
        <f>'AVT139(vn-A)'!BI72</f>
        <v>0</v>
      </c>
      <c r="AD284" s="325">
        <f>'AVT187(vn-A)'!AZ44</f>
        <v>0</v>
      </c>
      <c r="AE284" s="325">
        <f>'AVT187(vn-A)'!BI72</f>
        <v>0</v>
      </c>
      <c r="AF284" s="325">
        <f>'AVT187In(vn-A)'!AZ36</f>
        <v>0</v>
      </c>
      <c r="AG284" s="325">
        <f>'AVT187In(vn-A)'!BI58</f>
        <v>0</v>
      </c>
      <c r="AH284" s="325">
        <f>'AVT187(vn-S)'!AZ44</f>
        <v>0</v>
      </c>
      <c r="AI284" s="325">
        <f>'AVT187(vn-S)'!BI72</f>
        <v>0</v>
      </c>
      <c r="AJ284" s="325">
        <f>'AVT187In(vn-S)'!AZ36</f>
        <v>0</v>
      </c>
      <c r="AK284" s="325">
        <f>'AVT187In(vn-S)'!BI58</f>
        <v>0</v>
      </c>
      <c r="AL284" s="325">
        <f>'AVT77'!AZ24</f>
        <v>0</v>
      </c>
      <c r="AM284" s="325">
        <f>'AVT77'!BI38</f>
        <v>0</v>
      </c>
      <c r="AN284" s="32"/>
      <c r="AO284" s="32"/>
      <c r="AP284" s="32"/>
      <c r="AQ284" s="32"/>
      <c r="AR284" s="32"/>
      <c r="AS284" s="32"/>
      <c r="AT284" s="32"/>
      <c r="AU284" s="32"/>
      <c r="AV284" s="32"/>
      <c r="AW284" s="32"/>
      <c r="AX284" s="32"/>
      <c r="AY284" s="32"/>
      <c r="AZ284" s="32"/>
      <c r="BA284" s="32"/>
      <c r="BB284" s="32"/>
      <c r="BC284" s="32"/>
      <c r="BD284" s="32"/>
      <c r="BE284" s="32"/>
      <c r="BF284" s="32"/>
      <c r="BG284" s="32"/>
      <c r="BH284" s="32"/>
      <c r="BI284" s="32"/>
      <c r="BJ284" s="32"/>
      <c r="BK284" s="32"/>
      <c r="BL284" s="32"/>
      <c r="BM284" s="32"/>
      <c r="BN284" s="32"/>
      <c r="BO284" s="165"/>
      <c r="BP284" s="165"/>
      <c r="BQ284" s="165"/>
      <c r="BR284" s="165"/>
      <c r="BS284" s="165"/>
      <c r="BT284" s="165"/>
      <c r="BU284" s="165"/>
      <c r="BV284" s="55"/>
      <c r="BW284" s="160"/>
      <c r="BX284" s="32"/>
      <c r="BY284" s="24"/>
      <c r="BZ284" s="24"/>
      <c r="CA284" s="24"/>
      <c r="CB284" s="24"/>
      <c r="CC284" s="24"/>
      <c r="CD284" s="24"/>
      <c r="CE284" s="24"/>
    </row>
    <row r="285" spans="1:83" ht="15" customHeight="1">
      <c r="A285" s="4"/>
      <c r="B285" s="318">
        <f>CENY!B661</f>
        <v>9257891</v>
      </c>
      <c r="C285" s="43" t="str">
        <f>VLOOKUP(B285,CENY!$B$11:$G$1054,2,FALSE)</f>
        <v>Actro You - Push to open Silent; 8-20kg</v>
      </c>
      <c r="D285" s="355">
        <f>VLOOKUP(B285,CENY!$B$11:$G$1054,3,FALSE)</f>
        <v>1</v>
      </c>
      <c r="E285" s="56" t="str">
        <f>IF(VLOOKUP(B285,CENY!$B$11:$G$1054,4,FALSE)=0,"",VLOOKUP(B285,CENY!$B$11:$G$1054,4,FALSE))</f>
        <v/>
      </c>
      <c r="F285" s="40" t="str">
        <f t="shared" si="62"/>
        <v/>
      </c>
      <c r="G285" s="52">
        <f>VLOOKUP(B285,CENY!$B$11:$M$1054,12,FALSE)</f>
        <v>481.81412999999998</v>
      </c>
      <c r="H285" s="54" t="str">
        <f t="shared" si="55"/>
        <v xml:space="preserve"> CZK</v>
      </c>
      <c r="I285" s="41" t="str">
        <f t="shared" si="56"/>
        <v/>
      </c>
      <c r="J285" s="122"/>
      <c r="K285" s="42" t="str">
        <f>VLOOKUP(B285,CENY!$B$11:$M$1054,8,FALSE)</f>
        <v xml:space="preserve"> </v>
      </c>
      <c r="L285" s="42" t="str">
        <f>VLOOKUP(B285,CENY!$B$11:$M$1054,9,FALSE)</f>
        <v>397803</v>
      </c>
      <c r="M285" s="32"/>
      <c r="N285" s="35">
        <f t="shared" si="63"/>
        <v>0</v>
      </c>
      <c r="O285" s="36">
        <v>0</v>
      </c>
      <c r="P285" s="325">
        <f>'AVT101'!AZ45</f>
        <v>0</v>
      </c>
      <c r="Q285" s="325">
        <f>'AVT101'!BI73</f>
        <v>0</v>
      </c>
      <c r="R285" s="325">
        <f>'AVT139'!AZ45</f>
        <v>0</v>
      </c>
      <c r="S285" s="325">
        <f>'AVT139'!BI73</f>
        <v>0</v>
      </c>
      <c r="T285" s="325">
        <f>'AVT187'!AZ45</f>
        <v>0</v>
      </c>
      <c r="U285" s="325">
        <f>'AVT187'!BI73</f>
        <v>0</v>
      </c>
      <c r="V285" s="325">
        <f>'AVT251'!AZ37</f>
        <v>0</v>
      </c>
      <c r="W285" s="325">
        <f>'AVT251'!BI60</f>
        <v>0</v>
      </c>
      <c r="X285" s="325">
        <f>AVT187In!AZ37</f>
        <v>0</v>
      </c>
      <c r="Y285" s="325">
        <f>AVT187In!BI59</f>
        <v>0</v>
      </c>
      <c r="Z285" s="325">
        <f>'AVT101(vn-A)'!AZ45</f>
        <v>0</v>
      </c>
      <c r="AA285" s="325">
        <f>'AVT101(vn-A)'!BI73</f>
        <v>0</v>
      </c>
      <c r="AB285" s="325">
        <f>'AVT139(vn-A)'!AZ45</f>
        <v>0</v>
      </c>
      <c r="AC285" s="325">
        <f>'AVT139(vn-A)'!BI73</f>
        <v>0</v>
      </c>
      <c r="AD285" s="325">
        <f>'AVT187(vn-A)'!AZ45</f>
        <v>0</v>
      </c>
      <c r="AE285" s="325">
        <f>'AVT187(vn-A)'!BI73</f>
        <v>0</v>
      </c>
      <c r="AF285" s="325">
        <f>'AVT187In(vn-A)'!AZ37</f>
        <v>0</v>
      </c>
      <c r="AG285" s="325">
        <f>'AVT187In(vn-A)'!BI59</f>
        <v>0</v>
      </c>
      <c r="AH285" s="325">
        <f>'AVT187(vn-S)'!AZ45</f>
        <v>0</v>
      </c>
      <c r="AI285" s="325">
        <f>'AVT187(vn-S)'!BI73</f>
        <v>0</v>
      </c>
      <c r="AJ285" s="325">
        <f>'AVT187In(vn-S)'!AZ37</f>
        <v>0</v>
      </c>
      <c r="AK285" s="325">
        <f>'AVT187In(vn-S)'!BI59</f>
        <v>0</v>
      </c>
      <c r="AL285" s="325">
        <f>'AVT77'!AZ25</f>
        <v>0</v>
      </c>
      <c r="AM285" s="325">
        <f>'AVT77'!BI39</f>
        <v>0</v>
      </c>
      <c r="AN285" s="32"/>
      <c r="AO285" s="32"/>
      <c r="AP285" s="32"/>
      <c r="AQ285" s="32"/>
      <c r="AR285" s="32"/>
      <c r="AS285" s="32"/>
      <c r="AT285" s="32"/>
      <c r="AU285" s="32"/>
      <c r="AV285" s="32"/>
      <c r="AW285" s="32"/>
      <c r="AX285" s="32"/>
      <c r="AY285" s="32"/>
      <c r="AZ285" s="32"/>
      <c r="BA285" s="32"/>
      <c r="BB285" s="32"/>
      <c r="BC285" s="32"/>
      <c r="BD285" s="32"/>
      <c r="BE285" s="32"/>
      <c r="BF285" s="32"/>
      <c r="BG285" s="32"/>
      <c r="BH285" s="32"/>
      <c r="BI285" s="32"/>
      <c r="BJ285" s="32"/>
      <c r="BK285" s="32"/>
      <c r="BL285" s="32"/>
      <c r="BM285" s="32"/>
      <c r="BN285" s="32"/>
      <c r="BO285" s="165"/>
      <c r="BP285" s="165"/>
      <c r="BQ285" s="165"/>
      <c r="BR285" s="165"/>
      <c r="BS285" s="165"/>
      <c r="BT285" s="165"/>
      <c r="BU285" s="165"/>
      <c r="BV285" s="55"/>
      <c r="BW285" s="160"/>
      <c r="BX285" s="32"/>
      <c r="BY285" s="24"/>
      <c r="BZ285" s="24"/>
      <c r="CA285" s="24"/>
      <c r="CB285" s="24"/>
      <c r="CC285" s="24"/>
      <c r="CD285" s="24"/>
      <c r="CE285" s="24"/>
    </row>
    <row r="286" spans="1:83" ht="15" customHeight="1">
      <c r="A286" s="4"/>
      <c r="B286" s="318">
        <f>CENY!B662</f>
        <v>9257892</v>
      </c>
      <c r="C286" s="43" t="str">
        <f>VLOOKUP(B286,CENY!$B$11:$G$1054,2,FALSE)</f>
        <v>Actro You - Push to open Silent; 10-40kg</v>
      </c>
      <c r="D286" s="355">
        <f>VLOOKUP(B286,CENY!$B$11:$G$1054,3,FALSE)</f>
        <v>1</v>
      </c>
      <c r="E286" s="56" t="str">
        <f>IF(VLOOKUP(B286,CENY!$B$11:$G$1054,4,FALSE)=0,"",VLOOKUP(B286,CENY!$B$11:$G$1054,4,FALSE))</f>
        <v/>
      </c>
      <c r="F286" s="40" t="str">
        <f t="shared" si="62"/>
        <v/>
      </c>
      <c r="G286" s="52">
        <f>VLOOKUP(B286,CENY!$B$11:$M$1054,12,FALSE)</f>
        <v>481.81412999999998</v>
      </c>
      <c r="H286" s="54" t="str">
        <f t="shared" si="55"/>
        <v xml:space="preserve"> CZK</v>
      </c>
      <c r="I286" s="41" t="str">
        <f t="shared" si="56"/>
        <v/>
      </c>
      <c r="J286" s="122"/>
      <c r="K286" s="42" t="str">
        <f>VLOOKUP(B286,CENY!$B$11:$M$1054,8,FALSE)</f>
        <v xml:space="preserve"> </v>
      </c>
      <c r="L286" s="42" t="str">
        <f>VLOOKUP(B286,CENY!$B$11:$M$1054,9,FALSE)</f>
        <v>397804</v>
      </c>
      <c r="M286" s="32"/>
      <c r="N286" s="35">
        <f t="shared" si="63"/>
        <v>0</v>
      </c>
      <c r="O286" s="36">
        <v>0</v>
      </c>
      <c r="P286" s="325">
        <f>'AVT101'!AZ46</f>
        <v>0</v>
      </c>
      <c r="Q286" s="325">
        <f>'AVT101'!BI74</f>
        <v>0</v>
      </c>
      <c r="R286" s="325">
        <f>'AVT139'!AZ46</f>
        <v>0</v>
      </c>
      <c r="S286" s="325">
        <f>'AVT139'!BI74</f>
        <v>0</v>
      </c>
      <c r="T286" s="325">
        <f>'AVT187'!AZ46</f>
        <v>0</v>
      </c>
      <c r="U286" s="325">
        <f>'AVT187'!BI74</f>
        <v>0</v>
      </c>
      <c r="V286" s="325">
        <f>'AVT251'!AZ38</f>
        <v>0</v>
      </c>
      <c r="W286" s="325">
        <f>'AVT251'!BI61</f>
        <v>0</v>
      </c>
      <c r="X286" s="325">
        <f>AVT187In!AZ38</f>
        <v>0</v>
      </c>
      <c r="Y286" s="325">
        <f>AVT187In!BI60</f>
        <v>0</v>
      </c>
      <c r="Z286" s="325">
        <f>'AVT101(vn-A)'!AZ46</f>
        <v>0</v>
      </c>
      <c r="AA286" s="325">
        <f>'AVT101(vn-A)'!BI74</f>
        <v>0</v>
      </c>
      <c r="AB286" s="325">
        <f>'AVT139(vn-A)'!AZ46</f>
        <v>0</v>
      </c>
      <c r="AC286" s="325">
        <f>'AVT139(vn-A)'!BI74</f>
        <v>0</v>
      </c>
      <c r="AD286" s="325">
        <f>'AVT187(vn-A)'!AZ46</f>
        <v>0</v>
      </c>
      <c r="AE286" s="325">
        <f>'AVT187(vn-A)'!BI74</f>
        <v>0</v>
      </c>
      <c r="AF286" s="325">
        <f>'AVT187In(vn-A)'!AZ38</f>
        <v>0</v>
      </c>
      <c r="AG286" s="325">
        <f>'AVT187In(vn-A)'!BI60</f>
        <v>0</v>
      </c>
      <c r="AH286" s="325">
        <f>'AVT187(vn-S)'!AZ46</f>
        <v>0</v>
      </c>
      <c r="AI286" s="325">
        <f>'AVT187(vn-S)'!BI74</f>
        <v>0</v>
      </c>
      <c r="AJ286" s="325">
        <f>'AVT187In(vn-S)'!AZ38</f>
        <v>0</v>
      </c>
      <c r="AK286" s="325">
        <f>'AVT187In(vn-S)'!BI60</f>
        <v>0</v>
      </c>
      <c r="AL286" s="325">
        <f>'AVT77'!AZ26</f>
        <v>0</v>
      </c>
      <c r="AM286" s="325">
        <f>'AVT77'!BI40</f>
        <v>0</v>
      </c>
      <c r="AN286" s="32"/>
      <c r="AO286" s="32"/>
      <c r="AP286" s="32"/>
      <c r="AQ286" s="32"/>
      <c r="AR286" s="32"/>
      <c r="AS286" s="32"/>
      <c r="AT286" s="32"/>
      <c r="AU286" s="32"/>
      <c r="AV286" s="32"/>
      <c r="AW286" s="32"/>
      <c r="AX286" s="32"/>
      <c r="AY286" s="32"/>
      <c r="AZ286" s="32"/>
      <c r="BA286" s="32"/>
      <c r="BB286" s="32"/>
      <c r="BC286" s="32"/>
      <c r="BD286" s="32"/>
      <c r="BE286" s="32"/>
      <c r="BF286" s="32"/>
      <c r="BG286" s="32"/>
      <c r="BH286" s="32"/>
      <c r="BI286" s="32"/>
      <c r="BJ286" s="32"/>
      <c r="BK286" s="32"/>
      <c r="BL286" s="32"/>
      <c r="BM286" s="32"/>
      <c r="BN286" s="32"/>
      <c r="BO286" s="165"/>
      <c r="BP286" s="165"/>
      <c r="BQ286" s="165"/>
      <c r="BR286" s="165"/>
      <c r="BS286" s="165"/>
      <c r="BT286" s="165"/>
      <c r="BU286" s="165"/>
      <c r="BV286" s="55"/>
      <c r="BW286" s="160"/>
      <c r="BX286" s="32"/>
      <c r="BY286" s="24"/>
      <c r="BZ286" s="24"/>
      <c r="CA286" s="24"/>
      <c r="CB286" s="24"/>
      <c r="CC286" s="24"/>
      <c r="CD286" s="24"/>
      <c r="CE286" s="24"/>
    </row>
    <row r="287" spans="1:83" ht="15" customHeight="1">
      <c r="A287" s="4"/>
      <c r="B287" s="318">
        <f>CENY!B663</f>
        <v>9257893</v>
      </c>
      <c r="C287" s="43" t="str">
        <f>VLOOKUP(B287,CENY!$B$11:$G$1054,2,FALSE)</f>
        <v>Actro You - Push to open Silent; 20-70kg</v>
      </c>
      <c r="D287" s="355">
        <f>VLOOKUP(B287,CENY!$B$11:$G$1054,3,FALSE)</f>
        <v>1</v>
      </c>
      <c r="E287" s="56" t="str">
        <f>IF(VLOOKUP(B287,CENY!$B$11:$G$1054,4,FALSE)=0,"",VLOOKUP(B287,CENY!$B$11:$G$1054,4,FALSE))</f>
        <v/>
      </c>
      <c r="F287" s="40" t="str">
        <f t="shared" si="62"/>
        <v/>
      </c>
      <c r="G287" s="52">
        <f>VLOOKUP(B287,CENY!$B$11:$M$1054,12,FALSE)</f>
        <v>481.81412999999998</v>
      </c>
      <c r="H287" s="54" t="str">
        <f t="shared" si="55"/>
        <v xml:space="preserve"> CZK</v>
      </c>
      <c r="I287" s="41" t="str">
        <f t="shared" si="56"/>
        <v/>
      </c>
      <c r="J287" s="122"/>
      <c r="K287" s="42" t="str">
        <f>VLOOKUP(B287,CENY!$B$11:$M$1054,8,FALSE)</f>
        <v xml:space="preserve"> </v>
      </c>
      <c r="L287" s="42" t="str">
        <f>VLOOKUP(B287,CENY!$B$11:$M$1054,9,FALSE)</f>
        <v>397805</v>
      </c>
      <c r="M287" s="32"/>
      <c r="N287" s="35">
        <f t="shared" si="63"/>
        <v>0</v>
      </c>
      <c r="O287" s="36">
        <v>0</v>
      </c>
      <c r="P287" s="325">
        <f>'AVT101'!AZ47</f>
        <v>0</v>
      </c>
      <c r="Q287" s="325">
        <f>'AVT101'!BI75</f>
        <v>0</v>
      </c>
      <c r="R287" s="325">
        <f>'AVT139'!AZ47</f>
        <v>0</v>
      </c>
      <c r="S287" s="325">
        <f>'AVT139'!BI75</f>
        <v>0</v>
      </c>
      <c r="T287" s="325">
        <f>'AVT187'!AZ47</f>
        <v>0</v>
      </c>
      <c r="U287" s="325">
        <f>'AVT187'!BI75</f>
        <v>0</v>
      </c>
      <c r="V287" s="325">
        <f>'AVT251'!AZ39</f>
        <v>0</v>
      </c>
      <c r="W287" s="325">
        <f>'AVT251'!BI62</f>
        <v>0</v>
      </c>
      <c r="X287" s="325">
        <f>AVT187In!AZ39</f>
        <v>0</v>
      </c>
      <c r="Y287" s="325">
        <f>AVT187In!BI61</f>
        <v>0</v>
      </c>
      <c r="Z287" s="325">
        <f>'AVT101(vn-A)'!AZ47</f>
        <v>0</v>
      </c>
      <c r="AA287" s="325">
        <f>'AVT101(vn-A)'!BI75</f>
        <v>0</v>
      </c>
      <c r="AB287" s="325">
        <f>'AVT139(vn-A)'!AZ47</f>
        <v>0</v>
      </c>
      <c r="AC287" s="325">
        <f>'AVT139(vn-A)'!BI75</f>
        <v>0</v>
      </c>
      <c r="AD287" s="325">
        <f>'AVT187(vn-A)'!AZ47</f>
        <v>0</v>
      </c>
      <c r="AE287" s="325">
        <f>'AVT187(vn-A)'!BI75</f>
        <v>0</v>
      </c>
      <c r="AF287" s="325">
        <f>'AVT187In(vn-A)'!AZ39</f>
        <v>0</v>
      </c>
      <c r="AG287" s="325">
        <f>'AVT187In(vn-A)'!BI61</f>
        <v>0</v>
      </c>
      <c r="AH287" s="325">
        <f>'AVT187(vn-S)'!AZ47</f>
        <v>0</v>
      </c>
      <c r="AI287" s="325">
        <f>'AVT187(vn-S)'!BI75</f>
        <v>0</v>
      </c>
      <c r="AJ287" s="325">
        <f>'AVT187In(vn-S)'!AZ39</f>
        <v>0</v>
      </c>
      <c r="AK287" s="325">
        <f>'AVT187In(vn-S)'!BI61</f>
        <v>0</v>
      </c>
      <c r="AL287" s="325">
        <f>'AVT77'!AZ27</f>
        <v>0</v>
      </c>
      <c r="AM287" s="325">
        <f>'AVT77'!BI41</f>
        <v>0</v>
      </c>
      <c r="AN287" s="32"/>
      <c r="AO287" s="32"/>
      <c r="AP287" s="32"/>
      <c r="AQ287" s="32"/>
      <c r="AR287" s="32"/>
      <c r="AS287" s="32"/>
      <c r="AT287" s="32"/>
      <c r="AU287" s="32"/>
      <c r="AV287" s="32"/>
      <c r="AW287" s="32"/>
      <c r="AX287" s="32"/>
      <c r="AY287" s="32"/>
      <c r="AZ287" s="32"/>
      <c r="BA287" s="32"/>
      <c r="BB287" s="32"/>
      <c r="BC287" s="32"/>
      <c r="BD287" s="32"/>
      <c r="BE287" s="32"/>
      <c r="BF287" s="32"/>
      <c r="BG287" s="32"/>
      <c r="BH287" s="32"/>
      <c r="BI287" s="32"/>
      <c r="BJ287" s="32"/>
      <c r="BK287" s="32"/>
      <c r="BL287" s="32"/>
      <c r="BM287" s="32"/>
      <c r="BN287" s="32"/>
      <c r="BO287" s="165"/>
      <c r="BP287" s="165"/>
      <c r="BQ287" s="165"/>
      <c r="BR287" s="165"/>
      <c r="BS287" s="165"/>
      <c r="BT287" s="165"/>
      <c r="BU287" s="165"/>
      <c r="BV287" s="55"/>
      <c r="BW287" s="160"/>
      <c r="BX287" s="32"/>
      <c r="BY287" s="24"/>
      <c r="BZ287" s="24"/>
      <c r="CA287" s="24"/>
      <c r="CB287" s="24"/>
      <c r="CC287" s="24"/>
      <c r="CD287" s="24"/>
      <c r="CE287" s="24"/>
    </row>
    <row r="288" spans="1:83" ht="15" customHeight="1">
      <c r="A288" s="4"/>
      <c r="B288" s="318">
        <f>CENY!B664</f>
        <v>9236718</v>
      </c>
      <c r="C288" s="43" t="str">
        <f>VLOOKUP(B288,CENY!$B$11:$G$1054,2,FALSE)</f>
        <v>Push to open Synchro / tyč 2.000 mm</v>
      </c>
      <c r="D288" s="354">
        <f>VLOOKUP(B288,CENY!$B$11:$G$1054,3,FALSE)</f>
        <v>100</v>
      </c>
      <c r="E288" s="56" t="str">
        <f>IF(VLOOKUP(B288,CENY!$B$11:$G$1054,4,FALSE)=0,"",VLOOKUP(B288,CENY!$B$11:$G$1054,4,FALSE))</f>
        <v/>
      </c>
      <c r="F288" s="40" t="str">
        <f t="shared" si="62"/>
        <v/>
      </c>
      <c r="G288" s="52">
        <f>VLOOKUP(B288,CENY!$B$11:$M$1054,12,FALSE)</f>
        <v>182.03933000000001</v>
      </c>
      <c r="H288" s="54" t="str">
        <f t="shared" si="55"/>
        <v xml:space="preserve"> CZK</v>
      </c>
      <c r="I288" s="41" t="str">
        <f t="shared" si="56"/>
        <v/>
      </c>
      <c r="J288" s="122"/>
      <c r="K288" s="42" t="str">
        <f>VLOOKUP(B288,CENY!$B$11:$M$1054,8,FALSE)</f>
        <v xml:space="preserve"> </v>
      </c>
      <c r="L288" s="42" t="str">
        <f>VLOOKUP(B288,CENY!$B$11:$M$1054,9,FALSE)</f>
        <v>318279</v>
      </c>
      <c r="M288" s="32"/>
      <c r="N288" s="35">
        <f t="shared" si="63"/>
        <v>0</v>
      </c>
      <c r="O288" s="36">
        <v>0</v>
      </c>
      <c r="P288" s="325">
        <f>'AVT101'!AZ48</f>
        <v>0</v>
      </c>
      <c r="Q288" s="325">
        <f>'AVT101'!BI76</f>
        <v>0</v>
      </c>
      <c r="R288" s="325">
        <f>'AVT139'!AZ48</f>
        <v>0</v>
      </c>
      <c r="S288" s="325">
        <f>'AVT139'!BI76</f>
        <v>0</v>
      </c>
      <c r="T288" s="325">
        <f>'AVT187'!AZ48</f>
        <v>0</v>
      </c>
      <c r="U288" s="325">
        <f>'AVT187'!BI76</f>
        <v>0</v>
      </c>
      <c r="V288" s="325">
        <f>'AVT251'!AZ40</f>
        <v>0</v>
      </c>
      <c r="W288" s="325">
        <f>'AVT251'!BI63</f>
        <v>0</v>
      </c>
      <c r="X288" s="325">
        <f>AVT187In!AZ40</f>
        <v>0</v>
      </c>
      <c r="Y288" s="325">
        <f>AVT187In!BI62</f>
        <v>0</v>
      </c>
      <c r="Z288" s="325">
        <f>'AVT101(vn-A)'!AZ48</f>
        <v>0</v>
      </c>
      <c r="AA288" s="325">
        <f>'AVT101(vn-A)'!BI76</f>
        <v>0</v>
      </c>
      <c r="AB288" s="325">
        <f>'AVT139(vn-A)'!AZ48</f>
        <v>0</v>
      </c>
      <c r="AC288" s="325">
        <f>'AVT139(vn-A)'!BI76</f>
        <v>0</v>
      </c>
      <c r="AD288" s="325">
        <f>'AVT187(vn-A)'!AZ48</f>
        <v>0</v>
      </c>
      <c r="AE288" s="325">
        <f>'AVT187(vn-A)'!BI76</f>
        <v>0</v>
      </c>
      <c r="AF288" s="325">
        <f>'AVT187In(vn-A)'!AZ40</f>
        <v>0</v>
      </c>
      <c r="AG288" s="325">
        <f>'AVT187In(vn-A)'!BI62</f>
        <v>0</v>
      </c>
      <c r="AH288" s="325">
        <f>'AVT187(vn-S)'!AZ48</f>
        <v>0</v>
      </c>
      <c r="AI288" s="325">
        <f>'AVT187(vn-S)'!BI76</f>
        <v>0</v>
      </c>
      <c r="AJ288" s="325">
        <f>'AVT187In(vn-S)'!AZ40</f>
        <v>0</v>
      </c>
      <c r="AK288" s="325">
        <f>'AVT187In(vn-S)'!BI62</f>
        <v>0</v>
      </c>
      <c r="AL288" s="325">
        <f>'AVT77'!AZ28</f>
        <v>0</v>
      </c>
      <c r="AM288" s="325">
        <f>'AVT77'!BI42</f>
        <v>0</v>
      </c>
      <c r="AN288" s="32"/>
      <c r="AO288" s="32"/>
      <c r="AP288" s="32"/>
      <c r="AQ288" s="32"/>
      <c r="AR288" s="32"/>
      <c r="AS288" s="32"/>
      <c r="AT288" s="32"/>
      <c r="AU288" s="32"/>
      <c r="AV288" s="32"/>
      <c r="AW288" s="32"/>
      <c r="AX288" s="32"/>
      <c r="AY288" s="32"/>
      <c r="AZ288" s="32"/>
      <c r="BA288" s="32"/>
      <c r="BB288" s="32"/>
      <c r="BC288" s="32"/>
      <c r="BD288" s="32"/>
      <c r="BE288" s="32"/>
      <c r="BF288" s="32"/>
      <c r="BG288" s="32"/>
      <c r="BH288" s="32"/>
      <c r="BI288" s="32"/>
      <c r="BJ288" s="32"/>
      <c r="BK288" s="32"/>
      <c r="BL288" s="32"/>
      <c r="BM288" s="32"/>
      <c r="BN288" s="32"/>
      <c r="BO288" s="165"/>
      <c r="BP288" s="165"/>
      <c r="BQ288" s="165"/>
      <c r="BR288" s="165"/>
      <c r="BS288" s="165"/>
      <c r="BT288" s="165"/>
      <c r="BU288" s="165"/>
      <c r="BV288" s="55"/>
      <c r="BW288" s="160"/>
      <c r="BX288" s="32"/>
      <c r="BY288" s="24"/>
      <c r="BZ288" s="24"/>
      <c r="CA288" s="24"/>
      <c r="CB288" s="24"/>
      <c r="CC288" s="24"/>
      <c r="CD288" s="24"/>
      <c r="CE288" s="24"/>
    </row>
    <row r="289" spans="1:83" ht="15" customHeight="1">
      <c r="A289" s="4"/>
      <c r="B289" s="318">
        <f>CENY!B665</f>
        <v>9221295</v>
      </c>
      <c r="C289" s="43" t="str">
        <f>VLOOKUP(B289,CENY!$B$11:$G$1054,2,FALSE)</f>
        <v>Push to open Synchro / spojka</v>
      </c>
      <c r="D289" s="354">
        <f>VLOOKUP(B289,CENY!$B$11:$G$1054,3,FALSE)</f>
        <v>20</v>
      </c>
      <c r="E289" s="56" t="str">
        <f>IF(VLOOKUP(B289,CENY!$B$11:$G$1054,4,FALSE)=0,"",VLOOKUP(B289,CENY!$B$11:$G$1054,4,FALSE))</f>
        <v/>
      </c>
      <c r="F289" s="40" t="str">
        <f t="shared" si="62"/>
        <v/>
      </c>
      <c r="G289" s="52">
        <f>VLOOKUP(B289,CENY!$B$11:$M$1054,12,FALSE)</f>
        <v>16.488900000000001</v>
      </c>
      <c r="H289" s="54" t="str">
        <f t="shared" si="55"/>
        <v xml:space="preserve"> CZK</v>
      </c>
      <c r="I289" s="41" t="str">
        <f t="shared" si="56"/>
        <v/>
      </c>
      <c r="J289" s="122"/>
      <c r="K289" s="42" t="str">
        <f>VLOOKUP(B289,CENY!$B$11:$M$1054,8,FALSE)</f>
        <v xml:space="preserve"> </v>
      </c>
      <c r="L289" s="42" t="str">
        <f>VLOOKUP(B289,CENY!$B$11:$M$1054,9,FALSE)</f>
        <v>318281</v>
      </c>
      <c r="M289" s="32"/>
      <c r="N289" s="35">
        <f t="shared" si="63"/>
        <v>0</v>
      </c>
      <c r="O289" s="36">
        <v>0</v>
      </c>
      <c r="P289" s="32"/>
      <c r="Q289" s="32"/>
      <c r="R289" s="32"/>
      <c r="S289" s="32"/>
      <c r="T289" s="32"/>
      <c r="U289" s="32"/>
      <c r="V289" s="32"/>
      <c r="W289" s="32"/>
      <c r="X289" s="32"/>
      <c r="Y289" s="32"/>
      <c r="Z289" s="32"/>
      <c r="AA289" s="32"/>
      <c r="AB289" s="32"/>
      <c r="AC289" s="32"/>
      <c r="AD289" s="32"/>
      <c r="AE289" s="32"/>
      <c r="AF289" s="32"/>
      <c r="AG289" s="32"/>
      <c r="AH289" s="32"/>
      <c r="AI289" s="32"/>
      <c r="AJ289" s="32"/>
      <c r="AK289" s="32"/>
      <c r="AL289" s="32"/>
      <c r="AM289" s="32"/>
      <c r="AN289" s="32"/>
      <c r="AO289" s="32"/>
      <c r="AP289" s="32"/>
      <c r="AQ289" s="32"/>
      <c r="AR289" s="32"/>
      <c r="AS289" s="32"/>
      <c r="AT289" s="32"/>
      <c r="AU289" s="32"/>
      <c r="AV289" s="32"/>
      <c r="AW289" s="32"/>
      <c r="AX289" s="32"/>
      <c r="AY289" s="32"/>
      <c r="AZ289" s="32"/>
      <c r="BA289" s="32"/>
      <c r="BB289" s="32"/>
      <c r="BC289" s="32"/>
      <c r="BD289" s="32"/>
      <c r="BE289" s="32"/>
      <c r="BF289" s="32"/>
      <c r="BG289" s="32"/>
      <c r="BH289" s="32"/>
      <c r="BI289" s="32"/>
      <c r="BJ289" s="32"/>
      <c r="BK289" s="32"/>
      <c r="BL289" s="32"/>
      <c r="BM289" s="32"/>
      <c r="BN289" s="32"/>
      <c r="BO289" s="165"/>
      <c r="BP289" s="165"/>
      <c r="BQ289" s="165"/>
      <c r="BR289" s="165"/>
      <c r="BS289" s="165"/>
      <c r="BT289" s="165"/>
      <c r="BU289" s="165"/>
      <c r="BV289" s="55"/>
      <c r="BW289" s="160"/>
      <c r="BX289" s="32"/>
      <c r="BY289" s="24"/>
      <c r="BZ289" s="24"/>
      <c r="CA289" s="24"/>
      <c r="CB289" s="24"/>
      <c r="CC289" s="24"/>
      <c r="CD289" s="24"/>
      <c r="CE289" s="24"/>
    </row>
    <row r="290" spans="1:83" ht="15" customHeight="1">
      <c r="A290" s="4"/>
      <c r="B290" s="318">
        <f>CENY!B666</f>
        <v>9278452</v>
      </c>
      <c r="C290" s="43" t="str">
        <f>VLOOKUP(B290,CENY!$B$11:$G$1054,2,FALSE)</f>
        <v>Push to open Synchro /dvojitý adap.Actro</v>
      </c>
      <c r="D290" s="354">
        <f>VLOOKUP(B290,CENY!$B$11:$G$1054,3,FALSE)</f>
        <v>20</v>
      </c>
      <c r="E290" s="56" t="str">
        <f>IF(VLOOKUP(B290,CENY!$B$11:$G$1054,4,FALSE)=0,"",VLOOKUP(B290,CENY!$B$11:$G$1054,4,FALSE))</f>
        <v/>
      </c>
      <c r="F290" s="40" t="str">
        <f t="shared" si="62"/>
        <v/>
      </c>
      <c r="G290" s="52">
        <f>VLOOKUP(B290,CENY!$B$11:$M$1054,12,FALSE)</f>
        <v>46.620899999999999</v>
      </c>
      <c r="H290" s="54" t="str">
        <f t="shared" si="55"/>
        <v xml:space="preserve"> CZK</v>
      </c>
      <c r="I290" s="41" t="str">
        <f t="shared" si="56"/>
        <v/>
      </c>
      <c r="J290" s="122"/>
      <c r="K290" s="42" t="str">
        <f>VLOOKUP(B290,CENY!$B$11:$M$1054,8,FALSE)</f>
        <v xml:space="preserve"> </v>
      </c>
      <c r="L290" s="42" t="str">
        <f>VLOOKUP(B290,CENY!$B$11:$M$1054,9,FALSE)</f>
        <v>462468</v>
      </c>
      <c r="M290" s="32"/>
      <c r="N290" s="35">
        <f t="shared" si="63"/>
        <v>0</v>
      </c>
      <c r="O290" s="36">
        <v>0</v>
      </c>
      <c r="P290" s="32"/>
      <c r="Q290" s="32"/>
      <c r="R290" s="32"/>
      <c r="S290" s="32"/>
      <c r="T290" s="32"/>
      <c r="U290" s="32"/>
      <c r="V290" s="32"/>
      <c r="W290" s="32"/>
      <c r="X290" s="32"/>
      <c r="Y290" s="32"/>
      <c r="Z290" s="32"/>
      <c r="AA290" s="32"/>
      <c r="AB290" s="32"/>
      <c r="AC290" s="32"/>
      <c r="AD290" s="32"/>
      <c r="AE290" s="32"/>
      <c r="AF290" s="32"/>
      <c r="AG290" s="32"/>
      <c r="AH290" s="32"/>
      <c r="AI290" s="32"/>
      <c r="AJ290" s="32"/>
      <c r="AK290" s="32"/>
      <c r="AL290" s="32"/>
      <c r="AM290" s="32"/>
      <c r="AN290" s="32"/>
      <c r="AO290" s="32"/>
      <c r="AP290" s="32"/>
      <c r="AQ290" s="32"/>
      <c r="AR290" s="32"/>
      <c r="AS290" s="32"/>
      <c r="AT290" s="32"/>
      <c r="AU290" s="32"/>
      <c r="AV290" s="32"/>
      <c r="AW290" s="32"/>
      <c r="AX290" s="32"/>
      <c r="AY290" s="32"/>
      <c r="AZ290" s="32"/>
      <c r="BA290" s="32"/>
      <c r="BB290" s="32"/>
      <c r="BC290" s="32"/>
      <c r="BD290" s="32"/>
      <c r="BE290" s="32"/>
      <c r="BF290" s="32"/>
      <c r="BG290" s="32"/>
      <c r="BH290" s="32"/>
      <c r="BI290" s="32"/>
      <c r="BJ290" s="32"/>
      <c r="BK290" s="32"/>
      <c r="BL290" s="32"/>
      <c r="BM290" s="32"/>
      <c r="BN290" s="32"/>
      <c r="BO290" s="165"/>
      <c r="BP290" s="165"/>
      <c r="BQ290" s="165"/>
      <c r="BR290" s="165"/>
      <c r="BS290" s="165"/>
      <c r="BT290" s="165"/>
      <c r="BU290" s="165"/>
      <c r="BV290" s="55"/>
      <c r="BW290" s="160"/>
      <c r="BX290" s="32"/>
      <c r="BY290" s="24"/>
      <c r="BZ290" s="24"/>
      <c r="CA290" s="24"/>
      <c r="CB290" s="24"/>
      <c r="CC290" s="24"/>
      <c r="CD290" s="24"/>
      <c r="CE290" s="24"/>
    </row>
    <row r="291" spans="1:83" ht="15" customHeight="1">
      <c r="A291" s="4"/>
      <c r="B291" s="318">
        <f>CENY!B667</f>
        <v>9262213</v>
      </c>
      <c r="C291" s="43" t="str">
        <f>VLOOKUP(B291,CENY!$B$11:$G$1054,2,FALSE)</f>
        <v>Push to open Synchro /flexibilný adaptér</v>
      </c>
      <c r="D291" s="354">
        <f>VLOOKUP(B291,CENY!$B$11:$G$1054,3,FALSE)</f>
        <v>20</v>
      </c>
      <c r="E291" s="56" t="str">
        <f>IF(VLOOKUP(B291,CENY!$B$11:$G$1054,4,FALSE)=0,"",VLOOKUP(B291,CENY!$B$11:$G$1054,4,FALSE))</f>
        <v/>
      </c>
      <c r="F291" s="40" t="str">
        <f t="shared" si="62"/>
        <v/>
      </c>
      <c r="G291" s="52">
        <f>VLOOKUP(B291,CENY!$B$11:$M$1054,12,FALSE)</f>
        <v>100.42456</v>
      </c>
      <c r="H291" s="54" t="str">
        <f t="shared" si="55"/>
        <v xml:space="preserve"> CZK</v>
      </c>
      <c r="I291" s="41" t="str">
        <f t="shared" si="56"/>
        <v/>
      </c>
      <c r="J291" s="122"/>
      <c r="K291" s="42" t="str">
        <f>VLOOKUP(B291,CENY!$B$11:$M$1054,8,FALSE)</f>
        <v xml:space="preserve"> </v>
      </c>
      <c r="L291" s="42" t="str">
        <f>VLOOKUP(B291,CENY!$B$11:$M$1054,9,FALSE)</f>
        <v>489987</v>
      </c>
      <c r="M291" s="32"/>
      <c r="N291" s="35">
        <f t="shared" si="63"/>
        <v>0</v>
      </c>
      <c r="O291" s="36">
        <v>0</v>
      </c>
      <c r="P291" s="32"/>
      <c r="Q291" s="32"/>
      <c r="R291" s="32"/>
      <c r="S291" s="32"/>
      <c r="T291" s="32"/>
      <c r="U291" s="32"/>
      <c r="V291" s="32"/>
      <c r="W291" s="32"/>
      <c r="X291" s="32"/>
      <c r="Y291" s="32"/>
      <c r="Z291" s="32"/>
      <c r="AA291" s="32"/>
      <c r="AB291" s="32"/>
      <c r="AC291" s="32"/>
      <c r="AD291" s="32"/>
      <c r="AE291" s="32"/>
      <c r="AF291" s="32"/>
      <c r="AG291" s="32"/>
      <c r="AH291" s="32"/>
      <c r="AI291" s="32"/>
      <c r="AJ291" s="32"/>
      <c r="AK291" s="32"/>
      <c r="AL291" s="32"/>
      <c r="AM291" s="32"/>
      <c r="AN291" s="32"/>
      <c r="AO291" s="32"/>
      <c r="AP291" s="32"/>
      <c r="AQ291" s="32"/>
      <c r="AR291" s="32"/>
      <c r="AS291" s="32"/>
      <c r="AT291" s="32"/>
      <c r="AU291" s="32"/>
      <c r="AV291" s="32"/>
      <c r="AW291" s="32"/>
      <c r="AX291" s="32"/>
      <c r="AY291" s="32"/>
      <c r="AZ291" s="32"/>
      <c r="BA291" s="32"/>
      <c r="BB291" s="32"/>
      <c r="BC291" s="32"/>
      <c r="BD291" s="32"/>
      <c r="BE291" s="32"/>
      <c r="BF291" s="32"/>
      <c r="BG291" s="32"/>
      <c r="BH291" s="32"/>
      <c r="BI291" s="32"/>
      <c r="BJ291" s="32"/>
      <c r="BK291" s="32"/>
      <c r="BL291" s="32"/>
      <c r="BM291" s="32"/>
      <c r="BN291" s="32"/>
      <c r="BO291" s="165"/>
      <c r="BP291" s="165"/>
      <c r="BQ291" s="165"/>
      <c r="BR291" s="165"/>
      <c r="BS291" s="165"/>
      <c r="BT291" s="165"/>
      <c r="BU291" s="165"/>
      <c r="BV291" s="55"/>
      <c r="BW291" s="160"/>
      <c r="BX291" s="32"/>
      <c r="BY291" s="24"/>
      <c r="BZ291" s="24"/>
      <c r="CA291" s="24"/>
      <c r="CB291" s="24"/>
      <c r="CC291" s="24"/>
      <c r="CD291" s="24"/>
      <c r="CE291" s="24"/>
    </row>
    <row r="292" spans="1:83" ht="15" customHeight="1">
      <c r="A292" s="4"/>
      <c r="B292" s="318">
        <f>CENY!B668</f>
        <v>9278453</v>
      </c>
      <c r="C292" s="43" t="str">
        <f>VLOOKUP(B292,CENY!$B$11:$G$1054,2,FALSE)</f>
        <v>Push to open Synchro /posunutie tyče</v>
      </c>
      <c r="D292" s="355">
        <f>VLOOKUP(B292,CENY!$B$11:$G$1054,3,FALSE)</f>
        <v>1</v>
      </c>
      <c r="E292" s="56" t="str">
        <f>IF(VLOOKUP(B292,CENY!$B$11:$G$1054,4,FALSE)=0,"",VLOOKUP(B292,CENY!$B$11:$G$1054,4,FALSE))</f>
        <v/>
      </c>
      <c r="F292" s="40" t="str">
        <f t="shared" si="62"/>
        <v/>
      </c>
      <c r="G292" s="52">
        <f>VLOOKUP(B292,CENY!$B$11:$M$1054,12,FALSE)</f>
        <v>1034.4750200000001</v>
      </c>
      <c r="H292" s="54" t="str">
        <f t="shared" si="55"/>
        <v xml:space="preserve"> CZK</v>
      </c>
      <c r="I292" s="41" t="str">
        <f t="shared" si="56"/>
        <v/>
      </c>
      <c r="J292" s="122"/>
      <c r="K292" s="42" t="str">
        <f>VLOOKUP(B292,CENY!$B$11:$M$1054,8,FALSE)</f>
        <v xml:space="preserve"> </v>
      </c>
      <c r="L292" s="42" t="str">
        <f>VLOOKUP(B292,CENY!$B$11:$M$1054,9,FALSE)</f>
        <v>467233</v>
      </c>
      <c r="M292" s="32"/>
      <c r="N292" s="35">
        <f t="shared" si="63"/>
        <v>0</v>
      </c>
      <c r="O292" s="36">
        <v>0</v>
      </c>
      <c r="P292" s="32"/>
      <c r="Q292" s="32"/>
      <c r="R292" s="32"/>
      <c r="S292" s="32"/>
      <c r="T292" s="32"/>
      <c r="U292" s="32"/>
      <c r="V292" s="32"/>
      <c r="W292" s="32"/>
      <c r="X292" s="32"/>
      <c r="Y292" s="32"/>
      <c r="Z292" s="32"/>
      <c r="AA292" s="32"/>
      <c r="AB292" s="32"/>
      <c r="AC292" s="32"/>
      <c r="AD292" s="32"/>
      <c r="AE292" s="32"/>
      <c r="AF292" s="32"/>
      <c r="AG292" s="32"/>
      <c r="AH292" s="32"/>
      <c r="AI292" s="32"/>
      <c r="AJ292" s="32"/>
      <c r="AK292" s="32"/>
      <c r="AL292" s="32"/>
      <c r="AM292" s="32"/>
      <c r="AN292" s="32"/>
      <c r="AO292" s="32"/>
      <c r="AP292" s="32"/>
      <c r="AQ292" s="32"/>
      <c r="AR292" s="32"/>
      <c r="AS292" s="32"/>
      <c r="AT292" s="32"/>
      <c r="AU292" s="32"/>
      <c r="AV292" s="32"/>
      <c r="AW292" s="32"/>
      <c r="AX292" s="32"/>
      <c r="AY292" s="32"/>
      <c r="AZ292" s="32"/>
      <c r="BA292" s="32"/>
      <c r="BB292" s="32"/>
      <c r="BC292" s="32"/>
      <c r="BD292" s="32"/>
      <c r="BE292" s="32"/>
      <c r="BF292" s="32"/>
      <c r="BG292" s="32"/>
      <c r="BH292" s="32"/>
      <c r="BI292" s="32"/>
      <c r="BJ292" s="32"/>
      <c r="BK292" s="32"/>
      <c r="BL292" s="32"/>
      <c r="BM292" s="32"/>
      <c r="BN292" s="32"/>
      <c r="BO292" s="165"/>
      <c r="BP292" s="165"/>
      <c r="BQ292" s="165"/>
      <c r="BR292" s="165"/>
      <c r="BS292" s="165"/>
      <c r="BT292" s="165"/>
      <c r="BU292" s="165"/>
      <c r="BV292" s="55"/>
      <c r="BW292" s="160"/>
      <c r="BX292" s="32"/>
      <c r="BY292" s="24"/>
      <c r="BZ292" s="24"/>
      <c r="CA292" s="24"/>
      <c r="CB292" s="24"/>
      <c r="CC292" s="24"/>
      <c r="CD292" s="24"/>
      <c r="CE292" s="24"/>
    </row>
    <row r="293" spans="1:83" ht="8.1" customHeight="1">
      <c r="A293" s="4"/>
      <c r="B293" s="126"/>
      <c r="C293" s="43"/>
      <c r="D293" s="39"/>
      <c r="E293" s="56"/>
      <c r="F293" s="60"/>
      <c r="G293" s="52"/>
      <c r="H293" s="54"/>
      <c r="I293" s="41"/>
      <c r="J293" s="122"/>
      <c r="K293" s="42"/>
      <c r="L293" s="42"/>
      <c r="M293" s="32"/>
      <c r="N293" s="35"/>
      <c r="O293" s="36">
        <v>0</v>
      </c>
      <c r="P293" s="32"/>
      <c r="Q293" s="32"/>
      <c r="R293" s="32"/>
      <c r="S293" s="32"/>
      <c r="T293" s="32"/>
      <c r="U293" s="32"/>
      <c r="V293" s="32"/>
      <c r="W293" s="32"/>
      <c r="X293" s="32"/>
      <c r="Y293" s="32"/>
      <c r="Z293" s="32"/>
      <c r="AA293" s="32"/>
      <c r="AB293" s="32"/>
      <c r="AC293" s="32"/>
      <c r="AD293" s="32"/>
      <c r="AE293" s="32"/>
      <c r="AF293" s="32"/>
      <c r="AG293" s="32"/>
      <c r="AH293" s="32"/>
      <c r="AI293" s="32"/>
      <c r="AJ293" s="32"/>
      <c r="AK293" s="32"/>
      <c r="AL293" s="32"/>
      <c r="AM293" s="32"/>
      <c r="AN293" s="32"/>
      <c r="AO293" s="32"/>
      <c r="AP293" s="32"/>
      <c r="AQ293" s="32"/>
      <c r="AR293" s="32"/>
      <c r="AS293" s="32"/>
      <c r="AT293" s="32"/>
      <c r="AU293" s="32"/>
      <c r="AV293" s="32"/>
      <c r="AW293" s="32"/>
      <c r="AX293" s="32"/>
      <c r="AY293" s="32"/>
      <c r="AZ293" s="32"/>
      <c r="BA293" s="32"/>
      <c r="BB293" s="32"/>
      <c r="BC293" s="32"/>
      <c r="BD293" s="32"/>
      <c r="BE293" s="32"/>
      <c r="BF293" s="32"/>
      <c r="BG293" s="32"/>
      <c r="BH293" s="32"/>
      <c r="BI293" s="32"/>
      <c r="BJ293" s="32"/>
      <c r="BK293" s="32"/>
      <c r="BL293" s="32"/>
      <c r="BM293" s="32"/>
      <c r="BN293" s="32"/>
      <c r="BO293" s="165"/>
      <c r="BP293" s="165"/>
      <c r="BQ293" s="165"/>
      <c r="BR293" s="165"/>
      <c r="BS293" s="165"/>
      <c r="BT293" s="165"/>
      <c r="BU293" s="165"/>
      <c r="BV293" s="55"/>
      <c r="BW293" s="160"/>
      <c r="BX293" s="32"/>
      <c r="BY293" s="24"/>
      <c r="BZ293" s="24"/>
      <c r="CA293" s="24"/>
      <c r="CB293" s="24"/>
      <c r="CC293" s="24"/>
      <c r="CD293" s="24"/>
      <c r="CE293" s="24"/>
    </row>
    <row r="294" spans="1:83" ht="15" customHeight="1">
      <c r="A294" s="4"/>
      <c r="B294" s="318">
        <f>CENY!B670</f>
        <v>9256953</v>
      </c>
      <c r="C294" s="43" t="str">
        <f>VLOOKUP(B294,CENY!$B$11:$G$1054,2,FALSE)</f>
        <v>Quadro You(S) 270/SiSy 10kg; EB21</v>
      </c>
      <c r="D294" s="364">
        <f>VLOOKUP(B294,CENY!$B$11:$G$1054,3,FALSE)</f>
        <v>1</v>
      </c>
      <c r="E294" s="56" t="str">
        <f>IF(VLOOKUP(B294,CENY!$B$11:$G$1054,4,FALSE)=0,"",VLOOKUP(B294,CENY!$B$11:$G$1054,4,FALSE))</f>
        <v/>
      </c>
      <c r="F294" s="40" t="str">
        <f t="shared" ref="F294:F302" si="64">IF(J294&lt;&gt;"",J294,IF(N294=0,"",N294))</f>
        <v/>
      </c>
      <c r="G294" s="52">
        <f>VLOOKUP(B294,CENY!$B$11:$M$1054,12,FALSE)</f>
        <v>478.60127999999997</v>
      </c>
      <c r="H294" s="54" t="str">
        <f t="shared" si="55"/>
        <v xml:space="preserve"> CZK</v>
      </c>
      <c r="I294" s="41" t="str">
        <f t="shared" si="56"/>
        <v/>
      </c>
      <c r="J294" s="122"/>
      <c r="K294" s="42" t="str">
        <f>VLOOKUP(B294,CENY!$B$11:$M$1054,8,FALSE)</f>
        <v xml:space="preserve"> </v>
      </c>
      <c r="L294" s="42" t="str">
        <f>VLOOKUP(B294,CENY!$B$11:$M$1054,9,FALSE)</f>
        <v>518547</v>
      </c>
      <c r="M294" s="32"/>
      <c r="N294" s="35">
        <f t="shared" ref="N294:N302" si="65">SUM(P294:BW294)</f>
        <v>0</v>
      </c>
      <c r="O294" s="36">
        <v>0</v>
      </c>
      <c r="P294" s="325">
        <f>'AVT101'!AZ50</f>
        <v>0</v>
      </c>
      <c r="Q294" s="32"/>
      <c r="R294" s="325">
        <f>'AVT139'!AZ50</f>
        <v>0</v>
      </c>
      <c r="S294" s="32"/>
      <c r="T294" s="325">
        <f>'AVT187'!AZ50</f>
        <v>0</v>
      </c>
      <c r="U294" s="32"/>
      <c r="V294" s="32"/>
      <c r="W294" s="32"/>
      <c r="X294" s="32"/>
      <c r="Y294" s="32"/>
      <c r="Z294" s="325">
        <f>'AVT101(vn-A)'!AZ50</f>
        <v>0</v>
      </c>
      <c r="AA294" s="32"/>
      <c r="AB294" s="32"/>
      <c r="AC294" s="32"/>
      <c r="AD294" s="325">
        <f>'AVT187(vn-A)'!AZ50</f>
        <v>0</v>
      </c>
      <c r="AE294" s="32"/>
      <c r="AF294" s="32"/>
      <c r="AG294" s="32"/>
      <c r="AH294" s="325">
        <f>'AVT187(vn-S)'!AZ50</f>
        <v>0</v>
      </c>
      <c r="AI294" s="32"/>
      <c r="AJ294" s="32"/>
      <c r="AK294" s="32"/>
      <c r="AL294" s="32"/>
      <c r="AM294" s="32"/>
      <c r="AN294" s="32"/>
      <c r="AO294" s="32"/>
      <c r="AP294" s="32"/>
      <c r="AQ294" s="32"/>
      <c r="AR294" s="32"/>
      <c r="AS294" s="32"/>
      <c r="AT294" s="32"/>
      <c r="AU294" s="32"/>
      <c r="AV294" s="32"/>
      <c r="AW294" s="32"/>
      <c r="AX294" s="32"/>
      <c r="AY294" s="32"/>
      <c r="AZ294" s="32"/>
      <c r="BA294" s="32"/>
      <c r="BB294" s="32"/>
      <c r="BC294" s="32"/>
      <c r="BD294" s="32"/>
      <c r="BE294" s="32"/>
      <c r="BF294" s="32"/>
      <c r="BG294" s="32"/>
      <c r="BH294" s="32"/>
      <c r="BI294" s="32"/>
      <c r="BJ294" s="32"/>
      <c r="BK294" s="32"/>
      <c r="BL294" s="32"/>
      <c r="BM294" s="32"/>
      <c r="BN294" s="32"/>
      <c r="BO294" s="165"/>
      <c r="BP294" s="165"/>
      <c r="BQ294" s="165"/>
      <c r="BR294" s="165"/>
      <c r="BS294" s="165"/>
      <c r="BT294" s="165"/>
      <c r="BU294" s="165"/>
      <c r="BV294" s="55"/>
      <c r="BW294" s="160"/>
      <c r="BX294" s="32"/>
      <c r="BY294" s="24"/>
      <c r="BZ294" s="24"/>
      <c r="CA294" s="24"/>
      <c r="CB294" s="24"/>
      <c r="CC294" s="24"/>
      <c r="CD294" s="24"/>
      <c r="CE294" s="24"/>
    </row>
    <row r="295" spans="1:83" ht="15" customHeight="1">
      <c r="A295" s="4"/>
      <c r="B295" s="318">
        <f>CENY!B671</f>
        <v>9256954</v>
      </c>
      <c r="C295" s="43" t="str">
        <f>VLOOKUP(B295,CENY!$B$11:$G$1054,2,FALSE)</f>
        <v>Quadro You(S) 300/SiSy 10kg; EB21</v>
      </c>
      <c r="D295" s="364">
        <f>VLOOKUP(B295,CENY!$B$11:$G$1054,3,FALSE)</f>
        <v>1</v>
      </c>
      <c r="E295" s="56" t="str">
        <f>IF(VLOOKUP(B295,CENY!$B$11:$G$1054,4,FALSE)=0,"",VLOOKUP(B295,CENY!$B$11:$G$1054,4,FALSE))</f>
        <v/>
      </c>
      <c r="F295" s="40" t="str">
        <f t="shared" si="64"/>
        <v/>
      </c>
      <c r="G295" s="52">
        <f>VLOOKUP(B295,CENY!$B$11:$M$1054,12,FALSE)</f>
        <v>479.57344999999998</v>
      </c>
      <c r="H295" s="54" t="str">
        <f t="shared" si="55"/>
        <v xml:space="preserve"> CZK</v>
      </c>
      <c r="I295" s="41" t="str">
        <f t="shared" si="56"/>
        <v/>
      </c>
      <c r="J295" s="122"/>
      <c r="K295" s="42" t="str">
        <f>VLOOKUP(B295,CENY!$B$11:$M$1054,8,FALSE)</f>
        <v xml:space="preserve"> </v>
      </c>
      <c r="L295" s="42" t="str">
        <f>VLOOKUP(B295,CENY!$B$11:$M$1054,9,FALSE)</f>
        <v>518548</v>
      </c>
      <c r="M295" s="32"/>
      <c r="N295" s="35">
        <f t="shared" si="65"/>
        <v>0</v>
      </c>
      <c r="O295" s="36">
        <v>0</v>
      </c>
      <c r="P295" s="325">
        <f>'AVT101'!AZ51</f>
        <v>0</v>
      </c>
      <c r="Q295" s="32"/>
      <c r="R295" s="325">
        <f>'AVT139'!AZ51</f>
        <v>0</v>
      </c>
      <c r="S295" s="32"/>
      <c r="T295" s="325">
        <f>'AVT187'!AZ51</f>
        <v>0</v>
      </c>
      <c r="U295" s="32"/>
      <c r="V295" s="32"/>
      <c r="W295" s="32"/>
      <c r="X295" s="32"/>
      <c r="Y295" s="32"/>
      <c r="Z295" s="325">
        <f>'AVT101(vn-A)'!AZ51</f>
        <v>0</v>
      </c>
      <c r="AA295" s="32"/>
      <c r="AB295" s="325">
        <f>'AVT139(vn-A)'!AZ51</f>
        <v>0</v>
      </c>
      <c r="AC295" s="32"/>
      <c r="AD295" s="325">
        <f>'AVT187(vn-A)'!AZ51</f>
        <v>0</v>
      </c>
      <c r="AE295" s="32"/>
      <c r="AF295" s="32"/>
      <c r="AG295" s="32"/>
      <c r="AH295" s="325">
        <f>'AVT187(vn-S)'!AZ51</f>
        <v>0</v>
      </c>
      <c r="AI295" s="32"/>
      <c r="AJ295" s="32"/>
      <c r="AK295" s="32"/>
      <c r="AL295" s="32"/>
      <c r="AM295" s="32"/>
      <c r="AN295" s="32"/>
      <c r="AO295" s="32"/>
      <c r="AP295" s="32"/>
      <c r="AQ295" s="32"/>
      <c r="AR295" s="32"/>
      <c r="AS295" s="32"/>
      <c r="AT295" s="32"/>
      <c r="AU295" s="32"/>
      <c r="AV295" s="32"/>
      <c r="AW295" s="32"/>
      <c r="AX295" s="32"/>
      <c r="AY295" s="32"/>
      <c r="AZ295" s="32"/>
      <c r="BA295" s="32"/>
      <c r="BB295" s="32"/>
      <c r="BC295" s="32"/>
      <c r="BD295" s="32"/>
      <c r="BE295" s="32"/>
      <c r="BF295" s="32"/>
      <c r="BG295" s="32"/>
      <c r="BH295" s="32"/>
      <c r="BI295" s="32"/>
      <c r="BJ295" s="32"/>
      <c r="BK295" s="32"/>
      <c r="BL295" s="32"/>
      <c r="BM295" s="32"/>
      <c r="BN295" s="32"/>
      <c r="BO295" s="165"/>
      <c r="BP295" s="165"/>
      <c r="BQ295" s="165"/>
      <c r="BR295" s="165"/>
      <c r="BS295" s="165"/>
      <c r="BT295" s="165"/>
      <c r="BU295" s="165"/>
      <c r="BV295" s="55"/>
      <c r="BW295" s="160"/>
      <c r="BX295" s="32"/>
      <c r="BY295" s="24"/>
      <c r="BZ295" s="24"/>
      <c r="CA295" s="24"/>
      <c r="CB295" s="24"/>
      <c r="CC295" s="24"/>
      <c r="CD295" s="24"/>
      <c r="CE295" s="24"/>
    </row>
    <row r="296" spans="1:83" ht="15" customHeight="1">
      <c r="A296" s="4"/>
      <c r="B296" s="318">
        <f>CENY!B672</f>
        <v>9256956</v>
      </c>
      <c r="C296" s="43" t="str">
        <f>VLOOKUP(B296,CENY!$B$11:$G$1054,2,FALSE)</f>
        <v>Quadro You(S) 350/SiSy 10kg; EB21</v>
      </c>
      <c r="D296" s="364">
        <f>VLOOKUP(B296,CENY!$B$11:$G$1054,3,FALSE)</f>
        <v>1</v>
      </c>
      <c r="E296" s="56" t="str">
        <f>IF(VLOOKUP(B296,CENY!$B$11:$G$1054,4,FALSE)=0,"",VLOOKUP(B296,CENY!$B$11:$G$1054,4,FALSE))</f>
        <v/>
      </c>
      <c r="F296" s="40" t="str">
        <f t="shared" si="64"/>
        <v/>
      </c>
      <c r="G296" s="52">
        <f>VLOOKUP(B296,CENY!$B$11:$M$1054,12,FALSE)</f>
        <v>489.27857</v>
      </c>
      <c r="H296" s="54" t="str">
        <f t="shared" ref="H296:H358" si="66">IF(G296="","",$H$22)</f>
        <v xml:space="preserve"> CZK</v>
      </c>
      <c r="I296" s="41" t="str">
        <f t="shared" ref="I296:I358" si="67">IF(F296="","",G296*F296)</f>
        <v/>
      </c>
      <c r="J296" s="122"/>
      <c r="K296" s="42" t="str">
        <f>VLOOKUP(B296,CENY!$B$11:$M$1054,8,FALSE)</f>
        <v xml:space="preserve"> </v>
      </c>
      <c r="L296" s="42" t="str">
        <f>VLOOKUP(B296,CENY!$B$11:$M$1054,9,FALSE)</f>
        <v>518549</v>
      </c>
      <c r="M296" s="32"/>
      <c r="N296" s="35">
        <f t="shared" si="65"/>
        <v>0</v>
      </c>
      <c r="O296" s="36">
        <v>0</v>
      </c>
      <c r="P296" s="325">
        <f>'AVT101'!AZ52</f>
        <v>0</v>
      </c>
      <c r="Q296" s="32"/>
      <c r="R296" s="325">
        <f>'AVT139'!AZ52</f>
        <v>0</v>
      </c>
      <c r="S296" s="32"/>
      <c r="T296" s="325">
        <f>'AVT187'!AZ52</f>
        <v>0</v>
      </c>
      <c r="U296" s="32"/>
      <c r="V296" s="325">
        <f>'AVT251'!AZ42</f>
        <v>0</v>
      </c>
      <c r="W296" s="32"/>
      <c r="X296" s="325">
        <f>AVT187In!AZ42</f>
        <v>0</v>
      </c>
      <c r="Y296" s="32"/>
      <c r="Z296" s="325">
        <f>'AVT101(vn-A)'!AZ52</f>
        <v>0</v>
      </c>
      <c r="AA296" s="32"/>
      <c r="AB296" s="325">
        <f>'AVT139(vn-A)'!AZ52</f>
        <v>0</v>
      </c>
      <c r="AC296" s="32"/>
      <c r="AD296" s="325">
        <f>'AVT187(vn-A)'!AZ52</f>
        <v>0</v>
      </c>
      <c r="AE296" s="32"/>
      <c r="AF296" s="325">
        <f>'AVT187In(vn-A)'!AZ42</f>
        <v>0</v>
      </c>
      <c r="AG296" s="32"/>
      <c r="AH296" s="325">
        <f>'AVT187(vn-S)'!AZ52</f>
        <v>0</v>
      </c>
      <c r="AI296" s="32"/>
      <c r="AJ296" s="325">
        <f>'AVT187In(vn-S)'!AZ42</f>
        <v>0</v>
      </c>
      <c r="AK296" s="32"/>
      <c r="AL296" s="32"/>
      <c r="AM296" s="32"/>
      <c r="AN296" s="32"/>
      <c r="AO296" s="32"/>
      <c r="AP296" s="32"/>
      <c r="AQ296" s="32"/>
      <c r="AR296" s="32"/>
      <c r="AS296" s="32"/>
      <c r="AT296" s="32"/>
      <c r="AU296" s="32"/>
      <c r="AV296" s="32"/>
      <c r="AW296" s="32"/>
      <c r="AX296" s="32"/>
      <c r="AY296" s="32"/>
      <c r="AZ296" s="32"/>
      <c r="BA296" s="32"/>
      <c r="BB296" s="32"/>
      <c r="BC296" s="32"/>
      <c r="BD296" s="32"/>
      <c r="BE296" s="32"/>
      <c r="BF296" s="32"/>
      <c r="BG296" s="32"/>
      <c r="BH296" s="32"/>
      <c r="BI296" s="32"/>
      <c r="BJ296" s="32"/>
      <c r="BK296" s="32"/>
      <c r="BL296" s="32"/>
      <c r="BM296" s="32"/>
      <c r="BN296" s="32"/>
      <c r="BO296" s="165"/>
      <c r="BP296" s="165"/>
      <c r="BQ296" s="165"/>
      <c r="BR296" s="165"/>
      <c r="BS296" s="165"/>
      <c r="BT296" s="165"/>
      <c r="BU296" s="165"/>
      <c r="BV296" s="55"/>
      <c r="BW296" s="160"/>
      <c r="BX296" s="32"/>
      <c r="BY296" s="24"/>
      <c r="BZ296" s="24"/>
      <c r="CA296" s="24"/>
      <c r="CB296" s="24"/>
      <c r="CC296" s="24"/>
      <c r="CD296" s="24"/>
      <c r="CE296" s="24"/>
    </row>
    <row r="297" spans="1:83" ht="15" customHeight="1">
      <c r="A297" s="4"/>
      <c r="B297" s="318">
        <f>CENY!B673</f>
        <v>9256944</v>
      </c>
      <c r="C297" s="43" t="str">
        <f>VLOOKUP(B297,CENY!$B$11:$G$1054,2,FALSE)</f>
        <v>Quadro You(S) 270/SiSy 10kg; EB21; ľavý</v>
      </c>
      <c r="D297" s="353">
        <f>VLOOKUP(B297,CENY!$B$11:$G$1054,3,FALSE)</f>
        <v>20</v>
      </c>
      <c r="E297" s="56" t="str">
        <f>IF(VLOOKUP(B297,CENY!$B$11:$G$1054,4,FALSE)=0,"",VLOOKUP(B297,CENY!$B$11:$G$1054,4,FALSE))</f>
        <v/>
      </c>
      <c r="F297" s="40" t="str">
        <f t="shared" si="64"/>
        <v/>
      </c>
      <c r="G297" s="52">
        <f>VLOOKUP(B297,CENY!$B$11:$M$1054,12,FALSE)</f>
        <v>223.77942999999999</v>
      </c>
      <c r="H297" s="54" t="str">
        <f t="shared" si="66"/>
        <v xml:space="preserve"> CZK</v>
      </c>
      <c r="I297" s="41" t="str">
        <f t="shared" si="67"/>
        <v/>
      </c>
      <c r="J297" s="122"/>
      <c r="K297" s="42" t="str">
        <f>VLOOKUP(B297,CENY!$B$11:$M$1054,8,FALSE)</f>
        <v xml:space="preserve"> </v>
      </c>
      <c r="L297" s="42" t="str">
        <f>VLOOKUP(B297,CENY!$B$11:$M$1054,9,FALSE)</f>
        <v>397806</v>
      </c>
      <c r="M297" s="32"/>
      <c r="N297" s="35">
        <f t="shared" si="65"/>
        <v>0</v>
      </c>
      <c r="O297" s="36">
        <v>0</v>
      </c>
      <c r="P297" s="32"/>
      <c r="Q297" s="325">
        <f>'AVT101'!BI78</f>
        <v>0</v>
      </c>
      <c r="R297" s="32"/>
      <c r="S297" s="325">
        <f>'AVT139'!BI78</f>
        <v>0</v>
      </c>
      <c r="T297" s="32"/>
      <c r="U297" s="325">
        <f>'AVT187'!BI78</f>
        <v>0</v>
      </c>
      <c r="V297" s="32"/>
      <c r="W297" s="32"/>
      <c r="X297" s="32"/>
      <c r="Y297" s="32"/>
      <c r="Z297" s="32"/>
      <c r="AA297" s="325">
        <f>'AVT101(vn-A)'!BI78</f>
        <v>0</v>
      </c>
      <c r="AB297" s="32"/>
      <c r="AC297" s="32"/>
      <c r="AD297" s="32"/>
      <c r="AE297" s="325">
        <f>'AVT187(vn-A)'!BI78</f>
        <v>0</v>
      </c>
      <c r="AF297" s="32"/>
      <c r="AG297" s="32"/>
      <c r="AH297" s="32"/>
      <c r="AI297" s="325">
        <f>'AVT187(vn-S)'!BI78</f>
        <v>0</v>
      </c>
      <c r="AJ297" s="32"/>
      <c r="AK297" s="32"/>
      <c r="AL297" s="32"/>
      <c r="AM297" s="32"/>
      <c r="AN297" s="32"/>
      <c r="AO297" s="32"/>
      <c r="AP297" s="32"/>
      <c r="AQ297" s="32"/>
      <c r="AR297" s="32"/>
      <c r="AS297" s="32"/>
      <c r="AT297" s="32"/>
      <c r="AU297" s="32"/>
      <c r="AV297" s="32"/>
      <c r="AW297" s="32"/>
      <c r="AX297" s="32"/>
      <c r="AY297" s="32"/>
      <c r="AZ297" s="32"/>
      <c r="BA297" s="32"/>
      <c r="BB297" s="32"/>
      <c r="BC297" s="32"/>
      <c r="BD297" s="32"/>
      <c r="BE297" s="32"/>
      <c r="BF297" s="32"/>
      <c r="BG297" s="32"/>
      <c r="BH297" s="32"/>
      <c r="BI297" s="32"/>
      <c r="BJ297" s="32"/>
      <c r="BK297" s="32"/>
      <c r="BL297" s="32"/>
      <c r="BM297" s="32"/>
      <c r="BN297" s="32"/>
      <c r="BO297" s="165"/>
      <c r="BP297" s="165"/>
      <c r="BQ297" s="165"/>
      <c r="BR297" s="165"/>
      <c r="BS297" s="165"/>
      <c r="BT297" s="165"/>
      <c r="BU297" s="165"/>
      <c r="BV297" s="55"/>
      <c r="BW297" s="160"/>
      <c r="BX297" s="32"/>
      <c r="BY297" s="24"/>
      <c r="BZ297" s="24"/>
      <c r="CA297" s="24"/>
      <c r="CB297" s="24"/>
      <c r="CC297" s="24"/>
      <c r="CD297" s="24"/>
      <c r="CE297" s="24"/>
    </row>
    <row r="298" spans="1:83" ht="15" customHeight="1">
      <c r="A298" s="4"/>
      <c r="B298" s="318">
        <f>CENY!B674</f>
        <v>9256945</v>
      </c>
      <c r="C298" s="43" t="str">
        <f>VLOOKUP(B298,CENY!$B$11:$G$1054,2,FALSE)</f>
        <v>Quadro You(S) 270/SiSy 10kg; EB21; pravý</v>
      </c>
      <c r="D298" s="353">
        <f>VLOOKUP(B298,CENY!$B$11:$G$1054,3,FALSE)</f>
        <v>20</v>
      </c>
      <c r="E298" s="56" t="str">
        <f>IF(VLOOKUP(B298,CENY!$B$11:$G$1054,4,FALSE)=0,"",VLOOKUP(B298,CENY!$B$11:$G$1054,4,FALSE))</f>
        <v/>
      </c>
      <c r="F298" s="40" t="str">
        <f t="shared" si="64"/>
        <v/>
      </c>
      <c r="G298" s="52">
        <f>VLOOKUP(B298,CENY!$B$11:$M$1054,12,FALSE)</f>
        <v>223.77942999999999</v>
      </c>
      <c r="H298" s="54" t="str">
        <f t="shared" si="66"/>
        <v xml:space="preserve"> CZK</v>
      </c>
      <c r="I298" s="41" t="str">
        <f t="shared" si="67"/>
        <v/>
      </c>
      <c r="J298" s="122"/>
      <c r="K298" s="42" t="str">
        <f>VLOOKUP(B298,CENY!$B$11:$M$1054,8,FALSE)</f>
        <v xml:space="preserve"> </v>
      </c>
      <c r="L298" s="42" t="str">
        <f>VLOOKUP(B298,CENY!$B$11:$M$1054,9,FALSE)</f>
        <v>397807</v>
      </c>
      <c r="M298" s="32"/>
      <c r="N298" s="35">
        <f t="shared" si="65"/>
        <v>0</v>
      </c>
      <c r="O298" s="36">
        <v>0</v>
      </c>
      <c r="P298" s="32"/>
      <c r="Q298" s="325">
        <f>'AVT101'!BI79</f>
        <v>0</v>
      </c>
      <c r="R298" s="32"/>
      <c r="S298" s="325">
        <f>'AVT139'!BI79</f>
        <v>0</v>
      </c>
      <c r="T298" s="32"/>
      <c r="U298" s="325">
        <f>'AVT187'!BI79</f>
        <v>0</v>
      </c>
      <c r="V298" s="32"/>
      <c r="W298" s="32"/>
      <c r="X298" s="32"/>
      <c r="Y298" s="32"/>
      <c r="Z298" s="32"/>
      <c r="AA298" s="325">
        <f>'AVT101(vn-A)'!BI79</f>
        <v>0</v>
      </c>
      <c r="AB298" s="32"/>
      <c r="AC298" s="32"/>
      <c r="AD298" s="32"/>
      <c r="AE298" s="325">
        <f>'AVT187(vn-A)'!BI79</f>
        <v>0</v>
      </c>
      <c r="AF298" s="32"/>
      <c r="AG298" s="32"/>
      <c r="AH298" s="32"/>
      <c r="AI298" s="325">
        <f>'AVT187(vn-S)'!BI79</f>
        <v>0</v>
      </c>
      <c r="AJ298" s="32"/>
      <c r="AK298" s="32"/>
      <c r="AL298" s="32"/>
      <c r="AM298" s="32"/>
      <c r="AN298" s="32"/>
      <c r="AO298" s="32"/>
      <c r="AP298" s="32"/>
      <c r="AQ298" s="32"/>
      <c r="AR298" s="32"/>
      <c r="AS298" s="32"/>
      <c r="AT298" s="32"/>
      <c r="AU298" s="32"/>
      <c r="AV298" s="32"/>
      <c r="AW298" s="32"/>
      <c r="AX298" s="32"/>
      <c r="AY298" s="32"/>
      <c r="AZ298" s="32"/>
      <c r="BA298" s="32"/>
      <c r="BB298" s="32"/>
      <c r="BC298" s="32"/>
      <c r="BD298" s="32"/>
      <c r="BE298" s="32"/>
      <c r="BF298" s="32"/>
      <c r="BG298" s="32"/>
      <c r="BH298" s="32"/>
      <c r="BI298" s="32"/>
      <c r="BJ298" s="32"/>
      <c r="BK298" s="32"/>
      <c r="BL298" s="32"/>
      <c r="BM298" s="32"/>
      <c r="BN298" s="32"/>
      <c r="BO298" s="165"/>
      <c r="BP298" s="165"/>
      <c r="BQ298" s="165"/>
      <c r="BR298" s="165"/>
      <c r="BS298" s="165"/>
      <c r="BT298" s="165"/>
      <c r="BU298" s="165"/>
      <c r="BV298" s="55"/>
      <c r="BW298" s="160"/>
      <c r="BX298" s="32"/>
      <c r="BY298" s="24"/>
      <c r="BZ298" s="24"/>
      <c r="CA298" s="24"/>
      <c r="CB298" s="24"/>
      <c r="CC298" s="24"/>
      <c r="CD298" s="24"/>
      <c r="CE298" s="24"/>
    </row>
    <row r="299" spans="1:83" ht="15" customHeight="1">
      <c r="A299" s="4"/>
      <c r="B299" s="318">
        <f>CENY!B675</f>
        <v>9256946</v>
      </c>
      <c r="C299" s="43" t="str">
        <f>VLOOKUP(B299,CENY!$B$11:$G$1054,2,FALSE)</f>
        <v>Quadro You(S) 300/SiSy 10kg; EB21; ľavý</v>
      </c>
      <c r="D299" s="353">
        <f>VLOOKUP(B299,CENY!$B$11:$G$1054,3,FALSE)</f>
        <v>20</v>
      </c>
      <c r="E299" s="56" t="str">
        <f>IF(VLOOKUP(B299,CENY!$B$11:$G$1054,4,FALSE)=0,"",VLOOKUP(B299,CENY!$B$11:$G$1054,4,FALSE))</f>
        <v/>
      </c>
      <c r="F299" s="40" t="str">
        <f t="shared" si="64"/>
        <v/>
      </c>
      <c r="G299" s="52">
        <f>VLOOKUP(B299,CENY!$B$11:$M$1054,12,FALSE)</f>
        <v>224.26065</v>
      </c>
      <c r="H299" s="54" t="str">
        <f t="shared" si="66"/>
        <v xml:space="preserve"> CZK</v>
      </c>
      <c r="I299" s="41" t="str">
        <f t="shared" si="67"/>
        <v/>
      </c>
      <c r="J299" s="122"/>
      <c r="K299" s="42" t="str">
        <f>VLOOKUP(B299,CENY!$B$11:$M$1054,8,FALSE)</f>
        <v xml:space="preserve"> </v>
      </c>
      <c r="L299" s="42" t="str">
        <f>VLOOKUP(B299,CENY!$B$11:$M$1054,9,FALSE)</f>
        <v>397808</v>
      </c>
      <c r="M299" s="32"/>
      <c r="N299" s="35">
        <f t="shared" si="65"/>
        <v>0</v>
      </c>
      <c r="O299" s="36">
        <v>0</v>
      </c>
      <c r="P299" s="32"/>
      <c r="Q299" s="325">
        <f>'AVT101'!BI80</f>
        <v>0</v>
      </c>
      <c r="R299" s="32"/>
      <c r="S299" s="325">
        <f>'AVT139'!BI80</f>
        <v>0</v>
      </c>
      <c r="T299" s="32"/>
      <c r="U299" s="325">
        <f>'AVT187'!BI80</f>
        <v>0</v>
      </c>
      <c r="V299" s="32"/>
      <c r="W299" s="32"/>
      <c r="X299" s="32"/>
      <c r="Y299" s="32"/>
      <c r="Z299" s="32"/>
      <c r="AA299" s="325">
        <f>'AVT101(vn-A)'!BI80</f>
        <v>0</v>
      </c>
      <c r="AB299" s="32"/>
      <c r="AC299" s="325">
        <f>'AVT139(vn-A)'!BI80</f>
        <v>0</v>
      </c>
      <c r="AD299" s="32"/>
      <c r="AE299" s="325">
        <f>'AVT187(vn-A)'!BI80</f>
        <v>0</v>
      </c>
      <c r="AF299" s="32"/>
      <c r="AG299" s="32"/>
      <c r="AH299" s="32"/>
      <c r="AI299" s="325">
        <f>'AVT187(vn-S)'!BI80</f>
        <v>0</v>
      </c>
      <c r="AJ299" s="32"/>
      <c r="AK299" s="32"/>
      <c r="AL299" s="32"/>
      <c r="AM299" s="32"/>
      <c r="AN299" s="32"/>
      <c r="AO299" s="32"/>
      <c r="AP299" s="32"/>
      <c r="AQ299" s="32"/>
      <c r="AR299" s="32"/>
      <c r="AS299" s="32"/>
      <c r="AT299" s="32"/>
      <c r="AU299" s="32"/>
      <c r="AV299" s="32"/>
      <c r="AW299" s="32"/>
      <c r="AX299" s="32"/>
      <c r="AY299" s="32"/>
      <c r="AZ299" s="32"/>
      <c r="BA299" s="32"/>
      <c r="BB299" s="32"/>
      <c r="BC299" s="32"/>
      <c r="BD299" s="32"/>
      <c r="BE299" s="32"/>
      <c r="BF299" s="32"/>
      <c r="BG299" s="32"/>
      <c r="BH299" s="32"/>
      <c r="BI299" s="32"/>
      <c r="BJ299" s="32"/>
      <c r="BK299" s="32"/>
      <c r="BL299" s="32"/>
      <c r="BM299" s="32"/>
      <c r="BN299" s="32"/>
      <c r="BO299" s="165"/>
      <c r="BP299" s="165"/>
      <c r="BQ299" s="165"/>
      <c r="BR299" s="165"/>
      <c r="BS299" s="165"/>
      <c r="BT299" s="165"/>
      <c r="BU299" s="165"/>
      <c r="BV299" s="55"/>
      <c r="BW299" s="160"/>
      <c r="BX299" s="32"/>
      <c r="BY299" s="24"/>
      <c r="BZ299" s="24"/>
      <c r="CA299" s="24"/>
      <c r="CB299" s="24"/>
      <c r="CC299" s="24"/>
      <c r="CD299" s="24"/>
      <c r="CE299" s="24"/>
    </row>
    <row r="300" spans="1:83" ht="15" customHeight="1">
      <c r="A300" s="4"/>
      <c r="B300" s="318">
        <f>CENY!B676</f>
        <v>9256947</v>
      </c>
      <c r="C300" s="43" t="str">
        <f>VLOOKUP(B300,CENY!$B$11:$G$1054,2,FALSE)</f>
        <v>Quadro You(S) 300/SiSy 10kg; EB21; pravý</v>
      </c>
      <c r="D300" s="353">
        <f>VLOOKUP(B300,CENY!$B$11:$G$1054,3,FALSE)</f>
        <v>20</v>
      </c>
      <c r="E300" s="56" t="str">
        <f>IF(VLOOKUP(B300,CENY!$B$11:$G$1054,4,FALSE)=0,"",VLOOKUP(B300,CENY!$B$11:$G$1054,4,FALSE))</f>
        <v/>
      </c>
      <c r="F300" s="40" t="str">
        <f t="shared" si="64"/>
        <v/>
      </c>
      <c r="G300" s="52">
        <f>VLOOKUP(B300,CENY!$B$11:$M$1054,12,FALSE)</f>
        <v>224.26065</v>
      </c>
      <c r="H300" s="54" t="str">
        <f t="shared" si="66"/>
        <v xml:space="preserve"> CZK</v>
      </c>
      <c r="I300" s="41" t="str">
        <f t="shared" si="67"/>
        <v/>
      </c>
      <c r="J300" s="122"/>
      <c r="K300" s="42" t="str">
        <f>VLOOKUP(B300,CENY!$B$11:$M$1054,8,FALSE)</f>
        <v xml:space="preserve"> </v>
      </c>
      <c r="L300" s="42" t="str">
        <f>VLOOKUP(B300,CENY!$B$11:$M$1054,9,FALSE)</f>
        <v>397809</v>
      </c>
      <c r="M300" s="32"/>
      <c r="N300" s="35">
        <f t="shared" si="65"/>
        <v>0</v>
      </c>
      <c r="O300" s="36">
        <v>0</v>
      </c>
      <c r="P300" s="32"/>
      <c r="Q300" s="325">
        <f>'AVT101'!BI81</f>
        <v>0</v>
      </c>
      <c r="R300" s="32"/>
      <c r="S300" s="325">
        <f>'AVT139'!BI81</f>
        <v>0</v>
      </c>
      <c r="T300" s="32"/>
      <c r="U300" s="325">
        <f>'AVT187'!BI81</f>
        <v>0</v>
      </c>
      <c r="V300" s="32"/>
      <c r="W300" s="32"/>
      <c r="X300" s="32"/>
      <c r="Y300" s="32"/>
      <c r="Z300" s="32"/>
      <c r="AA300" s="325">
        <f>'AVT101(vn-A)'!BI81</f>
        <v>0</v>
      </c>
      <c r="AB300" s="32"/>
      <c r="AC300" s="325">
        <f>'AVT139(vn-A)'!BI81</f>
        <v>0</v>
      </c>
      <c r="AD300" s="32"/>
      <c r="AE300" s="325">
        <f>'AVT187(vn-A)'!BI81</f>
        <v>0</v>
      </c>
      <c r="AF300" s="32"/>
      <c r="AG300" s="32"/>
      <c r="AH300" s="32"/>
      <c r="AI300" s="325">
        <f>'AVT187(vn-S)'!BI81</f>
        <v>0</v>
      </c>
      <c r="AJ300" s="32"/>
      <c r="AK300" s="32"/>
      <c r="AL300" s="32"/>
      <c r="AM300" s="32"/>
      <c r="AN300" s="32"/>
      <c r="AO300" s="32"/>
      <c r="AP300" s="32"/>
      <c r="AQ300" s="32"/>
      <c r="AR300" s="32"/>
      <c r="AS300" s="32"/>
      <c r="AT300" s="32"/>
      <c r="AU300" s="32"/>
      <c r="AV300" s="32"/>
      <c r="AW300" s="32"/>
      <c r="AX300" s="32"/>
      <c r="AY300" s="32"/>
      <c r="AZ300" s="32"/>
      <c r="BA300" s="32"/>
      <c r="BB300" s="32"/>
      <c r="BC300" s="32"/>
      <c r="BD300" s="32"/>
      <c r="BE300" s="32"/>
      <c r="BF300" s="32"/>
      <c r="BG300" s="32"/>
      <c r="BH300" s="32"/>
      <c r="BI300" s="32"/>
      <c r="BJ300" s="32"/>
      <c r="BK300" s="32"/>
      <c r="BL300" s="32"/>
      <c r="BM300" s="32"/>
      <c r="BN300" s="32"/>
      <c r="BO300" s="165"/>
      <c r="BP300" s="165"/>
      <c r="BQ300" s="165"/>
      <c r="BR300" s="165"/>
      <c r="BS300" s="165"/>
      <c r="BT300" s="165"/>
      <c r="BU300" s="165"/>
      <c r="BV300" s="55"/>
      <c r="BW300" s="160"/>
      <c r="BX300" s="32"/>
      <c r="BY300" s="24"/>
      <c r="BZ300" s="24"/>
      <c r="CA300" s="24"/>
      <c r="CB300" s="24"/>
      <c r="CC300" s="24"/>
      <c r="CD300" s="24"/>
      <c r="CE300" s="24"/>
    </row>
    <row r="301" spans="1:83" ht="15" customHeight="1">
      <c r="A301" s="4"/>
      <c r="B301" s="318">
        <f>CENY!B677</f>
        <v>9256950</v>
      </c>
      <c r="C301" s="43" t="str">
        <f>VLOOKUP(B301,CENY!$B$11:$G$1054,2,FALSE)</f>
        <v>Quadro You(S) 350/SiSy 10kg; EB21; ľavý</v>
      </c>
      <c r="D301" s="353">
        <f>VLOOKUP(B301,CENY!$B$11:$G$1054,3,FALSE)</f>
        <v>20</v>
      </c>
      <c r="E301" s="56" t="str">
        <f>IF(VLOOKUP(B301,CENY!$B$11:$G$1054,4,FALSE)=0,"",VLOOKUP(B301,CENY!$B$11:$G$1054,4,FALSE))</f>
        <v/>
      </c>
      <c r="F301" s="40" t="str">
        <f t="shared" si="64"/>
        <v/>
      </c>
      <c r="G301" s="52">
        <f>VLOOKUP(B301,CENY!$B$11:$M$1054,12,FALSE)</f>
        <v>229.11434</v>
      </c>
      <c r="H301" s="54" t="str">
        <f t="shared" si="66"/>
        <v xml:space="preserve"> CZK</v>
      </c>
      <c r="I301" s="41" t="str">
        <f t="shared" si="67"/>
        <v/>
      </c>
      <c r="J301" s="122"/>
      <c r="K301" s="42" t="str">
        <f>VLOOKUP(B301,CENY!$B$11:$M$1054,8,FALSE)</f>
        <v xml:space="preserve"> </v>
      </c>
      <c r="L301" s="42" t="str">
        <f>VLOOKUP(B301,CENY!$B$11:$M$1054,9,FALSE)</f>
        <v>397810</v>
      </c>
      <c r="M301" s="32"/>
      <c r="N301" s="35">
        <f t="shared" si="65"/>
        <v>0</v>
      </c>
      <c r="O301" s="36">
        <v>0</v>
      </c>
      <c r="P301" s="32"/>
      <c r="Q301" s="325">
        <f>'AVT101'!BI82</f>
        <v>0</v>
      </c>
      <c r="R301" s="32"/>
      <c r="S301" s="325">
        <f>'AVT139'!BI82</f>
        <v>0</v>
      </c>
      <c r="T301" s="32"/>
      <c r="U301" s="325">
        <f>'AVT187'!BI82</f>
        <v>0</v>
      </c>
      <c r="V301" s="32"/>
      <c r="W301" s="325">
        <f>'AVT251'!BI65</f>
        <v>0</v>
      </c>
      <c r="X301" s="32"/>
      <c r="Y301" s="325">
        <f>AVT187In!BI64</f>
        <v>0</v>
      </c>
      <c r="Z301" s="32"/>
      <c r="AA301" s="325">
        <f>'AVT101(vn-A)'!BI82</f>
        <v>0</v>
      </c>
      <c r="AB301" s="32"/>
      <c r="AC301" s="325">
        <f>'AVT139(vn-A)'!BI82</f>
        <v>0</v>
      </c>
      <c r="AD301" s="32"/>
      <c r="AE301" s="325">
        <f>'AVT187(vn-A)'!BI82</f>
        <v>0</v>
      </c>
      <c r="AF301" s="32"/>
      <c r="AG301" s="325">
        <f>'AVT187In(vn-A)'!BI64</f>
        <v>0</v>
      </c>
      <c r="AH301" s="32"/>
      <c r="AI301" s="325">
        <f>'AVT187(vn-S)'!BI82</f>
        <v>0</v>
      </c>
      <c r="AJ301" s="32"/>
      <c r="AK301" s="325">
        <f>'AVT187In(vn-S)'!BI64</f>
        <v>0</v>
      </c>
      <c r="AL301" s="32"/>
      <c r="AM301" s="32"/>
      <c r="AN301" s="32"/>
      <c r="AO301" s="32"/>
      <c r="AP301" s="32"/>
      <c r="AQ301" s="32"/>
      <c r="AR301" s="32"/>
      <c r="AS301" s="32"/>
      <c r="AT301" s="32"/>
      <c r="AU301" s="32"/>
      <c r="AV301" s="32"/>
      <c r="AW301" s="32"/>
      <c r="AX301" s="32"/>
      <c r="AY301" s="32"/>
      <c r="AZ301" s="32"/>
      <c r="BA301" s="32"/>
      <c r="BB301" s="32"/>
      <c r="BC301" s="32"/>
      <c r="BD301" s="32"/>
      <c r="BE301" s="32"/>
      <c r="BF301" s="32"/>
      <c r="BG301" s="32"/>
      <c r="BH301" s="32"/>
      <c r="BI301" s="32"/>
      <c r="BJ301" s="32"/>
      <c r="BK301" s="32"/>
      <c r="BL301" s="32"/>
      <c r="BM301" s="32"/>
      <c r="BN301" s="32"/>
      <c r="BO301" s="165"/>
      <c r="BP301" s="165"/>
      <c r="BQ301" s="165"/>
      <c r="BR301" s="165"/>
      <c r="BS301" s="165"/>
      <c r="BT301" s="165"/>
      <c r="BU301" s="165"/>
      <c r="BV301" s="55"/>
      <c r="BW301" s="160"/>
      <c r="BX301" s="32"/>
      <c r="BY301" s="24"/>
      <c r="BZ301" s="24"/>
      <c r="CA301" s="24"/>
      <c r="CB301" s="24"/>
      <c r="CC301" s="24"/>
      <c r="CD301" s="24"/>
      <c r="CE301" s="24"/>
    </row>
    <row r="302" spans="1:83" ht="15" customHeight="1">
      <c r="A302" s="4"/>
      <c r="B302" s="318">
        <f>CENY!B678</f>
        <v>9256951</v>
      </c>
      <c r="C302" s="43" t="str">
        <f>VLOOKUP(B302,CENY!$B$11:$G$1054,2,FALSE)</f>
        <v>Quadro You(S) 350/SiSy 10kg; EB21; pravý</v>
      </c>
      <c r="D302" s="353">
        <f>VLOOKUP(B302,CENY!$B$11:$G$1054,3,FALSE)</f>
        <v>20</v>
      </c>
      <c r="E302" s="56" t="str">
        <f>IF(VLOOKUP(B302,CENY!$B$11:$G$1054,4,FALSE)=0,"",VLOOKUP(B302,CENY!$B$11:$G$1054,4,FALSE))</f>
        <v/>
      </c>
      <c r="F302" s="40" t="str">
        <f t="shared" si="64"/>
        <v/>
      </c>
      <c r="G302" s="52">
        <f>VLOOKUP(B302,CENY!$B$11:$M$1054,12,FALSE)</f>
        <v>229.11434</v>
      </c>
      <c r="H302" s="54" t="str">
        <f t="shared" si="66"/>
        <v xml:space="preserve"> CZK</v>
      </c>
      <c r="I302" s="41" t="str">
        <f t="shared" si="67"/>
        <v/>
      </c>
      <c r="J302" s="122"/>
      <c r="K302" s="42" t="str">
        <f>VLOOKUP(B302,CENY!$B$11:$M$1054,8,FALSE)</f>
        <v xml:space="preserve"> </v>
      </c>
      <c r="L302" s="42" t="str">
        <f>VLOOKUP(B302,CENY!$B$11:$M$1054,9,FALSE)</f>
        <v>397811</v>
      </c>
      <c r="M302" s="32"/>
      <c r="N302" s="35">
        <f t="shared" si="65"/>
        <v>0</v>
      </c>
      <c r="O302" s="36">
        <v>0</v>
      </c>
      <c r="P302" s="32"/>
      <c r="Q302" s="325">
        <f>'AVT101'!BI83</f>
        <v>0</v>
      </c>
      <c r="R302" s="32"/>
      <c r="S302" s="325">
        <f>'AVT139'!BI83</f>
        <v>0</v>
      </c>
      <c r="T302" s="32"/>
      <c r="U302" s="325">
        <f>'AVT187'!BI83</f>
        <v>0</v>
      </c>
      <c r="V302" s="32"/>
      <c r="W302" s="325">
        <f>'AVT251'!BI66</f>
        <v>0</v>
      </c>
      <c r="X302" s="32"/>
      <c r="Y302" s="325">
        <f>AVT187In!BI65</f>
        <v>0</v>
      </c>
      <c r="Z302" s="32"/>
      <c r="AA302" s="325">
        <f>'AVT101(vn-A)'!BI83</f>
        <v>0</v>
      </c>
      <c r="AB302" s="32"/>
      <c r="AC302" s="325">
        <f>'AVT139(vn-A)'!BI83</f>
        <v>0</v>
      </c>
      <c r="AD302" s="32"/>
      <c r="AE302" s="325">
        <f>'AVT187(vn-A)'!BI83</f>
        <v>0</v>
      </c>
      <c r="AF302" s="32"/>
      <c r="AG302" s="325">
        <f>'AVT187In(vn-A)'!BI65</f>
        <v>0</v>
      </c>
      <c r="AH302" s="32"/>
      <c r="AI302" s="325">
        <f>'AVT187(vn-S)'!BI83</f>
        <v>0</v>
      </c>
      <c r="AJ302" s="32"/>
      <c r="AK302" s="325">
        <f>'AVT187In(vn-S)'!BI65</f>
        <v>0</v>
      </c>
      <c r="AL302" s="32"/>
      <c r="AM302" s="32"/>
      <c r="AN302" s="32"/>
      <c r="AO302" s="32"/>
      <c r="AP302" s="32"/>
      <c r="AQ302" s="32"/>
      <c r="AR302" s="32"/>
      <c r="AS302" s="32"/>
      <c r="AT302" s="32"/>
      <c r="AU302" s="32"/>
      <c r="AV302" s="32"/>
      <c r="AW302" s="32"/>
      <c r="AX302" s="32"/>
      <c r="AY302" s="32"/>
      <c r="AZ302" s="32"/>
      <c r="BA302" s="32"/>
      <c r="BB302" s="32"/>
      <c r="BC302" s="32"/>
      <c r="BD302" s="32"/>
      <c r="BE302" s="32"/>
      <c r="BF302" s="32"/>
      <c r="BG302" s="32"/>
      <c r="BH302" s="32"/>
      <c r="BI302" s="32"/>
      <c r="BJ302" s="32"/>
      <c r="BK302" s="32"/>
      <c r="BL302" s="32"/>
      <c r="BM302" s="32"/>
      <c r="BN302" s="32"/>
      <c r="BO302" s="165"/>
      <c r="BP302" s="165"/>
      <c r="BQ302" s="165"/>
      <c r="BR302" s="165"/>
      <c r="BS302" s="165"/>
      <c r="BT302" s="165"/>
      <c r="BU302" s="165"/>
      <c r="BV302" s="55"/>
      <c r="BW302" s="160"/>
      <c r="BX302" s="32"/>
      <c r="BY302" s="24"/>
      <c r="BZ302" s="24"/>
      <c r="CA302" s="24"/>
      <c r="CB302" s="24"/>
      <c r="CC302" s="24"/>
      <c r="CD302" s="24"/>
      <c r="CE302" s="24"/>
    </row>
    <row r="303" spans="1:83" ht="8.1" customHeight="1">
      <c r="A303" s="4"/>
      <c r="B303" s="126"/>
      <c r="C303" s="43"/>
      <c r="D303" s="39"/>
      <c r="E303" s="56"/>
      <c r="F303" s="60"/>
      <c r="G303" s="52"/>
      <c r="H303" s="54"/>
      <c r="I303" s="41"/>
      <c r="J303" s="122"/>
      <c r="K303" s="42"/>
      <c r="L303" s="42"/>
      <c r="M303" s="32"/>
      <c r="N303" s="35"/>
      <c r="O303" s="36">
        <v>0</v>
      </c>
      <c r="P303" s="32"/>
      <c r="Q303" s="32"/>
      <c r="R303" s="32"/>
      <c r="S303" s="32"/>
      <c r="T303" s="32"/>
      <c r="U303" s="32"/>
      <c r="V303" s="32"/>
      <c r="W303" s="32"/>
      <c r="X303" s="32"/>
      <c r="Y303" s="32"/>
      <c r="Z303" s="32"/>
      <c r="AA303" s="32"/>
      <c r="AB303" s="32"/>
      <c r="AC303" s="32"/>
      <c r="AD303" s="32"/>
      <c r="AE303" s="32"/>
      <c r="AF303" s="32"/>
      <c r="AG303" s="32"/>
      <c r="AH303" s="32"/>
      <c r="AI303" s="32"/>
      <c r="AJ303" s="32"/>
      <c r="AK303" s="32"/>
      <c r="AL303" s="32"/>
      <c r="AM303" s="32"/>
      <c r="AN303" s="32"/>
      <c r="AO303" s="32"/>
      <c r="AP303" s="32"/>
      <c r="AQ303" s="32"/>
      <c r="AR303" s="32"/>
      <c r="AS303" s="32"/>
      <c r="AT303" s="32"/>
      <c r="AU303" s="32"/>
      <c r="AV303" s="32"/>
      <c r="AW303" s="32"/>
      <c r="AX303" s="32"/>
      <c r="AY303" s="32"/>
      <c r="AZ303" s="32"/>
      <c r="BA303" s="32"/>
      <c r="BB303" s="32"/>
      <c r="BC303" s="32"/>
      <c r="BD303" s="32"/>
      <c r="BE303" s="32"/>
      <c r="BF303" s="32"/>
      <c r="BG303" s="32"/>
      <c r="BH303" s="32"/>
      <c r="BI303" s="32"/>
      <c r="BJ303" s="32"/>
      <c r="BK303" s="32"/>
      <c r="BL303" s="32"/>
      <c r="BM303" s="32"/>
      <c r="BN303" s="32"/>
      <c r="BO303" s="165"/>
      <c r="BP303" s="165"/>
      <c r="BQ303" s="165"/>
      <c r="BR303" s="165"/>
      <c r="BS303" s="165"/>
      <c r="BT303" s="165"/>
      <c r="BU303" s="165"/>
      <c r="BV303" s="55"/>
      <c r="BW303" s="160"/>
      <c r="BX303" s="32"/>
      <c r="BY303" s="24"/>
      <c r="BZ303" s="24"/>
      <c r="CA303" s="24"/>
      <c r="CB303" s="24"/>
      <c r="CC303" s="24"/>
      <c r="CD303" s="24"/>
      <c r="CE303" s="24"/>
    </row>
    <row r="304" spans="1:83" ht="15" customHeight="1">
      <c r="A304" s="4"/>
      <c r="B304" s="318">
        <f>CENY!B680</f>
        <v>9256883</v>
      </c>
      <c r="C304" s="43" t="str">
        <f>VLOOKUP(B304,CENY!$B$11:$G$1054,2,FALSE)</f>
        <v>Quadro You(M) 270/SiSy 20kg; EB21</v>
      </c>
      <c r="D304" s="364">
        <f>VLOOKUP(B304,CENY!$B$11:$G$1054,3,FALSE)</f>
        <v>1</v>
      </c>
      <c r="E304" s="56" t="str">
        <f>IF(VLOOKUP(B304,CENY!$B$11:$G$1054,4,FALSE)=0,"",VLOOKUP(B304,CENY!$B$11:$G$1054,4,FALSE))</f>
        <v/>
      </c>
      <c r="F304" s="40" t="str">
        <f t="shared" ref="F304:F327" si="68">IF(J304&lt;&gt;"",J304,IF(N304=0,"",N304))</f>
        <v/>
      </c>
      <c r="G304" s="52">
        <f>VLOOKUP(B304,CENY!$B$11:$M$1054,12,FALSE)</f>
        <v>478.60127999999997</v>
      </c>
      <c r="H304" s="54" t="str">
        <f t="shared" si="66"/>
        <v xml:space="preserve"> CZK</v>
      </c>
      <c r="I304" s="41" t="str">
        <f t="shared" si="67"/>
        <v/>
      </c>
      <c r="J304" s="122"/>
      <c r="K304" s="42" t="str">
        <f>VLOOKUP(B304,CENY!$B$11:$M$1054,8,FALSE)</f>
        <v xml:space="preserve"> </v>
      </c>
      <c r="L304" s="42" t="str">
        <f>VLOOKUP(B304,CENY!$B$11:$M$1054,9,FALSE)</f>
        <v>518550</v>
      </c>
      <c r="M304" s="32"/>
      <c r="N304" s="35">
        <f t="shared" ref="N304:N327" si="69">SUM(P304:BW304)</f>
        <v>0</v>
      </c>
      <c r="O304" s="36">
        <v>0</v>
      </c>
      <c r="P304" s="325">
        <f>'AVT101'!AZ54</f>
        <v>0</v>
      </c>
      <c r="Q304" s="32"/>
      <c r="R304" s="325">
        <f>'AVT139'!AZ54</f>
        <v>0</v>
      </c>
      <c r="S304" s="32"/>
      <c r="T304" s="325">
        <f>'AVT187'!AZ54</f>
        <v>0</v>
      </c>
      <c r="U304" s="32"/>
      <c r="V304" s="32"/>
      <c r="W304" s="32"/>
      <c r="X304" s="32"/>
      <c r="Y304" s="32"/>
      <c r="Z304" s="325">
        <f>'AVT101(vn-A)'!AZ54</f>
        <v>0</v>
      </c>
      <c r="AA304" s="32"/>
      <c r="AB304" s="32"/>
      <c r="AC304" s="32"/>
      <c r="AD304" s="325">
        <f>'AVT187(vn-A)'!AZ54</f>
        <v>0</v>
      </c>
      <c r="AE304" s="32"/>
      <c r="AF304" s="32"/>
      <c r="AG304" s="32"/>
      <c r="AH304" s="325">
        <f>'AVT187(vn-S)'!AZ54</f>
        <v>0</v>
      </c>
      <c r="AI304" s="32"/>
      <c r="AJ304" s="32"/>
      <c r="AK304" s="32"/>
      <c r="AL304" s="32"/>
      <c r="AM304" s="32"/>
      <c r="AN304" s="325">
        <f>'AVT-celny-101+187'!AZ50</f>
        <v>0</v>
      </c>
      <c r="AO304" s="32"/>
      <c r="AP304" s="32"/>
      <c r="AQ304" s="32"/>
      <c r="AR304" s="325">
        <f>'AVT-celny-2x187'!AZ40</f>
        <v>0</v>
      </c>
      <c r="AS304" s="32"/>
      <c r="AT304" s="32"/>
      <c r="AU304" s="32"/>
      <c r="AV304" s="32"/>
      <c r="AW304" s="32"/>
      <c r="AX304" s="32"/>
      <c r="AY304" s="32"/>
      <c r="AZ304" s="32"/>
      <c r="BA304" s="32"/>
      <c r="BB304" s="32"/>
      <c r="BC304" s="32"/>
      <c r="BD304" s="32"/>
      <c r="BE304" s="32"/>
      <c r="BF304" s="32"/>
      <c r="BG304" s="32"/>
      <c r="BH304" s="32"/>
      <c r="BI304" s="32"/>
      <c r="BJ304" s="32"/>
      <c r="BK304" s="32"/>
      <c r="BL304" s="32"/>
      <c r="BM304" s="32"/>
      <c r="BN304" s="32"/>
      <c r="BO304" s="165"/>
      <c r="BP304" s="165"/>
      <c r="BQ304" s="165"/>
      <c r="BR304" s="165"/>
      <c r="BS304" s="165"/>
      <c r="BT304" s="165"/>
      <c r="BU304" s="165"/>
      <c r="BV304" s="55"/>
      <c r="BW304" s="160"/>
      <c r="BX304" s="32"/>
      <c r="BY304" s="24"/>
      <c r="BZ304" s="24"/>
      <c r="CA304" s="24"/>
      <c r="CB304" s="24"/>
      <c r="CC304" s="24"/>
      <c r="CD304" s="24"/>
      <c r="CE304" s="24"/>
    </row>
    <row r="305" spans="1:83" ht="15" customHeight="1">
      <c r="A305" s="4"/>
      <c r="B305" s="318">
        <f>CENY!B681</f>
        <v>9256884</v>
      </c>
      <c r="C305" s="43" t="str">
        <f>VLOOKUP(B305,CENY!$B$11:$G$1054,2,FALSE)</f>
        <v>Quadro You(M) 300/SiSy 20kg; EB21</v>
      </c>
      <c r="D305" s="364">
        <f>VLOOKUP(B305,CENY!$B$11:$G$1054,3,FALSE)</f>
        <v>1</v>
      </c>
      <c r="E305" s="56" t="str">
        <f>IF(VLOOKUP(B305,CENY!$B$11:$G$1054,4,FALSE)=0,"",VLOOKUP(B305,CENY!$B$11:$G$1054,4,FALSE))</f>
        <v/>
      </c>
      <c r="F305" s="40" t="str">
        <f t="shared" si="68"/>
        <v/>
      </c>
      <c r="G305" s="52">
        <f>VLOOKUP(B305,CENY!$B$11:$M$1054,12,FALSE)</f>
        <v>479.57344999999998</v>
      </c>
      <c r="H305" s="54" t="str">
        <f t="shared" si="66"/>
        <v xml:space="preserve"> CZK</v>
      </c>
      <c r="I305" s="41" t="str">
        <f t="shared" si="67"/>
        <v/>
      </c>
      <c r="J305" s="122"/>
      <c r="K305" s="42" t="str">
        <f>VLOOKUP(B305,CENY!$B$11:$M$1054,8,FALSE)</f>
        <v xml:space="preserve"> </v>
      </c>
      <c r="L305" s="42" t="str">
        <f>VLOOKUP(B305,CENY!$B$11:$M$1054,9,FALSE)</f>
        <v>518551</v>
      </c>
      <c r="M305" s="32"/>
      <c r="N305" s="35">
        <f t="shared" si="69"/>
        <v>0</v>
      </c>
      <c r="O305" s="36">
        <v>0</v>
      </c>
      <c r="P305" s="325">
        <f>'AVT101'!AZ55</f>
        <v>0</v>
      </c>
      <c r="Q305" s="32"/>
      <c r="R305" s="325">
        <f>'AVT139'!AZ55</f>
        <v>0</v>
      </c>
      <c r="S305" s="32"/>
      <c r="T305" s="325">
        <f>'AVT187'!AZ55</f>
        <v>0</v>
      </c>
      <c r="U305" s="32"/>
      <c r="V305" s="32"/>
      <c r="W305" s="32"/>
      <c r="X305" s="32"/>
      <c r="Y305" s="32"/>
      <c r="Z305" s="325">
        <f>'AVT101(vn-A)'!AZ55</f>
        <v>0</v>
      </c>
      <c r="AA305" s="32"/>
      <c r="AB305" s="325">
        <f>'AVT139(vn-A)'!AZ55</f>
        <v>0</v>
      </c>
      <c r="AC305" s="32"/>
      <c r="AD305" s="325">
        <f>'AVT187(vn-A)'!AZ55</f>
        <v>0</v>
      </c>
      <c r="AE305" s="32"/>
      <c r="AF305" s="32"/>
      <c r="AG305" s="32"/>
      <c r="AH305" s="325">
        <f>'AVT187(vn-S)'!AZ55</f>
        <v>0</v>
      </c>
      <c r="AI305" s="32"/>
      <c r="AJ305" s="32"/>
      <c r="AK305" s="32"/>
      <c r="AL305" s="32"/>
      <c r="AM305" s="32"/>
      <c r="AN305" s="325">
        <f>'AVT-celny-101+187'!AZ51</f>
        <v>0</v>
      </c>
      <c r="AO305" s="32"/>
      <c r="AP305" s="325">
        <f>'AVT-celny-139+187'!AZ42</f>
        <v>0</v>
      </c>
      <c r="AQ305" s="32"/>
      <c r="AR305" s="325">
        <f>'AVT-celny-2x187'!AZ41</f>
        <v>0</v>
      </c>
      <c r="AS305" s="32"/>
      <c r="AT305" s="32"/>
      <c r="AU305" s="32"/>
      <c r="AV305" s="32"/>
      <c r="AW305" s="32"/>
      <c r="AX305" s="32"/>
      <c r="AY305" s="32"/>
      <c r="AZ305" s="32"/>
      <c r="BA305" s="32"/>
      <c r="BB305" s="32"/>
      <c r="BC305" s="32"/>
      <c r="BD305" s="32"/>
      <c r="BE305" s="32"/>
      <c r="BF305" s="32"/>
      <c r="BG305" s="32"/>
      <c r="BH305" s="32"/>
      <c r="BI305" s="32"/>
      <c r="BJ305" s="32"/>
      <c r="BK305" s="32"/>
      <c r="BL305" s="32"/>
      <c r="BM305" s="32"/>
      <c r="BN305" s="32"/>
      <c r="BO305" s="165"/>
      <c r="BP305" s="165"/>
      <c r="BQ305" s="165"/>
      <c r="BR305" s="165"/>
      <c r="BS305" s="165"/>
      <c r="BT305" s="165"/>
      <c r="BU305" s="165"/>
      <c r="BV305" s="55"/>
      <c r="BW305" s="160"/>
      <c r="BX305" s="32"/>
      <c r="BY305" s="24"/>
      <c r="BZ305" s="24"/>
      <c r="CA305" s="24"/>
      <c r="CB305" s="24"/>
      <c r="CC305" s="24"/>
      <c r="CD305" s="24"/>
      <c r="CE305" s="24"/>
    </row>
    <row r="306" spans="1:83" ht="15" customHeight="1">
      <c r="A306" s="4"/>
      <c r="B306" s="318">
        <f>CENY!B682</f>
        <v>9256886</v>
      </c>
      <c r="C306" s="43" t="str">
        <f>VLOOKUP(B306,CENY!$B$11:$G$1054,2,FALSE)</f>
        <v>Quadro You(M) 350/SiSy 25kg; EB21</v>
      </c>
      <c r="D306" s="364">
        <f>VLOOKUP(B306,CENY!$B$11:$G$1054,3,FALSE)</f>
        <v>1</v>
      </c>
      <c r="E306" s="56" t="str">
        <f>IF(VLOOKUP(B306,CENY!$B$11:$G$1054,4,FALSE)=0,"",VLOOKUP(B306,CENY!$B$11:$G$1054,4,FALSE))</f>
        <v/>
      </c>
      <c r="F306" s="40" t="str">
        <f t="shared" si="68"/>
        <v/>
      </c>
      <c r="G306" s="52">
        <f>VLOOKUP(B306,CENY!$B$11:$M$1054,12,FALSE)</f>
        <v>489.27857</v>
      </c>
      <c r="H306" s="54" t="str">
        <f t="shared" si="66"/>
        <v xml:space="preserve"> CZK</v>
      </c>
      <c r="I306" s="41" t="str">
        <f t="shared" si="67"/>
        <v/>
      </c>
      <c r="J306" s="122"/>
      <c r="K306" s="42" t="str">
        <f>VLOOKUP(B306,CENY!$B$11:$M$1054,8,FALSE)</f>
        <v xml:space="preserve"> </v>
      </c>
      <c r="L306" s="42" t="str">
        <f>VLOOKUP(B306,CENY!$B$11:$M$1054,9,FALSE)</f>
        <v>527985</v>
      </c>
      <c r="M306" s="32"/>
      <c r="N306" s="35">
        <f t="shared" si="69"/>
        <v>0</v>
      </c>
      <c r="O306" s="36">
        <v>0</v>
      </c>
      <c r="P306" s="325">
        <f>'AVT101'!AZ56</f>
        <v>0</v>
      </c>
      <c r="Q306" s="32"/>
      <c r="R306" s="325">
        <f>'AVT139'!AZ56</f>
        <v>0</v>
      </c>
      <c r="S306" s="32"/>
      <c r="T306" s="325">
        <f>'AVT187'!AZ56</f>
        <v>0</v>
      </c>
      <c r="U306" s="32"/>
      <c r="V306" s="325">
        <f>'AVT251'!AZ44</f>
        <v>0</v>
      </c>
      <c r="W306" s="32"/>
      <c r="X306" s="325">
        <f>AVT187In!AZ44</f>
        <v>0</v>
      </c>
      <c r="Y306" s="32"/>
      <c r="Z306" s="325">
        <f>'AVT101(vn-A)'!AZ56</f>
        <v>0</v>
      </c>
      <c r="AA306" s="32"/>
      <c r="AB306" s="325">
        <f>'AVT139(vn-A)'!AZ56</f>
        <v>0</v>
      </c>
      <c r="AC306" s="32"/>
      <c r="AD306" s="325">
        <f>'AVT187(vn-A)'!AZ56</f>
        <v>0</v>
      </c>
      <c r="AE306" s="32"/>
      <c r="AF306" s="325">
        <f>'AVT187In(vn-A)'!AZ44</f>
        <v>0</v>
      </c>
      <c r="AG306" s="32"/>
      <c r="AH306" s="325">
        <f>'AVT187(vn-S)'!AZ56</f>
        <v>0</v>
      </c>
      <c r="AI306" s="32"/>
      <c r="AJ306" s="325">
        <f>'AVT187In(vn-S)'!AZ44</f>
        <v>0</v>
      </c>
      <c r="AK306" s="32"/>
      <c r="AL306" s="32"/>
      <c r="AM306" s="32"/>
      <c r="AN306" s="325">
        <f>'AVT-celny-101+187'!AZ52</f>
        <v>0</v>
      </c>
      <c r="AO306" s="32"/>
      <c r="AP306" s="325">
        <f>'AVT-celny-139+187'!AZ43</f>
        <v>0</v>
      </c>
      <c r="AQ306" s="32"/>
      <c r="AR306" s="325">
        <f>'AVT-celny-2x187'!AZ42</f>
        <v>0</v>
      </c>
      <c r="AS306" s="32"/>
      <c r="AT306" s="325">
        <f>'AVT-celny-2x187In'!AZ34</f>
        <v>0</v>
      </c>
      <c r="AU306" s="32"/>
      <c r="AV306" s="32"/>
      <c r="AW306" s="32"/>
      <c r="AX306" s="32"/>
      <c r="AY306" s="32"/>
      <c r="AZ306" s="32"/>
      <c r="BA306" s="32"/>
      <c r="BB306" s="32"/>
      <c r="BC306" s="32"/>
      <c r="BD306" s="32"/>
      <c r="BE306" s="32"/>
      <c r="BF306" s="32"/>
      <c r="BG306" s="32"/>
      <c r="BH306" s="32"/>
      <c r="BI306" s="32"/>
      <c r="BJ306" s="32"/>
      <c r="BK306" s="32"/>
      <c r="BL306" s="32"/>
      <c r="BM306" s="32"/>
      <c r="BN306" s="32"/>
      <c r="BO306" s="165"/>
      <c r="BP306" s="165"/>
      <c r="BQ306" s="165"/>
      <c r="BR306" s="165"/>
      <c r="BS306" s="165"/>
      <c r="BT306" s="165"/>
      <c r="BU306" s="165"/>
      <c r="BV306" s="55"/>
      <c r="BW306" s="160"/>
      <c r="BX306" s="32"/>
      <c r="BY306" s="24"/>
      <c r="BZ306" s="24"/>
      <c r="CA306" s="24"/>
      <c r="CB306" s="24"/>
      <c r="CC306" s="24"/>
      <c r="CD306" s="24"/>
      <c r="CE306" s="24"/>
    </row>
    <row r="307" spans="1:83" ht="15" customHeight="1">
      <c r="A307" s="4"/>
      <c r="B307" s="318">
        <f>CENY!B683</f>
        <v>9256888</v>
      </c>
      <c r="C307" s="43" t="str">
        <f>VLOOKUP(B307,CENY!$B$11:$G$1054,2,FALSE)</f>
        <v>Quadro You(M) 400/SiSy 30kg; EB21</v>
      </c>
      <c r="D307" s="364">
        <f>VLOOKUP(B307,CENY!$B$11:$G$1054,3,FALSE)</f>
        <v>1</v>
      </c>
      <c r="E307" s="56" t="str">
        <f>IF(VLOOKUP(B307,CENY!$B$11:$G$1054,4,FALSE)=0,"",VLOOKUP(B307,CENY!$B$11:$G$1054,4,FALSE))</f>
        <v/>
      </c>
      <c r="F307" s="40" t="str">
        <f t="shared" si="68"/>
        <v/>
      </c>
      <c r="G307" s="52">
        <f>VLOOKUP(B307,CENY!$B$11:$M$1054,12,FALSE)</f>
        <v>498.97861999999998</v>
      </c>
      <c r="H307" s="54" t="str">
        <f t="shared" si="66"/>
        <v xml:space="preserve"> CZK</v>
      </c>
      <c r="I307" s="41" t="str">
        <f t="shared" si="67"/>
        <v/>
      </c>
      <c r="J307" s="122"/>
      <c r="K307" s="42" t="str">
        <f>VLOOKUP(B307,CENY!$B$11:$M$1054,8,FALSE)</f>
        <v xml:space="preserve"> </v>
      </c>
      <c r="L307" s="42" t="str">
        <f>VLOOKUP(B307,CENY!$B$11:$M$1054,9,FALSE)</f>
        <v>518552</v>
      </c>
      <c r="M307" s="32"/>
      <c r="N307" s="35">
        <f t="shared" si="69"/>
        <v>0</v>
      </c>
      <c r="O307" s="36">
        <v>0</v>
      </c>
      <c r="P307" s="325">
        <f>'AVT101'!AZ57</f>
        <v>0</v>
      </c>
      <c r="Q307" s="32"/>
      <c r="R307" s="325">
        <f>'AVT139'!AZ57</f>
        <v>0</v>
      </c>
      <c r="S307" s="32"/>
      <c r="T307" s="325">
        <f>'AVT187'!AZ57</f>
        <v>0</v>
      </c>
      <c r="U307" s="32"/>
      <c r="V307" s="325">
        <f>'AVT251'!AZ45</f>
        <v>0</v>
      </c>
      <c r="W307" s="32"/>
      <c r="X307" s="325">
        <f>AVT187In!AZ45</f>
        <v>0</v>
      </c>
      <c r="Y307" s="32"/>
      <c r="Z307" s="325">
        <f>'AVT101(vn-A)'!AZ57</f>
        <v>0</v>
      </c>
      <c r="AA307" s="32"/>
      <c r="AB307" s="325">
        <f>'AVT139(vn-A)'!AZ57</f>
        <v>0</v>
      </c>
      <c r="AC307" s="32"/>
      <c r="AD307" s="325">
        <f>'AVT187(vn-A)'!AZ57</f>
        <v>0</v>
      </c>
      <c r="AE307" s="32"/>
      <c r="AF307" s="325">
        <f>'AVT187In(vn-A)'!AZ45</f>
        <v>0</v>
      </c>
      <c r="AG307" s="32"/>
      <c r="AH307" s="325">
        <f>'AVT187(vn-S)'!AZ57</f>
        <v>0</v>
      </c>
      <c r="AI307" s="32"/>
      <c r="AJ307" s="325">
        <f>'AVT187In(vn-S)'!AZ45</f>
        <v>0</v>
      </c>
      <c r="AK307" s="32"/>
      <c r="AL307" s="325">
        <f>'AVT77'!AZ30</f>
        <v>0</v>
      </c>
      <c r="AM307" s="32"/>
      <c r="AN307" s="325">
        <f>'AVT-celny-101+187'!AZ53</f>
        <v>0</v>
      </c>
      <c r="AO307" s="32"/>
      <c r="AP307" s="325">
        <f>'AVT-celny-139+187'!AZ44</f>
        <v>0</v>
      </c>
      <c r="AQ307" s="32"/>
      <c r="AR307" s="325">
        <f>'AVT-celny-2x187'!AZ43</f>
        <v>0</v>
      </c>
      <c r="AS307" s="32"/>
      <c r="AT307" s="325">
        <f>'AVT-celny-2x187In'!AZ35</f>
        <v>0</v>
      </c>
      <c r="AU307" s="32"/>
      <c r="AV307" s="32"/>
      <c r="AW307" s="32"/>
      <c r="AX307" s="32"/>
      <c r="AY307" s="32"/>
      <c r="AZ307" s="32"/>
      <c r="BA307" s="32"/>
      <c r="BB307" s="32"/>
      <c r="BC307" s="32"/>
      <c r="BD307" s="32"/>
      <c r="BE307" s="32"/>
      <c r="BF307" s="32"/>
      <c r="BG307" s="32"/>
      <c r="BH307" s="32"/>
      <c r="BI307" s="32"/>
      <c r="BJ307" s="32"/>
      <c r="BK307" s="32"/>
      <c r="BL307" s="32"/>
      <c r="BM307" s="32"/>
      <c r="BN307" s="32"/>
      <c r="BO307" s="165"/>
      <c r="BP307" s="165"/>
      <c r="BQ307" s="165"/>
      <c r="BR307" s="165"/>
      <c r="BS307" s="165"/>
      <c r="BT307" s="165"/>
      <c r="BU307" s="165"/>
      <c r="BV307" s="55"/>
      <c r="BW307" s="160"/>
      <c r="BX307" s="32"/>
      <c r="BY307" s="24"/>
      <c r="BZ307" s="24"/>
      <c r="CA307" s="24"/>
      <c r="CB307" s="24"/>
      <c r="CC307" s="24"/>
      <c r="CD307" s="24"/>
      <c r="CE307" s="24"/>
    </row>
    <row r="308" spans="1:83" ht="15" customHeight="1">
      <c r="A308" s="4"/>
      <c r="B308" s="318">
        <f>CENY!B684</f>
        <v>9256890</v>
      </c>
      <c r="C308" s="43" t="str">
        <f>VLOOKUP(B308,CENY!$B$11:$G$1054,2,FALSE)</f>
        <v>Quadro You(M) 450/SiSy 30kg; EB21</v>
      </c>
      <c r="D308" s="364">
        <f>VLOOKUP(B308,CENY!$B$11:$G$1054,3,FALSE)</f>
        <v>1</v>
      </c>
      <c r="E308" s="56" t="str">
        <f>IF(VLOOKUP(B308,CENY!$B$11:$G$1054,4,FALSE)=0,"",VLOOKUP(B308,CENY!$B$11:$G$1054,4,FALSE))</f>
        <v/>
      </c>
      <c r="F308" s="40" t="str">
        <f t="shared" si="68"/>
        <v/>
      </c>
      <c r="G308" s="52">
        <f>VLOOKUP(B308,CENY!$B$11:$M$1054,12,FALSE)</f>
        <v>122.98869999999999</v>
      </c>
      <c r="H308" s="54" t="str">
        <f t="shared" si="66"/>
        <v xml:space="preserve"> CZK</v>
      </c>
      <c r="I308" s="41" t="str">
        <f t="shared" si="67"/>
        <v/>
      </c>
      <c r="J308" s="122"/>
      <c r="K308" s="42" t="str">
        <f>VLOOKUP(B308,CENY!$B$11:$M$1054,8,FALSE)</f>
        <v xml:space="preserve"> </v>
      </c>
      <c r="L308" s="42" t="str">
        <f>VLOOKUP(B308,CENY!$B$11:$M$1054,9,FALSE)</f>
        <v>494286</v>
      </c>
      <c r="M308" s="32"/>
      <c r="N308" s="35">
        <f t="shared" si="69"/>
        <v>0</v>
      </c>
      <c r="O308" s="36">
        <v>0</v>
      </c>
      <c r="P308" s="325">
        <f>'AVT101'!AZ58</f>
        <v>0</v>
      </c>
      <c r="Q308" s="32"/>
      <c r="R308" s="325">
        <f>'AVT139'!AZ58</f>
        <v>0</v>
      </c>
      <c r="S308" s="32"/>
      <c r="T308" s="325">
        <f>'AVT187'!AZ58</f>
        <v>0</v>
      </c>
      <c r="U308" s="32"/>
      <c r="V308" s="325">
        <f>'AVT251'!AZ46</f>
        <v>0</v>
      </c>
      <c r="W308" s="32"/>
      <c r="X308" s="325">
        <f>AVT187In!AZ46</f>
        <v>0</v>
      </c>
      <c r="Y308" s="32"/>
      <c r="Z308" s="325">
        <f>'AVT101(vn-A)'!AZ58</f>
        <v>0</v>
      </c>
      <c r="AA308" s="32"/>
      <c r="AB308" s="325">
        <f>'AVT139(vn-A)'!AZ58</f>
        <v>0</v>
      </c>
      <c r="AC308" s="32"/>
      <c r="AD308" s="325">
        <f>'AVT187(vn-A)'!AZ58</f>
        <v>0</v>
      </c>
      <c r="AE308" s="32"/>
      <c r="AF308" s="325">
        <f>'AVT187In(vn-A)'!AZ46</f>
        <v>0</v>
      </c>
      <c r="AG308" s="32"/>
      <c r="AH308" s="325">
        <f>'AVT187(vn-S)'!AZ58</f>
        <v>0</v>
      </c>
      <c r="AI308" s="32"/>
      <c r="AJ308" s="325">
        <f>'AVT187In(vn-S)'!AZ46</f>
        <v>0</v>
      </c>
      <c r="AK308" s="32"/>
      <c r="AL308" s="325">
        <f>'AVT77'!AZ31</f>
        <v>0</v>
      </c>
      <c r="AM308" s="32"/>
      <c r="AN308" s="325">
        <f>'AVT-celny-101+187'!AZ54</f>
        <v>0</v>
      </c>
      <c r="AO308" s="32"/>
      <c r="AP308" s="325">
        <f>'AVT-celny-139+187'!AZ45</f>
        <v>0</v>
      </c>
      <c r="AQ308" s="32"/>
      <c r="AR308" s="325">
        <f>'AVT-celny-2x187'!AZ44</f>
        <v>0</v>
      </c>
      <c r="AS308" s="32"/>
      <c r="AT308" s="325">
        <f>'AVT-celny-2x187In'!AZ36</f>
        <v>0</v>
      </c>
      <c r="AU308" s="32"/>
      <c r="AV308" s="325">
        <f>'potr-v101+187'!AZ64</f>
        <v>0</v>
      </c>
      <c r="AW308" s="32"/>
      <c r="AX308" s="325">
        <f>'potr-v101+187-IL'!AZ64</f>
        <v>0</v>
      </c>
      <c r="AY308" s="32"/>
      <c r="AZ308" s="32"/>
      <c r="BA308" s="32"/>
      <c r="BB308" s="32"/>
      <c r="BC308" s="32"/>
      <c r="BD308" s="32"/>
      <c r="BE308" s="32"/>
      <c r="BF308" s="32"/>
      <c r="BG308" s="32"/>
      <c r="BH308" s="32"/>
      <c r="BI308" s="32"/>
      <c r="BJ308" s="32"/>
      <c r="BK308" s="32"/>
      <c r="BL308" s="32"/>
      <c r="BM308" s="32"/>
      <c r="BN308" s="32"/>
      <c r="BO308" s="165"/>
      <c r="BP308" s="165"/>
      <c r="BQ308" s="165"/>
      <c r="BR308" s="165"/>
      <c r="BS308" s="165"/>
      <c r="BT308" s="165"/>
      <c r="BU308" s="165"/>
      <c r="BV308" s="55"/>
      <c r="BW308" s="160"/>
      <c r="BX308" s="32"/>
      <c r="BY308" s="24"/>
      <c r="BZ308" s="24"/>
      <c r="CA308" s="24"/>
      <c r="CB308" s="24"/>
      <c r="CC308" s="24"/>
      <c r="CD308" s="24"/>
      <c r="CE308" s="24"/>
    </row>
    <row r="309" spans="1:83" ht="15" customHeight="1">
      <c r="A309" s="4"/>
      <c r="B309" s="318">
        <f>CENY!B685</f>
        <v>9256892</v>
      </c>
      <c r="C309" s="43" t="str">
        <f>VLOOKUP(B309,CENY!$B$11:$G$1054,2,FALSE)</f>
        <v>Quadro You(M) 500/SiSy 30kg; EB21</v>
      </c>
      <c r="D309" s="364">
        <f>VLOOKUP(B309,CENY!$B$11:$G$1054,3,FALSE)</f>
        <v>1</v>
      </c>
      <c r="E309" s="56" t="str">
        <f>IF(VLOOKUP(B309,CENY!$B$11:$G$1054,4,FALSE)=0,"",VLOOKUP(B309,CENY!$B$11:$G$1054,4,FALSE))</f>
        <v/>
      </c>
      <c r="F309" s="40" t="str">
        <f t="shared" si="68"/>
        <v/>
      </c>
      <c r="G309" s="52">
        <f>VLOOKUP(B309,CENY!$B$11:$M$1054,12,FALSE)</f>
        <v>504.59701000000001</v>
      </c>
      <c r="H309" s="54" t="str">
        <f t="shared" si="66"/>
        <v xml:space="preserve"> CZK</v>
      </c>
      <c r="I309" s="41" t="str">
        <f t="shared" si="67"/>
        <v/>
      </c>
      <c r="J309" s="122"/>
      <c r="K309" s="42" t="str">
        <f>VLOOKUP(B309,CENY!$B$11:$M$1054,8,FALSE)</f>
        <v xml:space="preserve"> </v>
      </c>
      <c r="L309" s="42" t="str">
        <f>VLOOKUP(B309,CENY!$B$11:$M$1054,9,FALSE)</f>
        <v>422190</v>
      </c>
      <c r="M309" s="32"/>
      <c r="N309" s="35">
        <f t="shared" si="69"/>
        <v>0</v>
      </c>
      <c r="O309" s="36">
        <v>0</v>
      </c>
      <c r="P309" s="325">
        <f>'AVT101'!AZ59</f>
        <v>0</v>
      </c>
      <c r="Q309" s="32"/>
      <c r="R309" s="325">
        <f>'AVT139'!AZ59</f>
        <v>0</v>
      </c>
      <c r="S309" s="32"/>
      <c r="T309" s="325">
        <f>'AVT187'!AZ59</f>
        <v>0</v>
      </c>
      <c r="U309" s="32"/>
      <c r="V309" s="325">
        <f>'AVT251'!AZ47</f>
        <v>0</v>
      </c>
      <c r="W309" s="32"/>
      <c r="X309" s="325">
        <f>AVT187In!AZ47</f>
        <v>0</v>
      </c>
      <c r="Y309" s="32"/>
      <c r="Z309" s="325">
        <f>'AVT101(vn-A)'!AZ59</f>
        <v>0</v>
      </c>
      <c r="AA309" s="32"/>
      <c r="AB309" s="325">
        <f>'AVT139(vn-A)'!AZ59</f>
        <v>0</v>
      </c>
      <c r="AC309" s="32"/>
      <c r="AD309" s="325">
        <f>'AVT187(vn-A)'!AZ59</f>
        <v>0</v>
      </c>
      <c r="AE309" s="32"/>
      <c r="AF309" s="325">
        <f>'AVT187In(vn-A)'!AZ47</f>
        <v>0</v>
      </c>
      <c r="AG309" s="32"/>
      <c r="AH309" s="325">
        <f>'AVT187(vn-S)'!AZ59</f>
        <v>0</v>
      </c>
      <c r="AI309" s="32"/>
      <c r="AJ309" s="325">
        <f>'AVT187In(vn-S)'!AZ47</f>
        <v>0</v>
      </c>
      <c r="AK309" s="32"/>
      <c r="AL309" s="325">
        <f>'AVT77'!AZ32</f>
        <v>0</v>
      </c>
      <c r="AM309" s="32"/>
      <c r="AN309" s="325">
        <f>'AVT-celny-101+187'!AZ55</f>
        <v>0</v>
      </c>
      <c r="AO309" s="32"/>
      <c r="AP309" s="325">
        <f>'AVT-celny-139+187'!AZ46</f>
        <v>0</v>
      </c>
      <c r="AQ309" s="32"/>
      <c r="AR309" s="325">
        <f>'AVT-celny-2x187'!AZ45</f>
        <v>0</v>
      </c>
      <c r="AS309" s="32"/>
      <c r="AT309" s="325">
        <f>'AVT-celny-2x187In'!AZ37</f>
        <v>0</v>
      </c>
      <c r="AU309" s="32"/>
      <c r="AV309" s="325">
        <f>'potr-v101+187'!AZ65</f>
        <v>0</v>
      </c>
      <c r="AW309" s="32"/>
      <c r="AX309" s="325">
        <f>'potr-v101+187-IL'!AZ65</f>
        <v>0</v>
      </c>
      <c r="AY309" s="32"/>
      <c r="AZ309" s="32"/>
      <c r="BA309" s="32"/>
      <c r="BB309" s="32"/>
      <c r="BC309" s="32"/>
      <c r="BD309" s="32"/>
      <c r="BE309" s="32"/>
      <c r="BF309" s="32"/>
      <c r="BG309" s="32"/>
      <c r="BH309" s="32"/>
      <c r="BI309" s="32"/>
      <c r="BJ309" s="32"/>
      <c r="BK309" s="32"/>
      <c r="BL309" s="32"/>
      <c r="BM309" s="32"/>
      <c r="BN309" s="32"/>
      <c r="BO309" s="165"/>
      <c r="BP309" s="165"/>
      <c r="BQ309" s="165"/>
      <c r="BR309" s="165"/>
      <c r="BS309" s="165"/>
      <c r="BT309" s="165"/>
      <c r="BU309" s="165"/>
      <c r="BV309" s="55"/>
      <c r="BW309" s="160"/>
      <c r="BX309" s="32"/>
      <c r="BY309" s="24"/>
      <c r="BZ309" s="24"/>
      <c r="CA309" s="24"/>
      <c r="CB309" s="24"/>
      <c r="CC309" s="24"/>
      <c r="CD309" s="24"/>
      <c r="CE309" s="24"/>
    </row>
    <row r="310" spans="1:83" ht="15" customHeight="1">
      <c r="A310" s="4"/>
      <c r="B310" s="318">
        <f>CENY!B686</f>
        <v>9256894</v>
      </c>
      <c r="C310" s="43" t="str">
        <f>VLOOKUP(B310,CENY!$B$11:$G$1054,2,FALSE)</f>
        <v>Quadro You(M) 550/SiSy 30kg; EB21</v>
      </c>
      <c r="D310" s="364">
        <f>VLOOKUP(B310,CENY!$B$11:$G$1054,3,FALSE)</f>
        <v>1</v>
      </c>
      <c r="E310" s="56" t="str">
        <f>IF(VLOOKUP(B310,CENY!$B$11:$G$1054,4,FALSE)=0,"",VLOOKUP(B310,CENY!$B$11:$G$1054,4,FALSE))</f>
        <v/>
      </c>
      <c r="F310" s="40" t="str">
        <f t="shared" si="68"/>
        <v/>
      </c>
      <c r="G310" s="52">
        <f>VLOOKUP(B310,CENY!$B$11:$M$1054,12,FALSE)</f>
        <v>127.68105</v>
      </c>
      <c r="H310" s="54" t="str">
        <f t="shared" si="66"/>
        <v xml:space="preserve"> CZK</v>
      </c>
      <c r="I310" s="41" t="str">
        <f t="shared" si="67"/>
        <v/>
      </c>
      <c r="J310" s="122"/>
      <c r="K310" s="42" t="str">
        <f>VLOOKUP(B310,CENY!$B$11:$M$1054,8,FALSE)</f>
        <v xml:space="preserve"> </v>
      </c>
      <c r="L310" s="42" t="str">
        <f>VLOOKUP(B310,CENY!$B$11:$M$1054,9,FALSE)</f>
        <v>494284</v>
      </c>
      <c r="M310" s="32"/>
      <c r="N310" s="35">
        <f t="shared" si="69"/>
        <v>0</v>
      </c>
      <c r="O310" s="36">
        <v>0</v>
      </c>
      <c r="P310" s="325">
        <f>'AVT101'!AZ60</f>
        <v>0</v>
      </c>
      <c r="Q310" s="32"/>
      <c r="R310" s="325">
        <f>'AVT139'!AZ60</f>
        <v>0</v>
      </c>
      <c r="S310" s="32"/>
      <c r="T310" s="325">
        <f>'AVT187'!AZ60</f>
        <v>0</v>
      </c>
      <c r="U310" s="32"/>
      <c r="V310" s="325">
        <f>'AVT251'!AZ48</f>
        <v>0</v>
      </c>
      <c r="W310" s="32"/>
      <c r="X310" s="325">
        <f>AVT187In!AZ48</f>
        <v>0</v>
      </c>
      <c r="Y310" s="32"/>
      <c r="Z310" s="325">
        <f>'AVT101(vn-A)'!AZ60</f>
        <v>0</v>
      </c>
      <c r="AA310" s="32"/>
      <c r="AB310" s="325">
        <f>'AVT139(vn-A)'!AZ60</f>
        <v>0</v>
      </c>
      <c r="AC310" s="32"/>
      <c r="AD310" s="325">
        <f>'AVT187(vn-A)'!AZ60</f>
        <v>0</v>
      </c>
      <c r="AE310" s="32"/>
      <c r="AF310" s="325">
        <f>'AVT187In(vn-A)'!AZ48</f>
        <v>0</v>
      </c>
      <c r="AG310" s="32"/>
      <c r="AH310" s="325">
        <f>'AVT187(vn-S)'!AZ60</f>
        <v>0</v>
      </c>
      <c r="AI310" s="32"/>
      <c r="AJ310" s="325">
        <f>'AVT187In(vn-S)'!AZ48</f>
        <v>0</v>
      </c>
      <c r="AK310" s="32"/>
      <c r="AL310" s="325">
        <f>'AVT77'!AZ33</f>
        <v>0</v>
      </c>
      <c r="AM310" s="32"/>
      <c r="AN310" s="325">
        <f>'AVT-celny-101+187'!AZ56</f>
        <v>0</v>
      </c>
      <c r="AO310" s="32"/>
      <c r="AP310" s="325">
        <f>'AVT-celny-139+187'!AZ47</f>
        <v>0</v>
      </c>
      <c r="AQ310" s="32"/>
      <c r="AR310" s="325">
        <f>'AVT-celny-2x187'!AZ46</f>
        <v>0</v>
      </c>
      <c r="AS310" s="32"/>
      <c r="AT310" s="325">
        <f>'AVT-celny-2x187In'!AZ38</f>
        <v>0</v>
      </c>
      <c r="AU310" s="32"/>
      <c r="AV310" s="325">
        <f>'potr-v101+187'!AZ66</f>
        <v>0</v>
      </c>
      <c r="AW310" s="32"/>
      <c r="AX310" s="325">
        <f>'potr-v101+187-IL'!AZ66</f>
        <v>0</v>
      </c>
      <c r="AY310" s="32"/>
      <c r="AZ310" s="32"/>
      <c r="BA310" s="32"/>
      <c r="BB310" s="32"/>
      <c r="BC310" s="32"/>
      <c r="BD310" s="32"/>
      <c r="BE310" s="32"/>
      <c r="BF310" s="32"/>
      <c r="BG310" s="32"/>
      <c r="BH310" s="32"/>
      <c r="BI310" s="32"/>
      <c r="BJ310" s="32"/>
      <c r="BK310" s="32"/>
      <c r="BL310" s="32"/>
      <c r="BM310" s="32"/>
      <c r="BN310" s="32"/>
      <c r="BO310" s="165"/>
      <c r="BP310" s="165"/>
      <c r="BQ310" s="165"/>
      <c r="BR310" s="165"/>
      <c r="BS310" s="165"/>
      <c r="BT310" s="165"/>
      <c r="BU310" s="165"/>
      <c r="BV310" s="55"/>
      <c r="BW310" s="160"/>
      <c r="BX310" s="32"/>
      <c r="BY310" s="24"/>
      <c r="BZ310" s="24"/>
      <c r="CA310" s="24"/>
      <c r="CB310" s="24"/>
      <c r="CC310" s="24"/>
      <c r="CD310" s="24"/>
      <c r="CE310" s="24"/>
    </row>
    <row r="311" spans="1:83" ht="15" customHeight="1">
      <c r="A311" s="4"/>
      <c r="B311" s="318">
        <f>CENY!B687</f>
        <v>9256896</v>
      </c>
      <c r="C311" s="43" t="str">
        <f>VLOOKUP(B311,CENY!$B$11:$G$1054,2,FALSE)</f>
        <v>Quadro You(M) 600/SiSy 25kg; EB21</v>
      </c>
      <c r="D311" s="364">
        <f>VLOOKUP(B311,CENY!$B$11:$G$1054,3,FALSE)</f>
        <v>1</v>
      </c>
      <c r="E311" s="56" t="str">
        <f>IF(VLOOKUP(B311,CENY!$B$11:$G$1054,4,FALSE)=0,"",VLOOKUP(B311,CENY!$B$11:$G$1054,4,FALSE))</f>
        <v/>
      </c>
      <c r="F311" s="40" t="str">
        <f t="shared" si="68"/>
        <v/>
      </c>
      <c r="G311" s="52">
        <f>VLOOKUP(B311,CENY!$B$11:$M$1054,12,FALSE)</f>
        <v>537.79395</v>
      </c>
      <c r="H311" s="54" t="str">
        <f t="shared" si="66"/>
        <v xml:space="preserve"> CZK</v>
      </c>
      <c r="I311" s="41" t="str">
        <f t="shared" si="67"/>
        <v/>
      </c>
      <c r="J311" s="122"/>
      <c r="K311" s="42" t="str">
        <f>VLOOKUP(B311,CENY!$B$11:$M$1054,8,FALSE)</f>
        <v xml:space="preserve"> </v>
      </c>
      <c r="L311" s="42" t="str">
        <f>VLOOKUP(B311,CENY!$B$11:$M$1054,9,FALSE)</f>
        <v>518553</v>
      </c>
      <c r="M311" s="32"/>
      <c r="N311" s="35">
        <f t="shared" si="69"/>
        <v>0</v>
      </c>
      <c r="O311" s="36">
        <v>0</v>
      </c>
      <c r="P311" s="325">
        <f>'AVT101'!AZ61</f>
        <v>0</v>
      </c>
      <c r="Q311" s="32"/>
      <c r="R311" s="325">
        <f>'AVT139'!AZ61</f>
        <v>0</v>
      </c>
      <c r="S311" s="32"/>
      <c r="T311" s="325">
        <f>'AVT187'!AZ61</f>
        <v>0</v>
      </c>
      <c r="U311" s="32"/>
      <c r="V311" s="325">
        <f>'AVT251'!AZ49</f>
        <v>0</v>
      </c>
      <c r="W311" s="32"/>
      <c r="X311" s="325">
        <f>AVT187In!AZ49</f>
        <v>0</v>
      </c>
      <c r="Y311" s="32"/>
      <c r="Z311" s="325">
        <f>'AVT101(vn-A)'!AZ61</f>
        <v>0</v>
      </c>
      <c r="AA311" s="32"/>
      <c r="AB311" s="325">
        <f>'AVT139(vn-A)'!AZ61</f>
        <v>0</v>
      </c>
      <c r="AC311" s="32"/>
      <c r="AD311" s="325">
        <f>'AVT187(vn-A)'!AZ61</f>
        <v>0</v>
      </c>
      <c r="AE311" s="32"/>
      <c r="AF311" s="325">
        <f>'AVT187In(vn-A)'!AZ49</f>
        <v>0</v>
      </c>
      <c r="AG311" s="32"/>
      <c r="AH311" s="325">
        <f>'AVT187(vn-S)'!AZ61</f>
        <v>0</v>
      </c>
      <c r="AI311" s="32"/>
      <c r="AJ311" s="325">
        <f>'AVT187In(vn-S)'!AZ49</f>
        <v>0</v>
      </c>
      <c r="AK311" s="32"/>
      <c r="AL311" s="32"/>
      <c r="AM311" s="32"/>
      <c r="AN311" s="325">
        <f>'AVT-celny-101+187'!AZ57</f>
        <v>0</v>
      </c>
      <c r="AO311" s="32"/>
      <c r="AP311" s="325">
        <f>'AVT-celny-139+187'!AZ48</f>
        <v>0</v>
      </c>
      <c r="AQ311" s="32"/>
      <c r="AR311" s="325">
        <f>'AVT-celny-2x187'!AZ47</f>
        <v>0</v>
      </c>
      <c r="AS311" s="32"/>
      <c r="AT311" s="325">
        <f>'AVT-celny-2x187In'!AZ39</f>
        <v>0</v>
      </c>
      <c r="AU311" s="32"/>
      <c r="AV311" s="325">
        <f>'potr-v101+187'!AZ67</f>
        <v>0</v>
      </c>
      <c r="AW311" s="32"/>
      <c r="AX311" s="325">
        <f>'potr-v101+187-IL'!AZ67</f>
        <v>0</v>
      </c>
      <c r="AY311" s="32"/>
      <c r="AZ311" s="32"/>
      <c r="BA311" s="32"/>
      <c r="BB311" s="32"/>
      <c r="BC311" s="32"/>
      <c r="BD311" s="32"/>
      <c r="BE311" s="32"/>
      <c r="BF311" s="32"/>
      <c r="BG311" s="32"/>
      <c r="BH311" s="32"/>
      <c r="BI311" s="32"/>
      <c r="BJ311" s="32"/>
      <c r="BK311" s="32"/>
      <c r="BL311" s="32"/>
      <c r="BM311" s="32"/>
      <c r="BN311" s="32"/>
      <c r="BO311" s="165"/>
      <c r="BP311" s="165"/>
      <c r="BQ311" s="165"/>
      <c r="BR311" s="165"/>
      <c r="BS311" s="165"/>
      <c r="BT311" s="165"/>
      <c r="BU311" s="165"/>
      <c r="BV311" s="55"/>
      <c r="BW311" s="160"/>
      <c r="BX311" s="32"/>
      <c r="BY311" s="24"/>
      <c r="BZ311" s="24"/>
      <c r="CA311" s="24"/>
      <c r="CB311" s="24"/>
      <c r="CC311" s="24"/>
      <c r="CD311" s="24"/>
      <c r="CE311" s="24"/>
    </row>
    <row r="312" spans="1:83" ht="15" customHeight="1">
      <c r="A312" s="4"/>
      <c r="B312" s="318">
        <f>CENY!B688</f>
        <v>9256854</v>
      </c>
      <c r="C312" s="43" t="str">
        <f>VLOOKUP(B312,CENY!$B$11:$G$1054,2,FALSE)</f>
        <v>Quadro You(M) 270/SiSy 20kg; EB21; ľavý</v>
      </c>
      <c r="D312" s="353">
        <f>VLOOKUP(B312,CENY!$B$11:$G$1054,3,FALSE)</f>
        <v>20</v>
      </c>
      <c r="E312" s="56" t="str">
        <f>IF(VLOOKUP(B312,CENY!$B$11:$G$1054,4,FALSE)=0,"",VLOOKUP(B312,CENY!$B$11:$G$1054,4,FALSE))</f>
        <v/>
      </c>
      <c r="F312" s="40" t="str">
        <f t="shared" si="68"/>
        <v/>
      </c>
      <c r="G312" s="52">
        <f>VLOOKUP(B312,CENY!$B$11:$M$1054,12,FALSE)</f>
        <v>223.77942999999999</v>
      </c>
      <c r="H312" s="54" t="str">
        <f t="shared" si="66"/>
        <v xml:space="preserve"> CZK</v>
      </c>
      <c r="I312" s="41" t="str">
        <f t="shared" si="67"/>
        <v/>
      </c>
      <c r="J312" s="122"/>
      <c r="K312" s="42" t="str">
        <f>VLOOKUP(B312,CENY!$B$11:$M$1054,8,FALSE)</f>
        <v xml:space="preserve"> </v>
      </c>
      <c r="L312" s="42" t="str">
        <f>VLOOKUP(B312,CENY!$B$11:$M$1054,9,FALSE)</f>
        <v>397812</v>
      </c>
      <c r="M312" s="32"/>
      <c r="N312" s="35">
        <f t="shared" si="69"/>
        <v>0</v>
      </c>
      <c r="O312" s="36">
        <v>0</v>
      </c>
      <c r="P312" s="32"/>
      <c r="Q312" s="325">
        <f>'AVT101'!BI85</f>
        <v>0</v>
      </c>
      <c r="R312" s="32"/>
      <c r="S312" s="325">
        <f>'AVT139'!BI85</f>
        <v>0</v>
      </c>
      <c r="T312" s="32"/>
      <c r="U312" s="325">
        <f>'AVT187'!BI85</f>
        <v>0</v>
      </c>
      <c r="V312" s="32"/>
      <c r="W312" s="32"/>
      <c r="X312" s="32"/>
      <c r="Y312" s="32"/>
      <c r="Z312" s="32"/>
      <c r="AA312" s="325">
        <f>'AVT101(vn-A)'!BI85</f>
        <v>0</v>
      </c>
      <c r="AB312" s="32"/>
      <c r="AC312" s="32"/>
      <c r="AD312" s="32"/>
      <c r="AE312" s="325">
        <f>'AVT187(vn-A)'!BI85</f>
        <v>0</v>
      </c>
      <c r="AF312" s="32"/>
      <c r="AG312" s="32"/>
      <c r="AH312" s="32"/>
      <c r="AI312" s="325">
        <f>'AVT187(vn-S)'!BI85</f>
        <v>0</v>
      </c>
      <c r="AJ312" s="32"/>
      <c r="AK312" s="32"/>
      <c r="AL312" s="32"/>
      <c r="AM312" s="32"/>
      <c r="AN312" s="32"/>
      <c r="AO312" s="325">
        <f>'AVT-celny-101+187'!BI85</f>
        <v>0</v>
      </c>
      <c r="AP312" s="32"/>
      <c r="AQ312" s="32"/>
      <c r="AR312" s="32"/>
      <c r="AS312" s="325">
        <f>'AVT-celny-2x187'!BI65</f>
        <v>0</v>
      </c>
      <c r="AT312" s="32"/>
      <c r="AU312" s="32"/>
      <c r="AV312" s="32"/>
      <c r="AW312" s="32"/>
      <c r="AX312" s="32"/>
      <c r="AY312" s="32"/>
      <c r="AZ312" s="32"/>
      <c r="BA312" s="32"/>
      <c r="BB312" s="32"/>
      <c r="BC312" s="32"/>
      <c r="BD312" s="32"/>
      <c r="BE312" s="32"/>
      <c r="BF312" s="32"/>
      <c r="BG312" s="32"/>
      <c r="BH312" s="32"/>
      <c r="BI312" s="32"/>
      <c r="BJ312" s="32"/>
      <c r="BK312" s="32"/>
      <c r="BL312" s="32"/>
      <c r="BM312" s="32"/>
      <c r="BN312" s="32"/>
      <c r="BO312" s="165"/>
      <c r="BP312" s="165"/>
      <c r="BQ312" s="165"/>
      <c r="BR312" s="165"/>
      <c r="BS312" s="165"/>
      <c r="BT312" s="165"/>
      <c r="BU312" s="165"/>
      <c r="BV312" s="55"/>
      <c r="BW312" s="160"/>
      <c r="BX312" s="32"/>
      <c r="BY312" s="24"/>
      <c r="BZ312" s="24"/>
      <c r="CA312" s="24"/>
      <c r="CB312" s="24"/>
      <c r="CC312" s="24"/>
      <c r="CD312" s="24"/>
      <c r="CE312" s="24"/>
    </row>
    <row r="313" spans="1:83" ht="15" customHeight="1">
      <c r="A313" s="4"/>
      <c r="B313" s="318">
        <f>CENY!B689</f>
        <v>9256855</v>
      </c>
      <c r="C313" s="43" t="str">
        <f>VLOOKUP(B313,CENY!$B$11:$G$1054,2,FALSE)</f>
        <v>Quadro You(M) 270/SiSy 20kg; EB21; pravý</v>
      </c>
      <c r="D313" s="353">
        <f>VLOOKUP(B313,CENY!$B$11:$G$1054,3,FALSE)</f>
        <v>20</v>
      </c>
      <c r="E313" s="56" t="str">
        <f>IF(VLOOKUP(B313,CENY!$B$11:$G$1054,4,FALSE)=0,"",VLOOKUP(B313,CENY!$B$11:$G$1054,4,FALSE))</f>
        <v/>
      </c>
      <c r="F313" s="40" t="str">
        <f t="shared" si="68"/>
        <v/>
      </c>
      <c r="G313" s="52">
        <f>VLOOKUP(B313,CENY!$B$11:$M$1054,12,FALSE)</f>
        <v>223.77942999999999</v>
      </c>
      <c r="H313" s="54" t="str">
        <f t="shared" si="66"/>
        <v xml:space="preserve"> CZK</v>
      </c>
      <c r="I313" s="41" t="str">
        <f t="shared" si="67"/>
        <v/>
      </c>
      <c r="J313" s="122"/>
      <c r="K313" s="42" t="str">
        <f>VLOOKUP(B313,CENY!$B$11:$M$1054,8,FALSE)</f>
        <v xml:space="preserve"> </v>
      </c>
      <c r="L313" s="42" t="str">
        <f>VLOOKUP(B313,CENY!$B$11:$M$1054,9,FALSE)</f>
        <v>397813</v>
      </c>
      <c r="M313" s="32"/>
      <c r="N313" s="35">
        <f t="shared" si="69"/>
        <v>0</v>
      </c>
      <c r="O313" s="36">
        <v>0</v>
      </c>
      <c r="P313" s="32"/>
      <c r="Q313" s="325">
        <f>'AVT101'!BI86</f>
        <v>0</v>
      </c>
      <c r="R313" s="32"/>
      <c r="S313" s="325">
        <f>'AVT139'!BI86</f>
        <v>0</v>
      </c>
      <c r="T313" s="32"/>
      <c r="U313" s="325">
        <f>'AVT187'!BI86</f>
        <v>0</v>
      </c>
      <c r="V313" s="32"/>
      <c r="W313" s="32"/>
      <c r="X313" s="32"/>
      <c r="Y313" s="32"/>
      <c r="Z313" s="32"/>
      <c r="AA313" s="325">
        <f>'AVT101(vn-A)'!BI86</f>
        <v>0</v>
      </c>
      <c r="AB313" s="32"/>
      <c r="AC313" s="32"/>
      <c r="AD313" s="32"/>
      <c r="AE313" s="325">
        <f>'AVT187(vn-A)'!BI86</f>
        <v>0</v>
      </c>
      <c r="AF313" s="32"/>
      <c r="AG313" s="32"/>
      <c r="AH313" s="32"/>
      <c r="AI313" s="325">
        <f>'AVT187(vn-S)'!BI86</f>
        <v>0</v>
      </c>
      <c r="AJ313" s="32"/>
      <c r="AK313" s="32"/>
      <c r="AL313" s="32"/>
      <c r="AM313" s="32"/>
      <c r="AN313" s="32"/>
      <c r="AO313" s="325">
        <f>'AVT-celny-101+187'!BI86</f>
        <v>0</v>
      </c>
      <c r="AP313" s="32"/>
      <c r="AQ313" s="32"/>
      <c r="AR313" s="32"/>
      <c r="AS313" s="325">
        <f>'AVT-celny-2x187'!BI66</f>
        <v>0</v>
      </c>
      <c r="AT313" s="32"/>
      <c r="AU313" s="32"/>
      <c r="AV313" s="32"/>
      <c r="AW313" s="32"/>
      <c r="AX313" s="32"/>
      <c r="AY313" s="32"/>
      <c r="AZ313" s="32"/>
      <c r="BA313" s="32"/>
      <c r="BB313" s="32"/>
      <c r="BC313" s="32"/>
      <c r="BD313" s="32"/>
      <c r="BE313" s="32"/>
      <c r="BF313" s="32"/>
      <c r="BG313" s="32"/>
      <c r="BH313" s="32"/>
      <c r="BI313" s="32"/>
      <c r="BJ313" s="32"/>
      <c r="BK313" s="32"/>
      <c r="BL313" s="32"/>
      <c r="BM313" s="32"/>
      <c r="BN313" s="32"/>
      <c r="BO313" s="165"/>
      <c r="BP313" s="165"/>
      <c r="BQ313" s="165"/>
      <c r="BR313" s="165"/>
      <c r="BS313" s="165"/>
      <c r="BT313" s="165"/>
      <c r="BU313" s="165"/>
      <c r="BV313" s="55"/>
      <c r="BW313" s="160"/>
      <c r="BX313" s="32"/>
      <c r="BY313" s="24"/>
      <c r="BZ313" s="24"/>
      <c r="CA313" s="24"/>
      <c r="CB313" s="24"/>
      <c r="CC313" s="24"/>
      <c r="CD313" s="24"/>
      <c r="CE313" s="24"/>
    </row>
    <row r="314" spans="1:83" ht="15" customHeight="1">
      <c r="A314" s="4"/>
      <c r="B314" s="318">
        <f>CENY!B690</f>
        <v>9256856</v>
      </c>
      <c r="C314" s="43" t="str">
        <f>VLOOKUP(B314,CENY!$B$11:$G$1054,2,FALSE)</f>
        <v>Quadro You(M) 300/SiSy 20kg; EB21; ľavý</v>
      </c>
      <c r="D314" s="353">
        <f>VLOOKUP(B314,CENY!$B$11:$G$1054,3,FALSE)</f>
        <v>20</v>
      </c>
      <c r="E314" s="56" t="str">
        <f>IF(VLOOKUP(B314,CENY!$B$11:$G$1054,4,FALSE)=0,"",VLOOKUP(B314,CENY!$B$11:$G$1054,4,FALSE))</f>
        <v/>
      </c>
      <c r="F314" s="40" t="str">
        <f t="shared" si="68"/>
        <v/>
      </c>
      <c r="G314" s="52">
        <f>VLOOKUP(B314,CENY!$B$11:$M$1054,12,FALSE)</f>
        <v>224.26065</v>
      </c>
      <c r="H314" s="54" t="str">
        <f t="shared" si="66"/>
        <v xml:space="preserve"> CZK</v>
      </c>
      <c r="I314" s="41" t="str">
        <f t="shared" si="67"/>
        <v/>
      </c>
      <c r="J314" s="122"/>
      <c r="K314" s="42" t="str">
        <f>VLOOKUP(B314,CENY!$B$11:$M$1054,8,FALSE)</f>
        <v xml:space="preserve"> </v>
      </c>
      <c r="L314" s="42" t="str">
        <f>VLOOKUP(B314,CENY!$B$11:$M$1054,9,FALSE)</f>
        <v>397814</v>
      </c>
      <c r="M314" s="32"/>
      <c r="N314" s="35">
        <f t="shared" si="69"/>
        <v>0</v>
      </c>
      <c r="O314" s="36">
        <v>0</v>
      </c>
      <c r="P314" s="32"/>
      <c r="Q314" s="325">
        <f>'AVT101'!BI87</f>
        <v>0</v>
      </c>
      <c r="R314" s="32"/>
      <c r="S314" s="325">
        <f>'AVT139'!BI87</f>
        <v>0</v>
      </c>
      <c r="T314" s="32"/>
      <c r="U314" s="325">
        <f>'AVT187'!BI87</f>
        <v>0</v>
      </c>
      <c r="V314" s="32"/>
      <c r="W314" s="32"/>
      <c r="X314" s="32"/>
      <c r="Y314" s="32"/>
      <c r="Z314" s="32"/>
      <c r="AA314" s="325">
        <f>'AVT101(vn-A)'!BI87</f>
        <v>0</v>
      </c>
      <c r="AB314" s="32"/>
      <c r="AC314" s="325">
        <f>'AVT139(vn-A)'!BI87</f>
        <v>0</v>
      </c>
      <c r="AD314" s="32"/>
      <c r="AE314" s="325">
        <f>'AVT187(vn-A)'!BI87</f>
        <v>0</v>
      </c>
      <c r="AF314" s="32"/>
      <c r="AG314" s="32"/>
      <c r="AH314" s="32"/>
      <c r="AI314" s="325">
        <f>'AVT187(vn-S)'!BI87</f>
        <v>0</v>
      </c>
      <c r="AJ314" s="32"/>
      <c r="AK314" s="32"/>
      <c r="AL314" s="32"/>
      <c r="AM314" s="32"/>
      <c r="AN314" s="32"/>
      <c r="AO314" s="325">
        <f>'AVT-celny-101+187'!BI87</f>
        <v>0</v>
      </c>
      <c r="AP314" s="32"/>
      <c r="AQ314" s="325">
        <f>'AVT-celny-139+187'!BI71</f>
        <v>0</v>
      </c>
      <c r="AR314" s="32"/>
      <c r="AS314" s="325">
        <f>'AVT-celny-2x187'!BI67</f>
        <v>0</v>
      </c>
      <c r="AT314" s="32"/>
      <c r="AU314" s="32"/>
      <c r="AV314" s="32"/>
      <c r="AW314" s="32"/>
      <c r="AX314" s="32"/>
      <c r="AY314" s="32"/>
      <c r="AZ314" s="32"/>
      <c r="BA314" s="32"/>
      <c r="BB314" s="32"/>
      <c r="BC314" s="32"/>
      <c r="BD314" s="32"/>
      <c r="BE314" s="32"/>
      <c r="BF314" s="32"/>
      <c r="BG314" s="32"/>
      <c r="BH314" s="32"/>
      <c r="BI314" s="32"/>
      <c r="BJ314" s="32"/>
      <c r="BK314" s="32"/>
      <c r="BL314" s="32"/>
      <c r="BM314" s="32"/>
      <c r="BN314" s="32"/>
      <c r="BO314" s="165"/>
      <c r="BP314" s="165"/>
      <c r="BQ314" s="165"/>
      <c r="BR314" s="165"/>
      <c r="BS314" s="165"/>
      <c r="BT314" s="165"/>
      <c r="BU314" s="165"/>
      <c r="BV314" s="55"/>
      <c r="BW314" s="160"/>
      <c r="BX314" s="32"/>
      <c r="BY314" s="24"/>
      <c r="BZ314" s="24"/>
      <c r="CA314" s="24"/>
      <c r="CB314" s="24"/>
      <c r="CC314" s="24"/>
      <c r="CD314" s="24"/>
      <c r="CE314" s="24"/>
    </row>
    <row r="315" spans="1:83" ht="15" customHeight="1">
      <c r="A315" s="4"/>
      <c r="B315" s="318">
        <f>CENY!B691</f>
        <v>9256857</v>
      </c>
      <c r="C315" s="43" t="str">
        <f>VLOOKUP(B315,CENY!$B$11:$G$1054,2,FALSE)</f>
        <v>Quadro You(M) 300/SiSy 20kg; EB21; pravý</v>
      </c>
      <c r="D315" s="353">
        <f>VLOOKUP(B315,CENY!$B$11:$G$1054,3,FALSE)</f>
        <v>20</v>
      </c>
      <c r="E315" s="56" t="str">
        <f>IF(VLOOKUP(B315,CENY!$B$11:$G$1054,4,FALSE)=0,"",VLOOKUP(B315,CENY!$B$11:$G$1054,4,FALSE))</f>
        <v/>
      </c>
      <c r="F315" s="40" t="str">
        <f t="shared" si="68"/>
        <v/>
      </c>
      <c r="G315" s="52">
        <f>VLOOKUP(B315,CENY!$B$11:$M$1054,12,FALSE)</f>
        <v>224.26065</v>
      </c>
      <c r="H315" s="54" t="str">
        <f t="shared" si="66"/>
        <v xml:space="preserve"> CZK</v>
      </c>
      <c r="I315" s="41" t="str">
        <f t="shared" si="67"/>
        <v/>
      </c>
      <c r="J315" s="122"/>
      <c r="K315" s="42" t="str">
        <f>VLOOKUP(B315,CENY!$B$11:$M$1054,8,FALSE)</f>
        <v xml:space="preserve"> </v>
      </c>
      <c r="L315" s="42" t="str">
        <f>VLOOKUP(B315,CENY!$B$11:$M$1054,9,FALSE)</f>
        <v>397815</v>
      </c>
      <c r="M315" s="32"/>
      <c r="N315" s="35">
        <f t="shared" si="69"/>
        <v>0</v>
      </c>
      <c r="O315" s="36">
        <v>0</v>
      </c>
      <c r="P315" s="32"/>
      <c r="Q315" s="325">
        <f>'AVT101'!BI88</f>
        <v>0</v>
      </c>
      <c r="R315" s="32"/>
      <c r="S315" s="325">
        <f>'AVT139'!BI88</f>
        <v>0</v>
      </c>
      <c r="T315" s="32"/>
      <c r="U315" s="325">
        <f>'AVT187'!BI88</f>
        <v>0</v>
      </c>
      <c r="V315" s="32"/>
      <c r="W315" s="32"/>
      <c r="X315" s="32"/>
      <c r="Y315" s="32"/>
      <c r="Z315" s="32"/>
      <c r="AA315" s="325">
        <f>'AVT101(vn-A)'!BI88</f>
        <v>0</v>
      </c>
      <c r="AB315" s="32"/>
      <c r="AC315" s="325">
        <f>'AVT139(vn-A)'!BI88</f>
        <v>0</v>
      </c>
      <c r="AD315" s="32"/>
      <c r="AE315" s="325">
        <f>'AVT187(vn-A)'!BI88</f>
        <v>0</v>
      </c>
      <c r="AF315" s="32"/>
      <c r="AG315" s="32"/>
      <c r="AH315" s="32"/>
      <c r="AI315" s="325">
        <f>'AVT187(vn-S)'!BI88</f>
        <v>0</v>
      </c>
      <c r="AJ315" s="32"/>
      <c r="AK315" s="32"/>
      <c r="AL315" s="32"/>
      <c r="AM315" s="32"/>
      <c r="AN315" s="32"/>
      <c r="AO315" s="325">
        <f>'AVT-celny-101+187'!BI88</f>
        <v>0</v>
      </c>
      <c r="AP315" s="32"/>
      <c r="AQ315" s="325">
        <f>'AVT-celny-139+187'!BI72</f>
        <v>0</v>
      </c>
      <c r="AR315" s="32"/>
      <c r="AS315" s="325">
        <f>'AVT-celny-2x187'!BI68</f>
        <v>0</v>
      </c>
      <c r="AT315" s="32"/>
      <c r="AU315" s="32"/>
      <c r="AV315" s="32"/>
      <c r="AW315" s="32"/>
      <c r="AX315" s="32"/>
      <c r="AY315" s="32"/>
      <c r="AZ315" s="32"/>
      <c r="BA315" s="32"/>
      <c r="BB315" s="32"/>
      <c r="BC315" s="32"/>
      <c r="BD315" s="32"/>
      <c r="BE315" s="32"/>
      <c r="BF315" s="32"/>
      <c r="BG315" s="32"/>
      <c r="BH315" s="32"/>
      <c r="BI315" s="32"/>
      <c r="BJ315" s="32"/>
      <c r="BK315" s="32"/>
      <c r="BL315" s="32"/>
      <c r="BM315" s="32"/>
      <c r="BN315" s="32"/>
      <c r="BO315" s="165"/>
      <c r="BP315" s="165"/>
      <c r="BQ315" s="165"/>
      <c r="BR315" s="165"/>
      <c r="BS315" s="165"/>
      <c r="BT315" s="165"/>
      <c r="BU315" s="165"/>
      <c r="BV315" s="55"/>
      <c r="BW315" s="160"/>
      <c r="BX315" s="32"/>
      <c r="BY315" s="24"/>
      <c r="BZ315" s="24"/>
      <c r="CA315" s="24"/>
      <c r="CB315" s="24"/>
      <c r="CC315" s="24"/>
      <c r="CD315" s="24"/>
      <c r="CE315" s="24"/>
    </row>
    <row r="316" spans="1:83" ht="15" customHeight="1">
      <c r="A316" s="4"/>
      <c r="B316" s="318">
        <f>CENY!B692</f>
        <v>9256860</v>
      </c>
      <c r="C316" s="43" t="str">
        <f>VLOOKUP(B316,CENY!$B$11:$G$1054,2,FALSE)</f>
        <v>Quadro You(M) 350/SiSy 25kg; EB21; ľavý</v>
      </c>
      <c r="D316" s="353">
        <f>VLOOKUP(B316,CENY!$B$11:$G$1054,3,FALSE)</f>
        <v>20</v>
      </c>
      <c r="E316" s="56" t="str">
        <f>IF(VLOOKUP(B316,CENY!$B$11:$G$1054,4,FALSE)=0,"",VLOOKUP(B316,CENY!$B$11:$G$1054,4,FALSE))</f>
        <v/>
      </c>
      <c r="F316" s="40" t="str">
        <f t="shared" si="68"/>
        <v/>
      </c>
      <c r="G316" s="52">
        <f>VLOOKUP(B316,CENY!$B$11:$M$1054,12,FALSE)</f>
        <v>229.11434</v>
      </c>
      <c r="H316" s="54" t="str">
        <f t="shared" si="66"/>
        <v xml:space="preserve"> CZK</v>
      </c>
      <c r="I316" s="41" t="str">
        <f t="shared" si="67"/>
        <v/>
      </c>
      <c r="J316" s="122"/>
      <c r="K316" s="42" t="str">
        <f>VLOOKUP(B316,CENY!$B$11:$M$1054,8,FALSE)</f>
        <v xml:space="preserve"> </v>
      </c>
      <c r="L316" s="42" t="str">
        <f>VLOOKUP(B316,CENY!$B$11:$M$1054,9,FALSE)</f>
        <v>397816</v>
      </c>
      <c r="M316" s="32"/>
      <c r="N316" s="35">
        <f t="shared" si="69"/>
        <v>0</v>
      </c>
      <c r="O316" s="36">
        <v>0</v>
      </c>
      <c r="P316" s="32"/>
      <c r="Q316" s="325">
        <f>'AVT101'!BI89</f>
        <v>0</v>
      </c>
      <c r="R316" s="32"/>
      <c r="S316" s="325">
        <f>'AVT139'!BI89</f>
        <v>0</v>
      </c>
      <c r="T316" s="32"/>
      <c r="U316" s="325">
        <f>'AVT187'!BI89</f>
        <v>0</v>
      </c>
      <c r="V316" s="32"/>
      <c r="W316" s="325">
        <f>'AVT251'!BI68</f>
        <v>0</v>
      </c>
      <c r="X316" s="32"/>
      <c r="Y316" s="325">
        <f>AVT187In!BI67</f>
        <v>0</v>
      </c>
      <c r="Z316" s="32"/>
      <c r="AA316" s="325">
        <f>'AVT101(vn-A)'!BI89</f>
        <v>0</v>
      </c>
      <c r="AB316" s="32"/>
      <c r="AC316" s="325">
        <f>'AVT139(vn-A)'!BI89</f>
        <v>0</v>
      </c>
      <c r="AD316" s="32"/>
      <c r="AE316" s="325">
        <f>'AVT187(vn-A)'!BI89</f>
        <v>0</v>
      </c>
      <c r="AF316" s="32"/>
      <c r="AG316" s="325">
        <f>'AVT187In(vn-A)'!BI67</f>
        <v>0</v>
      </c>
      <c r="AH316" s="32"/>
      <c r="AI316" s="325">
        <f>'AVT187(vn-S)'!BI89</f>
        <v>0</v>
      </c>
      <c r="AJ316" s="32"/>
      <c r="AK316" s="325">
        <f>'AVT187In(vn-S)'!BI67</f>
        <v>0</v>
      </c>
      <c r="AL316" s="32"/>
      <c r="AM316" s="32"/>
      <c r="AN316" s="32"/>
      <c r="AO316" s="325">
        <f>'AVT-celny-101+187'!BI89</f>
        <v>0</v>
      </c>
      <c r="AP316" s="32"/>
      <c r="AQ316" s="325">
        <f>'AVT-celny-139+187'!BI73</f>
        <v>0</v>
      </c>
      <c r="AR316" s="32"/>
      <c r="AS316" s="325">
        <f>'AVT-celny-2x187'!BI69</f>
        <v>0</v>
      </c>
      <c r="AT316" s="32"/>
      <c r="AU316" s="325">
        <f>'AVT-celny-2x187In'!BI55</f>
        <v>0</v>
      </c>
      <c r="AV316" s="32"/>
      <c r="AW316" s="32"/>
      <c r="AX316" s="32"/>
      <c r="AY316" s="32"/>
      <c r="AZ316" s="32"/>
      <c r="BA316" s="32"/>
      <c r="BB316" s="32"/>
      <c r="BC316" s="32"/>
      <c r="BD316" s="32"/>
      <c r="BE316" s="32"/>
      <c r="BF316" s="32"/>
      <c r="BG316" s="32"/>
      <c r="BH316" s="32"/>
      <c r="BI316" s="32"/>
      <c r="BJ316" s="32"/>
      <c r="BK316" s="32"/>
      <c r="BL316" s="32"/>
      <c r="BM316" s="32"/>
      <c r="BN316" s="32"/>
      <c r="BO316" s="165"/>
      <c r="BP316" s="165"/>
      <c r="BQ316" s="165"/>
      <c r="BR316" s="165"/>
      <c r="BS316" s="165"/>
      <c r="BT316" s="165"/>
      <c r="BU316" s="165"/>
      <c r="BV316" s="55"/>
      <c r="BW316" s="160"/>
      <c r="BX316" s="32"/>
      <c r="BY316" s="24"/>
      <c r="BZ316" s="24"/>
      <c r="CA316" s="24"/>
      <c r="CB316" s="24"/>
      <c r="CC316" s="24"/>
      <c r="CD316" s="24"/>
      <c r="CE316" s="24"/>
    </row>
    <row r="317" spans="1:83" ht="15" customHeight="1">
      <c r="A317" s="4"/>
      <c r="B317" s="318">
        <f>CENY!B693</f>
        <v>9256861</v>
      </c>
      <c r="C317" s="43" t="str">
        <f>VLOOKUP(B317,CENY!$B$11:$G$1054,2,FALSE)</f>
        <v>Quadro You(M) 350/SiSy 25kg; EB21; pravý</v>
      </c>
      <c r="D317" s="353">
        <f>VLOOKUP(B317,CENY!$B$11:$G$1054,3,FALSE)</f>
        <v>20</v>
      </c>
      <c r="E317" s="56" t="str">
        <f>IF(VLOOKUP(B317,CENY!$B$11:$G$1054,4,FALSE)=0,"",VLOOKUP(B317,CENY!$B$11:$G$1054,4,FALSE))</f>
        <v/>
      </c>
      <c r="F317" s="40" t="str">
        <f t="shared" si="68"/>
        <v/>
      </c>
      <c r="G317" s="52">
        <f>VLOOKUP(B317,CENY!$B$11:$M$1054,12,FALSE)</f>
        <v>229.11434</v>
      </c>
      <c r="H317" s="54" t="str">
        <f t="shared" si="66"/>
        <v xml:space="preserve"> CZK</v>
      </c>
      <c r="I317" s="41" t="str">
        <f t="shared" si="67"/>
        <v/>
      </c>
      <c r="J317" s="122"/>
      <c r="K317" s="42" t="str">
        <f>VLOOKUP(B317,CENY!$B$11:$M$1054,8,FALSE)</f>
        <v xml:space="preserve"> </v>
      </c>
      <c r="L317" s="42" t="str">
        <f>VLOOKUP(B317,CENY!$B$11:$M$1054,9,FALSE)</f>
        <v>397817</v>
      </c>
      <c r="M317" s="32"/>
      <c r="N317" s="35">
        <f t="shared" si="69"/>
        <v>0</v>
      </c>
      <c r="O317" s="36">
        <v>0</v>
      </c>
      <c r="P317" s="32"/>
      <c r="Q317" s="325">
        <f>'AVT101'!BI90</f>
        <v>0</v>
      </c>
      <c r="R317" s="32"/>
      <c r="S317" s="325">
        <f>'AVT139'!BI90</f>
        <v>0</v>
      </c>
      <c r="T317" s="32"/>
      <c r="U317" s="325">
        <f>'AVT187'!BI90</f>
        <v>0</v>
      </c>
      <c r="V317" s="32"/>
      <c r="W317" s="325">
        <f>'AVT251'!BI69</f>
        <v>0</v>
      </c>
      <c r="X317" s="32"/>
      <c r="Y317" s="325">
        <f>AVT187In!BI68</f>
        <v>0</v>
      </c>
      <c r="Z317" s="32"/>
      <c r="AA317" s="325">
        <f>'AVT101(vn-A)'!BI90</f>
        <v>0</v>
      </c>
      <c r="AB317" s="32"/>
      <c r="AC317" s="325">
        <f>'AVT139(vn-A)'!BI90</f>
        <v>0</v>
      </c>
      <c r="AD317" s="32"/>
      <c r="AE317" s="325">
        <f>'AVT187(vn-A)'!BI90</f>
        <v>0</v>
      </c>
      <c r="AF317" s="32"/>
      <c r="AG317" s="325">
        <f>'AVT187In(vn-A)'!BI68</f>
        <v>0</v>
      </c>
      <c r="AH317" s="32"/>
      <c r="AI317" s="325">
        <f>'AVT187(vn-S)'!BI90</f>
        <v>0</v>
      </c>
      <c r="AJ317" s="32"/>
      <c r="AK317" s="325">
        <f>'AVT187In(vn-S)'!BI68</f>
        <v>0</v>
      </c>
      <c r="AL317" s="32"/>
      <c r="AM317" s="32"/>
      <c r="AN317" s="32"/>
      <c r="AO317" s="325">
        <f>'AVT-celny-101+187'!BI90</f>
        <v>0</v>
      </c>
      <c r="AP317" s="32"/>
      <c r="AQ317" s="325">
        <f>'AVT-celny-139+187'!BI74</f>
        <v>0</v>
      </c>
      <c r="AR317" s="32"/>
      <c r="AS317" s="325">
        <f>'AVT-celny-2x187'!BI70</f>
        <v>0</v>
      </c>
      <c r="AT317" s="32"/>
      <c r="AU317" s="325">
        <f>'AVT-celny-2x187In'!BI56</f>
        <v>0</v>
      </c>
      <c r="AV317" s="32"/>
      <c r="AW317" s="32"/>
      <c r="AX317" s="32"/>
      <c r="AY317" s="32"/>
      <c r="AZ317" s="32"/>
      <c r="BA317" s="32"/>
      <c r="BB317" s="32"/>
      <c r="BC317" s="32"/>
      <c r="BD317" s="32"/>
      <c r="BE317" s="32"/>
      <c r="BF317" s="32"/>
      <c r="BG317" s="32"/>
      <c r="BH317" s="32"/>
      <c r="BI317" s="32"/>
      <c r="BJ317" s="32"/>
      <c r="BK317" s="32"/>
      <c r="BL317" s="32"/>
      <c r="BM317" s="32"/>
      <c r="BN317" s="32"/>
      <c r="BO317" s="165"/>
      <c r="BP317" s="165"/>
      <c r="BQ317" s="165"/>
      <c r="BR317" s="165"/>
      <c r="BS317" s="165"/>
      <c r="BT317" s="165"/>
      <c r="BU317" s="165"/>
      <c r="BV317" s="55"/>
      <c r="BW317" s="160"/>
      <c r="BX317" s="32"/>
      <c r="BY317" s="24"/>
      <c r="BZ317" s="24"/>
      <c r="CA317" s="24"/>
      <c r="CB317" s="24"/>
      <c r="CC317" s="24"/>
      <c r="CD317" s="24"/>
      <c r="CE317" s="24"/>
    </row>
    <row r="318" spans="1:83" ht="15" customHeight="1">
      <c r="A318" s="4"/>
      <c r="B318" s="318">
        <f>CENY!B694</f>
        <v>9256864</v>
      </c>
      <c r="C318" s="43" t="str">
        <f>VLOOKUP(B318,CENY!$B$11:$G$1054,2,FALSE)</f>
        <v>Quadro You(M) 400/SiSy 30kg; EB21; ľavý</v>
      </c>
      <c r="D318" s="353">
        <f>VLOOKUP(B318,CENY!$B$11:$G$1054,3,FALSE)</f>
        <v>20</v>
      </c>
      <c r="E318" s="56" t="str">
        <f>IF(VLOOKUP(B318,CENY!$B$11:$G$1054,4,FALSE)=0,"",VLOOKUP(B318,CENY!$B$11:$G$1054,4,FALSE))</f>
        <v/>
      </c>
      <c r="F318" s="40" t="str">
        <f t="shared" si="68"/>
        <v/>
      </c>
      <c r="G318" s="52">
        <f>VLOOKUP(B318,CENY!$B$11:$M$1054,12,FALSE)</f>
        <v>233.96566000000001</v>
      </c>
      <c r="H318" s="54" t="str">
        <f t="shared" si="66"/>
        <v xml:space="preserve"> CZK</v>
      </c>
      <c r="I318" s="41" t="str">
        <f t="shared" si="67"/>
        <v/>
      </c>
      <c r="J318" s="122"/>
      <c r="K318" s="42" t="str">
        <f>VLOOKUP(B318,CENY!$B$11:$M$1054,8,FALSE)</f>
        <v xml:space="preserve"> </v>
      </c>
      <c r="L318" s="42" t="str">
        <f>VLOOKUP(B318,CENY!$B$11:$M$1054,9,FALSE)</f>
        <v>397818</v>
      </c>
      <c r="M318" s="32"/>
      <c r="N318" s="35">
        <f t="shared" si="69"/>
        <v>0</v>
      </c>
      <c r="O318" s="36">
        <v>0</v>
      </c>
      <c r="P318" s="32"/>
      <c r="Q318" s="325">
        <f>'AVT101'!BI91</f>
        <v>0</v>
      </c>
      <c r="R318" s="32"/>
      <c r="S318" s="325">
        <f>'AVT139'!BI91</f>
        <v>0</v>
      </c>
      <c r="T318" s="32"/>
      <c r="U318" s="325">
        <f>'AVT187'!BI91</f>
        <v>0</v>
      </c>
      <c r="V318" s="32"/>
      <c r="W318" s="325">
        <f>'AVT251'!BI70</f>
        <v>0</v>
      </c>
      <c r="X318" s="32"/>
      <c r="Y318" s="325">
        <f>AVT187In!BI69</f>
        <v>0</v>
      </c>
      <c r="Z318" s="32"/>
      <c r="AA318" s="325">
        <f>'AVT101(vn-A)'!BI91</f>
        <v>0</v>
      </c>
      <c r="AB318" s="32"/>
      <c r="AC318" s="325">
        <f>'AVT139(vn-A)'!BI91</f>
        <v>0</v>
      </c>
      <c r="AD318" s="32"/>
      <c r="AE318" s="325">
        <f>'AVT187(vn-A)'!BI91</f>
        <v>0</v>
      </c>
      <c r="AF318" s="32"/>
      <c r="AG318" s="325">
        <f>'AVT187In(vn-A)'!BI69</f>
        <v>0</v>
      </c>
      <c r="AH318" s="32"/>
      <c r="AI318" s="325">
        <f>'AVT187(vn-S)'!BI91</f>
        <v>0</v>
      </c>
      <c r="AJ318" s="32"/>
      <c r="AK318" s="325">
        <f>'AVT187In(vn-S)'!BI69</f>
        <v>0</v>
      </c>
      <c r="AL318" s="32"/>
      <c r="AM318" s="325">
        <f>'AVT77'!BI44</f>
        <v>0</v>
      </c>
      <c r="AN318" s="32"/>
      <c r="AO318" s="325">
        <f>'AVT-celny-101+187'!BI91</f>
        <v>0</v>
      </c>
      <c r="AP318" s="32"/>
      <c r="AQ318" s="325">
        <f>'AVT-celny-139+187'!BI75</f>
        <v>0</v>
      </c>
      <c r="AR318" s="32"/>
      <c r="AS318" s="325">
        <f>'AVT-celny-2x187'!BI71</f>
        <v>0</v>
      </c>
      <c r="AT318" s="32"/>
      <c r="AU318" s="325">
        <f>'AVT-celny-2x187In'!BI57</f>
        <v>0</v>
      </c>
      <c r="AV318" s="32"/>
      <c r="AW318" s="32"/>
      <c r="AX318" s="32"/>
      <c r="AY318" s="32"/>
      <c r="AZ318" s="32"/>
      <c r="BA318" s="32"/>
      <c r="BB318" s="32"/>
      <c r="BC318" s="32"/>
      <c r="BD318" s="32"/>
      <c r="BE318" s="32"/>
      <c r="BF318" s="32"/>
      <c r="BG318" s="32"/>
      <c r="BH318" s="32"/>
      <c r="BI318" s="32"/>
      <c r="BJ318" s="32"/>
      <c r="BK318" s="32"/>
      <c r="BL318" s="32"/>
      <c r="BM318" s="32"/>
      <c r="BN318" s="32"/>
      <c r="BO318" s="165"/>
      <c r="BP318" s="165"/>
      <c r="BQ318" s="165"/>
      <c r="BR318" s="165"/>
      <c r="BS318" s="165"/>
      <c r="BT318" s="165"/>
      <c r="BU318" s="165"/>
      <c r="BV318" s="55"/>
      <c r="BW318" s="160"/>
      <c r="BX318" s="32"/>
      <c r="BY318" s="24"/>
      <c r="BZ318" s="24"/>
      <c r="CA318" s="24"/>
      <c r="CB318" s="24"/>
      <c r="CC318" s="24"/>
      <c r="CD318" s="24"/>
      <c r="CE318" s="24"/>
    </row>
    <row r="319" spans="1:83" ht="15" customHeight="1">
      <c r="A319" s="4"/>
      <c r="B319" s="318">
        <f>CENY!B695</f>
        <v>9256865</v>
      </c>
      <c r="C319" s="43" t="str">
        <f>VLOOKUP(B319,CENY!$B$11:$G$1054,2,FALSE)</f>
        <v>Quadro You(M) 400/SiSy 30kg; EB21; pravý</v>
      </c>
      <c r="D319" s="353">
        <f>VLOOKUP(B319,CENY!$B$11:$G$1054,3,FALSE)</f>
        <v>20</v>
      </c>
      <c r="E319" s="56" t="str">
        <f>IF(VLOOKUP(B319,CENY!$B$11:$G$1054,4,FALSE)=0,"",VLOOKUP(B319,CENY!$B$11:$G$1054,4,FALSE))</f>
        <v/>
      </c>
      <c r="F319" s="40" t="str">
        <f t="shared" si="68"/>
        <v/>
      </c>
      <c r="G319" s="52">
        <f>VLOOKUP(B319,CENY!$B$11:$M$1054,12,FALSE)</f>
        <v>233.96566000000001</v>
      </c>
      <c r="H319" s="54" t="str">
        <f t="shared" si="66"/>
        <v xml:space="preserve"> CZK</v>
      </c>
      <c r="I319" s="41" t="str">
        <f t="shared" si="67"/>
        <v/>
      </c>
      <c r="J319" s="122"/>
      <c r="K319" s="42" t="str">
        <f>VLOOKUP(B319,CENY!$B$11:$M$1054,8,FALSE)</f>
        <v xml:space="preserve"> </v>
      </c>
      <c r="L319" s="42" t="str">
        <f>VLOOKUP(B319,CENY!$B$11:$M$1054,9,FALSE)</f>
        <v>397819</v>
      </c>
      <c r="M319" s="32"/>
      <c r="N319" s="35">
        <f t="shared" si="69"/>
        <v>0</v>
      </c>
      <c r="O319" s="36">
        <v>0</v>
      </c>
      <c r="P319" s="32"/>
      <c r="Q319" s="325">
        <f>'AVT101'!BI92</f>
        <v>0</v>
      </c>
      <c r="R319" s="32"/>
      <c r="S319" s="325">
        <f>'AVT139'!BI92</f>
        <v>0</v>
      </c>
      <c r="T319" s="32"/>
      <c r="U319" s="325">
        <f>'AVT187'!BI92</f>
        <v>0</v>
      </c>
      <c r="V319" s="32"/>
      <c r="W319" s="325">
        <f>'AVT251'!BI71</f>
        <v>0</v>
      </c>
      <c r="X319" s="32"/>
      <c r="Y319" s="325">
        <f>AVT187In!BI70</f>
        <v>0</v>
      </c>
      <c r="Z319" s="32"/>
      <c r="AA319" s="325">
        <f>'AVT101(vn-A)'!BI92</f>
        <v>0</v>
      </c>
      <c r="AB319" s="32"/>
      <c r="AC319" s="325">
        <f>'AVT139(vn-A)'!BI92</f>
        <v>0</v>
      </c>
      <c r="AD319" s="32"/>
      <c r="AE319" s="325">
        <f>'AVT187(vn-A)'!BI92</f>
        <v>0</v>
      </c>
      <c r="AF319" s="32"/>
      <c r="AG319" s="325">
        <f>'AVT187In(vn-A)'!BI70</f>
        <v>0</v>
      </c>
      <c r="AH319" s="32"/>
      <c r="AI319" s="325">
        <f>'AVT187(vn-S)'!BI92</f>
        <v>0</v>
      </c>
      <c r="AJ319" s="32"/>
      <c r="AK319" s="325">
        <f>'AVT187In(vn-S)'!BI70</f>
        <v>0</v>
      </c>
      <c r="AL319" s="32"/>
      <c r="AM319" s="325">
        <f>'AVT77'!BI45</f>
        <v>0</v>
      </c>
      <c r="AN319" s="32"/>
      <c r="AO319" s="325">
        <f>'AVT-celny-101+187'!BI92</f>
        <v>0</v>
      </c>
      <c r="AP319" s="32"/>
      <c r="AQ319" s="325">
        <f>'AVT-celny-139+187'!BI76</f>
        <v>0</v>
      </c>
      <c r="AR319" s="32"/>
      <c r="AS319" s="325">
        <f>'AVT-celny-2x187'!BI72</f>
        <v>0</v>
      </c>
      <c r="AT319" s="32"/>
      <c r="AU319" s="325">
        <f>'AVT-celny-2x187In'!BI58</f>
        <v>0</v>
      </c>
      <c r="AV319" s="32"/>
      <c r="AW319" s="32"/>
      <c r="AX319" s="32"/>
      <c r="AY319" s="32"/>
      <c r="AZ319" s="32"/>
      <c r="BA319" s="32"/>
      <c r="BB319" s="32"/>
      <c r="BC319" s="32"/>
      <c r="BD319" s="32"/>
      <c r="BE319" s="32"/>
      <c r="BF319" s="32"/>
      <c r="BG319" s="32"/>
      <c r="BH319" s="32"/>
      <c r="BI319" s="32"/>
      <c r="BJ319" s="32"/>
      <c r="BK319" s="32"/>
      <c r="BL319" s="32"/>
      <c r="BM319" s="32"/>
      <c r="BN319" s="32"/>
      <c r="BO319" s="165"/>
      <c r="BP319" s="165"/>
      <c r="BQ319" s="165"/>
      <c r="BR319" s="165"/>
      <c r="BS319" s="165"/>
      <c r="BT319" s="165"/>
      <c r="BU319" s="165"/>
      <c r="BV319" s="55"/>
      <c r="BW319" s="160"/>
      <c r="BX319" s="32"/>
      <c r="BY319" s="24"/>
      <c r="BZ319" s="24"/>
      <c r="CA319" s="24"/>
      <c r="CB319" s="24"/>
      <c r="CC319" s="24"/>
      <c r="CD319" s="24"/>
      <c r="CE319" s="24"/>
    </row>
    <row r="320" spans="1:83" ht="15" customHeight="1">
      <c r="A320" s="4"/>
      <c r="B320" s="318">
        <f>CENY!B696</f>
        <v>9256868</v>
      </c>
      <c r="C320" s="43" t="str">
        <f>VLOOKUP(B320,CENY!$B$11:$G$1054,2,FALSE)</f>
        <v>Quadro You(M) 450/SiSy 30kg; EB21; ľavý</v>
      </c>
      <c r="D320" s="353">
        <f>VLOOKUP(B320,CENY!$B$11:$G$1054,3,FALSE)</f>
        <v>20</v>
      </c>
      <c r="E320" s="56" t="str">
        <f>IF(VLOOKUP(B320,CENY!$B$11:$G$1054,4,FALSE)=0,"",VLOOKUP(B320,CENY!$B$11:$G$1054,4,FALSE))</f>
        <v/>
      </c>
      <c r="F320" s="40" t="str">
        <f t="shared" si="68"/>
        <v/>
      </c>
      <c r="G320" s="52">
        <f>VLOOKUP(B320,CENY!$B$11:$M$1054,12,FALSE)</f>
        <v>238.81201999999999</v>
      </c>
      <c r="H320" s="54" t="str">
        <f t="shared" si="66"/>
        <v xml:space="preserve"> CZK</v>
      </c>
      <c r="I320" s="41" t="str">
        <f t="shared" si="67"/>
        <v/>
      </c>
      <c r="J320" s="122"/>
      <c r="K320" s="42" t="str">
        <f>VLOOKUP(B320,CENY!$B$11:$M$1054,8,FALSE)</f>
        <v xml:space="preserve"> </v>
      </c>
      <c r="L320" s="42" t="str">
        <f>VLOOKUP(B320,CENY!$B$11:$M$1054,9,FALSE)</f>
        <v>397820</v>
      </c>
      <c r="M320" s="32"/>
      <c r="N320" s="35">
        <f t="shared" si="69"/>
        <v>0</v>
      </c>
      <c r="O320" s="36">
        <v>0</v>
      </c>
      <c r="P320" s="32"/>
      <c r="Q320" s="325">
        <f>'AVT101'!BI93</f>
        <v>0</v>
      </c>
      <c r="R320" s="32"/>
      <c r="S320" s="325">
        <f>'AVT139'!BI93</f>
        <v>0</v>
      </c>
      <c r="T320" s="32"/>
      <c r="U320" s="325">
        <f>'AVT187'!BI93</f>
        <v>0</v>
      </c>
      <c r="V320" s="32"/>
      <c r="W320" s="325">
        <f>'AVT251'!BI72</f>
        <v>0</v>
      </c>
      <c r="X320" s="32"/>
      <c r="Y320" s="325">
        <f>AVT187In!BI71</f>
        <v>0</v>
      </c>
      <c r="Z320" s="32"/>
      <c r="AA320" s="325">
        <f>'AVT101(vn-A)'!BI93</f>
        <v>0</v>
      </c>
      <c r="AB320" s="32"/>
      <c r="AC320" s="325">
        <f>'AVT139(vn-A)'!BI93</f>
        <v>0</v>
      </c>
      <c r="AD320" s="32"/>
      <c r="AE320" s="325">
        <f>'AVT187(vn-A)'!BI93</f>
        <v>0</v>
      </c>
      <c r="AF320" s="32"/>
      <c r="AG320" s="325">
        <f>'AVT187In(vn-A)'!BI71</f>
        <v>0</v>
      </c>
      <c r="AH320" s="32"/>
      <c r="AI320" s="325">
        <f>'AVT187(vn-S)'!BI93</f>
        <v>0</v>
      </c>
      <c r="AJ320" s="32"/>
      <c r="AK320" s="325">
        <f>'AVT187In(vn-S)'!BI71</f>
        <v>0</v>
      </c>
      <c r="AL320" s="32"/>
      <c r="AM320" s="325">
        <f>'AVT77'!BI46</f>
        <v>0</v>
      </c>
      <c r="AN320" s="32"/>
      <c r="AO320" s="325">
        <f>'AVT-celny-101+187'!BI93</f>
        <v>0</v>
      </c>
      <c r="AP320" s="32"/>
      <c r="AQ320" s="325">
        <f>'AVT-celny-139+187'!BI77</f>
        <v>0</v>
      </c>
      <c r="AR320" s="32"/>
      <c r="AS320" s="325">
        <f>'AVT-celny-2x187'!BI73</f>
        <v>0</v>
      </c>
      <c r="AT320" s="32"/>
      <c r="AU320" s="325">
        <f>'AVT-celny-2x187In'!BI59</f>
        <v>0</v>
      </c>
      <c r="AV320" s="32"/>
      <c r="AW320" s="325">
        <f>'potr-v101+187'!BI107</f>
        <v>0</v>
      </c>
      <c r="AX320" s="32"/>
      <c r="AY320" s="325">
        <f>'potr-v101+187-IL'!BI107</f>
        <v>0</v>
      </c>
      <c r="AZ320" s="32"/>
      <c r="BA320" s="32"/>
      <c r="BB320" s="32"/>
      <c r="BC320" s="32"/>
      <c r="BD320" s="32"/>
      <c r="BE320" s="32"/>
      <c r="BF320" s="32"/>
      <c r="BG320" s="32"/>
      <c r="BH320" s="32"/>
      <c r="BI320" s="32"/>
      <c r="BJ320" s="32"/>
      <c r="BK320" s="32"/>
      <c r="BL320" s="32"/>
      <c r="BM320" s="32"/>
      <c r="BN320" s="32"/>
      <c r="BO320" s="165"/>
      <c r="BP320" s="165"/>
      <c r="BQ320" s="165"/>
      <c r="BR320" s="165"/>
      <c r="BS320" s="165"/>
      <c r="BT320" s="165"/>
      <c r="BU320" s="165"/>
      <c r="BV320" s="55"/>
      <c r="BW320" s="160"/>
      <c r="BX320" s="32"/>
      <c r="BY320" s="24"/>
      <c r="BZ320" s="24"/>
      <c r="CA320" s="24"/>
      <c r="CB320" s="24"/>
      <c r="CC320" s="24"/>
      <c r="CD320" s="24"/>
      <c r="CE320" s="24"/>
    </row>
    <row r="321" spans="1:83" ht="15" customHeight="1">
      <c r="A321" s="4"/>
      <c r="B321" s="318">
        <f>CENY!B697</f>
        <v>9256869</v>
      </c>
      <c r="C321" s="43" t="str">
        <f>VLOOKUP(B321,CENY!$B$11:$G$1054,2,FALSE)</f>
        <v>Quadro You(M) 450/SiSy 30kg; EB21; pravý</v>
      </c>
      <c r="D321" s="353">
        <f>VLOOKUP(B321,CENY!$B$11:$G$1054,3,FALSE)</f>
        <v>20</v>
      </c>
      <c r="E321" s="56" t="str">
        <f>IF(VLOOKUP(B321,CENY!$B$11:$G$1054,4,FALSE)=0,"",VLOOKUP(B321,CENY!$B$11:$G$1054,4,FALSE))</f>
        <v/>
      </c>
      <c r="F321" s="40" t="str">
        <f t="shared" si="68"/>
        <v/>
      </c>
      <c r="G321" s="52">
        <f>VLOOKUP(B321,CENY!$B$11:$M$1054,12,FALSE)</f>
        <v>238.81201999999999</v>
      </c>
      <c r="H321" s="54" t="str">
        <f t="shared" si="66"/>
        <v xml:space="preserve"> CZK</v>
      </c>
      <c r="I321" s="41" t="str">
        <f t="shared" si="67"/>
        <v/>
      </c>
      <c r="J321" s="122"/>
      <c r="K321" s="42" t="str">
        <f>VLOOKUP(B321,CENY!$B$11:$M$1054,8,FALSE)</f>
        <v xml:space="preserve"> </v>
      </c>
      <c r="L321" s="42" t="str">
        <f>VLOOKUP(B321,CENY!$B$11:$M$1054,9,FALSE)</f>
        <v>397821</v>
      </c>
      <c r="M321" s="32"/>
      <c r="N321" s="35">
        <f t="shared" si="69"/>
        <v>0</v>
      </c>
      <c r="O321" s="36">
        <v>0</v>
      </c>
      <c r="P321" s="32"/>
      <c r="Q321" s="325">
        <f>'AVT101'!BI94</f>
        <v>0</v>
      </c>
      <c r="R321" s="32"/>
      <c r="S321" s="325">
        <f>'AVT139'!BI94</f>
        <v>0</v>
      </c>
      <c r="T321" s="32"/>
      <c r="U321" s="325">
        <f>'AVT187'!BI94</f>
        <v>0</v>
      </c>
      <c r="V321" s="32"/>
      <c r="W321" s="325">
        <f>'AVT251'!BI73</f>
        <v>0</v>
      </c>
      <c r="X321" s="32"/>
      <c r="Y321" s="325">
        <f>AVT187In!BI72</f>
        <v>0</v>
      </c>
      <c r="Z321" s="32"/>
      <c r="AA321" s="325">
        <f>'AVT101(vn-A)'!BI94</f>
        <v>0</v>
      </c>
      <c r="AB321" s="32"/>
      <c r="AC321" s="325">
        <f>'AVT139(vn-A)'!BI94</f>
        <v>0</v>
      </c>
      <c r="AD321" s="32"/>
      <c r="AE321" s="325">
        <f>'AVT187(vn-A)'!BI94</f>
        <v>0</v>
      </c>
      <c r="AF321" s="32"/>
      <c r="AG321" s="325">
        <f>'AVT187In(vn-A)'!BI72</f>
        <v>0</v>
      </c>
      <c r="AH321" s="32"/>
      <c r="AI321" s="325">
        <f>'AVT187(vn-S)'!BI94</f>
        <v>0</v>
      </c>
      <c r="AJ321" s="32"/>
      <c r="AK321" s="325">
        <f>'AVT187In(vn-S)'!BI72</f>
        <v>0</v>
      </c>
      <c r="AL321" s="32"/>
      <c r="AM321" s="325">
        <f>'AVT77'!BI47</f>
        <v>0</v>
      </c>
      <c r="AN321" s="32"/>
      <c r="AO321" s="325">
        <f>'AVT-celny-101+187'!BI94</f>
        <v>0</v>
      </c>
      <c r="AP321" s="32"/>
      <c r="AQ321" s="325">
        <f>'AVT-celny-139+187'!BI78</f>
        <v>0</v>
      </c>
      <c r="AR321" s="32"/>
      <c r="AS321" s="325">
        <f>'AVT-celny-2x187'!BI74</f>
        <v>0</v>
      </c>
      <c r="AT321" s="32"/>
      <c r="AU321" s="325">
        <f>'AVT-celny-2x187In'!BI60</f>
        <v>0</v>
      </c>
      <c r="AV321" s="32"/>
      <c r="AW321" s="325">
        <f>'potr-v101+187'!BI108</f>
        <v>0</v>
      </c>
      <c r="AX321" s="32"/>
      <c r="AY321" s="325">
        <f>'potr-v101+187-IL'!BI108</f>
        <v>0</v>
      </c>
      <c r="AZ321" s="32"/>
      <c r="BA321" s="32"/>
      <c r="BB321" s="32"/>
      <c r="BC321" s="32"/>
      <c r="BD321" s="32"/>
      <c r="BE321" s="32"/>
      <c r="BF321" s="32"/>
      <c r="BG321" s="32"/>
      <c r="BH321" s="32"/>
      <c r="BI321" s="32"/>
      <c r="BJ321" s="32"/>
      <c r="BK321" s="32"/>
      <c r="BL321" s="32"/>
      <c r="BM321" s="32"/>
      <c r="BN321" s="32"/>
      <c r="BO321" s="165"/>
      <c r="BP321" s="165"/>
      <c r="BQ321" s="165"/>
      <c r="BR321" s="165"/>
      <c r="BS321" s="165"/>
      <c r="BT321" s="165"/>
      <c r="BU321" s="165"/>
      <c r="BV321" s="55"/>
      <c r="BW321" s="160"/>
      <c r="BX321" s="32"/>
      <c r="BY321" s="24"/>
      <c r="BZ321" s="24"/>
      <c r="CA321" s="24"/>
      <c r="CB321" s="24"/>
      <c r="CC321" s="24"/>
      <c r="CD321" s="24"/>
      <c r="CE321" s="24"/>
    </row>
    <row r="322" spans="1:83" ht="15" customHeight="1">
      <c r="A322" s="4"/>
      <c r="B322" s="318">
        <f>CENY!B698</f>
        <v>9256872</v>
      </c>
      <c r="C322" s="43" t="str">
        <f>VLOOKUP(B322,CENY!$B$11:$G$1054,2,FALSE)</f>
        <v>Quadro You(M) 500/SiSy 30kg; EB21; ľavý</v>
      </c>
      <c r="D322" s="353">
        <f>VLOOKUP(B322,CENY!$B$11:$G$1054,3,FALSE)</f>
        <v>20</v>
      </c>
      <c r="E322" s="56" t="str">
        <f>IF(VLOOKUP(B322,CENY!$B$11:$G$1054,4,FALSE)=0,"",VLOOKUP(B322,CENY!$B$11:$G$1054,4,FALSE))</f>
        <v/>
      </c>
      <c r="F322" s="40" t="str">
        <f t="shared" si="68"/>
        <v/>
      </c>
      <c r="G322" s="52">
        <f>VLOOKUP(B322,CENY!$B$11:$M$1054,12,FALSE)</f>
        <v>237.18776</v>
      </c>
      <c r="H322" s="54" t="str">
        <f t="shared" si="66"/>
        <v xml:space="preserve"> CZK</v>
      </c>
      <c r="I322" s="41" t="str">
        <f t="shared" si="67"/>
        <v/>
      </c>
      <c r="J322" s="122"/>
      <c r="K322" s="42" t="str">
        <f>VLOOKUP(B322,CENY!$B$11:$M$1054,8,FALSE)</f>
        <v xml:space="preserve"> </v>
      </c>
      <c r="L322" s="42" t="str">
        <f>VLOOKUP(B322,CENY!$B$11:$M$1054,9,FALSE)</f>
        <v>397822</v>
      </c>
      <c r="M322" s="32"/>
      <c r="N322" s="35">
        <f t="shared" si="69"/>
        <v>0</v>
      </c>
      <c r="O322" s="36">
        <v>0</v>
      </c>
      <c r="P322" s="32"/>
      <c r="Q322" s="325">
        <f>'AVT101'!BI95</f>
        <v>0</v>
      </c>
      <c r="R322" s="32"/>
      <c r="S322" s="325">
        <f>'AVT139'!BI95</f>
        <v>0</v>
      </c>
      <c r="T322" s="32"/>
      <c r="U322" s="325">
        <f>'AVT187'!BI95</f>
        <v>0</v>
      </c>
      <c r="V322" s="32"/>
      <c r="W322" s="325">
        <f>'AVT251'!BI74</f>
        <v>0</v>
      </c>
      <c r="X322" s="32"/>
      <c r="Y322" s="325">
        <f>AVT187In!BI73</f>
        <v>0</v>
      </c>
      <c r="Z322" s="32"/>
      <c r="AA322" s="325">
        <f>'AVT101(vn-A)'!BI95</f>
        <v>0</v>
      </c>
      <c r="AB322" s="32"/>
      <c r="AC322" s="325">
        <f>'AVT139(vn-A)'!BI95</f>
        <v>0</v>
      </c>
      <c r="AD322" s="32"/>
      <c r="AE322" s="325">
        <f>'AVT187(vn-A)'!BI95</f>
        <v>0</v>
      </c>
      <c r="AF322" s="32"/>
      <c r="AG322" s="325">
        <f>'AVT187In(vn-A)'!BI73</f>
        <v>0</v>
      </c>
      <c r="AH322" s="32"/>
      <c r="AI322" s="325">
        <f>'AVT187(vn-S)'!BI95</f>
        <v>0</v>
      </c>
      <c r="AJ322" s="32"/>
      <c r="AK322" s="325">
        <f>'AVT187In(vn-S)'!BI73</f>
        <v>0</v>
      </c>
      <c r="AL322" s="32"/>
      <c r="AM322" s="325">
        <f>'AVT77'!BI48</f>
        <v>0</v>
      </c>
      <c r="AN322" s="32"/>
      <c r="AO322" s="325">
        <f>'AVT-celny-101+187'!BI95</f>
        <v>0</v>
      </c>
      <c r="AP322" s="32"/>
      <c r="AQ322" s="325">
        <f>'AVT-celny-139+187'!BI79</f>
        <v>0</v>
      </c>
      <c r="AR322" s="32"/>
      <c r="AS322" s="325">
        <f>'AVT-celny-2x187'!BI75</f>
        <v>0</v>
      </c>
      <c r="AT322" s="32"/>
      <c r="AU322" s="325">
        <f>'AVT-celny-2x187In'!BI61</f>
        <v>0</v>
      </c>
      <c r="AV322" s="32"/>
      <c r="AW322" s="325">
        <f>'potr-v101+187'!BI109</f>
        <v>0</v>
      </c>
      <c r="AX322" s="32"/>
      <c r="AY322" s="325">
        <f>'potr-v101+187-IL'!BI109</f>
        <v>0</v>
      </c>
      <c r="AZ322" s="32"/>
      <c r="BA322" s="32"/>
      <c r="BB322" s="32"/>
      <c r="BC322" s="32"/>
      <c r="BD322" s="32"/>
      <c r="BE322" s="32"/>
      <c r="BF322" s="32"/>
      <c r="BG322" s="32"/>
      <c r="BH322" s="32"/>
      <c r="BI322" s="32"/>
      <c r="BJ322" s="32"/>
      <c r="BK322" s="32"/>
      <c r="BL322" s="32"/>
      <c r="BM322" s="32"/>
      <c r="BN322" s="32"/>
      <c r="BO322" s="165"/>
      <c r="BP322" s="165"/>
      <c r="BQ322" s="165"/>
      <c r="BR322" s="165"/>
      <c r="BS322" s="165"/>
      <c r="BT322" s="165"/>
      <c r="BU322" s="165"/>
      <c r="BV322" s="55"/>
      <c r="BW322" s="160"/>
      <c r="BX322" s="32"/>
      <c r="BY322" s="24"/>
      <c r="BZ322" s="24"/>
      <c r="CA322" s="24"/>
      <c r="CB322" s="24"/>
      <c r="CC322" s="24"/>
      <c r="CD322" s="24"/>
      <c r="CE322" s="24"/>
    </row>
    <row r="323" spans="1:83" ht="15" customHeight="1">
      <c r="A323" s="4"/>
      <c r="B323" s="318">
        <f>CENY!B699</f>
        <v>9256873</v>
      </c>
      <c r="C323" s="43" t="str">
        <f>VLOOKUP(B323,CENY!$B$11:$G$1054,2,FALSE)</f>
        <v>Quadro You(M) 500/SiSy 30kg; EB21; pravý</v>
      </c>
      <c r="D323" s="353">
        <f>VLOOKUP(B323,CENY!$B$11:$G$1054,3,FALSE)</f>
        <v>20</v>
      </c>
      <c r="E323" s="56" t="str">
        <f>IF(VLOOKUP(B323,CENY!$B$11:$G$1054,4,FALSE)=0,"",VLOOKUP(B323,CENY!$B$11:$G$1054,4,FALSE))</f>
        <v/>
      </c>
      <c r="F323" s="40" t="str">
        <f t="shared" si="68"/>
        <v/>
      </c>
      <c r="G323" s="52">
        <f>VLOOKUP(B323,CENY!$B$11:$M$1054,12,FALSE)</f>
        <v>237.18776</v>
      </c>
      <c r="H323" s="54" t="str">
        <f t="shared" si="66"/>
        <v xml:space="preserve"> CZK</v>
      </c>
      <c r="I323" s="41" t="str">
        <f t="shared" si="67"/>
        <v/>
      </c>
      <c r="J323" s="122"/>
      <c r="K323" s="42" t="str">
        <f>VLOOKUP(B323,CENY!$B$11:$M$1054,8,FALSE)</f>
        <v xml:space="preserve"> </v>
      </c>
      <c r="L323" s="42" t="str">
        <f>VLOOKUP(B323,CENY!$B$11:$M$1054,9,FALSE)</f>
        <v>397823</v>
      </c>
      <c r="M323" s="32"/>
      <c r="N323" s="35">
        <f t="shared" si="69"/>
        <v>0</v>
      </c>
      <c r="O323" s="36">
        <v>0</v>
      </c>
      <c r="P323" s="32"/>
      <c r="Q323" s="325">
        <f>'AVT101'!BI96</f>
        <v>0</v>
      </c>
      <c r="R323" s="32"/>
      <c r="S323" s="325">
        <f>'AVT139'!BI96</f>
        <v>0</v>
      </c>
      <c r="T323" s="32"/>
      <c r="U323" s="325">
        <f>'AVT187'!BI96</f>
        <v>0</v>
      </c>
      <c r="V323" s="32"/>
      <c r="W323" s="325">
        <f>'AVT251'!BI75</f>
        <v>0</v>
      </c>
      <c r="X323" s="32"/>
      <c r="Y323" s="325">
        <f>AVT187In!BI74</f>
        <v>0</v>
      </c>
      <c r="Z323" s="32"/>
      <c r="AA323" s="325">
        <f>'AVT101(vn-A)'!BI96</f>
        <v>0</v>
      </c>
      <c r="AB323" s="32"/>
      <c r="AC323" s="325">
        <f>'AVT139(vn-A)'!BI96</f>
        <v>0</v>
      </c>
      <c r="AD323" s="32"/>
      <c r="AE323" s="325">
        <f>'AVT187(vn-A)'!BI96</f>
        <v>0</v>
      </c>
      <c r="AF323" s="32"/>
      <c r="AG323" s="325">
        <f>'AVT187In(vn-A)'!BI74</f>
        <v>0</v>
      </c>
      <c r="AH323" s="32"/>
      <c r="AI323" s="325">
        <f>'AVT187(vn-S)'!BI96</f>
        <v>0</v>
      </c>
      <c r="AJ323" s="32"/>
      <c r="AK323" s="325">
        <f>'AVT187In(vn-S)'!BI74</f>
        <v>0</v>
      </c>
      <c r="AL323" s="32"/>
      <c r="AM323" s="325">
        <f>'AVT77'!BI49</f>
        <v>0</v>
      </c>
      <c r="AN323" s="32"/>
      <c r="AO323" s="325">
        <f>'AVT-celny-101+187'!BI96</f>
        <v>0</v>
      </c>
      <c r="AP323" s="32"/>
      <c r="AQ323" s="325">
        <f>'AVT-celny-139+187'!BI80</f>
        <v>0</v>
      </c>
      <c r="AR323" s="32"/>
      <c r="AS323" s="325">
        <f>'AVT-celny-2x187'!BI76</f>
        <v>0</v>
      </c>
      <c r="AT323" s="32"/>
      <c r="AU323" s="325">
        <f>'AVT-celny-2x187In'!BI62</f>
        <v>0</v>
      </c>
      <c r="AV323" s="32"/>
      <c r="AW323" s="325">
        <f>'potr-v101+187'!BI110</f>
        <v>0</v>
      </c>
      <c r="AX323" s="32"/>
      <c r="AY323" s="325">
        <f>'potr-v101+187-IL'!BI110</f>
        <v>0</v>
      </c>
      <c r="AZ323" s="32"/>
      <c r="BA323" s="32"/>
      <c r="BB323" s="32"/>
      <c r="BC323" s="32"/>
      <c r="BD323" s="32"/>
      <c r="BE323" s="32"/>
      <c r="BF323" s="32"/>
      <c r="BG323" s="32"/>
      <c r="BH323" s="32"/>
      <c r="BI323" s="32"/>
      <c r="BJ323" s="32"/>
      <c r="BK323" s="32"/>
      <c r="BL323" s="32"/>
      <c r="BM323" s="32"/>
      <c r="BN323" s="32"/>
      <c r="BO323" s="165"/>
      <c r="BP323" s="165"/>
      <c r="BQ323" s="165"/>
      <c r="BR323" s="165"/>
      <c r="BS323" s="165"/>
      <c r="BT323" s="165"/>
      <c r="BU323" s="165"/>
      <c r="BV323" s="55"/>
      <c r="BW323" s="160"/>
      <c r="BX323" s="32"/>
      <c r="BY323" s="24"/>
      <c r="BZ323" s="24"/>
      <c r="CA323" s="24"/>
      <c r="CB323" s="24"/>
      <c r="CC323" s="24"/>
      <c r="CD323" s="24"/>
      <c r="CE323" s="24"/>
    </row>
    <row r="324" spans="1:83" ht="15" customHeight="1">
      <c r="A324" s="4"/>
      <c r="B324" s="318">
        <f>CENY!B700</f>
        <v>9256876</v>
      </c>
      <c r="C324" s="43" t="str">
        <f>VLOOKUP(B324,CENY!$B$11:$G$1054,2,FALSE)</f>
        <v>Quadro You(M) 550/SiSy 30kg; EB21; ľavý</v>
      </c>
      <c r="D324" s="353">
        <f>VLOOKUP(B324,CENY!$B$11:$G$1054,3,FALSE)</f>
        <v>20</v>
      </c>
      <c r="E324" s="56" t="str">
        <f>IF(VLOOKUP(B324,CENY!$B$11:$G$1054,4,FALSE)=0,"",VLOOKUP(B324,CENY!$B$11:$G$1054,4,FALSE))</f>
        <v/>
      </c>
      <c r="F324" s="40" t="str">
        <f t="shared" si="68"/>
        <v/>
      </c>
      <c r="G324" s="52">
        <f>VLOOKUP(B324,CENY!$B$11:$M$1054,12,FALSE)</f>
        <v>241.90996999999999</v>
      </c>
      <c r="H324" s="54" t="str">
        <f t="shared" si="66"/>
        <v xml:space="preserve"> CZK</v>
      </c>
      <c r="I324" s="41" t="str">
        <f t="shared" si="67"/>
        <v/>
      </c>
      <c r="J324" s="122"/>
      <c r="K324" s="42" t="str">
        <f>VLOOKUP(B324,CENY!$B$11:$M$1054,8,FALSE)</f>
        <v xml:space="preserve"> </v>
      </c>
      <c r="L324" s="42" t="str">
        <f>VLOOKUP(B324,CENY!$B$11:$M$1054,9,FALSE)</f>
        <v>397824</v>
      </c>
      <c r="M324" s="32"/>
      <c r="N324" s="35">
        <f t="shared" si="69"/>
        <v>0</v>
      </c>
      <c r="O324" s="36">
        <v>0</v>
      </c>
      <c r="P324" s="32"/>
      <c r="Q324" s="325">
        <f>'AVT101'!BI97</f>
        <v>0</v>
      </c>
      <c r="R324" s="32"/>
      <c r="S324" s="325">
        <f>'AVT139'!BI97</f>
        <v>0</v>
      </c>
      <c r="T324" s="32"/>
      <c r="U324" s="325">
        <f>'AVT187'!BI97</f>
        <v>0</v>
      </c>
      <c r="V324" s="32"/>
      <c r="W324" s="325">
        <f>'AVT251'!BI76</f>
        <v>0</v>
      </c>
      <c r="X324" s="32"/>
      <c r="Y324" s="325">
        <f>AVT187In!BI75</f>
        <v>0</v>
      </c>
      <c r="Z324" s="32"/>
      <c r="AA324" s="325">
        <f>'AVT101(vn-A)'!BI97</f>
        <v>0</v>
      </c>
      <c r="AB324" s="32"/>
      <c r="AC324" s="325">
        <f>'AVT139(vn-A)'!BI97</f>
        <v>0</v>
      </c>
      <c r="AD324" s="32"/>
      <c r="AE324" s="325">
        <f>'AVT187(vn-A)'!BI97</f>
        <v>0</v>
      </c>
      <c r="AF324" s="32"/>
      <c r="AG324" s="325">
        <f>'AVT187In(vn-A)'!BI75</f>
        <v>0</v>
      </c>
      <c r="AH324" s="32"/>
      <c r="AI324" s="325">
        <f>'AVT187(vn-S)'!BI97</f>
        <v>0</v>
      </c>
      <c r="AJ324" s="32"/>
      <c r="AK324" s="325">
        <f>'AVT187In(vn-S)'!BI75</f>
        <v>0</v>
      </c>
      <c r="AL324" s="32"/>
      <c r="AM324" s="325">
        <f>'AVT77'!BI50</f>
        <v>0</v>
      </c>
      <c r="AN324" s="32"/>
      <c r="AO324" s="325">
        <f>'AVT-celny-101+187'!BI97</f>
        <v>0</v>
      </c>
      <c r="AP324" s="32"/>
      <c r="AQ324" s="325">
        <f>'AVT-celny-139+187'!BI81</f>
        <v>0</v>
      </c>
      <c r="AR324" s="32"/>
      <c r="AS324" s="325">
        <f>'AVT-celny-2x187'!BI77</f>
        <v>0</v>
      </c>
      <c r="AT324" s="32"/>
      <c r="AU324" s="325">
        <f>'AVT-celny-2x187In'!BI63</f>
        <v>0</v>
      </c>
      <c r="AV324" s="32"/>
      <c r="AW324" s="325">
        <f>'potr-v101+187'!BI111</f>
        <v>0</v>
      </c>
      <c r="AX324" s="32"/>
      <c r="AY324" s="325">
        <f>'potr-v101+187-IL'!BI111</f>
        <v>0</v>
      </c>
      <c r="AZ324" s="32"/>
      <c r="BA324" s="32"/>
      <c r="BB324" s="32"/>
      <c r="BC324" s="32"/>
      <c r="BD324" s="32"/>
      <c r="BE324" s="32"/>
      <c r="BF324" s="32"/>
      <c r="BG324" s="32"/>
      <c r="BH324" s="32"/>
      <c r="BI324" s="32"/>
      <c r="BJ324" s="32"/>
      <c r="BK324" s="32"/>
      <c r="BL324" s="32"/>
      <c r="BM324" s="32"/>
      <c r="BN324" s="32"/>
      <c r="BO324" s="165"/>
      <c r="BP324" s="165"/>
      <c r="BQ324" s="165"/>
      <c r="BR324" s="165"/>
      <c r="BS324" s="165"/>
      <c r="BT324" s="165"/>
      <c r="BU324" s="165"/>
      <c r="BV324" s="55"/>
      <c r="BW324" s="160"/>
      <c r="BX324" s="32"/>
      <c r="BY324" s="24"/>
      <c r="BZ324" s="24"/>
      <c r="CA324" s="24"/>
      <c r="CB324" s="24"/>
      <c r="CC324" s="24"/>
      <c r="CD324" s="24"/>
      <c r="CE324" s="24"/>
    </row>
    <row r="325" spans="1:83" ht="15" customHeight="1">
      <c r="A325" s="4"/>
      <c r="B325" s="318">
        <f>CENY!B701</f>
        <v>9256877</v>
      </c>
      <c r="C325" s="43" t="str">
        <f>VLOOKUP(B325,CENY!$B$11:$G$1054,2,FALSE)</f>
        <v>Quadro You(M) 550/SiSy 30kg; EB21; pravý</v>
      </c>
      <c r="D325" s="353">
        <f>VLOOKUP(B325,CENY!$B$11:$G$1054,3,FALSE)</f>
        <v>20</v>
      </c>
      <c r="E325" s="56" t="str">
        <f>IF(VLOOKUP(B325,CENY!$B$11:$G$1054,4,FALSE)=0,"",VLOOKUP(B325,CENY!$B$11:$G$1054,4,FALSE))</f>
        <v/>
      </c>
      <c r="F325" s="40" t="str">
        <f t="shared" si="68"/>
        <v/>
      </c>
      <c r="G325" s="52">
        <f>VLOOKUP(B325,CENY!$B$11:$M$1054,12,FALSE)</f>
        <v>248.51953</v>
      </c>
      <c r="H325" s="54" t="str">
        <f t="shared" si="66"/>
        <v xml:space="preserve"> CZK</v>
      </c>
      <c r="I325" s="41" t="str">
        <f t="shared" si="67"/>
        <v/>
      </c>
      <c r="J325" s="122"/>
      <c r="K325" s="42" t="str">
        <f>VLOOKUP(B325,CENY!$B$11:$M$1054,8,FALSE)</f>
        <v xml:space="preserve"> </v>
      </c>
      <c r="L325" s="42" t="str">
        <f>VLOOKUP(B325,CENY!$B$11:$M$1054,9,FALSE)</f>
        <v>397825</v>
      </c>
      <c r="M325" s="32"/>
      <c r="N325" s="35">
        <f t="shared" si="69"/>
        <v>0</v>
      </c>
      <c r="O325" s="36">
        <v>0</v>
      </c>
      <c r="P325" s="32"/>
      <c r="Q325" s="325">
        <f>'AVT101'!BI98</f>
        <v>0</v>
      </c>
      <c r="R325" s="32"/>
      <c r="S325" s="325">
        <f>'AVT139'!BI98</f>
        <v>0</v>
      </c>
      <c r="T325" s="32"/>
      <c r="U325" s="325">
        <f>'AVT187'!BI98</f>
        <v>0</v>
      </c>
      <c r="V325" s="32"/>
      <c r="W325" s="325">
        <f>'AVT251'!BI77</f>
        <v>0</v>
      </c>
      <c r="X325" s="32"/>
      <c r="Y325" s="325">
        <f>AVT187In!BI76</f>
        <v>0</v>
      </c>
      <c r="Z325" s="32"/>
      <c r="AA325" s="325">
        <f>'AVT101(vn-A)'!BI98</f>
        <v>0</v>
      </c>
      <c r="AB325" s="32"/>
      <c r="AC325" s="325">
        <f>'AVT139(vn-A)'!BI98</f>
        <v>0</v>
      </c>
      <c r="AD325" s="32"/>
      <c r="AE325" s="325">
        <f>'AVT187(vn-A)'!BI98</f>
        <v>0</v>
      </c>
      <c r="AF325" s="32"/>
      <c r="AG325" s="325">
        <f>'AVT187In(vn-A)'!BI76</f>
        <v>0</v>
      </c>
      <c r="AH325" s="32"/>
      <c r="AI325" s="325">
        <f>'AVT187(vn-S)'!BI98</f>
        <v>0</v>
      </c>
      <c r="AJ325" s="32"/>
      <c r="AK325" s="325">
        <f>'AVT187In(vn-S)'!BI76</f>
        <v>0</v>
      </c>
      <c r="AL325" s="32"/>
      <c r="AM325" s="325">
        <f>'AVT77'!BI51</f>
        <v>0</v>
      </c>
      <c r="AN325" s="32"/>
      <c r="AO325" s="325">
        <f>'AVT-celny-101+187'!BI98</f>
        <v>0</v>
      </c>
      <c r="AP325" s="32"/>
      <c r="AQ325" s="325">
        <f>'AVT-celny-139+187'!BI82</f>
        <v>0</v>
      </c>
      <c r="AR325" s="32"/>
      <c r="AS325" s="325">
        <f>'AVT-celny-2x187'!BI78</f>
        <v>0</v>
      </c>
      <c r="AT325" s="32"/>
      <c r="AU325" s="325">
        <f>'AVT-celny-2x187In'!BI64</f>
        <v>0</v>
      </c>
      <c r="AV325" s="32"/>
      <c r="AW325" s="325">
        <f>'potr-v101+187'!BI112</f>
        <v>0</v>
      </c>
      <c r="AX325" s="32"/>
      <c r="AY325" s="325">
        <f>'potr-v101+187-IL'!BI112</f>
        <v>0</v>
      </c>
      <c r="AZ325" s="32"/>
      <c r="BA325" s="32"/>
      <c r="BB325" s="32"/>
      <c r="BC325" s="32"/>
      <c r="BD325" s="32"/>
      <c r="BE325" s="32"/>
      <c r="BF325" s="32"/>
      <c r="BG325" s="32"/>
      <c r="BH325" s="32"/>
      <c r="BI325" s="32"/>
      <c r="BJ325" s="32"/>
      <c r="BK325" s="32"/>
      <c r="BL325" s="32"/>
      <c r="BM325" s="32"/>
      <c r="BN325" s="32"/>
      <c r="BO325" s="165"/>
      <c r="BP325" s="165"/>
      <c r="BQ325" s="165"/>
      <c r="BR325" s="165"/>
      <c r="BS325" s="165"/>
      <c r="BT325" s="165"/>
      <c r="BU325" s="165"/>
      <c r="BV325" s="55"/>
      <c r="BW325" s="160"/>
      <c r="BX325" s="32"/>
      <c r="BY325" s="24"/>
      <c r="BZ325" s="24"/>
      <c r="CA325" s="24"/>
      <c r="CB325" s="24"/>
      <c r="CC325" s="24"/>
      <c r="CD325" s="24"/>
      <c r="CE325" s="24"/>
    </row>
    <row r="326" spans="1:83" ht="15" customHeight="1">
      <c r="A326" s="4"/>
      <c r="B326" s="318">
        <f>CENY!B702</f>
        <v>9256880</v>
      </c>
      <c r="C326" s="43" t="str">
        <f>VLOOKUP(B326,CENY!$B$11:$G$1054,2,FALSE)</f>
        <v>Quadro You(M) 600/SiSy 25kg; EB21; ľavý</v>
      </c>
      <c r="D326" s="353">
        <f>VLOOKUP(B326,CENY!$B$11:$G$1054,3,FALSE)</f>
        <v>20</v>
      </c>
      <c r="E326" s="56" t="str">
        <f>IF(VLOOKUP(B326,CENY!$B$11:$G$1054,4,FALSE)=0,"",VLOOKUP(B326,CENY!$B$11:$G$1054,4,FALSE))</f>
        <v/>
      </c>
      <c r="F326" s="40" t="str">
        <f t="shared" si="68"/>
        <v/>
      </c>
      <c r="G326" s="52">
        <f>VLOOKUP(B326,CENY!$B$11:$M$1054,12,FALSE)</f>
        <v>253.36837</v>
      </c>
      <c r="H326" s="54" t="str">
        <f t="shared" si="66"/>
        <v xml:space="preserve"> CZK</v>
      </c>
      <c r="I326" s="41" t="str">
        <f t="shared" si="67"/>
        <v/>
      </c>
      <c r="J326" s="122"/>
      <c r="K326" s="42" t="str">
        <f>VLOOKUP(B326,CENY!$B$11:$M$1054,8,FALSE)</f>
        <v xml:space="preserve"> </v>
      </c>
      <c r="L326" s="42" t="str">
        <f>VLOOKUP(B326,CENY!$B$11:$M$1054,9,FALSE)</f>
        <v>397826</v>
      </c>
      <c r="M326" s="32"/>
      <c r="N326" s="35">
        <f t="shared" si="69"/>
        <v>0</v>
      </c>
      <c r="O326" s="36">
        <v>0</v>
      </c>
      <c r="P326" s="32"/>
      <c r="Q326" s="325">
        <f>'AVT101'!BI99</f>
        <v>0</v>
      </c>
      <c r="R326" s="32"/>
      <c r="S326" s="325">
        <f>'AVT139'!BI99</f>
        <v>0</v>
      </c>
      <c r="T326" s="32"/>
      <c r="U326" s="325">
        <f>'AVT187'!BI99</f>
        <v>0</v>
      </c>
      <c r="V326" s="32"/>
      <c r="W326" s="325">
        <f>'AVT251'!BI78</f>
        <v>0</v>
      </c>
      <c r="X326" s="32"/>
      <c r="Y326" s="325">
        <f>AVT187In!BI77</f>
        <v>0</v>
      </c>
      <c r="Z326" s="32"/>
      <c r="AA326" s="325">
        <f>'AVT101(vn-A)'!BI99</f>
        <v>0</v>
      </c>
      <c r="AB326" s="32"/>
      <c r="AC326" s="325">
        <f>'AVT139(vn-A)'!BI99</f>
        <v>0</v>
      </c>
      <c r="AD326" s="32"/>
      <c r="AE326" s="325">
        <f>'AVT187(vn-A)'!BI99</f>
        <v>0</v>
      </c>
      <c r="AF326" s="32"/>
      <c r="AG326" s="325">
        <f>'AVT187In(vn-A)'!BI77</f>
        <v>0</v>
      </c>
      <c r="AH326" s="32"/>
      <c r="AI326" s="325">
        <f>'AVT187(vn-S)'!BI99</f>
        <v>0</v>
      </c>
      <c r="AJ326" s="32"/>
      <c r="AK326" s="325">
        <f>'AVT187In(vn-S)'!BI77</f>
        <v>0</v>
      </c>
      <c r="AL326" s="32"/>
      <c r="AM326" s="32"/>
      <c r="AN326" s="32"/>
      <c r="AO326" s="325">
        <f>'AVT-celny-101+187'!BI99</f>
        <v>0</v>
      </c>
      <c r="AP326" s="32"/>
      <c r="AQ326" s="325">
        <f>'AVT-celny-139+187'!BI83</f>
        <v>0</v>
      </c>
      <c r="AR326" s="32"/>
      <c r="AS326" s="325">
        <f>'AVT-celny-2x187'!BI79</f>
        <v>0</v>
      </c>
      <c r="AT326" s="32"/>
      <c r="AU326" s="325">
        <f>'AVT-celny-2x187In'!BI65</f>
        <v>0</v>
      </c>
      <c r="AV326" s="32"/>
      <c r="AW326" s="325">
        <f>'potr-v101+187'!BI113</f>
        <v>0</v>
      </c>
      <c r="AX326" s="32"/>
      <c r="AY326" s="325">
        <f>'potr-v101+187-IL'!BI113</f>
        <v>0</v>
      </c>
      <c r="AZ326" s="32"/>
      <c r="BA326" s="32"/>
      <c r="BB326" s="32"/>
      <c r="BC326" s="32"/>
      <c r="BD326" s="32"/>
      <c r="BE326" s="32"/>
      <c r="BF326" s="32"/>
      <c r="BG326" s="32"/>
      <c r="BH326" s="32"/>
      <c r="BI326" s="32"/>
      <c r="BJ326" s="32"/>
      <c r="BK326" s="32"/>
      <c r="BL326" s="32"/>
      <c r="BM326" s="32"/>
      <c r="BN326" s="32"/>
      <c r="BO326" s="165"/>
      <c r="BP326" s="165"/>
      <c r="BQ326" s="165"/>
      <c r="BR326" s="165"/>
      <c r="BS326" s="165"/>
      <c r="BT326" s="165"/>
      <c r="BU326" s="165"/>
      <c r="BV326" s="55"/>
      <c r="BW326" s="160"/>
      <c r="BX326" s="32"/>
      <c r="BY326" s="24"/>
      <c r="BZ326" s="24"/>
      <c r="CA326" s="24"/>
      <c r="CB326" s="24"/>
      <c r="CC326" s="24"/>
      <c r="CD326" s="24"/>
      <c r="CE326" s="24"/>
    </row>
    <row r="327" spans="1:83" ht="15" customHeight="1">
      <c r="A327" s="4"/>
      <c r="B327" s="318">
        <f>CENY!B703</f>
        <v>9256881</v>
      </c>
      <c r="C327" s="43" t="str">
        <f>VLOOKUP(B327,CENY!$B$11:$G$1054,2,FALSE)</f>
        <v>Quadro You(M) 600/SiSy 25kg; EB21; pravý</v>
      </c>
      <c r="D327" s="353">
        <f>VLOOKUP(B327,CENY!$B$11:$G$1054,3,FALSE)</f>
        <v>20</v>
      </c>
      <c r="E327" s="56" t="str">
        <f>IF(VLOOKUP(B327,CENY!$B$11:$G$1054,4,FALSE)=0,"",VLOOKUP(B327,CENY!$B$11:$G$1054,4,FALSE))</f>
        <v/>
      </c>
      <c r="F327" s="40" t="str">
        <f t="shared" si="68"/>
        <v/>
      </c>
      <c r="G327" s="52">
        <f>VLOOKUP(B327,CENY!$B$11:$M$1054,12,FALSE)</f>
        <v>253.36837</v>
      </c>
      <c r="H327" s="54" t="str">
        <f t="shared" si="66"/>
        <v xml:space="preserve"> CZK</v>
      </c>
      <c r="I327" s="41" t="str">
        <f t="shared" si="67"/>
        <v/>
      </c>
      <c r="J327" s="122"/>
      <c r="K327" s="42" t="str">
        <f>VLOOKUP(B327,CENY!$B$11:$M$1054,8,FALSE)</f>
        <v xml:space="preserve"> </v>
      </c>
      <c r="L327" s="42" t="str">
        <f>VLOOKUP(B327,CENY!$B$11:$M$1054,9,FALSE)</f>
        <v>397827</v>
      </c>
      <c r="M327" s="32"/>
      <c r="N327" s="35">
        <f t="shared" si="69"/>
        <v>0</v>
      </c>
      <c r="O327" s="36">
        <v>0</v>
      </c>
      <c r="P327" s="32"/>
      <c r="Q327" s="325">
        <f>'AVT101'!BI100</f>
        <v>0</v>
      </c>
      <c r="R327" s="32"/>
      <c r="S327" s="325">
        <f>'AVT139'!BI100</f>
        <v>0</v>
      </c>
      <c r="T327" s="32"/>
      <c r="U327" s="325">
        <f>'AVT187'!BI100</f>
        <v>0</v>
      </c>
      <c r="V327" s="32"/>
      <c r="W327" s="325">
        <f>'AVT251'!BI79</f>
        <v>0</v>
      </c>
      <c r="X327" s="32"/>
      <c r="Y327" s="325">
        <f>AVT187In!BI78</f>
        <v>0</v>
      </c>
      <c r="Z327" s="32"/>
      <c r="AA327" s="325">
        <f>'AVT101(vn-A)'!BI100</f>
        <v>0</v>
      </c>
      <c r="AB327" s="32"/>
      <c r="AC327" s="325">
        <f>'AVT139(vn-A)'!BI100</f>
        <v>0</v>
      </c>
      <c r="AD327" s="32"/>
      <c r="AE327" s="325">
        <f>'AVT187(vn-A)'!BI100</f>
        <v>0</v>
      </c>
      <c r="AF327" s="32"/>
      <c r="AG327" s="325">
        <f>'AVT187In(vn-A)'!BI78</f>
        <v>0</v>
      </c>
      <c r="AH327" s="32"/>
      <c r="AI327" s="325">
        <f>'AVT187(vn-S)'!BI100</f>
        <v>0</v>
      </c>
      <c r="AJ327" s="32"/>
      <c r="AK327" s="325">
        <f>'AVT187In(vn-S)'!BI78</f>
        <v>0</v>
      </c>
      <c r="AL327" s="32"/>
      <c r="AM327" s="32"/>
      <c r="AN327" s="32"/>
      <c r="AO327" s="325">
        <f>'AVT-celny-101+187'!BI100</f>
        <v>0</v>
      </c>
      <c r="AP327" s="32"/>
      <c r="AQ327" s="325">
        <f>'AVT-celny-139+187'!BI84</f>
        <v>0</v>
      </c>
      <c r="AR327" s="32"/>
      <c r="AS327" s="325">
        <f>'AVT-celny-2x187'!BI80</f>
        <v>0</v>
      </c>
      <c r="AT327" s="32"/>
      <c r="AU327" s="325">
        <f>'AVT-celny-2x187In'!BI66</f>
        <v>0</v>
      </c>
      <c r="AV327" s="32"/>
      <c r="AW327" s="325">
        <f>'potr-v101+187'!BI114</f>
        <v>0</v>
      </c>
      <c r="AX327" s="32"/>
      <c r="AY327" s="325">
        <f>'potr-v101+187-IL'!BI114</f>
        <v>0</v>
      </c>
      <c r="AZ327" s="32"/>
      <c r="BA327" s="32"/>
      <c r="BB327" s="32"/>
      <c r="BC327" s="32"/>
      <c r="BD327" s="32"/>
      <c r="BE327" s="32"/>
      <c r="BF327" s="32"/>
      <c r="BG327" s="32"/>
      <c r="BH327" s="32"/>
      <c r="BI327" s="32"/>
      <c r="BJ327" s="32"/>
      <c r="BK327" s="32"/>
      <c r="BL327" s="32"/>
      <c r="BM327" s="32"/>
      <c r="BN327" s="32"/>
      <c r="BO327" s="165"/>
      <c r="BP327" s="165"/>
      <c r="BQ327" s="165"/>
      <c r="BR327" s="165"/>
      <c r="BS327" s="165"/>
      <c r="BT327" s="165"/>
      <c r="BU327" s="165"/>
      <c r="BV327" s="55"/>
      <c r="BW327" s="160"/>
      <c r="BX327" s="32"/>
      <c r="BY327" s="24"/>
      <c r="BZ327" s="24"/>
      <c r="CA327" s="24"/>
      <c r="CB327" s="24"/>
      <c r="CC327" s="24"/>
      <c r="CD327" s="24"/>
      <c r="CE327" s="24"/>
    </row>
    <row r="328" spans="1:83" ht="8.1" customHeight="1">
      <c r="A328" s="4"/>
      <c r="B328" s="126"/>
      <c r="C328" s="43"/>
      <c r="D328" s="39"/>
      <c r="E328" s="56"/>
      <c r="F328" s="60"/>
      <c r="G328" s="52"/>
      <c r="H328" s="54"/>
      <c r="I328" s="41"/>
      <c r="J328" s="122"/>
      <c r="K328" s="42"/>
      <c r="L328" s="42"/>
      <c r="M328" s="32"/>
      <c r="N328" s="35"/>
      <c r="O328" s="36">
        <v>0</v>
      </c>
      <c r="P328" s="32"/>
      <c r="Q328" s="32"/>
      <c r="R328" s="32"/>
      <c r="S328" s="32"/>
      <c r="T328" s="32"/>
      <c r="U328" s="32"/>
      <c r="V328" s="32"/>
      <c r="W328" s="32"/>
      <c r="X328" s="32"/>
      <c r="Y328" s="32"/>
      <c r="Z328" s="32"/>
      <c r="AA328" s="32"/>
      <c r="AB328" s="32"/>
      <c r="AC328" s="32"/>
      <c r="AD328" s="32"/>
      <c r="AE328" s="32"/>
      <c r="AF328" s="32"/>
      <c r="AG328" s="32"/>
      <c r="AH328" s="32"/>
      <c r="AI328" s="32"/>
      <c r="AJ328" s="32"/>
      <c r="AK328" s="32"/>
      <c r="AL328" s="32"/>
      <c r="AM328" s="32"/>
      <c r="AN328" s="32"/>
      <c r="AO328" s="32"/>
      <c r="AP328" s="32"/>
      <c r="AQ328" s="32"/>
      <c r="AR328" s="32"/>
      <c r="AS328" s="32"/>
      <c r="AT328" s="32"/>
      <c r="AU328" s="32"/>
      <c r="AV328" s="32"/>
      <c r="AW328" s="32"/>
      <c r="AX328" s="32"/>
      <c r="AY328" s="32"/>
      <c r="AZ328" s="32"/>
      <c r="BA328" s="32"/>
      <c r="BB328" s="32"/>
      <c r="BC328" s="32"/>
      <c r="BD328" s="32"/>
      <c r="BE328" s="32"/>
      <c r="BF328" s="32"/>
      <c r="BG328" s="32"/>
      <c r="BH328" s="32"/>
      <c r="BI328" s="32"/>
      <c r="BJ328" s="32"/>
      <c r="BK328" s="32"/>
      <c r="BL328" s="32"/>
      <c r="BM328" s="32"/>
      <c r="BN328" s="32"/>
      <c r="BO328" s="165"/>
      <c r="BP328" s="165"/>
      <c r="BQ328" s="165"/>
      <c r="BR328" s="165"/>
      <c r="BS328" s="165"/>
      <c r="BT328" s="165"/>
      <c r="BU328" s="165"/>
      <c r="BV328" s="55"/>
      <c r="BW328" s="160"/>
      <c r="BX328" s="32"/>
      <c r="BY328" s="24"/>
      <c r="BZ328" s="24"/>
      <c r="CA328" s="24"/>
      <c r="CB328" s="24"/>
      <c r="CC328" s="24"/>
      <c r="CD328" s="24"/>
      <c r="CE328" s="24"/>
    </row>
    <row r="329" spans="1:83" ht="15" customHeight="1">
      <c r="A329" s="4"/>
      <c r="B329" s="318">
        <f>CENY!B705</f>
        <v>9257894</v>
      </c>
      <c r="C329" s="43" t="str">
        <f>VLOOKUP(B329,CENY!$B$11:$G$1054,2,FALSE)</f>
        <v>Quadro You - Push to open Silent; &lt;10kg</v>
      </c>
      <c r="D329" s="355">
        <f>VLOOKUP(B329,CENY!$B$11:$G$1054,3,FALSE)</f>
        <v>1</v>
      </c>
      <c r="E329" s="56" t="str">
        <f>IF(VLOOKUP(B329,CENY!$B$11:$G$1054,4,FALSE)=0,"",VLOOKUP(B329,CENY!$B$11:$G$1054,4,FALSE))</f>
        <v/>
      </c>
      <c r="F329" s="40" t="str">
        <f>IF(J329&lt;&gt;"",J329,IF(N329=0,"",N329))</f>
        <v/>
      </c>
      <c r="G329" s="52">
        <f>VLOOKUP(B329,CENY!$B$11:$M$1054,12,FALSE)</f>
        <v>480.50922000000003</v>
      </c>
      <c r="H329" s="54" t="str">
        <f t="shared" si="66"/>
        <v xml:space="preserve"> CZK</v>
      </c>
      <c r="I329" s="41" t="str">
        <f t="shared" si="67"/>
        <v/>
      </c>
      <c r="J329" s="122"/>
      <c r="K329" s="42" t="str">
        <f>VLOOKUP(B329,CENY!$B$11:$M$1054,8,FALSE)</f>
        <v xml:space="preserve"> </v>
      </c>
      <c r="L329" s="42" t="str">
        <f>VLOOKUP(B329,CENY!$B$11:$M$1054,9,FALSE)</f>
        <v>397831</v>
      </c>
      <c r="M329" s="32"/>
      <c r="N329" s="35">
        <f>SUM(P329:BW329)</f>
        <v>0</v>
      </c>
      <c r="O329" s="36">
        <v>0</v>
      </c>
      <c r="P329" s="325">
        <f>'AVT101'!AZ63</f>
        <v>0</v>
      </c>
      <c r="Q329" s="325">
        <f>'AVT101'!BI102</f>
        <v>0</v>
      </c>
      <c r="R329" s="325">
        <f>'AVT139'!AZ63</f>
        <v>0</v>
      </c>
      <c r="S329" s="325">
        <f>'AVT139'!BI102</f>
        <v>0</v>
      </c>
      <c r="T329" s="325">
        <f>'AVT187'!AZ63</f>
        <v>0</v>
      </c>
      <c r="U329" s="325">
        <f>'AVT187'!BI102</f>
        <v>0</v>
      </c>
      <c r="V329" s="325">
        <f>'AVT251'!AZ51</f>
        <v>0</v>
      </c>
      <c r="W329" s="325">
        <f>'AVT251'!BI81</f>
        <v>0</v>
      </c>
      <c r="X329" s="325">
        <f>AVT187In!AZ51</f>
        <v>0</v>
      </c>
      <c r="Y329" s="325">
        <f>AVT187In!BI80</f>
        <v>0</v>
      </c>
      <c r="Z329" s="325">
        <f>'AVT101(vn-A)'!AZ63</f>
        <v>0</v>
      </c>
      <c r="AA329" s="325">
        <f>'AVT101(vn-A)'!BI102</f>
        <v>0</v>
      </c>
      <c r="AB329" s="325">
        <f>'AVT139(vn-A)'!AZ63</f>
        <v>0</v>
      </c>
      <c r="AC329" s="325">
        <f>'AVT139(vn-A)'!BI102</f>
        <v>0</v>
      </c>
      <c r="AD329" s="325">
        <f>'AVT187(vn-A)'!AZ63</f>
        <v>0</v>
      </c>
      <c r="AE329" s="325">
        <f>'AVT187(vn-A)'!BI102</f>
        <v>0</v>
      </c>
      <c r="AF329" s="325">
        <f>'AVT187In(vn-A)'!AZ51</f>
        <v>0</v>
      </c>
      <c r="AG329" s="325">
        <f>'AVT187In(vn-A)'!BI80</f>
        <v>0</v>
      </c>
      <c r="AH329" s="325">
        <f>'AVT187(vn-S)'!AZ63</f>
        <v>0</v>
      </c>
      <c r="AI329" s="325">
        <f>'AVT187(vn-S)'!BI102</f>
        <v>0</v>
      </c>
      <c r="AJ329" s="325">
        <f>'AVT187In(vn-S)'!AZ51</f>
        <v>0</v>
      </c>
      <c r="AK329" s="325">
        <f>'AVT187In(vn-S)'!BI80</f>
        <v>0</v>
      </c>
      <c r="AL329" s="325">
        <f>'AVT77'!AZ35</f>
        <v>0</v>
      </c>
      <c r="AM329" s="325">
        <f>'AVT77'!BI53</f>
        <v>0</v>
      </c>
      <c r="AN329" s="32"/>
      <c r="AO329" s="32"/>
      <c r="AP329" s="32"/>
      <c r="AQ329" s="32"/>
      <c r="AR329" s="32"/>
      <c r="AS329" s="32"/>
      <c r="AT329" s="32"/>
      <c r="AU329" s="32"/>
      <c r="AV329" s="32"/>
      <c r="AW329" s="32"/>
      <c r="AX329" s="32"/>
      <c r="AY329" s="32"/>
      <c r="AZ329" s="32"/>
      <c r="BA329" s="32"/>
      <c r="BB329" s="32"/>
      <c r="BC329" s="32"/>
      <c r="BD329" s="32"/>
      <c r="BE329" s="32"/>
      <c r="BF329" s="32"/>
      <c r="BG329" s="32"/>
      <c r="BH329" s="32"/>
      <c r="BI329" s="32"/>
      <c r="BJ329" s="32"/>
      <c r="BK329" s="32"/>
      <c r="BL329" s="32"/>
      <c r="BM329" s="32"/>
      <c r="BN329" s="32"/>
      <c r="BO329" s="165"/>
      <c r="BP329" s="165"/>
      <c r="BQ329" s="165"/>
      <c r="BR329" s="165"/>
      <c r="BS329" s="165"/>
      <c r="BT329" s="165"/>
      <c r="BU329" s="165"/>
      <c r="BV329" s="55"/>
      <c r="BW329" s="160"/>
      <c r="BX329" s="32"/>
      <c r="BY329" s="24"/>
      <c r="BZ329" s="24"/>
      <c r="CA329" s="24"/>
      <c r="CB329" s="24"/>
      <c r="CC329" s="24"/>
      <c r="CD329" s="24"/>
      <c r="CE329" s="24"/>
    </row>
    <row r="330" spans="1:83" ht="15" customHeight="1">
      <c r="A330" s="4"/>
      <c r="B330" s="318">
        <f>CENY!B706</f>
        <v>9257895</v>
      </c>
      <c r="C330" s="43" t="str">
        <f>VLOOKUP(B330,CENY!$B$11:$G$1054,2,FALSE)</f>
        <v>Quadro You - Push to open Silent; 8-20kg</v>
      </c>
      <c r="D330" s="355">
        <f>VLOOKUP(B330,CENY!$B$11:$G$1054,3,FALSE)</f>
        <v>1</v>
      </c>
      <c r="E330" s="56" t="str">
        <f>IF(VLOOKUP(B330,CENY!$B$11:$G$1054,4,FALSE)=0,"",VLOOKUP(B330,CENY!$B$11:$G$1054,4,FALSE))</f>
        <v/>
      </c>
      <c r="F330" s="40" t="str">
        <f>IF(J330&lt;&gt;"",J330,IF(N330=0,"",N330))</f>
        <v/>
      </c>
      <c r="G330" s="52">
        <f>VLOOKUP(B330,CENY!$B$11:$M$1054,12,FALSE)</f>
        <v>480.50922000000003</v>
      </c>
      <c r="H330" s="54" t="str">
        <f t="shared" si="66"/>
        <v xml:space="preserve"> CZK</v>
      </c>
      <c r="I330" s="41" t="str">
        <f t="shared" si="67"/>
        <v/>
      </c>
      <c r="J330" s="122"/>
      <c r="K330" s="42" t="str">
        <f>VLOOKUP(B330,CENY!$B$11:$M$1054,8,FALSE)</f>
        <v xml:space="preserve"> </v>
      </c>
      <c r="L330" s="42" t="str">
        <f>VLOOKUP(B330,CENY!$B$11:$M$1054,9,FALSE)</f>
        <v>397832</v>
      </c>
      <c r="M330" s="32"/>
      <c r="N330" s="35">
        <f>SUM(P330:BW330)</f>
        <v>0</v>
      </c>
      <c r="O330" s="36">
        <v>0</v>
      </c>
      <c r="P330" s="325">
        <f>'AVT101'!AZ64</f>
        <v>0</v>
      </c>
      <c r="Q330" s="325">
        <f>'AVT101'!BI103</f>
        <v>0</v>
      </c>
      <c r="R330" s="325">
        <f>'AVT139'!AZ64</f>
        <v>0</v>
      </c>
      <c r="S330" s="325">
        <f>'AVT139'!BI103</f>
        <v>0</v>
      </c>
      <c r="T330" s="325">
        <f>'AVT187'!AZ64</f>
        <v>0</v>
      </c>
      <c r="U330" s="325">
        <f>'AVT187'!BI103</f>
        <v>0</v>
      </c>
      <c r="V330" s="325">
        <f>'AVT251'!AZ52</f>
        <v>0</v>
      </c>
      <c r="W330" s="325">
        <f>'AVT251'!BI82</f>
        <v>0</v>
      </c>
      <c r="X330" s="325">
        <f>AVT187In!AZ52</f>
        <v>0</v>
      </c>
      <c r="Y330" s="325">
        <f>AVT187In!BI81</f>
        <v>0</v>
      </c>
      <c r="Z330" s="325">
        <f>'AVT101(vn-A)'!AZ64</f>
        <v>0</v>
      </c>
      <c r="AA330" s="325">
        <f>'AVT101(vn-A)'!BI103</f>
        <v>0</v>
      </c>
      <c r="AB330" s="325">
        <f>'AVT139(vn-A)'!AZ64</f>
        <v>0</v>
      </c>
      <c r="AC330" s="325">
        <f>'AVT139(vn-A)'!BI103</f>
        <v>0</v>
      </c>
      <c r="AD330" s="325">
        <f>'AVT187(vn-A)'!AZ64</f>
        <v>0</v>
      </c>
      <c r="AE330" s="325">
        <f>'AVT187(vn-A)'!BI103</f>
        <v>0</v>
      </c>
      <c r="AF330" s="325">
        <f>'AVT187In(vn-A)'!AZ52</f>
        <v>0</v>
      </c>
      <c r="AG330" s="325">
        <f>'AVT187In(vn-A)'!BI81</f>
        <v>0</v>
      </c>
      <c r="AH330" s="325">
        <f>'AVT187(vn-S)'!AZ64</f>
        <v>0</v>
      </c>
      <c r="AI330" s="325">
        <f>'AVT187(vn-S)'!BI103</f>
        <v>0</v>
      </c>
      <c r="AJ330" s="325">
        <f>'AVT187In(vn-S)'!AZ52</f>
        <v>0</v>
      </c>
      <c r="AK330" s="325">
        <f>'AVT187In(vn-S)'!BI81</f>
        <v>0</v>
      </c>
      <c r="AL330" s="325">
        <f>'AVT77'!AZ36</f>
        <v>0</v>
      </c>
      <c r="AM330" s="325">
        <f>'AVT77'!BI54</f>
        <v>0</v>
      </c>
      <c r="AN330" s="32"/>
      <c r="AO330" s="32"/>
      <c r="AP330" s="32"/>
      <c r="AQ330" s="32"/>
      <c r="AR330" s="32"/>
      <c r="AS330" s="32"/>
      <c r="AT330" s="32"/>
      <c r="AU330" s="32"/>
      <c r="AV330" s="32"/>
      <c r="AW330" s="32"/>
      <c r="AX330" s="32"/>
      <c r="AY330" s="32"/>
      <c r="AZ330" s="32"/>
      <c r="BA330" s="32"/>
      <c r="BB330" s="32"/>
      <c r="BC330" s="32"/>
      <c r="BD330" s="32"/>
      <c r="BE330" s="32"/>
      <c r="BF330" s="32"/>
      <c r="BG330" s="32"/>
      <c r="BH330" s="32"/>
      <c r="BI330" s="32"/>
      <c r="BJ330" s="32"/>
      <c r="BK330" s="32"/>
      <c r="BL330" s="32"/>
      <c r="BM330" s="32"/>
      <c r="BN330" s="32"/>
      <c r="BO330" s="165"/>
      <c r="BP330" s="165"/>
      <c r="BQ330" s="165"/>
      <c r="BR330" s="165"/>
      <c r="BS330" s="165"/>
      <c r="BT330" s="165"/>
      <c r="BU330" s="165"/>
      <c r="BV330" s="55"/>
      <c r="BW330" s="160"/>
      <c r="BX330" s="32"/>
      <c r="BY330" s="24"/>
      <c r="BZ330" s="24"/>
      <c r="CA330" s="24"/>
      <c r="CB330" s="24"/>
      <c r="CC330" s="24"/>
      <c r="CD330" s="24"/>
      <c r="CE330" s="24"/>
    </row>
    <row r="331" spans="1:83" ht="15" customHeight="1">
      <c r="A331" s="4"/>
      <c r="B331" s="318">
        <f>CENY!B707</f>
        <v>9257896</v>
      </c>
      <c r="C331" s="43" t="str">
        <f>VLOOKUP(B331,CENY!$B$11:$G$1054,2,FALSE)</f>
        <v>Quadro You - Push to open Silent; 10-30kg</v>
      </c>
      <c r="D331" s="355">
        <f>VLOOKUP(B331,CENY!$B$11:$G$1054,3,FALSE)</f>
        <v>1</v>
      </c>
      <c r="E331" s="56" t="str">
        <f>IF(VLOOKUP(B331,CENY!$B$11:$G$1054,4,FALSE)=0,"",VLOOKUP(B331,CENY!$B$11:$G$1054,4,FALSE))</f>
        <v/>
      </c>
      <c r="F331" s="40" t="str">
        <f>IF(J331&lt;&gt;"",J331,IF(N331=0,"",N331))</f>
        <v/>
      </c>
      <c r="G331" s="52">
        <f>VLOOKUP(B331,CENY!$B$11:$M$1054,12,FALSE)</f>
        <v>480.50922000000003</v>
      </c>
      <c r="H331" s="54" t="str">
        <f t="shared" si="66"/>
        <v xml:space="preserve"> CZK</v>
      </c>
      <c r="I331" s="41" t="str">
        <f t="shared" si="67"/>
        <v/>
      </c>
      <c r="J331" s="122"/>
      <c r="K331" s="42" t="str">
        <f>VLOOKUP(B331,CENY!$B$11:$M$1054,8,FALSE)</f>
        <v xml:space="preserve"> </v>
      </c>
      <c r="L331" s="42" t="str">
        <f>VLOOKUP(B331,CENY!$B$11:$M$1054,9,FALSE)</f>
        <v>397833</v>
      </c>
      <c r="M331" s="32"/>
      <c r="N331" s="35">
        <f>SUM(P331:BW331)</f>
        <v>0</v>
      </c>
      <c r="O331" s="36">
        <v>0</v>
      </c>
      <c r="P331" s="325">
        <f>'AVT101'!AZ65</f>
        <v>0</v>
      </c>
      <c r="Q331" s="325">
        <f>'AVT101'!BI104</f>
        <v>0</v>
      </c>
      <c r="R331" s="325">
        <f>'AVT139'!AZ65</f>
        <v>0</v>
      </c>
      <c r="S331" s="325">
        <f>'AVT139'!BI104</f>
        <v>0</v>
      </c>
      <c r="T331" s="325">
        <f>'AVT187'!AZ65</f>
        <v>0</v>
      </c>
      <c r="U331" s="325">
        <f>'AVT187'!BI104</f>
        <v>0</v>
      </c>
      <c r="V331" s="325">
        <f>'AVT251'!AZ53</f>
        <v>0</v>
      </c>
      <c r="W331" s="325">
        <f>'AVT251'!BI83</f>
        <v>0</v>
      </c>
      <c r="X331" s="325">
        <f>AVT187In!AZ53</f>
        <v>0</v>
      </c>
      <c r="Y331" s="325">
        <f>AVT187In!BI82</f>
        <v>0</v>
      </c>
      <c r="Z331" s="325">
        <f>'AVT101(vn-A)'!AZ65</f>
        <v>0</v>
      </c>
      <c r="AA331" s="325">
        <f>'AVT101(vn-A)'!BI104</f>
        <v>0</v>
      </c>
      <c r="AB331" s="325">
        <f>'AVT139(vn-A)'!AZ65</f>
        <v>0</v>
      </c>
      <c r="AC331" s="325">
        <f>'AVT139(vn-A)'!BI104</f>
        <v>0</v>
      </c>
      <c r="AD331" s="325">
        <f>'AVT187(vn-A)'!AZ65</f>
        <v>0</v>
      </c>
      <c r="AE331" s="325">
        <f>'AVT187(vn-A)'!BI104</f>
        <v>0</v>
      </c>
      <c r="AF331" s="325">
        <f>'AVT187In(vn-A)'!AZ53</f>
        <v>0</v>
      </c>
      <c r="AG331" s="325">
        <f>'AVT187In(vn-A)'!BI82</f>
        <v>0</v>
      </c>
      <c r="AH331" s="325">
        <f>'AVT187(vn-S)'!AZ65</f>
        <v>0</v>
      </c>
      <c r="AI331" s="325">
        <f>'AVT187(vn-S)'!BI104</f>
        <v>0</v>
      </c>
      <c r="AJ331" s="325">
        <f>'AVT187In(vn-S)'!AZ53</f>
        <v>0</v>
      </c>
      <c r="AK331" s="325">
        <f>'AVT187In(vn-S)'!BI82</f>
        <v>0</v>
      </c>
      <c r="AL331" s="325">
        <f>'AVT77'!AZ37</f>
        <v>0</v>
      </c>
      <c r="AM331" s="325">
        <f>'AVT77'!BI55</f>
        <v>0</v>
      </c>
      <c r="AN331" s="32"/>
      <c r="AO331" s="32"/>
      <c r="AP331" s="32"/>
      <c r="AQ331" s="32"/>
      <c r="AR331" s="32"/>
      <c r="AS331" s="32"/>
      <c r="AT331" s="32"/>
      <c r="AU331" s="32"/>
      <c r="AV331" s="32"/>
      <c r="AW331" s="32"/>
      <c r="AX331" s="32"/>
      <c r="AY331" s="32"/>
      <c r="AZ331" s="32"/>
      <c r="BA331" s="32"/>
      <c r="BB331" s="32"/>
      <c r="BC331" s="32"/>
      <c r="BD331" s="32"/>
      <c r="BE331" s="32"/>
      <c r="BF331" s="32"/>
      <c r="BG331" s="32"/>
      <c r="BH331" s="32"/>
      <c r="BI331" s="32"/>
      <c r="BJ331" s="32"/>
      <c r="BK331" s="32"/>
      <c r="BL331" s="32"/>
      <c r="BM331" s="32"/>
      <c r="BN331" s="32"/>
      <c r="BO331" s="165"/>
      <c r="BP331" s="165"/>
      <c r="BQ331" s="165"/>
      <c r="BR331" s="165"/>
      <c r="BS331" s="165"/>
      <c r="BT331" s="165"/>
      <c r="BU331" s="165"/>
      <c r="BV331" s="55"/>
      <c r="BW331" s="160"/>
      <c r="BX331" s="32"/>
      <c r="BY331" s="24"/>
      <c r="BZ331" s="24"/>
      <c r="CA331" s="24"/>
      <c r="CB331" s="24"/>
      <c r="CC331" s="24"/>
      <c r="CD331" s="24"/>
      <c r="CE331" s="24"/>
    </row>
    <row r="332" spans="1:83" ht="8.1" customHeight="1">
      <c r="A332" s="4"/>
      <c r="B332" s="126"/>
      <c r="C332" s="43"/>
      <c r="D332" s="39"/>
      <c r="E332" s="56"/>
      <c r="F332" s="60"/>
      <c r="G332" s="52"/>
      <c r="H332" s="54"/>
      <c r="I332" s="41"/>
      <c r="J332" s="122"/>
      <c r="K332" s="42"/>
      <c r="L332" s="42"/>
      <c r="M332" s="32"/>
      <c r="N332" s="35"/>
      <c r="O332" s="36">
        <v>0</v>
      </c>
      <c r="P332" s="32"/>
      <c r="Q332" s="32"/>
      <c r="R332" s="32"/>
      <c r="S332" s="32"/>
      <c r="T332" s="32"/>
      <c r="U332" s="32"/>
      <c r="V332" s="32"/>
      <c r="W332" s="32"/>
      <c r="X332" s="32"/>
      <c r="Y332" s="32"/>
      <c r="Z332" s="32"/>
      <c r="AA332" s="32"/>
      <c r="AB332" s="32"/>
      <c r="AC332" s="32"/>
      <c r="AD332" s="32"/>
      <c r="AE332" s="32"/>
      <c r="AF332" s="32"/>
      <c r="AG332" s="32"/>
      <c r="AH332" s="32"/>
      <c r="AI332" s="32"/>
      <c r="AJ332" s="32"/>
      <c r="AK332" s="32"/>
      <c r="AL332" s="32"/>
      <c r="AM332" s="32"/>
      <c r="AN332" s="32"/>
      <c r="AO332" s="32"/>
      <c r="AP332" s="32"/>
      <c r="AQ332" s="32"/>
      <c r="AR332" s="32"/>
      <c r="AS332" s="32"/>
      <c r="AT332" s="32"/>
      <c r="AU332" s="32"/>
      <c r="AV332" s="32"/>
      <c r="AW332" s="32"/>
      <c r="AX332" s="32"/>
      <c r="AY332" s="32"/>
      <c r="AZ332" s="32"/>
      <c r="BA332" s="32"/>
      <c r="BB332" s="32"/>
      <c r="BC332" s="32"/>
      <c r="BD332" s="32"/>
      <c r="BE332" s="32"/>
      <c r="BF332" s="32"/>
      <c r="BG332" s="32"/>
      <c r="BH332" s="32"/>
      <c r="BI332" s="32"/>
      <c r="BJ332" s="32"/>
      <c r="BK332" s="32"/>
      <c r="BL332" s="32"/>
      <c r="BM332" s="32"/>
      <c r="BN332" s="32"/>
      <c r="BO332" s="165"/>
      <c r="BP332" s="165"/>
      <c r="BQ332" s="165"/>
      <c r="BR332" s="165"/>
      <c r="BS332" s="165"/>
      <c r="BT332" s="165"/>
      <c r="BU332" s="165"/>
      <c r="BV332" s="55"/>
      <c r="BW332" s="160"/>
      <c r="BX332" s="32"/>
      <c r="BY332" s="24"/>
      <c r="BZ332" s="24"/>
      <c r="CA332" s="24"/>
      <c r="CB332" s="24"/>
      <c r="CC332" s="24"/>
      <c r="CD332" s="24"/>
      <c r="CE332" s="24"/>
    </row>
    <row r="333" spans="1:83" ht="15" customHeight="1">
      <c r="A333" s="4"/>
      <c r="B333" s="318">
        <f>CENY!B709</f>
        <v>9256928</v>
      </c>
      <c r="C333" s="43" t="str">
        <f>VLOOKUP(B333,CENY!$B$11:$G$1054,2,FALSE)</f>
        <v>Quadro You(M) 270/P2O 20kg; EB21</v>
      </c>
      <c r="D333" s="364">
        <f>VLOOKUP(B333,CENY!$B$11:$G$1054,3,FALSE)</f>
        <v>1</v>
      </c>
      <c r="E333" s="56" t="str">
        <f>IF(VLOOKUP(B333,CENY!$B$11:$G$1054,4,FALSE)=0,"",VLOOKUP(B333,CENY!$B$11:$G$1054,4,FALSE))</f>
        <v/>
      </c>
      <c r="F333" s="40" t="str">
        <f t="shared" ref="F333:F356" si="70">IF(J333&lt;&gt;"",J333,IF(N333=0,"",N333))</f>
        <v/>
      </c>
      <c r="G333" s="52">
        <f>VLOOKUP(B333,CENY!$B$11:$M$1054,12,FALSE)</f>
        <v>536.84897999999998</v>
      </c>
      <c r="H333" s="54" t="str">
        <f t="shared" si="66"/>
        <v xml:space="preserve"> CZK</v>
      </c>
      <c r="I333" s="41" t="str">
        <f t="shared" si="67"/>
        <v/>
      </c>
      <c r="J333" s="122"/>
      <c r="K333" s="42" t="str">
        <f>VLOOKUP(B333,CENY!$B$11:$M$1054,8,FALSE)</f>
        <v xml:space="preserve"> </v>
      </c>
      <c r="L333" s="42" t="str">
        <f>VLOOKUP(B333,CENY!$B$11:$M$1054,9,FALSE)</f>
        <v>518554</v>
      </c>
      <c r="M333" s="32"/>
      <c r="N333" s="35">
        <f t="shared" ref="N333:N356" si="71">SUM(P333:BW333)</f>
        <v>0</v>
      </c>
      <c r="O333" s="36">
        <v>0</v>
      </c>
      <c r="P333" s="325">
        <f>'AVT101'!AZ67</f>
        <v>0</v>
      </c>
      <c r="Q333" s="32"/>
      <c r="R333" s="325">
        <f>'AVT139'!AZ67</f>
        <v>0</v>
      </c>
      <c r="S333" s="32"/>
      <c r="T333" s="325">
        <f>'AVT187'!AZ67</f>
        <v>0</v>
      </c>
      <c r="U333" s="32"/>
      <c r="V333" s="32"/>
      <c r="W333" s="32"/>
      <c r="X333" s="32"/>
      <c r="Y333" s="32"/>
      <c r="Z333" s="325">
        <f>'AVT101(vn-A)'!AZ67</f>
        <v>0</v>
      </c>
      <c r="AA333" s="32"/>
      <c r="AB333" s="32"/>
      <c r="AC333" s="32"/>
      <c r="AD333" s="325">
        <f>'AVT187(vn-A)'!AZ67</f>
        <v>0</v>
      </c>
      <c r="AE333" s="32"/>
      <c r="AF333" s="32"/>
      <c r="AG333" s="32"/>
      <c r="AH333" s="325">
        <f>'AVT187(vn-S)'!AZ67</f>
        <v>0</v>
      </c>
      <c r="AI333" s="32"/>
      <c r="AJ333" s="32"/>
      <c r="AK333" s="32"/>
      <c r="AL333" s="32"/>
      <c r="AM333" s="32"/>
      <c r="AN333" s="32"/>
      <c r="AO333" s="32"/>
      <c r="AP333" s="32"/>
      <c r="AQ333" s="32"/>
      <c r="AR333" s="32"/>
      <c r="AS333" s="32"/>
      <c r="AT333" s="32"/>
      <c r="AU333" s="32"/>
      <c r="AV333" s="32"/>
      <c r="AW333" s="32"/>
      <c r="AX333" s="32"/>
      <c r="AY333" s="32"/>
      <c r="AZ333" s="32"/>
      <c r="BA333" s="32"/>
      <c r="BB333" s="32"/>
      <c r="BC333" s="32"/>
      <c r="BD333" s="32"/>
      <c r="BE333" s="32"/>
      <c r="BF333" s="32"/>
      <c r="BG333" s="32"/>
      <c r="BH333" s="32"/>
      <c r="BI333" s="32"/>
      <c r="BJ333" s="32"/>
      <c r="BK333" s="32"/>
      <c r="BL333" s="32"/>
      <c r="BM333" s="32"/>
      <c r="BN333" s="32"/>
      <c r="BO333" s="165"/>
      <c r="BP333" s="165"/>
      <c r="BQ333" s="165"/>
      <c r="BR333" s="165"/>
      <c r="BS333" s="165"/>
      <c r="BT333" s="165"/>
      <c r="BU333" s="165"/>
      <c r="BV333" s="55"/>
      <c r="BW333" s="160"/>
      <c r="BX333" s="32"/>
      <c r="BY333" s="24"/>
      <c r="BZ333" s="24"/>
      <c r="CA333" s="24"/>
      <c r="CB333" s="24"/>
      <c r="CC333" s="24"/>
      <c r="CD333" s="24"/>
      <c r="CE333" s="24"/>
    </row>
    <row r="334" spans="1:83" ht="15" customHeight="1">
      <c r="A334" s="4"/>
      <c r="B334" s="318">
        <f>CENY!B710</f>
        <v>9256929</v>
      </c>
      <c r="C334" s="43" t="str">
        <f>VLOOKUP(B334,CENY!$B$11:$G$1054,2,FALSE)</f>
        <v>Quadro You(M) 300/P2O 20kg; EB21</v>
      </c>
      <c r="D334" s="364">
        <f>VLOOKUP(B334,CENY!$B$11:$G$1054,3,FALSE)</f>
        <v>1</v>
      </c>
      <c r="E334" s="56" t="str">
        <f>IF(VLOOKUP(B334,CENY!$B$11:$G$1054,4,FALSE)=0,"",VLOOKUP(B334,CENY!$B$11:$G$1054,4,FALSE))</f>
        <v/>
      </c>
      <c r="F334" s="40" t="str">
        <f t="shared" si="70"/>
        <v/>
      </c>
      <c r="G334" s="52">
        <f>VLOOKUP(B334,CENY!$B$11:$M$1054,12,FALSE)</f>
        <v>537.79395</v>
      </c>
      <c r="H334" s="54" t="str">
        <f t="shared" si="66"/>
        <v xml:space="preserve"> CZK</v>
      </c>
      <c r="I334" s="41" t="str">
        <f t="shared" si="67"/>
        <v/>
      </c>
      <c r="J334" s="122"/>
      <c r="K334" s="42" t="str">
        <f>VLOOKUP(B334,CENY!$B$11:$M$1054,8,FALSE)</f>
        <v xml:space="preserve"> </v>
      </c>
      <c r="L334" s="42" t="str">
        <f>VLOOKUP(B334,CENY!$B$11:$M$1054,9,FALSE)</f>
        <v>518555</v>
      </c>
      <c r="M334" s="32"/>
      <c r="N334" s="35">
        <f t="shared" si="71"/>
        <v>0</v>
      </c>
      <c r="O334" s="36">
        <v>0</v>
      </c>
      <c r="P334" s="325">
        <f>'AVT101'!AZ68</f>
        <v>0</v>
      </c>
      <c r="Q334" s="32"/>
      <c r="R334" s="325">
        <f>'AVT139'!AZ68</f>
        <v>0</v>
      </c>
      <c r="S334" s="32"/>
      <c r="T334" s="325">
        <f>'AVT187'!AZ68</f>
        <v>0</v>
      </c>
      <c r="U334" s="32"/>
      <c r="V334" s="32"/>
      <c r="W334" s="32"/>
      <c r="X334" s="32"/>
      <c r="Y334" s="32"/>
      <c r="Z334" s="325">
        <f>'AVT101(vn-A)'!AZ68</f>
        <v>0</v>
      </c>
      <c r="AA334" s="32"/>
      <c r="AB334" s="325">
        <f>'AVT139(vn-A)'!AZ68</f>
        <v>0</v>
      </c>
      <c r="AC334" s="32"/>
      <c r="AD334" s="325">
        <f>'AVT187(vn-A)'!AZ68</f>
        <v>0</v>
      </c>
      <c r="AE334" s="32"/>
      <c r="AF334" s="32"/>
      <c r="AG334" s="32"/>
      <c r="AH334" s="325">
        <f>'AVT187(vn-S)'!AZ68</f>
        <v>0</v>
      </c>
      <c r="AI334" s="32"/>
      <c r="AJ334" s="32"/>
      <c r="AK334" s="32"/>
      <c r="AL334" s="32"/>
      <c r="AM334" s="32"/>
      <c r="AN334" s="32"/>
      <c r="AO334" s="32"/>
      <c r="AP334" s="32"/>
      <c r="AQ334" s="32"/>
      <c r="AR334" s="32"/>
      <c r="AS334" s="32"/>
      <c r="AT334" s="32"/>
      <c r="AU334" s="32"/>
      <c r="AV334" s="32"/>
      <c r="AW334" s="32"/>
      <c r="AX334" s="32"/>
      <c r="AY334" s="32"/>
      <c r="AZ334" s="32"/>
      <c r="BA334" s="32"/>
      <c r="BB334" s="32"/>
      <c r="BC334" s="32"/>
      <c r="BD334" s="32"/>
      <c r="BE334" s="32"/>
      <c r="BF334" s="32"/>
      <c r="BG334" s="32"/>
      <c r="BH334" s="32"/>
      <c r="BI334" s="32"/>
      <c r="BJ334" s="32"/>
      <c r="BK334" s="32"/>
      <c r="BL334" s="32"/>
      <c r="BM334" s="32"/>
      <c r="BN334" s="32"/>
      <c r="BO334" s="165"/>
      <c r="BP334" s="165"/>
      <c r="BQ334" s="165"/>
      <c r="BR334" s="165"/>
      <c r="BS334" s="165"/>
      <c r="BT334" s="165"/>
      <c r="BU334" s="165"/>
      <c r="BV334" s="55"/>
      <c r="BW334" s="160"/>
      <c r="BX334" s="32"/>
      <c r="BY334" s="24"/>
      <c r="BZ334" s="24"/>
      <c r="CA334" s="24"/>
      <c r="CB334" s="24"/>
      <c r="CC334" s="24"/>
      <c r="CD334" s="24"/>
      <c r="CE334" s="24"/>
    </row>
    <row r="335" spans="1:83" ht="15" customHeight="1">
      <c r="A335" s="4"/>
      <c r="B335" s="318">
        <f>CENY!B711</f>
        <v>9256931</v>
      </c>
      <c r="C335" s="43" t="str">
        <f>VLOOKUP(B335,CENY!$B$11:$G$1054,2,FALSE)</f>
        <v>Quadro You(M) 350/P2O 25kg; EB21</v>
      </c>
      <c r="D335" s="364">
        <f>VLOOKUP(B335,CENY!$B$11:$G$1054,3,FALSE)</f>
        <v>1</v>
      </c>
      <c r="E335" s="56" t="str">
        <f>IF(VLOOKUP(B335,CENY!$B$11:$G$1054,4,FALSE)=0,"",VLOOKUP(B335,CENY!$B$11:$G$1054,4,FALSE))</f>
        <v/>
      </c>
      <c r="F335" s="40" t="str">
        <f t="shared" si="70"/>
        <v/>
      </c>
      <c r="G335" s="52">
        <f>VLOOKUP(B335,CENY!$B$11:$M$1054,12,FALSE)</f>
        <v>547.49897999999996</v>
      </c>
      <c r="H335" s="54" t="str">
        <f t="shared" si="66"/>
        <v xml:space="preserve"> CZK</v>
      </c>
      <c r="I335" s="41" t="str">
        <f t="shared" si="67"/>
        <v/>
      </c>
      <c r="J335" s="122"/>
      <c r="K335" s="42" t="str">
        <f>VLOOKUP(B335,CENY!$B$11:$M$1054,8,FALSE)</f>
        <v xml:space="preserve"> </v>
      </c>
      <c r="L335" s="42" t="str">
        <f>VLOOKUP(B335,CENY!$B$11:$M$1054,9,FALSE)</f>
        <v>518556</v>
      </c>
      <c r="M335" s="32"/>
      <c r="N335" s="35">
        <f t="shared" si="71"/>
        <v>0</v>
      </c>
      <c r="O335" s="36">
        <v>0</v>
      </c>
      <c r="P335" s="325">
        <f>'AVT101'!AZ69</f>
        <v>0</v>
      </c>
      <c r="Q335" s="32"/>
      <c r="R335" s="325">
        <f>'AVT139'!AZ69</f>
        <v>0</v>
      </c>
      <c r="S335" s="32"/>
      <c r="T335" s="325">
        <f>'AVT187'!AZ69</f>
        <v>0</v>
      </c>
      <c r="U335" s="32"/>
      <c r="V335" s="325">
        <f>'AVT251'!AZ55</f>
        <v>0</v>
      </c>
      <c r="W335" s="32"/>
      <c r="X335" s="325">
        <f>AVT187In!AZ55</f>
        <v>0</v>
      </c>
      <c r="Y335" s="32"/>
      <c r="Z335" s="325">
        <f>'AVT101(vn-A)'!AZ69</f>
        <v>0</v>
      </c>
      <c r="AA335" s="32"/>
      <c r="AB335" s="325">
        <f>'AVT139(vn-A)'!AZ69</f>
        <v>0</v>
      </c>
      <c r="AC335" s="32"/>
      <c r="AD335" s="325">
        <f>'AVT187(vn-A)'!AZ69</f>
        <v>0</v>
      </c>
      <c r="AE335" s="32"/>
      <c r="AF335" s="325">
        <f>'AVT187In(vn-A)'!AZ55</f>
        <v>0</v>
      </c>
      <c r="AG335" s="32"/>
      <c r="AH335" s="325">
        <f>'AVT187(vn-S)'!AZ69</f>
        <v>0</v>
      </c>
      <c r="AI335" s="32"/>
      <c r="AJ335" s="325">
        <f>'AVT187In(vn-S)'!AZ55</f>
        <v>0</v>
      </c>
      <c r="AK335" s="32"/>
      <c r="AL335" s="32"/>
      <c r="AM335" s="32"/>
      <c r="AN335" s="32"/>
      <c r="AO335" s="32"/>
      <c r="AP335" s="32"/>
      <c r="AQ335" s="32"/>
      <c r="AR335" s="32"/>
      <c r="AS335" s="32"/>
      <c r="AT335" s="32"/>
      <c r="AU335" s="32"/>
      <c r="AV335" s="32"/>
      <c r="AW335" s="32"/>
      <c r="AX335" s="32"/>
      <c r="AY335" s="32"/>
      <c r="AZ335" s="32"/>
      <c r="BA335" s="32"/>
      <c r="BB335" s="32"/>
      <c r="BC335" s="32"/>
      <c r="BD335" s="32"/>
      <c r="BE335" s="32"/>
      <c r="BF335" s="32"/>
      <c r="BG335" s="32"/>
      <c r="BH335" s="32"/>
      <c r="BI335" s="32"/>
      <c r="BJ335" s="32"/>
      <c r="BK335" s="32"/>
      <c r="BL335" s="32"/>
      <c r="BM335" s="32"/>
      <c r="BN335" s="32"/>
      <c r="BO335" s="165"/>
      <c r="BP335" s="165"/>
      <c r="BQ335" s="165"/>
      <c r="BR335" s="165"/>
      <c r="BS335" s="165"/>
      <c r="BT335" s="165"/>
      <c r="BU335" s="165"/>
      <c r="BV335" s="55"/>
      <c r="BW335" s="160"/>
      <c r="BX335" s="32"/>
      <c r="BY335" s="24"/>
      <c r="BZ335" s="24"/>
      <c r="CA335" s="24"/>
      <c r="CB335" s="24"/>
      <c r="CC335" s="24"/>
      <c r="CD335" s="24"/>
      <c r="CE335" s="24"/>
    </row>
    <row r="336" spans="1:83" ht="15" customHeight="1">
      <c r="A336" s="4"/>
      <c r="B336" s="318">
        <f>CENY!B712</f>
        <v>9256933</v>
      </c>
      <c r="C336" s="43" t="str">
        <f>VLOOKUP(B336,CENY!$B$11:$G$1054,2,FALSE)</f>
        <v>Quadro You(M) 400/P2O 30kg; EB21</v>
      </c>
      <c r="D336" s="364">
        <f>VLOOKUP(B336,CENY!$B$11:$G$1054,3,FALSE)</f>
        <v>1</v>
      </c>
      <c r="E336" s="56" t="str">
        <f>IF(VLOOKUP(B336,CENY!$B$11:$G$1054,4,FALSE)=0,"",VLOOKUP(B336,CENY!$B$11:$G$1054,4,FALSE))</f>
        <v/>
      </c>
      <c r="F336" s="40" t="str">
        <f t="shared" si="70"/>
        <v/>
      </c>
      <c r="G336" s="52">
        <f>VLOOKUP(B336,CENY!$B$11:$M$1054,12,FALSE)</f>
        <v>557.20162000000005</v>
      </c>
      <c r="H336" s="54" t="str">
        <f t="shared" si="66"/>
        <v xml:space="preserve"> CZK</v>
      </c>
      <c r="I336" s="41" t="str">
        <f t="shared" si="67"/>
        <v/>
      </c>
      <c r="J336" s="122"/>
      <c r="K336" s="42" t="str">
        <f>VLOOKUP(B336,CENY!$B$11:$M$1054,8,FALSE)</f>
        <v xml:space="preserve"> </v>
      </c>
      <c r="L336" s="42" t="str">
        <f>VLOOKUP(B336,CENY!$B$11:$M$1054,9,FALSE)</f>
        <v>518557</v>
      </c>
      <c r="M336" s="32"/>
      <c r="N336" s="35">
        <f t="shared" si="71"/>
        <v>0</v>
      </c>
      <c r="O336" s="36">
        <v>0</v>
      </c>
      <c r="P336" s="325">
        <f>'AVT101'!AZ70</f>
        <v>0</v>
      </c>
      <c r="Q336" s="32"/>
      <c r="R336" s="325">
        <f>'AVT139'!AZ70</f>
        <v>0</v>
      </c>
      <c r="S336" s="32"/>
      <c r="T336" s="325">
        <f>'AVT187'!AZ70</f>
        <v>0</v>
      </c>
      <c r="U336" s="32"/>
      <c r="V336" s="325">
        <f>'AVT251'!AZ56</f>
        <v>0</v>
      </c>
      <c r="W336" s="32"/>
      <c r="X336" s="325">
        <f>AVT187In!AZ56</f>
        <v>0</v>
      </c>
      <c r="Y336" s="32"/>
      <c r="Z336" s="325">
        <f>'AVT101(vn-A)'!AZ70</f>
        <v>0</v>
      </c>
      <c r="AA336" s="32"/>
      <c r="AB336" s="325">
        <f>'AVT139(vn-A)'!AZ70</f>
        <v>0</v>
      </c>
      <c r="AC336" s="32"/>
      <c r="AD336" s="325">
        <f>'AVT187(vn-A)'!AZ70</f>
        <v>0</v>
      </c>
      <c r="AE336" s="32"/>
      <c r="AF336" s="325">
        <f>'AVT187In(vn-A)'!AZ56</f>
        <v>0</v>
      </c>
      <c r="AG336" s="32"/>
      <c r="AH336" s="325">
        <f>'AVT187(vn-S)'!AZ70</f>
        <v>0</v>
      </c>
      <c r="AI336" s="32"/>
      <c r="AJ336" s="325">
        <f>'AVT187In(vn-S)'!AZ56</f>
        <v>0</v>
      </c>
      <c r="AK336" s="32"/>
      <c r="AL336" s="325">
        <f>'AVT77'!AZ39</f>
        <v>0</v>
      </c>
      <c r="AM336" s="32"/>
      <c r="AN336" s="32"/>
      <c r="AO336" s="32"/>
      <c r="AP336" s="32"/>
      <c r="AQ336" s="32"/>
      <c r="AR336" s="32"/>
      <c r="AS336" s="32"/>
      <c r="AT336" s="32"/>
      <c r="AU336" s="32"/>
      <c r="AV336" s="32"/>
      <c r="AW336" s="32"/>
      <c r="AX336" s="32"/>
      <c r="AY336" s="32"/>
      <c r="AZ336" s="32"/>
      <c r="BA336" s="32"/>
      <c r="BB336" s="32"/>
      <c r="BC336" s="32"/>
      <c r="BD336" s="32"/>
      <c r="BE336" s="32"/>
      <c r="BF336" s="32"/>
      <c r="BG336" s="32"/>
      <c r="BH336" s="32"/>
      <c r="BI336" s="32"/>
      <c r="BJ336" s="32"/>
      <c r="BK336" s="32"/>
      <c r="BL336" s="32"/>
      <c r="BM336" s="32"/>
      <c r="BN336" s="32"/>
      <c r="BO336" s="165"/>
      <c r="BP336" s="165"/>
      <c r="BQ336" s="165"/>
      <c r="BR336" s="165"/>
      <c r="BS336" s="165"/>
      <c r="BT336" s="165"/>
      <c r="BU336" s="165"/>
      <c r="BV336" s="55"/>
      <c r="BW336" s="160"/>
      <c r="BX336" s="32"/>
      <c r="BY336" s="24"/>
      <c r="BZ336" s="24"/>
      <c r="CA336" s="24"/>
      <c r="CB336" s="24"/>
      <c r="CC336" s="24"/>
      <c r="CD336" s="24"/>
      <c r="CE336" s="24"/>
    </row>
    <row r="337" spans="1:83" ht="15" customHeight="1">
      <c r="A337" s="4"/>
      <c r="B337" s="318">
        <f>CENY!B713</f>
        <v>9256935</v>
      </c>
      <c r="C337" s="43" t="str">
        <f>VLOOKUP(B337,CENY!$B$11:$G$1054,2,FALSE)</f>
        <v>Quadro You(M) 450/P2O 30kg; EB21</v>
      </c>
      <c r="D337" s="364">
        <f>VLOOKUP(B337,CENY!$B$11:$G$1054,3,FALSE)</f>
        <v>1</v>
      </c>
      <c r="E337" s="56" t="str">
        <f>IF(VLOOKUP(B337,CENY!$B$11:$G$1054,4,FALSE)=0,"",VLOOKUP(B337,CENY!$B$11:$G$1054,4,FALSE))</f>
        <v/>
      </c>
      <c r="F337" s="40" t="str">
        <f t="shared" si="70"/>
        <v/>
      </c>
      <c r="G337" s="52">
        <f>VLOOKUP(B337,CENY!$B$11:$M$1054,12,FALSE)</f>
        <v>566.90911000000006</v>
      </c>
      <c r="H337" s="54" t="str">
        <f t="shared" si="66"/>
        <v xml:space="preserve"> CZK</v>
      </c>
      <c r="I337" s="41" t="str">
        <f t="shared" si="67"/>
        <v/>
      </c>
      <c r="J337" s="122"/>
      <c r="K337" s="42" t="str">
        <f>VLOOKUP(B337,CENY!$B$11:$M$1054,8,FALSE)</f>
        <v xml:space="preserve"> </v>
      </c>
      <c r="L337" s="42" t="str">
        <f>VLOOKUP(B337,CENY!$B$11:$M$1054,9,FALSE)</f>
        <v>518558</v>
      </c>
      <c r="M337" s="32"/>
      <c r="N337" s="35">
        <f t="shared" si="71"/>
        <v>0</v>
      </c>
      <c r="O337" s="36">
        <v>0</v>
      </c>
      <c r="P337" s="325">
        <f>'AVT101'!AZ71</f>
        <v>0</v>
      </c>
      <c r="Q337" s="32"/>
      <c r="R337" s="325">
        <f>'AVT139'!AZ71</f>
        <v>0</v>
      </c>
      <c r="S337" s="32"/>
      <c r="T337" s="325">
        <f>'AVT187'!AZ71</f>
        <v>0</v>
      </c>
      <c r="U337" s="32"/>
      <c r="V337" s="325">
        <f>'AVT251'!AZ57</f>
        <v>0</v>
      </c>
      <c r="W337" s="32"/>
      <c r="X337" s="325">
        <f>AVT187In!AZ57</f>
        <v>0</v>
      </c>
      <c r="Y337" s="32"/>
      <c r="Z337" s="325">
        <f>'AVT101(vn-A)'!AZ71</f>
        <v>0</v>
      </c>
      <c r="AA337" s="32"/>
      <c r="AB337" s="325">
        <f>'AVT139(vn-A)'!AZ71</f>
        <v>0</v>
      </c>
      <c r="AC337" s="32"/>
      <c r="AD337" s="325">
        <f>'AVT187(vn-A)'!AZ71</f>
        <v>0</v>
      </c>
      <c r="AE337" s="32"/>
      <c r="AF337" s="325">
        <f>'AVT187In(vn-A)'!AZ57</f>
        <v>0</v>
      </c>
      <c r="AG337" s="32"/>
      <c r="AH337" s="325">
        <f>'AVT187(vn-S)'!AZ71</f>
        <v>0</v>
      </c>
      <c r="AI337" s="32"/>
      <c r="AJ337" s="325">
        <f>'AVT187In(vn-S)'!AZ57</f>
        <v>0</v>
      </c>
      <c r="AK337" s="32"/>
      <c r="AL337" s="325">
        <f>'AVT77'!AZ40</f>
        <v>0</v>
      </c>
      <c r="AM337" s="32"/>
      <c r="AN337" s="32"/>
      <c r="AO337" s="32"/>
      <c r="AP337" s="32"/>
      <c r="AQ337" s="32"/>
      <c r="AR337" s="32"/>
      <c r="AS337" s="32"/>
      <c r="AT337" s="32"/>
      <c r="AU337" s="32"/>
      <c r="AV337" s="32"/>
      <c r="AW337" s="32"/>
      <c r="AX337" s="32"/>
      <c r="AY337" s="32"/>
      <c r="AZ337" s="32"/>
      <c r="BA337" s="32"/>
      <c r="BB337" s="32"/>
      <c r="BC337" s="32"/>
      <c r="BD337" s="32"/>
      <c r="BE337" s="32"/>
      <c r="BF337" s="32"/>
      <c r="BG337" s="32"/>
      <c r="BH337" s="32"/>
      <c r="BI337" s="32"/>
      <c r="BJ337" s="32"/>
      <c r="BK337" s="32"/>
      <c r="BL337" s="32"/>
      <c r="BM337" s="32"/>
      <c r="BN337" s="32"/>
      <c r="BO337" s="165"/>
      <c r="BP337" s="165"/>
      <c r="BQ337" s="165"/>
      <c r="BR337" s="165"/>
      <c r="BS337" s="165"/>
      <c r="BT337" s="165"/>
      <c r="BU337" s="165"/>
      <c r="BV337" s="55"/>
      <c r="BW337" s="160"/>
      <c r="BX337" s="32"/>
      <c r="BY337" s="24"/>
      <c r="BZ337" s="24"/>
      <c r="CA337" s="24"/>
      <c r="CB337" s="24"/>
      <c r="CC337" s="24"/>
      <c r="CD337" s="24"/>
      <c r="CE337" s="24"/>
    </row>
    <row r="338" spans="1:83" ht="15" customHeight="1">
      <c r="A338" s="4"/>
      <c r="B338" s="318">
        <f>CENY!B714</f>
        <v>9256937</v>
      </c>
      <c r="C338" s="43" t="str">
        <f>VLOOKUP(B338,CENY!$B$11:$G$1054,2,FALSE)</f>
        <v>Quadro You(M) 500/P2O 30kg; EB21</v>
      </c>
      <c r="D338" s="364">
        <f>VLOOKUP(B338,CENY!$B$11:$G$1054,3,FALSE)</f>
        <v>1</v>
      </c>
      <c r="E338" s="56" t="str">
        <f>IF(VLOOKUP(B338,CENY!$B$11:$G$1054,4,FALSE)=0,"",VLOOKUP(B338,CENY!$B$11:$G$1054,4,FALSE))</f>
        <v/>
      </c>
      <c r="F338" s="40" t="str">
        <f t="shared" si="70"/>
        <v/>
      </c>
      <c r="G338" s="52">
        <f>VLOOKUP(B338,CENY!$B$11:$M$1054,12,FALSE)</f>
        <v>139.41228000000001</v>
      </c>
      <c r="H338" s="54" t="str">
        <f t="shared" si="66"/>
        <v xml:space="preserve"> CZK</v>
      </c>
      <c r="I338" s="41" t="str">
        <f t="shared" si="67"/>
        <v/>
      </c>
      <c r="J338" s="122"/>
      <c r="K338" s="42" t="str">
        <f>VLOOKUP(B338,CENY!$B$11:$M$1054,8,FALSE)</f>
        <v xml:space="preserve"> </v>
      </c>
      <c r="L338" s="42" t="str">
        <f>VLOOKUP(B338,CENY!$B$11:$M$1054,9,FALSE)</f>
        <v>474963</v>
      </c>
      <c r="M338" s="32"/>
      <c r="N338" s="35">
        <f t="shared" si="71"/>
        <v>0</v>
      </c>
      <c r="O338" s="36">
        <v>0</v>
      </c>
      <c r="P338" s="325">
        <f>'AVT101'!AZ72</f>
        <v>0</v>
      </c>
      <c r="Q338" s="32"/>
      <c r="R338" s="325">
        <f>'AVT139'!AZ72</f>
        <v>0</v>
      </c>
      <c r="S338" s="32"/>
      <c r="T338" s="325">
        <f>'AVT187'!AZ72</f>
        <v>0</v>
      </c>
      <c r="U338" s="32"/>
      <c r="V338" s="325">
        <f>'AVT251'!AZ58</f>
        <v>0</v>
      </c>
      <c r="W338" s="32"/>
      <c r="X338" s="325">
        <f>AVT187In!AZ58</f>
        <v>0</v>
      </c>
      <c r="Y338" s="32"/>
      <c r="Z338" s="325">
        <f>'AVT101(vn-A)'!AZ72</f>
        <v>0</v>
      </c>
      <c r="AA338" s="32"/>
      <c r="AB338" s="325">
        <f>'AVT139(vn-A)'!AZ72</f>
        <v>0</v>
      </c>
      <c r="AC338" s="32"/>
      <c r="AD338" s="325">
        <f>'AVT187(vn-A)'!AZ72</f>
        <v>0</v>
      </c>
      <c r="AE338" s="32"/>
      <c r="AF338" s="325">
        <f>'AVT187In(vn-A)'!AZ58</f>
        <v>0</v>
      </c>
      <c r="AG338" s="32"/>
      <c r="AH338" s="325">
        <f>'AVT187(vn-S)'!AZ72</f>
        <v>0</v>
      </c>
      <c r="AI338" s="32"/>
      <c r="AJ338" s="325">
        <f>'AVT187In(vn-S)'!AZ58</f>
        <v>0</v>
      </c>
      <c r="AK338" s="32"/>
      <c r="AL338" s="325">
        <f>'AVT77'!AZ41</f>
        <v>0</v>
      </c>
      <c r="AM338" s="32"/>
      <c r="AN338" s="32"/>
      <c r="AO338" s="32"/>
      <c r="AP338" s="32"/>
      <c r="AQ338" s="32"/>
      <c r="AR338" s="32"/>
      <c r="AS338" s="32"/>
      <c r="AT338" s="32"/>
      <c r="AU338" s="32"/>
      <c r="AV338" s="32"/>
      <c r="AW338" s="32"/>
      <c r="AX338" s="32"/>
      <c r="AY338" s="32"/>
      <c r="AZ338" s="32"/>
      <c r="BA338" s="32"/>
      <c r="BB338" s="32"/>
      <c r="BC338" s="32"/>
      <c r="BD338" s="32"/>
      <c r="BE338" s="32"/>
      <c r="BF338" s="32"/>
      <c r="BG338" s="32"/>
      <c r="BH338" s="32"/>
      <c r="BI338" s="32"/>
      <c r="BJ338" s="32"/>
      <c r="BK338" s="32"/>
      <c r="BL338" s="32"/>
      <c r="BM338" s="32"/>
      <c r="BN338" s="32"/>
      <c r="BO338" s="165"/>
      <c r="BP338" s="165"/>
      <c r="BQ338" s="165"/>
      <c r="BR338" s="165"/>
      <c r="BS338" s="165"/>
      <c r="BT338" s="165"/>
      <c r="BU338" s="165"/>
      <c r="BV338" s="55"/>
      <c r="BW338" s="160"/>
      <c r="BX338" s="32"/>
      <c r="BY338" s="24"/>
      <c r="BZ338" s="24"/>
      <c r="CA338" s="24"/>
      <c r="CB338" s="24"/>
      <c r="CC338" s="24"/>
      <c r="CD338" s="24"/>
      <c r="CE338" s="24"/>
    </row>
    <row r="339" spans="1:83" ht="15" customHeight="1">
      <c r="A339" s="4"/>
      <c r="B339" s="318">
        <f>CENY!B715</f>
        <v>9256939</v>
      </c>
      <c r="C339" s="43" t="str">
        <f>VLOOKUP(B339,CENY!$B$11:$G$1054,2,FALSE)</f>
        <v>Quadro You(M) 550/P2O 30kg; EB21</v>
      </c>
      <c r="D339" s="364">
        <f>VLOOKUP(B339,CENY!$B$11:$G$1054,3,FALSE)</f>
        <v>1</v>
      </c>
      <c r="E339" s="56" t="str">
        <f>IF(VLOOKUP(B339,CENY!$B$11:$G$1054,4,FALSE)=0,"",VLOOKUP(B339,CENY!$B$11:$G$1054,4,FALSE))</f>
        <v/>
      </c>
      <c r="F339" s="40" t="str">
        <f t="shared" si="70"/>
        <v/>
      </c>
      <c r="G339" s="52">
        <f>VLOOKUP(B339,CENY!$B$11:$M$1054,12,FALSE)</f>
        <v>586.3143</v>
      </c>
      <c r="H339" s="54" t="str">
        <f t="shared" si="66"/>
        <v xml:space="preserve"> CZK</v>
      </c>
      <c r="I339" s="41" t="str">
        <f t="shared" si="67"/>
        <v/>
      </c>
      <c r="J339" s="122"/>
      <c r="K339" s="42" t="str">
        <f>VLOOKUP(B339,CENY!$B$11:$M$1054,8,FALSE)</f>
        <v xml:space="preserve"> </v>
      </c>
      <c r="L339" s="42" t="str">
        <f>VLOOKUP(B339,CENY!$B$11:$M$1054,9,FALSE)</f>
        <v>518559</v>
      </c>
      <c r="M339" s="32"/>
      <c r="N339" s="35">
        <f t="shared" si="71"/>
        <v>0</v>
      </c>
      <c r="O339" s="36">
        <v>0</v>
      </c>
      <c r="P339" s="325">
        <f>'AVT101'!AZ73</f>
        <v>0</v>
      </c>
      <c r="Q339" s="32"/>
      <c r="R339" s="325">
        <f>'AVT139'!AZ73</f>
        <v>0</v>
      </c>
      <c r="S339" s="32"/>
      <c r="T339" s="325">
        <f>'AVT187'!AZ73</f>
        <v>0</v>
      </c>
      <c r="U339" s="32"/>
      <c r="V339" s="325">
        <f>'AVT251'!AZ59</f>
        <v>0</v>
      </c>
      <c r="W339" s="32"/>
      <c r="X339" s="325">
        <f>AVT187In!AZ59</f>
        <v>0</v>
      </c>
      <c r="Y339" s="32"/>
      <c r="Z339" s="325">
        <f>'AVT101(vn-A)'!AZ73</f>
        <v>0</v>
      </c>
      <c r="AA339" s="32"/>
      <c r="AB339" s="325">
        <f>'AVT139(vn-A)'!AZ73</f>
        <v>0</v>
      </c>
      <c r="AC339" s="32"/>
      <c r="AD339" s="325">
        <f>'AVT187(vn-A)'!AZ73</f>
        <v>0</v>
      </c>
      <c r="AE339" s="32"/>
      <c r="AF339" s="325">
        <f>'AVT187In(vn-A)'!AZ59</f>
        <v>0</v>
      </c>
      <c r="AG339" s="32"/>
      <c r="AH339" s="325">
        <f>'AVT187(vn-S)'!AZ73</f>
        <v>0</v>
      </c>
      <c r="AI339" s="32"/>
      <c r="AJ339" s="325">
        <f>'AVT187In(vn-S)'!AZ59</f>
        <v>0</v>
      </c>
      <c r="AK339" s="32"/>
      <c r="AL339" s="325">
        <f>'AVT77'!AZ42</f>
        <v>0</v>
      </c>
      <c r="AM339" s="32"/>
      <c r="AN339" s="32"/>
      <c r="AO339" s="32"/>
      <c r="AP339" s="32"/>
      <c r="AQ339" s="32"/>
      <c r="AR339" s="32"/>
      <c r="AS339" s="32"/>
      <c r="AT339" s="32"/>
      <c r="AU339" s="32"/>
      <c r="AV339" s="32"/>
      <c r="AW339" s="32"/>
      <c r="AX339" s="32"/>
      <c r="AY339" s="32"/>
      <c r="AZ339" s="32"/>
      <c r="BA339" s="32"/>
      <c r="BB339" s="32"/>
      <c r="BC339" s="32"/>
      <c r="BD339" s="32"/>
      <c r="BE339" s="32"/>
      <c r="BF339" s="32"/>
      <c r="BG339" s="32"/>
      <c r="BH339" s="32"/>
      <c r="BI339" s="32"/>
      <c r="BJ339" s="32"/>
      <c r="BK339" s="32"/>
      <c r="BL339" s="32"/>
      <c r="BM339" s="32"/>
      <c r="BN339" s="32"/>
      <c r="BO339" s="165"/>
      <c r="BP339" s="165"/>
      <c r="BQ339" s="165"/>
      <c r="BR339" s="165"/>
      <c r="BS339" s="165"/>
      <c r="BT339" s="165"/>
      <c r="BU339" s="165"/>
      <c r="BV339" s="55"/>
      <c r="BW339" s="160"/>
      <c r="BX339" s="32"/>
      <c r="BY339" s="24"/>
      <c r="BZ339" s="24"/>
      <c r="CA339" s="24"/>
      <c r="CB339" s="24"/>
      <c r="CC339" s="24"/>
      <c r="CD339" s="24"/>
      <c r="CE339" s="24"/>
    </row>
    <row r="340" spans="1:83" ht="15" customHeight="1">
      <c r="A340" s="4"/>
      <c r="B340" s="318">
        <f>CENY!B716</f>
        <v>9256941</v>
      </c>
      <c r="C340" s="43" t="str">
        <f>VLOOKUP(B340,CENY!$B$11:$G$1054,2,FALSE)</f>
        <v>Quadro You(M) 600/P2O 25kg; EB21</v>
      </c>
      <c r="D340" s="364">
        <f>VLOOKUP(B340,CENY!$B$11:$G$1054,3,FALSE)</f>
        <v>1</v>
      </c>
      <c r="E340" s="56" t="str">
        <f>IF(VLOOKUP(B340,CENY!$B$11:$G$1054,4,FALSE)=0,"",VLOOKUP(B340,CENY!$B$11:$G$1054,4,FALSE))</f>
        <v/>
      </c>
      <c r="F340" s="40" t="str">
        <f t="shared" si="70"/>
        <v/>
      </c>
      <c r="G340" s="52">
        <f>VLOOKUP(B340,CENY!$B$11:$M$1054,12,FALSE)</f>
        <v>596.01683000000003</v>
      </c>
      <c r="H340" s="54" t="str">
        <f t="shared" si="66"/>
        <v xml:space="preserve"> CZK</v>
      </c>
      <c r="I340" s="41" t="str">
        <f t="shared" si="67"/>
        <v/>
      </c>
      <c r="J340" s="122"/>
      <c r="K340" s="42" t="str">
        <f>VLOOKUP(B340,CENY!$B$11:$M$1054,8,FALSE)</f>
        <v xml:space="preserve"> </v>
      </c>
      <c r="L340" s="42" t="str">
        <f>VLOOKUP(B340,CENY!$B$11:$M$1054,9,FALSE)</f>
        <v>518560</v>
      </c>
      <c r="M340" s="32"/>
      <c r="N340" s="35">
        <f t="shared" si="71"/>
        <v>0</v>
      </c>
      <c r="O340" s="36">
        <v>0</v>
      </c>
      <c r="P340" s="325">
        <f>'AVT101'!AZ74</f>
        <v>0</v>
      </c>
      <c r="Q340" s="32"/>
      <c r="R340" s="325">
        <f>'AVT139'!AZ74</f>
        <v>0</v>
      </c>
      <c r="S340" s="32"/>
      <c r="T340" s="325">
        <f>'AVT187'!AZ74</f>
        <v>0</v>
      </c>
      <c r="U340" s="32"/>
      <c r="V340" s="325">
        <f>'AVT251'!AZ60</f>
        <v>0</v>
      </c>
      <c r="W340" s="32"/>
      <c r="X340" s="325">
        <f>AVT187In!AZ60</f>
        <v>0</v>
      </c>
      <c r="Y340" s="32"/>
      <c r="Z340" s="325">
        <f>'AVT101(vn-A)'!AZ74</f>
        <v>0</v>
      </c>
      <c r="AA340" s="32"/>
      <c r="AB340" s="325">
        <f>'AVT139(vn-A)'!AZ74</f>
        <v>0</v>
      </c>
      <c r="AC340" s="32"/>
      <c r="AD340" s="325">
        <f>'AVT187(vn-A)'!AZ74</f>
        <v>0</v>
      </c>
      <c r="AE340" s="32"/>
      <c r="AF340" s="325">
        <f>'AVT187In(vn-A)'!AZ60</f>
        <v>0</v>
      </c>
      <c r="AG340" s="32"/>
      <c r="AH340" s="325">
        <f>'AVT187(vn-S)'!AZ74</f>
        <v>0</v>
      </c>
      <c r="AI340" s="32"/>
      <c r="AJ340" s="325">
        <f>'AVT187In(vn-S)'!AZ60</f>
        <v>0</v>
      </c>
      <c r="AK340" s="32"/>
      <c r="AL340" s="32"/>
      <c r="AM340" s="32"/>
      <c r="AN340" s="32"/>
      <c r="AO340" s="32"/>
      <c r="AP340" s="32"/>
      <c r="AQ340" s="32"/>
      <c r="AR340" s="32"/>
      <c r="AS340" s="32"/>
      <c r="AT340" s="32"/>
      <c r="AU340" s="32"/>
      <c r="AV340" s="32"/>
      <c r="AW340" s="32"/>
      <c r="AX340" s="32"/>
      <c r="AY340" s="32"/>
      <c r="AZ340" s="32"/>
      <c r="BA340" s="32"/>
      <c r="BB340" s="32"/>
      <c r="BC340" s="32"/>
      <c r="BD340" s="32"/>
      <c r="BE340" s="32"/>
      <c r="BF340" s="32"/>
      <c r="BG340" s="32"/>
      <c r="BH340" s="32"/>
      <c r="BI340" s="32"/>
      <c r="BJ340" s="32"/>
      <c r="BK340" s="32"/>
      <c r="BL340" s="32"/>
      <c r="BM340" s="32"/>
      <c r="BN340" s="32"/>
      <c r="BO340" s="165"/>
      <c r="BP340" s="165"/>
      <c r="BQ340" s="165"/>
      <c r="BR340" s="165"/>
      <c r="BS340" s="165"/>
      <c r="BT340" s="165"/>
      <c r="BU340" s="165"/>
      <c r="BV340" s="55"/>
      <c r="BW340" s="160"/>
      <c r="BX340" s="32"/>
      <c r="BY340" s="24"/>
      <c r="BZ340" s="24"/>
      <c r="CA340" s="24"/>
      <c r="CB340" s="24"/>
      <c r="CC340" s="24"/>
      <c r="CD340" s="24"/>
      <c r="CE340" s="24"/>
    </row>
    <row r="341" spans="1:83" ht="15" customHeight="1">
      <c r="A341" s="4"/>
      <c r="B341" s="318">
        <f>CENY!B717</f>
        <v>9256899</v>
      </c>
      <c r="C341" s="43" t="str">
        <f>VLOOKUP(B341,CENY!$B$11:$G$1054,2,FALSE)</f>
        <v>Quadro You(M) 270/P2O 20kg; EB21; ľavý</v>
      </c>
      <c r="D341" s="353">
        <f>VLOOKUP(B341,CENY!$B$11:$G$1054,3,FALSE)</f>
        <v>20</v>
      </c>
      <c r="E341" s="56" t="str">
        <f>IF(VLOOKUP(B341,CENY!$B$11:$G$1054,4,FALSE)=0,"",VLOOKUP(B341,CENY!$B$11:$G$1054,4,FALSE))</f>
        <v/>
      </c>
      <c r="F341" s="40" t="str">
        <f t="shared" si="70"/>
        <v/>
      </c>
      <c r="G341" s="52">
        <f>VLOOKUP(B341,CENY!$B$11:$M$1054,12,FALSE)</f>
        <v>252.8922</v>
      </c>
      <c r="H341" s="54" t="str">
        <f t="shared" si="66"/>
        <v xml:space="preserve"> CZK</v>
      </c>
      <c r="I341" s="41" t="str">
        <f t="shared" si="67"/>
        <v/>
      </c>
      <c r="J341" s="122"/>
      <c r="K341" s="42" t="str">
        <f>VLOOKUP(B341,CENY!$B$11:$M$1054,8,FALSE)</f>
        <v xml:space="preserve"> </v>
      </c>
      <c r="L341" s="42" t="str">
        <f>VLOOKUP(B341,CENY!$B$11:$M$1054,9,FALSE)</f>
        <v>397834</v>
      </c>
      <c r="M341" s="32"/>
      <c r="N341" s="35">
        <f t="shared" si="71"/>
        <v>0</v>
      </c>
      <c r="O341" s="36">
        <v>0</v>
      </c>
      <c r="P341" s="32"/>
      <c r="Q341" s="325">
        <f>'AVT101'!BI106</f>
        <v>0</v>
      </c>
      <c r="R341" s="32"/>
      <c r="S341" s="325">
        <f>'AVT139'!BI106</f>
        <v>0</v>
      </c>
      <c r="T341" s="32"/>
      <c r="U341" s="325">
        <f>'AVT187'!BI106</f>
        <v>0</v>
      </c>
      <c r="V341" s="32"/>
      <c r="W341" s="32"/>
      <c r="X341" s="32"/>
      <c r="Y341" s="32"/>
      <c r="Z341" s="32"/>
      <c r="AA341" s="325">
        <f>'AVT101(vn-A)'!BI106</f>
        <v>0</v>
      </c>
      <c r="AB341" s="32"/>
      <c r="AC341" s="32"/>
      <c r="AD341" s="32"/>
      <c r="AE341" s="325">
        <f>'AVT187(vn-A)'!BI106</f>
        <v>0</v>
      </c>
      <c r="AF341" s="32"/>
      <c r="AG341" s="32"/>
      <c r="AH341" s="32"/>
      <c r="AI341" s="325">
        <f>'AVT187(vn-S)'!BI106</f>
        <v>0</v>
      </c>
      <c r="AJ341" s="32"/>
      <c r="AK341" s="32"/>
      <c r="AL341" s="32"/>
      <c r="AM341" s="32"/>
      <c r="AN341" s="32"/>
      <c r="AO341" s="32"/>
      <c r="AP341" s="32"/>
      <c r="AQ341" s="32"/>
      <c r="AR341" s="32"/>
      <c r="AS341" s="32"/>
      <c r="AT341" s="32"/>
      <c r="AU341" s="32"/>
      <c r="AV341" s="32"/>
      <c r="AW341" s="32"/>
      <c r="AX341" s="32"/>
      <c r="AY341" s="32"/>
      <c r="AZ341" s="32"/>
      <c r="BA341" s="32"/>
      <c r="BB341" s="32"/>
      <c r="BC341" s="32"/>
      <c r="BD341" s="32"/>
      <c r="BE341" s="32"/>
      <c r="BF341" s="32"/>
      <c r="BG341" s="32"/>
      <c r="BH341" s="32"/>
      <c r="BI341" s="32"/>
      <c r="BJ341" s="32"/>
      <c r="BK341" s="32"/>
      <c r="BL341" s="32"/>
      <c r="BM341" s="32"/>
      <c r="BN341" s="32"/>
      <c r="BO341" s="165"/>
      <c r="BP341" s="165"/>
      <c r="BQ341" s="165"/>
      <c r="BR341" s="165"/>
      <c r="BS341" s="165"/>
      <c r="BT341" s="165"/>
      <c r="BU341" s="165"/>
      <c r="BV341" s="55"/>
      <c r="BW341" s="160"/>
      <c r="BX341" s="32"/>
      <c r="BY341" s="24"/>
      <c r="BZ341" s="24"/>
      <c r="CA341" s="24"/>
      <c r="CB341" s="24"/>
      <c r="CC341" s="24"/>
      <c r="CD341" s="24"/>
      <c r="CE341" s="24"/>
    </row>
    <row r="342" spans="1:83" ht="15" customHeight="1">
      <c r="A342" s="4"/>
      <c r="B342" s="318">
        <f>CENY!B718</f>
        <v>9256900</v>
      </c>
      <c r="C342" s="43" t="str">
        <f>VLOOKUP(B342,CENY!$B$11:$G$1054,2,FALSE)</f>
        <v>Quadro You(M) 270/P2O 20kg; EB21; pravý</v>
      </c>
      <c r="D342" s="353">
        <f>VLOOKUP(B342,CENY!$B$11:$G$1054,3,FALSE)</f>
        <v>20</v>
      </c>
      <c r="E342" s="56" t="str">
        <f>IF(VLOOKUP(B342,CENY!$B$11:$G$1054,4,FALSE)=0,"",VLOOKUP(B342,CENY!$B$11:$G$1054,4,FALSE))</f>
        <v/>
      </c>
      <c r="F342" s="40" t="str">
        <f t="shared" si="70"/>
        <v/>
      </c>
      <c r="G342" s="52">
        <f>VLOOKUP(B342,CENY!$B$11:$M$1054,12,FALSE)</f>
        <v>252.8922</v>
      </c>
      <c r="H342" s="54" t="str">
        <f t="shared" si="66"/>
        <v xml:space="preserve"> CZK</v>
      </c>
      <c r="I342" s="41" t="str">
        <f t="shared" si="67"/>
        <v/>
      </c>
      <c r="J342" s="122"/>
      <c r="K342" s="42" t="str">
        <f>VLOOKUP(B342,CENY!$B$11:$M$1054,8,FALSE)</f>
        <v xml:space="preserve"> </v>
      </c>
      <c r="L342" s="42" t="str">
        <f>VLOOKUP(B342,CENY!$B$11:$M$1054,9,FALSE)</f>
        <v>397835</v>
      </c>
      <c r="M342" s="32"/>
      <c r="N342" s="35">
        <f t="shared" si="71"/>
        <v>0</v>
      </c>
      <c r="O342" s="36">
        <v>0</v>
      </c>
      <c r="P342" s="32"/>
      <c r="Q342" s="325">
        <f>'AVT101'!BI107</f>
        <v>0</v>
      </c>
      <c r="R342" s="32"/>
      <c r="S342" s="325">
        <f>'AVT139'!BI107</f>
        <v>0</v>
      </c>
      <c r="T342" s="32"/>
      <c r="U342" s="325">
        <f>'AVT187'!BI107</f>
        <v>0</v>
      </c>
      <c r="V342" s="32"/>
      <c r="W342" s="32"/>
      <c r="X342" s="32"/>
      <c r="Y342" s="32"/>
      <c r="Z342" s="32"/>
      <c r="AA342" s="325">
        <f>'AVT101(vn-A)'!BI107</f>
        <v>0</v>
      </c>
      <c r="AB342" s="32"/>
      <c r="AC342" s="32"/>
      <c r="AD342" s="32"/>
      <c r="AE342" s="325">
        <f>'AVT187(vn-A)'!BI107</f>
        <v>0</v>
      </c>
      <c r="AF342" s="32"/>
      <c r="AG342" s="32"/>
      <c r="AH342" s="32"/>
      <c r="AI342" s="325">
        <f>'AVT187(vn-S)'!BI107</f>
        <v>0</v>
      </c>
      <c r="AJ342" s="32"/>
      <c r="AK342" s="32"/>
      <c r="AL342" s="32"/>
      <c r="AM342" s="32"/>
      <c r="AN342" s="32"/>
      <c r="AO342" s="32"/>
      <c r="AP342" s="32"/>
      <c r="AQ342" s="32"/>
      <c r="AR342" s="32"/>
      <c r="AS342" s="32"/>
      <c r="AT342" s="32"/>
      <c r="AU342" s="32"/>
      <c r="AV342" s="32"/>
      <c r="AW342" s="32"/>
      <c r="AX342" s="32"/>
      <c r="AY342" s="32"/>
      <c r="AZ342" s="32"/>
      <c r="BA342" s="32"/>
      <c r="BB342" s="32"/>
      <c r="BC342" s="32"/>
      <c r="BD342" s="32"/>
      <c r="BE342" s="32"/>
      <c r="BF342" s="32"/>
      <c r="BG342" s="32"/>
      <c r="BH342" s="32"/>
      <c r="BI342" s="32"/>
      <c r="BJ342" s="32"/>
      <c r="BK342" s="32"/>
      <c r="BL342" s="32"/>
      <c r="BM342" s="32"/>
      <c r="BN342" s="32"/>
      <c r="BO342" s="165"/>
      <c r="BP342" s="165"/>
      <c r="BQ342" s="165"/>
      <c r="BR342" s="165"/>
      <c r="BS342" s="165"/>
      <c r="BT342" s="165"/>
      <c r="BU342" s="165"/>
      <c r="BV342" s="55"/>
      <c r="BW342" s="160"/>
      <c r="BX342" s="32"/>
      <c r="BY342" s="24"/>
      <c r="BZ342" s="24"/>
      <c r="CA342" s="24"/>
      <c r="CB342" s="24"/>
      <c r="CC342" s="24"/>
      <c r="CD342" s="24"/>
      <c r="CE342" s="24"/>
    </row>
    <row r="343" spans="1:83" ht="15" customHeight="1">
      <c r="A343" s="4"/>
      <c r="B343" s="318">
        <f>CENY!B719</f>
        <v>9256901</v>
      </c>
      <c r="C343" s="43" t="str">
        <f>VLOOKUP(B343,CENY!$B$11:$G$1054,2,FALSE)</f>
        <v>Quadro You(M) 300/P2O 20kg; EB21; ľavý</v>
      </c>
      <c r="D343" s="353">
        <f>VLOOKUP(B343,CENY!$B$11:$G$1054,3,FALSE)</f>
        <v>20</v>
      </c>
      <c r="E343" s="56" t="str">
        <f>IF(VLOOKUP(B343,CENY!$B$11:$G$1054,4,FALSE)=0,"",VLOOKUP(B343,CENY!$B$11:$G$1054,4,FALSE))</f>
        <v/>
      </c>
      <c r="F343" s="40" t="str">
        <f t="shared" si="70"/>
        <v/>
      </c>
      <c r="G343" s="52">
        <f>VLOOKUP(B343,CENY!$B$11:$M$1054,12,FALSE)</f>
        <v>253.36837</v>
      </c>
      <c r="H343" s="54" t="str">
        <f t="shared" si="66"/>
        <v xml:space="preserve"> CZK</v>
      </c>
      <c r="I343" s="41" t="str">
        <f t="shared" si="67"/>
        <v/>
      </c>
      <c r="J343" s="122"/>
      <c r="K343" s="42" t="str">
        <f>VLOOKUP(B343,CENY!$B$11:$M$1054,8,FALSE)</f>
        <v xml:space="preserve"> </v>
      </c>
      <c r="L343" s="42" t="str">
        <f>VLOOKUP(B343,CENY!$B$11:$M$1054,9,FALSE)</f>
        <v>397836</v>
      </c>
      <c r="M343" s="32"/>
      <c r="N343" s="35">
        <f t="shared" si="71"/>
        <v>0</v>
      </c>
      <c r="O343" s="36">
        <v>0</v>
      </c>
      <c r="P343" s="32"/>
      <c r="Q343" s="325">
        <f>'AVT101'!BI108</f>
        <v>0</v>
      </c>
      <c r="R343" s="32"/>
      <c r="S343" s="325">
        <f>'AVT139'!BI108</f>
        <v>0</v>
      </c>
      <c r="T343" s="32"/>
      <c r="U343" s="325">
        <f>'AVT187'!BI108</f>
        <v>0</v>
      </c>
      <c r="V343" s="32"/>
      <c r="W343" s="32"/>
      <c r="X343" s="32"/>
      <c r="Y343" s="32"/>
      <c r="Z343" s="32"/>
      <c r="AA343" s="325">
        <f>'AVT101(vn-A)'!BI108</f>
        <v>0</v>
      </c>
      <c r="AB343" s="32"/>
      <c r="AC343" s="325">
        <f>'AVT139(vn-A)'!BI108</f>
        <v>0</v>
      </c>
      <c r="AD343" s="32"/>
      <c r="AE343" s="325">
        <f>'AVT187(vn-A)'!BI108</f>
        <v>0</v>
      </c>
      <c r="AF343" s="32"/>
      <c r="AG343" s="32"/>
      <c r="AH343" s="32"/>
      <c r="AI343" s="325">
        <f>'AVT187(vn-S)'!BI108</f>
        <v>0</v>
      </c>
      <c r="AJ343" s="32"/>
      <c r="AK343" s="32"/>
      <c r="AL343" s="32"/>
      <c r="AM343" s="32"/>
      <c r="AN343" s="32"/>
      <c r="AO343" s="32"/>
      <c r="AP343" s="32"/>
      <c r="AQ343" s="32"/>
      <c r="AR343" s="32"/>
      <c r="AS343" s="32"/>
      <c r="AT343" s="32"/>
      <c r="AU343" s="32"/>
      <c r="AV343" s="32"/>
      <c r="AW343" s="32"/>
      <c r="AX343" s="32"/>
      <c r="AY343" s="32"/>
      <c r="AZ343" s="32"/>
      <c r="BA343" s="32"/>
      <c r="BB343" s="32"/>
      <c r="BC343" s="32"/>
      <c r="BD343" s="32"/>
      <c r="BE343" s="32"/>
      <c r="BF343" s="32"/>
      <c r="BG343" s="32"/>
      <c r="BH343" s="32"/>
      <c r="BI343" s="32"/>
      <c r="BJ343" s="32"/>
      <c r="BK343" s="32"/>
      <c r="BL343" s="32"/>
      <c r="BM343" s="32"/>
      <c r="BN343" s="32"/>
      <c r="BO343" s="165"/>
      <c r="BP343" s="165"/>
      <c r="BQ343" s="165"/>
      <c r="BR343" s="165"/>
      <c r="BS343" s="165"/>
      <c r="BT343" s="165"/>
      <c r="BU343" s="165"/>
      <c r="BV343" s="55"/>
      <c r="BW343" s="160"/>
      <c r="BX343" s="32"/>
      <c r="BY343" s="24"/>
      <c r="BZ343" s="24"/>
      <c r="CA343" s="24"/>
      <c r="CB343" s="24"/>
      <c r="CC343" s="24"/>
      <c r="CD343" s="24"/>
      <c r="CE343" s="24"/>
    </row>
    <row r="344" spans="1:83" ht="15" customHeight="1">
      <c r="A344" s="4"/>
      <c r="B344" s="318">
        <f>CENY!B720</f>
        <v>9256902</v>
      </c>
      <c r="C344" s="43" t="str">
        <f>VLOOKUP(B344,CENY!$B$11:$G$1054,2,FALSE)</f>
        <v>Quadro You(M) 300/P2O 20kg; EB21; pravý</v>
      </c>
      <c r="D344" s="353">
        <f>VLOOKUP(B344,CENY!$B$11:$G$1054,3,FALSE)</f>
        <v>20</v>
      </c>
      <c r="E344" s="56" t="str">
        <f>IF(VLOOKUP(B344,CENY!$B$11:$G$1054,4,FALSE)=0,"",VLOOKUP(B344,CENY!$B$11:$G$1054,4,FALSE))</f>
        <v/>
      </c>
      <c r="F344" s="40" t="str">
        <f t="shared" si="70"/>
        <v/>
      </c>
      <c r="G344" s="52">
        <f>VLOOKUP(B344,CENY!$B$11:$M$1054,12,FALSE)</f>
        <v>253.36837</v>
      </c>
      <c r="H344" s="54" t="str">
        <f t="shared" si="66"/>
        <v xml:space="preserve"> CZK</v>
      </c>
      <c r="I344" s="41" t="str">
        <f t="shared" si="67"/>
        <v/>
      </c>
      <c r="J344" s="122"/>
      <c r="K344" s="42" t="str">
        <f>VLOOKUP(B344,CENY!$B$11:$M$1054,8,FALSE)</f>
        <v xml:space="preserve"> </v>
      </c>
      <c r="L344" s="42" t="str">
        <f>VLOOKUP(B344,CENY!$B$11:$M$1054,9,FALSE)</f>
        <v>397837</v>
      </c>
      <c r="M344" s="32"/>
      <c r="N344" s="35">
        <f t="shared" si="71"/>
        <v>0</v>
      </c>
      <c r="O344" s="36">
        <v>0</v>
      </c>
      <c r="P344" s="32"/>
      <c r="Q344" s="325">
        <f>'AVT101'!BI109</f>
        <v>0</v>
      </c>
      <c r="R344" s="32"/>
      <c r="S344" s="325">
        <f>'AVT139'!BI109</f>
        <v>0</v>
      </c>
      <c r="T344" s="32"/>
      <c r="U344" s="325">
        <f>'AVT187'!BI109</f>
        <v>0</v>
      </c>
      <c r="V344" s="32"/>
      <c r="W344" s="32"/>
      <c r="X344" s="32"/>
      <c r="Y344" s="32"/>
      <c r="Z344" s="32"/>
      <c r="AA344" s="325">
        <f>'AVT101(vn-A)'!BI109</f>
        <v>0</v>
      </c>
      <c r="AB344" s="32"/>
      <c r="AC344" s="325">
        <f>'AVT139(vn-A)'!BI109</f>
        <v>0</v>
      </c>
      <c r="AD344" s="32"/>
      <c r="AE344" s="325">
        <f>'AVT187(vn-A)'!BI109</f>
        <v>0</v>
      </c>
      <c r="AF344" s="32"/>
      <c r="AG344" s="32"/>
      <c r="AH344" s="32"/>
      <c r="AI344" s="325">
        <f>'AVT187(vn-S)'!BI109</f>
        <v>0</v>
      </c>
      <c r="AJ344" s="32"/>
      <c r="AK344" s="32"/>
      <c r="AL344" s="32"/>
      <c r="AM344" s="32"/>
      <c r="AN344" s="32"/>
      <c r="AO344" s="32"/>
      <c r="AP344" s="32"/>
      <c r="AQ344" s="32"/>
      <c r="AR344" s="32"/>
      <c r="AS344" s="32"/>
      <c r="AT344" s="32"/>
      <c r="AU344" s="32"/>
      <c r="AV344" s="32"/>
      <c r="AW344" s="32"/>
      <c r="AX344" s="32"/>
      <c r="AY344" s="32"/>
      <c r="AZ344" s="32"/>
      <c r="BA344" s="32"/>
      <c r="BB344" s="32"/>
      <c r="BC344" s="32"/>
      <c r="BD344" s="32"/>
      <c r="BE344" s="32"/>
      <c r="BF344" s="32"/>
      <c r="BG344" s="32"/>
      <c r="BH344" s="32"/>
      <c r="BI344" s="32"/>
      <c r="BJ344" s="32"/>
      <c r="BK344" s="32"/>
      <c r="BL344" s="32"/>
      <c r="BM344" s="32"/>
      <c r="BN344" s="32"/>
      <c r="BO344" s="165"/>
      <c r="BP344" s="165"/>
      <c r="BQ344" s="165"/>
      <c r="BR344" s="165"/>
      <c r="BS344" s="165"/>
      <c r="BT344" s="165"/>
      <c r="BU344" s="165"/>
      <c r="BV344" s="55"/>
      <c r="BW344" s="160"/>
      <c r="BX344" s="32"/>
      <c r="BY344" s="24"/>
      <c r="BZ344" s="24"/>
      <c r="CA344" s="24"/>
      <c r="CB344" s="24"/>
      <c r="CC344" s="24"/>
      <c r="CD344" s="24"/>
      <c r="CE344" s="24"/>
    </row>
    <row r="345" spans="1:83" ht="15" customHeight="1">
      <c r="A345" s="4"/>
      <c r="B345" s="318">
        <f>CENY!B721</f>
        <v>9256905</v>
      </c>
      <c r="C345" s="43" t="str">
        <f>VLOOKUP(B345,CENY!$B$11:$G$1054,2,FALSE)</f>
        <v>Quadro You(M) 350/P2O 25kg; EB21; ľavý</v>
      </c>
      <c r="D345" s="353">
        <f>VLOOKUP(B345,CENY!$B$11:$G$1054,3,FALSE)</f>
        <v>20</v>
      </c>
      <c r="E345" s="56" t="str">
        <f>IF(VLOOKUP(B345,CENY!$B$11:$G$1054,4,FALSE)=0,"",VLOOKUP(B345,CENY!$B$11:$G$1054,4,FALSE))</f>
        <v/>
      </c>
      <c r="F345" s="40" t="str">
        <f t="shared" si="70"/>
        <v/>
      </c>
      <c r="G345" s="52">
        <f>VLOOKUP(B345,CENY!$B$11:$M$1054,12,FALSE)</f>
        <v>258.22465999999997</v>
      </c>
      <c r="H345" s="54" t="str">
        <f t="shared" si="66"/>
        <v xml:space="preserve"> CZK</v>
      </c>
      <c r="I345" s="41" t="str">
        <f t="shared" si="67"/>
        <v/>
      </c>
      <c r="J345" s="122"/>
      <c r="K345" s="42" t="str">
        <f>VLOOKUP(B345,CENY!$B$11:$M$1054,8,FALSE)</f>
        <v xml:space="preserve"> </v>
      </c>
      <c r="L345" s="42" t="str">
        <f>VLOOKUP(B345,CENY!$B$11:$M$1054,9,FALSE)</f>
        <v>397838</v>
      </c>
      <c r="M345" s="32"/>
      <c r="N345" s="35">
        <f t="shared" si="71"/>
        <v>0</v>
      </c>
      <c r="O345" s="36">
        <v>0</v>
      </c>
      <c r="P345" s="32"/>
      <c r="Q345" s="325">
        <f>'AVT101'!BI110</f>
        <v>0</v>
      </c>
      <c r="R345" s="32"/>
      <c r="S345" s="325">
        <f>'AVT139'!BI110</f>
        <v>0</v>
      </c>
      <c r="T345" s="32"/>
      <c r="U345" s="325">
        <f>'AVT187'!BI110</f>
        <v>0</v>
      </c>
      <c r="V345" s="32"/>
      <c r="W345" s="325">
        <f>'AVT251'!BI85</f>
        <v>0</v>
      </c>
      <c r="X345" s="32"/>
      <c r="Y345" s="325">
        <f>AVT187In!BI84</f>
        <v>0</v>
      </c>
      <c r="Z345" s="32"/>
      <c r="AA345" s="325">
        <f>'AVT101(vn-A)'!BI110</f>
        <v>0</v>
      </c>
      <c r="AB345" s="32"/>
      <c r="AC345" s="325">
        <f>'AVT139(vn-A)'!BI110</f>
        <v>0</v>
      </c>
      <c r="AD345" s="32"/>
      <c r="AE345" s="325">
        <f>'AVT187(vn-A)'!BI110</f>
        <v>0</v>
      </c>
      <c r="AF345" s="32"/>
      <c r="AG345" s="325">
        <f>'AVT187In(vn-A)'!BI84</f>
        <v>0</v>
      </c>
      <c r="AH345" s="32"/>
      <c r="AI345" s="325">
        <f>'AVT187(vn-S)'!BI110</f>
        <v>0</v>
      </c>
      <c r="AJ345" s="32"/>
      <c r="AK345" s="325">
        <f>'AVT187In(vn-S)'!BI84</f>
        <v>0</v>
      </c>
      <c r="AL345" s="32"/>
      <c r="AM345" s="32"/>
      <c r="AN345" s="32"/>
      <c r="AO345" s="32"/>
      <c r="AP345" s="32"/>
      <c r="AQ345" s="32"/>
      <c r="AR345" s="32"/>
      <c r="AS345" s="32"/>
      <c r="AT345" s="32"/>
      <c r="AU345" s="32"/>
      <c r="AV345" s="32"/>
      <c r="AW345" s="32"/>
      <c r="AX345" s="32"/>
      <c r="AY345" s="32"/>
      <c r="AZ345" s="32"/>
      <c r="BA345" s="32"/>
      <c r="BB345" s="32"/>
      <c r="BC345" s="32"/>
      <c r="BD345" s="32"/>
      <c r="BE345" s="32"/>
      <c r="BF345" s="32"/>
      <c r="BG345" s="32"/>
      <c r="BH345" s="32"/>
      <c r="BI345" s="32"/>
      <c r="BJ345" s="32"/>
      <c r="BK345" s="32"/>
      <c r="BL345" s="32"/>
      <c r="BM345" s="32"/>
      <c r="BN345" s="32"/>
      <c r="BO345" s="165"/>
      <c r="BP345" s="165"/>
      <c r="BQ345" s="165"/>
      <c r="BR345" s="165"/>
      <c r="BS345" s="165"/>
      <c r="BT345" s="165"/>
      <c r="BU345" s="165"/>
      <c r="BV345" s="55"/>
      <c r="BW345" s="160"/>
      <c r="BX345" s="32"/>
      <c r="BY345" s="24"/>
      <c r="BZ345" s="24"/>
      <c r="CA345" s="24"/>
      <c r="CB345" s="24"/>
      <c r="CC345" s="24"/>
      <c r="CD345" s="24"/>
      <c r="CE345" s="24"/>
    </row>
    <row r="346" spans="1:83" ht="15" customHeight="1">
      <c r="A346" s="4"/>
      <c r="B346" s="318">
        <f>CENY!B722</f>
        <v>9256906</v>
      </c>
      <c r="C346" s="43" t="str">
        <f>VLOOKUP(B346,CENY!$B$11:$G$1054,2,FALSE)</f>
        <v>Quadro You(M) 350/P2O 25kg; EB21; pravý</v>
      </c>
      <c r="D346" s="353">
        <f>VLOOKUP(B346,CENY!$B$11:$G$1054,3,FALSE)</f>
        <v>20</v>
      </c>
      <c r="E346" s="56" t="str">
        <f>IF(VLOOKUP(B346,CENY!$B$11:$G$1054,4,FALSE)=0,"",VLOOKUP(B346,CENY!$B$11:$G$1054,4,FALSE))</f>
        <v/>
      </c>
      <c r="F346" s="40" t="str">
        <f t="shared" si="70"/>
        <v/>
      </c>
      <c r="G346" s="52">
        <f>VLOOKUP(B346,CENY!$B$11:$M$1054,12,FALSE)</f>
        <v>258.22465999999997</v>
      </c>
      <c r="H346" s="54" t="str">
        <f t="shared" si="66"/>
        <v xml:space="preserve"> CZK</v>
      </c>
      <c r="I346" s="41" t="str">
        <f t="shared" si="67"/>
        <v/>
      </c>
      <c r="J346" s="122"/>
      <c r="K346" s="42" t="str">
        <f>VLOOKUP(B346,CENY!$B$11:$M$1054,8,FALSE)</f>
        <v xml:space="preserve"> </v>
      </c>
      <c r="L346" s="42" t="str">
        <f>VLOOKUP(B346,CENY!$B$11:$M$1054,9,FALSE)</f>
        <v>397839</v>
      </c>
      <c r="M346" s="32"/>
      <c r="N346" s="35">
        <f t="shared" si="71"/>
        <v>0</v>
      </c>
      <c r="O346" s="36">
        <v>0</v>
      </c>
      <c r="P346" s="32"/>
      <c r="Q346" s="325">
        <f>'AVT101'!BI111</f>
        <v>0</v>
      </c>
      <c r="R346" s="32"/>
      <c r="S346" s="325">
        <f>'AVT139'!BI111</f>
        <v>0</v>
      </c>
      <c r="T346" s="32"/>
      <c r="U346" s="325">
        <f>'AVT187'!BI111</f>
        <v>0</v>
      </c>
      <c r="V346" s="32"/>
      <c r="W346" s="325">
        <f>'AVT251'!BI86</f>
        <v>0</v>
      </c>
      <c r="X346" s="32"/>
      <c r="Y346" s="325">
        <f>AVT187In!BI85</f>
        <v>0</v>
      </c>
      <c r="Z346" s="32"/>
      <c r="AA346" s="325">
        <f>'AVT101(vn-A)'!BI111</f>
        <v>0</v>
      </c>
      <c r="AB346" s="32"/>
      <c r="AC346" s="325">
        <f>'AVT139(vn-A)'!BI111</f>
        <v>0</v>
      </c>
      <c r="AD346" s="32"/>
      <c r="AE346" s="325">
        <f>'AVT187(vn-A)'!BI111</f>
        <v>0</v>
      </c>
      <c r="AF346" s="32"/>
      <c r="AG346" s="325">
        <f>'AVT187In(vn-A)'!BI85</f>
        <v>0</v>
      </c>
      <c r="AH346" s="32"/>
      <c r="AI346" s="325">
        <f>'AVT187(vn-S)'!BI111</f>
        <v>0</v>
      </c>
      <c r="AJ346" s="32"/>
      <c r="AK346" s="325">
        <f>'AVT187In(vn-S)'!BI85</f>
        <v>0</v>
      </c>
      <c r="AL346" s="32"/>
      <c r="AM346" s="32"/>
      <c r="AN346" s="32"/>
      <c r="AO346" s="32"/>
      <c r="AP346" s="32"/>
      <c r="AQ346" s="32"/>
      <c r="AR346" s="32"/>
      <c r="AS346" s="32"/>
      <c r="AT346" s="32"/>
      <c r="AU346" s="32"/>
      <c r="AV346" s="32"/>
      <c r="AW346" s="32"/>
      <c r="AX346" s="32"/>
      <c r="AY346" s="32"/>
      <c r="AZ346" s="32"/>
      <c r="BA346" s="32"/>
      <c r="BB346" s="32"/>
      <c r="BC346" s="32"/>
      <c r="BD346" s="32"/>
      <c r="BE346" s="32"/>
      <c r="BF346" s="32"/>
      <c r="BG346" s="32"/>
      <c r="BH346" s="32"/>
      <c r="BI346" s="32"/>
      <c r="BJ346" s="32"/>
      <c r="BK346" s="32"/>
      <c r="BL346" s="32"/>
      <c r="BM346" s="32"/>
      <c r="BN346" s="32"/>
      <c r="BO346" s="165"/>
      <c r="BP346" s="165"/>
      <c r="BQ346" s="165"/>
      <c r="BR346" s="165"/>
      <c r="BS346" s="165"/>
      <c r="BT346" s="165"/>
      <c r="BU346" s="165"/>
      <c r="BV346" s="55"/>
      <c r="BW346" s="160"/>
      <c r="BX346" s="32"/>
      <c r="BY346" s="24"/>
      <c r="BZ346" s="24"/>
      <c r="CA346" s="24"/>
      <c r="CB346" s="24"/>
      <c r="CC346" s="24"/>
      <c r="CD346" s="24"/>
      <c r="CE346" s="24"/>
    </row>
    <row r="347" spans="1:83" ht="15" customHeight="1">
      <c r="A347" s="4"/>
      <c r="B347" s="318">
        <f>CENY!B723</f>
        <v>9256909</v>
      </c>
      <c r="C347" s="43" t="str">
        <f>VLOOKUP(B347,CENY!$B$11:$G$1054,2,FALSE)</f>
        <v>Quadro You(M) 400/P2O 30kg; EB21; ľavý</v>
      </c>
      <c r="D347" s="353">
        <f>VLOOKUP(B347,CENY!$B$11:$G$1054,3,FALSE)</f>
        <v>20</v>
      </c>
      <c r="E347" s="56" t="str">
        <f>IF(VLOOKUP(B347,CENY!$B$11:$G$1054,4,FALSE)=0,"",VLOOKUP(B347,CENY!$B$11:$G$1054,4,FALSE))</f>
        <v/>
      </c>
      <c r="F347" s="40" t="str">
        <f t="shared" si="70"/>
        <v/>
      </c>
      <c r="G347" s="52">
        <f>VLOOKUP(B347,CENY!$B$11:$M$1054,12,FALSE)</f>
        <v>263.07337999999999</v>
      </c>
      <c r="H347" s="54" t="str">
        <f t="shared" si="66"/>
        <v xml:space="preserve"> CZK</v>
      </c>
      <c r="I347" s="41" t="str">
        <f t="shared" si="67"/>
        <v/>
      </c>
      <c r="J347" s="122"/>
      <c r="K347" s="42" t="str">
        <f>VLOOKUP(B347,CENY!$B$11:$M$1054,8,FALSE)</f>
        <v xml:space="preserve"> </v>
      </c>
      <c r="L347" s="42" t="str">
        <f>VLOOKUP(B347,CENY!$B$11:$M$1054,9,FALSE)</f>
        <v>397840</v>
      </c>
      <c r="M347" s="32"/>
      <c r="N347" s="35">
        <f t="shared" si="71"/>
        <v>0</v>
      </c>
      <c r="O347" s="36">
        <v>0</v>
      </c>
      <c r="P347" s="32"/>
      <c r="Q347" s="325">
        <f>'AVT101'!BI112</f>
        <v>0</v>
      </c>
      <c r="R347" s="32"/>
      <c r="S347" s="325">
        <f>'AVT139'!BI112</f>
        <v>0</v>
      </c>
      <c r="T347" s="32"/>
      <c r="U347" s="325">
        <f>'AVT187'!BI112</f>
        <v>0</v>
      </c>
      <c r="V347" s="32"/>
      <c r="W347" s="325">
        <f>'AVT251'!BI87</f>
        <v>0</v>
      </c>
      <c r="X347" s="32"/>
      <c r="Y347" s="325">
        <f>AVT187In!BI86</f>
        <v>0</v>
      </c>
      <c r="Z347" s="32"/>
      <c r="AA347" s="325">
        <f>'AVT101(vn-A)'!BI112</f>
        <v>0</v>
      </c>
      <c r="AB347" s="32"/>
      <c r="AC347" s="325">
        <f>'AVT139(vn-A)'!BI112</f>
        <v>0</v>
      </c>
      <c r="AD347" s="32"/>
      <c r="AE347" s="325">
        <f>'AVT187(vn-A)'!BI112</f>
        <v>0</v>
      </c>
      <c r="AF347" s="32"/>
      <c r="AG347" s="325">
        <f>'AVT187In(vn-A)'!BI86</f>
        <v>0</v>
      </c>
      <c r="AH347" s="32"/>
      <c r="AI347" s="325">
        <f>'AVT187(vn-S)'!BI112</f>
        <v>0</v>
      </c>
      <c r="AJ347" s="32"/>
      <c r="AK347" s="325">
        <f>'AVT187In(vn-S)'!BI86</f>
        <v>0</v>
      </c>
      <c r="AL347" s="32"/>
      <c r="AM347" s="325">
        <f>'AVT77'!BI57</f>
        <v>0</v>
      </c>
      <c r="AN347" s="32"/>
      <c r="AO347" s="32"/>
      <c r="AP347" s="32"/>
      <c r="AQ347" s="32"/>
      <c r="AR347" s="32"/>
      <c r="AS347" s="32"/>
      <c r="AT347" s="32"/>
      <c r="AU347" s="32"/>
      <c r="AV347" s="32"/>
      <c r="AW347" s="32"/>
      <c r="AX347" s="32"/>
      <c r="AY347" s="32"/>
      <c r="AZ347" s="32"/>
      <c r="BA347" s="32"/>
      <c r="BB347" s="32"/>
      <c r="BC347" s="32"/>
      <c r="BD347" s="32"/>
      <c r="BE347" s="32"/>
      <c r="BF347" s="32"/>
      <c r="BG347" s="32"/>
      <c r="BH347" s="32"/>
      <c r="BI347" s="32"/>
      <c r="BJ347" s="32"/>
      <c r="BK347" s="32"/>
      <c r="BL347" s="32"/>
      <c r="BM347" s="32"/>
      <c r="BN347" s="32"/>
      <c r="BO347" s="165"/>
      <c r="BP347" s="165"/>
      <c r="BQ347" s="165"/>
      <c r="BR347" s="165"/>
      <c r="BS347" s="165"/>
      <c r="BT347" s="165"/>
      <c r="BU347" s="165"/>
      <c r="BV347" s="55"/>
      <c r="BW347" s="160"/>
      <c r="BX347" s="32"/>
      <c r="BY347" s="24"/>
      <c r="BZ347" s="24"/>
      <c r="CA347" s="24"/>
      <c r="CB347" s="24"/>
      <c r="CC347" s="24"/>
      <c r="CD347" s="24"/>
      <c r="CE347" s="24"/>
    </row>
    <row r="348" spans="1:83" ht="15" customHeight="1">
      <c r="A348" s="4"/>
      <c r="B348" s="318">
        <f>CENY!B724</f>
        <v>9256910</v>
      </c>
      <c r="C348" s="43" t="str">
        <f>VLOOKUP(B348,CENY!$B$11:$G$1054,2,FALSE)</f>
        <v>Quadro You(M) 400/P2O 30kg; EB21; pravý</v>
      </c>
      <c r="D348" s="353">
        <f>VLOOKUP(B348,CENY!$B$11:$G$1054,3,FALSE)</f>
        <v>20</v>
      </c>
      <c r="E348" s="56" t="str">
        <f>IF(VLOOKUP(B348,CENY!$B$11:$G$1054,4,FALSE)=0,"",VLOOKUP(B348,CENY!$B$11:$G$1054,4,FALSE))</f>
        <v/>
      </c>
      <c r="F348" s="40" t="str">
        <f t="shared" si="70"/>
        <v/>
      </c>
      <c r="G348" s="52">
        <f>VLOOKUP(B348,CENY!$B$11:$M$1054,12,FALSE)</f>
        <v>263.07337999999999</v>
      </c>
      <c r="H348" s="54" t="str">
        <f t="shared" si="66"/>
        <v xml:space="preserve"> CZK</v>
      </c>
      <c r="I348" s="41" t="str">
        <f t="shared" si="67"/>
        <v/>
      </c>
      <c r="J348" s="122"/>
      <c r="K348" s="42" t="str">
        <f>VLOOKUP(B348,CENY!$B$11:$M$1054,8,FALSE)</f>
        <v xml:space="preserve"> </v>
      </c>
      <c r="L348" s="42" t="str">
        <f>VLOOKUP(B348,CENY!$B$11:$M$1054,9,FALSE)</f>
        <v>397841</v>
      </c>
      <c r="M348" s="32"/>
      <c r="N348" s="35">
        <f t="shared" si="71"/>
        <v>0</v>
      </c>
      <c r="O348" s="36">
        <v>0</v>
      </c>
      <c r="P348" s="32"/>
      <c r="Q348" s="325">
        <f>'AVT101'!BI113</f>
        <v>0</v>
      </c>
      <c r="R348" s="32"/>
      <c r="S348" s="325">
        <f>'AVT139'!BI113</f>
        <v>0</v>
      </c>
      <c r="T348" s="32"/>
      <c r="U348" s="325">
        <f>'AVT187'!BI113</f>
        <v>0</v>
      </c>
      <c r="V348" s="32"/>
      <c r="W348" s="325">
        <f>'AVT251'!BI88</f>
        <v>0</v>
      </c>
      <c r="X348" s="32"/>
      <c r="Y348" s="325">
        <f>AVT187In!BI87</f>
        <v>0</v>
      </c>
      <c r="Z348" s="32"/>
      <c r="AA348" s="325">
        <f>'AVT101(vn-A)'!BI113</f>
        <v>0</v>
      </c>
      <c r="AB348" s="32"/>
      <c r="AC348" s="325">
        <f>'AVT139(vn-A)'!BI113</f>
        <v>0</v>
      </c>
      <c r="AD348" s="32"/>
      <c r="AE348" s="325">
        <f>'AVT187(vn-A)'!BI113</f>
        <v>0</v>
      </c>
      <c r="AF348" s="32"/>
      <c r="AG348" s="325">
        <f>'AVT187In(vn-A)'!BI87</f>
        <v>0</v>
      </c>
      <c r="AH348" s="32"/>
      <c r="AI348" s="325">
        <f>'AVT187(vn-S)'!BI113</f>
        <v>0</v>
      </c>
      <c r="AJ348" s="32"/>
      <c r="AK348" s="325">
        <f>'AVT187In(vn-S)'!BI87</f>
        <v>0</v>
      </c>
      <c r="AL348" s="32"/>
      <c r="AM348" s="325">
        <f>'AVT77'!BI58</f>
        <v>0</v>
      </c>
      <c r="AN348" s="32"/>
      <c r="AO348" s="32"/>
      <c r="AP348" s="32"/>
      <c r="AQ348" s="32"/>
      <c r="AR348" s="32"/>
      <c r="AS348" s="32"/>
      <c r="AT348" s="32"/>
      <c r="AU348" s="32"/>
      <c r="AV348" s="32"/>
      <c r="AW348" s="32"/>
      <c r="AX348" s="32"/>
      <c r="AY348" s="32"/>
      <c r="AZ348" s="32"/>
      <c r="BA348" s="32"/>
      <c r="BB348" s="32"/>
      <c r="BC348" s="32"/>
      <c r="BD348" s="32"/>
      <c r="BE348" s="32"/>
      <c r="BF348" s="32"/>
      <c r="BG348" s="32"/>
      <c r="BH348" s="32"/>
      <c r="BI348" s="32"/>
      <c r="BJ348" s="32"/>
      <c r="BK348" s="32"/>
      <c r="BL348" s="32"/>
      <c r="BM348" s="32"/>
      <c r="BN348" s="32"/>
      <c r="BO348" s="165"/>
      <c r="BP348" s="165"/>
      <c r="BQ348" s="165"/>
      <c r="BR348" s="165"/>
      <c r="BS348" s="165"/>
      <c r="BT348" s="165"/>
      <c r="BU348" s="165"/>
      <c r="BV348" s="55"/>
      <c r="BW348" s="160"/>
      <c r="BX348" s="32"/>
      <c r="BY348" s="24"/>
      <c r="BZ348" s="24"/>
      <c r="CA348" s="24"/>
      <c r="CB348" s="24"/>
      <c r="CC348" s="24"/>
      <c r="CD348" s="24"/>
      <c r="CE348" s="24"/>
    </row>
    <row r="349" spans="1:83" ht="15" customHeight="1">
      <c r="A349" s="4"/>
      <c r="B349" s="318">
        <f>CENY!B725</f>
        <v>9256913</v>
      </c>
      <c r="C349" s="43" t="str">
        <f>VLOOKUP(B349,CENY!$B$11:$G$1054,2,FALSE)</f>
        <v>Quadro You(M) 450/P2O 30kg; EB21; ľavý</v>
      </c>
      <c r="D349" s="353">
        <f>VLOOKUP(B349,CENY!$B$11:$G$1054,3,FALSE)</f>
        <v>20</v>
      </c>
      <c r="E349" s="56" t="str">
        <f>IF(VLOOKUP(B349,CENY!$B$11:$G$1054,4,FALSE)=0,"",VLOOKUP(B349,CENY!$B$11:$G$1054,4,FALSE))</f>
        <v/>
      </c>
      <c r="F349" s="40" t="str">
        <f t="shared" si="70"/>
        <v/>
      </c>
      <c r="G349" s="52">
        <f>VLOOKUP(B349,CENY!$B$11:$M$1054,12,FALSE)</f>
        <v>267.92221999999998</v>
      </c>
      <c r="H349" s="54" t="str">
        <f t="shared" si="66"/>
        <v xml:space="preserve"> CZK</v>
      </c>
      <c r="I349" s="41" t="str">
        <f t="shared" si="67"/>
        <v/>
      </c>
      <c r="J349" s="122"/>
      <c r="K349" s="42" t="str">
        <f>VLOOKUP(B349,CENY!$B$11:$M$1054,8,FALSE)</f>
        <v xml:space="preserve"> </v>
      </c>
      <c r="L349" s="42" t="str">
        <f>VLOOKUP(B349,CENY!$B$11:$M$1054,9,FALSE)</f>
        <v>397842</v>
      </c>
      <c r="M349" s="32"/>
      <c r="N349" s="35">
        <f t="shared" si="71"/>
        <v>0</v>
      </c>
      <c r="O349" s="36">
        <v>0</v>
      </c>
      <c r="P349" s="32"/>
      <c r="Q349" s="325">
        <f>'AVT101'!BI114</f>
        <v>0</v>
      </c>
      <c r="R349" s="32"/>
      <c r="S349" s="325">
        <f>'AVT139'!BI114</f>
        <v>0</v>
      </c>
      <c r="T349" s="32"/>
      <c r="U349" s="325">
        <f>'AVT187'!BI114</f>
        <v>0</v>
      </c>
      <c r="V349" s="32"/>
      <c r="W349" s="325">
        <f>'AVT251'!BI89</f>
        <v>0</v>
      </c>
      <c r="X349" s="32"/>
      <c r="Y349" s="325">
        <f>AVT187In!BI88</f>
        <v>0</v>
      </c>
      <c r="Z349" s="32"/>
      <c r="AA349" s="325">
        <f>'AVT101(vn-A)'!BI114</f>
        <v>0</v>
      </c>
      <c r="AB349" s="32"/>
      <c r="AC349" s="325">
        <f>'AVT139(vn-A)'!BI114</f>
        <v>0</v>
      </c>
      <c r="AD349" s="32"/>
      <c r="AE349" s="325">
        <f>'AVT187(vn-A)'!BI114</f>
        <v>0</v>
      </c>
      <c r="AF349" s="32"/>
      <c r="AG349" s="325">
        <f>'AVT187In(vn-A)'!BI88</f>
        <v>0</v>
      </c>
      <c r="AH349" s="32"/>
      <c r="AI349" s="325">
        <f>'AVT187(vn-S)'!BI114</f>
        <v>0</v>
      </c>
      <c r="AJ349" s="32"/>
      <c r="AK349" s="325">
        <f>'AVT187In(vn-S)'!BI88</f>
        <v>0</v>
      </c>
      <c r="AL349" s="32"/>
      <c r="AM349" s="325">
        <f>'AVT77'!BI59</f>
        <v>0</v>
      </c>
      <c r="AN349" s="32"/>
      <c r="AO349" s="32"/>
      <c r="AP349" s="32"/>
      <c r="AQ349" s="32"/>
      <c r="AR349" s="32"/>
      <c r="AS349" s="32"/>
      <c r="AT349" s="32"/>
      <c r="AU349" s="32"/>
      <c r="AV349" s="32"/>
      <c r="AW349" s="32"/>
      <c r="AX349" s="32"/>
      <c r="AY349" s="32"/>
      <c r="AZ349" s="32"/>
      <c r="BA349" s="32"/>
      <c r="BB349" s="32"/>
      <c r="BC349" s="32"/>
      <c r="BD349" s="32"/>
      <c r="BE349" s="32"/>
      <c r="BF349" s="32"/>
      <c r="BG349" s="32"/>
      <c r="BH349" s="32"/>
      <c r="BI349" s="32"/>
      <c r="BJ349" s="32"/>
      <c r="BK349" s="32"/>
      <c r="BL349" s="32"/>
      <c r="BM349" s="32"/>
      <c r="BN349" s="32"/>
      <c r="BO349" s="165"/>
      <c r="BP349" s="165"/>
      <c r="BQ349" s="165"/>
      <c r="BR349" s="165"/>
      <c r="BS349" s="165"/>
      <c r="BT349" s="165"/>
      <c r="BU349" s="165"/>
      <c r="BV349" s="55"/>
      <c r="BW349" s="160"/>
      <c r="BX349" s="32"/>
      <c r="BY349" s="24"/>
      <c r="BZ349" s="24"/>
      <c r="CA349" s="24"/>
      <c r="CB349" s="24"/>
      <c r="CC349" s="24"/>
      <c r="CD349" s="24"/>
      <c r="CE349" s="24"/>
    </row>
    <row r="350" spans="1:83" ht="15" customHeight="1">
      <c r="A350" s="4"/>
      <c r="B350" s="318">
        <f>CENY!B726</f>
        <v>9256914</v>
      </c>
      <c r="C350" s="43" t="str">
        <f>VLOOKUP(B350,CENY!$B$11:$G$1054,2,FALSE)</f>
        <v>Quadro You(M) 450/P2O 30kg; EB21; pravý</v>
      </c>
      <c r="D350" s="353">
        <f>VLOOKUP(B350,CENY!$B$11:$G$1054,3,FALSE)</f>
        <v>20</v>
      </c>
      <c r="E350" s="56" t="str">
        <f>IF(VLOOKUP(B350,CENY!$B$11:$G$1054,4,FALSE)=0,"",VLOOKUP(B350,CENY!$B$11:$G$1054,4,FALSE))</f>
        <v/>
      </c>
      <c r="F350" s="40" t="str">
        <f t="shared" si="70"/>
        <v/>
      </c>
      <c r="G350" s="52">
        <f>VLOOKUP(B350,CENY!$B$11:$M$1054,12,FALSE)</f>
        <v>267.92221999999998</v>
      </c>
      <c r="H350" s="54" t="str">
        <f t="shared" si="66"/>
        <v xml:space="preserve"> CZK</v>
      </c>
      <c r="I350" s="41" t="str">
        <f t="shared" si="67"/>
        <v/>
      </c>
      <c r="J350" s="122"/>
      <c r="K350" s="42" t="str">
        <f>VLOOKUP(B350,CENY!$B$11:$M$1054,8,FALSE)</f>
        <v xml:space="preserve"> </v>
      </c>
      <c r="L350" s="42" t="str">
        <f>VLOOKUP(B350,CENY!$B$11:$M$1054,9,FALSE)</f>
        <v>397843</v>
      </c>
      <c r="M350" s="32"/>
      <c r="N350" s="35">
        <f t="shared" si="71"/>
        <v>0</v>
      </c>
      <c r="O350" s="36">
        <v>0</v>
      </c>
      <c r="P350" s="32"/>
      <c r="Q350" s="325">
        <f>'AVT101'!BI115</f>
        <v>0</v>
      </c>
      <c r="R350" s="32"/>
      <c r="S350" s="325">
        <f>'AVT139'!BI115</f>
        <v>0</v>
      </c>
      <c r="T350" s="32"/>
      <c r="U350" s="325">
        <f>'AVT187'!BI115</f>
        <v>0</v>
      </c>
      <c r="V350" s="32"/>
      <c r="W350" s="325">
        <f>'AVT251'!BI90</f>
        <v>0</v>
      </c>
      <c r="X350" s="32"/>
      <c r="Y350" s="325">
        <f>AVT187In!BI89</f>
        <v>0</v>
      </c>
      <c r="Z350" s="32"/>
      <c r="AA350" s="325">
        <f>'AVT101(vn-A)'!BI115</f>
        <v>0</v>
      </c>
      <c r="AB350" s="32"/>
      <c r="AC350" s="325">
        <f>'AVT139(vn-A)'!BI115</f>
        <v>0</v>
      </c>
      <c r="AD350" s="32"/>
      <c r="AE350" s="325">
        <f>'AVT187(vn-A)'!BI115</f>
        <v>0</v>
      </c>
      <c r="AF350" s="32"/>
      <c r="AG350" s="325">
        <f>'AVT187In(vn-A)'!BI89</f>
        <v>0</v>
      </c>
      <c r="AH350" s="32"/>
      <c r="AI350" s="325">
        <f>'AVT187(vn-S)'!BI115</f>
        <v>0</v>
      </c>
      <c r="AJ350" s="32"/>
      <c r="AK350" s="325">
        <f>'AVT187In(vn-S)'!BI89</f>
        <v>0</v>
      </c>
      <c r="AL350" s="32"/>
      <c r="AM350" s="325">
        <f>'AVT77'!BI60</f>
        <v>0</v>
      </c>
      <c r="AN350" s="32"/>
      <c r="AO350" s="32"/>
      <c r="AP350" s="32"/>
      <c r="AQ350" s="32"/>
      <c r="AR350" s="32"/>
      <c r="AS350" s="32"/>
      <c r="AT350" s="32"/>
      <c r="AU350" s="32"/>
      <c r="AV350" s="32"/>
      <c r="AW350" s="32"/>
      <c r="AX350" s="32"/>
      <c r="AY350" s="32"/>
      <c r="AZ350" s="32"/>
      <c r="BA350" s="32"/>
      <c r="BB350" s="32"/>
      <c r="BC350" s="32"/>
      <c r="BD350" s="32"/>
      <c r="BE350" s="32"/>
      <c r="BF350" s="32"/>
      <c r="BG350" s="32"/>
      <c r="BH350" s="32"/>
      <c r="BI350" s="32"/>
      <c r="BJ350" s="32"/>
      <c r="BK350" s="32"/>
      <c r="BL350" s="32"/>
      <c r="BM350" s="32"/>
      <c r="BN350" s="32"/>
      <c r="BO350" s="165"/>
      <c r="BP350" s="165"/>
      <c r="BQ350" s="165"/>
      <c r="BR350" s="165"/>
      <c r="BS350" s="165"/>
      <c r="BT350" s="165"/>
      <c r="BU350" s="165"/>
      <c r="BV350" s="55"/>
      <c r="BW350" s="160"/>
      <c r="BX350" s="32"/>
      <c r="BY350" s="24"/>
      <c r="BZ350" s="24"/>
      <c r="CA350" s="24"/>
      <c r="CB350" s="24"/>
      <c r="CC350" s="24"/>
      <c r="CD350" s="24"/>
      <c r="CE350" s="24"/>
    </row>
    <row r="351" spans="1:83" ht="15" customHeight="1">
      <c r="A351" s="4"/>
      <c r="B351" s="318">
        <f>CENY!B727</f>
        <v>9256917</v>
      </c>
      <c r="C351" s="43" t="str">
        <f>VLOOKUP(B351,CENY!$B$11:$G$1054,2,FALSE)</f>
        <v>Quadro You(M) 500/P2O 30kg; EB21; ľavý</v>
      </c>
      <c r="D351" s="353">
        <f>VLOOKUP(B351,CENY!$B$11:$G$1054,3,FALSE)</f>
        <v>20</v>
      </c>
      <c r="E351" s="56" t="str">
        <f>IF(VLOOKUP(B351,CENY!$B$11:$G$1054,4,FALSE)=0,"",VLOOKUP(B351,CENY!$B$11:$G$1054,4,FALSE))</f>
        <v/>
      </c>
      <c r="F351" s="40" t="str">
        <f t="shared" si="70"/>
        <v/>
      </c>
      <c r="G351" s="52">
        <f>VLOOKUP(B351,CENY!$B$11:$M$1054,12,FALSE)</f>
        <v>265.52375999999998</v>
      </c>
      <c r="H351" s="54" t="str">
        <f t="shared" si="66"/>
        <v xml:space="preserve"> CZK</v>
      </c>
      <c r="I351" s="41" t="str">
        <f t="shared" si="67"/>
        <v/>
      </c>
      <c r="J351" s="122"/>
      <c r="K351" s="42" t="str">
        <f>VLOOKUP(B351,CENY!$B$11:$M$1054,8,FALSE)</f>
        <v xml:space="preserve"> </v>
      </c>
      <c r="L351" s="42" t="str">
        <f>VLOOKUP(B351,CENY!$B$11:$M$1054,9,FALSE)</f>
        <v>397844</v>
      </c>
      <c r="M351" s="32"/>
      <c r="N351" s="35">
        <f t="shared" si="71"/>
        <v>0</v>
      </c>
      <c r="O351" s="36">
        <v>0</v>
      </c>
      <c r="P351" s="32"/>
      <c r="Q351" s="325">
        <f>'AVT101'!BI116</f>
        <v>0</v>
      </c>
      <c r="R351" s="32"/>
      <c r="S351" s="325">
        <f>'AVT139'!BI116</f>
        <v>0</v>
      </c>
      <c r="T351" s="32"/>
      <c r="U351" s="325">
        <f>'AVT187'!BI116</f>
        <v>0</v>
      </c>
      <c r="V351" s="32"/>
      <c r="W351" s="325">
        <f>'AVT251'!BI91</f>
        <v>0</v>
      </c>
      <c r="X351" s="32"/>
      <c r="Y351" s="325">
        <f>AVT187In!BI90</f>
        <v>0</v>
      </c>
      <c r="Z351" s="32"/>
      <c r="AA351" s="325">
        <f>'AVT101(vn-A)'!BI116</f>
        <v>0</v>
      </c>
      <c r="AB351" s="32"/>
      <c r="AC351" s="325">
        <f>'AVT139(vn-A)'!BI116</f>
        <v>0</v>
      </c>
      <c r="AD351" s="32"/>
      <c r="AE351" s="325">
        <f>'AVT187(vn-A)'!BI116</f>
        <v>0</v>
      </c>
      <c r="AF351" s="32"/>
      <c r="AG351" s="325">
        <f>'AVT187In(vn-A)'!BI90</f>
        <v>0</v>
      </c>
      <c r="AH351" s="32"/>
      <c r="AI351" s="325">
        <f>'AVT187(vn-S)'!BI116</f>
        <v>0</v>
      </c>
      <c r="AJ351" s="32"/>
      <c r="AK351" s="325">
        <f>'AVT187In(vn-S)'!BI90</f>
        <v>0</v>
      </c>
      <c r="AL351" s="32"/>
      <c r="AM351" s="325">
        <f>'AVT77'!BI61</f>
        <v>0</v>
      </c>
      <c r="AN351" s="32"/>
      <c r="AO351" s="32"/>
      <c r="AP351" s="32"/>
      <c r="AQ351" s="32"/>
      <c r="AR351" s="32"/>
      <c r="AS351" s="32"/>
      <c r="AT351" s="32"/>
      <c r="AU351" s="32"/>
      <c r="AV351" s="32"/>
      <c r="AW351" s="32"/>
      <c r="AX351" s="32"/>
      <c r="AY351" s="32"/>
      <c r="AZ351" s="32"/>
      <c r="BA351" s="32"/>
      <c r="BB351" s="32"/>
      <c r="BC351" s="32"/>
      <c r="BD351" s="32"/>
      <c r="BE351" s="32"/>
      <c r="BF351" s="32"/>
      <c r="BG351" s="32"/>
      <c r="BH351" s="32"/>
      <c r="BI351" s="32"/>
      <c r="BJ351" s="32"/>
      <c r="BK351" s="32"/>
      <c r="BL351" s="32"/>
      <c r="BM351" s="32"/>
      <c r="BN351" s="32"/>
      <c r="BO351" s="165"/>
      <c r="BP351" s="165"/>
      <c r="BQ351" s="165"/>
      <c r="BR351" s="165"/>
      <c r="BS351" s="165"/>
      <c r="BT351" s="165"/>
      <c r="BU351" s="165"/>
      <c r="BV351" s="55"/>
      <c r="BW351" s="160"/>
      <c r="BX351" s="32"/>
      <c r="BY351" s="24"/>
      <c r="BZ351" s="24"/>
      <c r="CA351" s="24"/>
      <c r="CB351" s="24"/>
      <c r="CC351" s="24"/>
      <c r="CD351" s="24"/>
      <c r="CE351" s="24"/>
    </row>
    <row r="352" spans="1:83" ht="15" customHeight="1">
      <c r="A352" s="4"/>
      <c r="B352" s="318">
        <f>CENY!B728</f>
        <v>9256918</v>
      </c>
      <c r="C352" s="43" t="str">
        <f>VLOOKUP(B352,CENY!$B$11:$G$1054,2,FALSE)</f>
        <v>Quadro You(M) 500/P2O 30kg; EB21; pravý</v>
      </c>
      <c r="D352" s="353">
        <f>VLOOKUP(B352,CENY!$B$11:$G$1054,3,FALSE)</f>
        <v>20</v>
      </c>
      <c r="E352" s="56" t="str">
        <f>IF(VLOOKUP(B352,CENY!$B$11:$G$1054,4,FALSE)=0,"",VLOOKUP(B352,CENY!$B$11:$G$1054,4,FALSE))</f>
        <v/>
      </c>
      <c r="F352" s="40" t="str">
        <f t="shared" si="70"/>
        <v/>
      </c>
      <c r="G352" s="52">
        <f>VLOOKUP(B352,CENY!$B$11:$M$1054,12,FALSE)</f>
        <v>265.52375999999998</v>
      </c>
      <c r="H352" s="54" t="str">
        <f t="shared" si="66"/>
        <v xml:space="preserve"> CZK</v>
      </c>
      <c r="I352" s="41" t="str">
        <f t="shared" si="67"/>
        <v/>
      </c>
      <c r="J352" s="122"/>
      <c r="K352" s="42" t="str">
        <f>VLOOKUP(B352,CENY!$B$11:$M$1054,8,FALSE)</f>
        <v xml:space="preserve"> </v>
      </c>
      <c r="L352" s="42" t="str">
        <f>VLOOKUP(B352,CENY!$B$11:$M$1054,9,FALSE)</f>
        <v>397845</v>
      </c>
      <c r="M352" s="32"/>
      <c r="N352" s="35">
        <f t="shared" si="71"/>
        <v>0</v>
      </c>
      <c r="O352" s="36">
        <v>0</v>
      </c>
      <c r="P352" s="32"/>
      <c r="Q352" s="325">
        <f>'AVT101'!BI117</f>
        <v>0</v>
      </c>
      <c r="R352" s="32"/>
      <c r="S352" s="325">
        <f>'AVT139'!BI117</f>
        <v>0</v>
      </c>
      <c r="T352" s="32"/>
      <c r="U352" s="325">
        <f>'AVT187'!BI117</f>
        <v>0</v>
      </c>
      <c r="V352" s="32"/>
      <c r="W352" s="325">
        <f>'AVT251'!BI92</f>
        <v>0</v>
      </c>
      <c r="X352" s="32"/>
      <c r="Y352" s="325">
        <f>AVT187In!BI91</f>
        <v>0</v>
      </c>
      <c r="Z352" s="32"/>
      <c r="AA352" s="325">
        <f>'AVT101(vn-A)'!BI117</f>
        <v>0</v>
      </c>
      <c r="AB352" s="32"/>
      <c r="AC352" s="325">
        <f>'AVT139(vn-A)'!BI117</f>
        <v>0</v>
      </c>
      <c r="AD352" s="32"/>
      <c r="AE352" s="325">
        <f>'AVT187(vn-A)'!BI117</f>
        <v>0</v>
      </c>
      <c r="AF352" s="32"/>
      <c r="AG352" s="325">
        <f>'AVT187In(vn-A)'!BI91</f>
        <v>0</v>
      </c>
      <c r="AH352" s="32"/>
      <c r="AI352" s="325">
        <f>'AVT187(vn-S)'!BI117</f>
        <v>0</v>
      </c>
      <c r="AJ352" s="32"/>
      <c r="AK352" s="325">
        <f>'AVT187In(vn-S)'!BI91</f>
        <v>0</v>
      </c>
      <c r="AL352" s="32"/>
      <c r="AM352" s="325">
        <f>'AVT77'!BI62</f>
        <v>0</v>
      </c>
      <c r="AN352" s="32"/>
      <c r="AO352" s="32"/>
      <c r="AP352" s="32"/>
      <c r="AQ352" s="32"/>
      <c r="AR352" s="32"/>
      <c r="AS352" s="32"/>
      <c r="AT352" s="32"/>
      <c r="AU352" s="32"/>
      <c r="AV352" s="32"/>
      <c r="AW352" s="32"/>
      <c r="AX352" s="32"/>
      <c r="AY352" s="32"/>
      <c r="AZ352" s="32"/>
      <c r="BA352" s="32"/>
      <c r="BB352" s="32"/>
      <c r="BC352" s="32"/>
      <c r="BD352" s="32"/>
      <c r="BE352" s="32"/>
      <c r="BF352" s="32"/>
      <c r="BG352" s="32"/>
      <c r="BH352" s="32"/>
      <c r="BI352" s="32"/>
      <c r="BJ352" s="32"/>
      <c r="BK352" s="32"/>
      <c r="BL352" s="32"/>
      <c r="BM352" s="32"/>
      <c r="BN352" s="32"/>
      <c r="BO352" s="165"/>
      <c r="BP352" s="165"/>
      <c r="BQ352" s="165"/>
      <c r="BR352" s="165"/>
      <c r="BS352" s="165"/>
      <c r="BT352" s="165"/>
      <c r="BU352" s="165"/>
      <c r="BV352" s="55"/>
      <c r="BW352" s="160"/>
      <c r="BX352" s="32"/>
      <c r="BY352" s="24"/>
      <c r="BZ352" s="24"/>
      <c r="CA352" s="24"/>
      <c r="CB352" s="24"/>
      <c r="CC352" s="24"/>
      <c r="CD352" s="24"/>
      <c r="CE352" s="24"/>
    </row>
    <row r="353" spans="1:83" ht="15" customHeight="1">
      <c r="A353" s="4"/>
      <c r="B353" s="318">
        <f>CENY!B729</f>
        <v>9256921</v>
      </c>
      <c r="C353" s="43" t="str">
        <f>VLOOKUP(B353,CENY!$B$11:$G$1054,2,FALSE)</f>
        <v>Quadro You(M) 550/P2O 30kg; EB21; ľavý</v>
      </c>
      <c r="D353" s="353">
        <f>VLOOKUP(B353,CENY!$B$11:$G$1054,3,FALSE)</f>
        <v>20</v>
      </c>
      <c r="E353" s="56" t="str">
        <f>IF(VLOOKUP(B353,CENY!$B$11:$G$1054,4,FALSE)=0,"",VLOOKUP(B353,CENY!$B$11:$G$1054,4,FALSE))</f>
        <v/>
      </c>
      <c r="F353" s="40" t="str">
        <f t="shared" si="70"/>
        <v/>
      </c>
      <c r="G353" s="52">
        <f>VLOOKUP(B353,CENY!$B$11:$M$1054,12,FALSE)</f>
        <v>270.22431</v>
      </c>
      <c r="H353" s="54" t="str">
        <f t="shared" si="66"/>
        <v xml:space="preserve"> CZK</v>
      </c>
      <c r="I353" s="41" t="str">
        <f t="shared" si="67"/>
        <v/>
      </c>
      <c r="J353" s="122"/>
      <c r="K353" s="42" t="str">
        <f>VLOOKUP(B353,CENY!$B$11:$M$1054,8,FALSE)</f>
        <v xml:space="preserve"> </v>
      </c>
      <c r="L353" s="42" t="str">
        <f>VLOOKUP(B353,CENY!$B$11:$M$1054,9,FALSE)</f>
        <v>397846</v>
      </c>
      <c r="M353" s="32"/>
      <c r="N353" s="35">
        <f t="shared" si="71"/>
        <v>0</v>
      </c>
      <c r="O353" s="36">
        <v>0</v>
      </c>
      <c r="P353" s="32"/>
      <c r="Q353" s="325">
        <f>'AVT101'!BI118</f>
        <v>0</v>
      </c>
      <c r="R353" s="32"/>
      <c r="S353" s="325">
        <f>'AVT139'!BI118</f>
        <v>0</v>
      </c>
      <c r="T353" s="32"/>
      <c r="U353" s="325">
        <f>'AVT187'!BI118</f>
        <v>0</v>
      </c>
      <c r="V353" s="32"/>
      <c r="W353" s="325">
        <f>'AVT251'!BI93</f>
        <v>0</v>
      </c>
      <c r="X353" s="32"/>
      <c r="Y353" s="325">
        <f>AVT187In!BI92</f>
        <v>0</v>
      </c>
      <c r="Z353" s="32"/>
      <c r="AA353" s="325">
        <f>'AVT101(vn-A)'!BI118</f>
        <v>0</v>
      </c>
      <c r="AB353" s="32"/>
      <c r="AC353" s="325">
        <f>'AVT139(vn-A)'!BI118</f>
        <v>0</v>
      </c>
      <c r="AD353" s="32"/>
      <c r="AE353" s="325">
        <f>'AVT187(vn-A)'!BI118</f>
        <v>0</v>
      </c>
      <c r="AF353" s="32"/>
      <c r="AG353" s="325">
        <f>'AVT187In(vn-A)'!BI92</f>
        <v>0</v>
      </c>
      <c r="AH353" s="32"/>
      <c r="AI353" s="325">
        <f>'AVT187(vn-S)'!BI118</f>
        <v>0</v>
      </c>
      <c r="AJ353" s="32"/>
      <c r="AK353" s="325">
        <f>'AVT187In(vn-S)'!BI92</f>
        <v>0</v>
      </c>
      <c r="AL353" s="32"/>
      <c r="AM353" s="325">
        <f>'AVT77'!BI63</f>
        <v>0</v>
      </c>
      <c r="AN353" s="32"/>
      <c r="AO353" s="32"/>
      <c r="AP353" s="32"/>
      <c r="AQ353" s="32"/>
      <c r="AR353" s="32"/>
      <c r="AS353" s="32"/>
      <c r="AT353" s="32"/>
      <c r="AU353" s="32"/>
      <c r="AV353" s="32"/>
      <c r="AW353" s="32"/>
      <c r="AX353" s="32"/>
      <c r="AY353" s="32"/>
      <c r="AZ353" s="32"/>
      <c r="BA353" s="32"/>
      <c r="BB353" s="32"/>
      <c r="BC353" s="32"/>
      <c r="BD353" s="32"/>
      <c r="BE353" s="32"/>
      <c r="BF353" s="32"/>
      <c r="BG353" s="32"/>
      <c r="BH353" s="32"/>
      <c r="BI353" s="32"/>
      <c r="BJ353" s="32"/>
      <c r="BK353" s="32"/>
      <c r="BL353" s="32"/>
      <c r="BM353" s="32"/>
      <c r="BN353" s="32"/>
      <c r="BO353" s="165"/>
      <c r="BP353" s="165"/>
      <c r="BQ353" s="165"/>
      <c r="BR353" s="165"/>
      <c r="BS353" s="165"/>
      <c r="BT353" s="165"/>
      <c r="BU353" s="165"/>
      <c r="BV353" s="55"/>
      <c r="BW353" s="160"/>
      <c r="BX353" s="32"/>
      <c r="BY353" s="24"/>
      <c r="BZ353" s="24"/>
      <c r="CA353" s="24"/>
      <c r="CB353" s="24"/>
      <c r="CC353" s="24"/>
      <c r="CD353" s="24"/>
      <c r="CE353" s="24"/>
    </row>
    <row r="354" spans="1:83" ht="15" customHeight="1">
      <c r="A354" s="4"/>
      <c r="B354" s="318">
        <f>CENY!B730</f>
        <v>9256922</v>
      </c>
      <c r="C354" s="43" t="str">
        <f>VLOOKUP(B354,CENY!$B$11:$G$1054,2,FALSE)</f>
        <v>Quadro You(M) 550/P2O 30kg; EB21; pravý</v>
      </c>
      <c r="D354" s="353">
        <f>VLOOKUP(B354,CENY!$B$11:$G$1054,3,FALSE)</f>
        <v>20</v>
      </c>
      <c r="E354" s="56" t="str">
        <f>IF(VLOOKUP(B354,CENY!$B$11:$G$1054,4,FALSE)=0,"",VLOOKUP(B354,CENY!$B$11:$G$1054,4,FALSE))</f>
        <v/>
      </c>
      <c r="F354" s="40" t="str">
        <f t="shared" si="70"/>
        <v/>
      </c>
      <c r="G354" s="52">
        <f>VLOOKUP(B354,CENY!$B$11:$M$1054,12,FALSE)</f>
        <v>277.60748999999998</v>
      </c>
      <c r="H354" s="54" t="str">
        <f t="shared" si="66"/>
        <v xml:space="preserve"> CZK</v>
      </c>
      <c r="I354" s="41" t="str">
        <f t="shared" si="67"/>
        <v/>
      </c>
      <c r="J354" s="122"/>
      <c r="K354" s="42" t="str">
        <f>VLOOKUP(B354,CENY!$B$11:$M$1054,8,FALSE)</f>
        <v xml:space="preserve"> </v>
      </c>
      <c r="L354" s="42" t="str">
        <f>VLOOKUP(B354,CENY!$B$11:$M$1054,9,FALSE)</f>
        <v>397847</v>
      </c>
      <c r="M354" s="32"/>
      <c r="N354" s="35">
        <f t="shared" si="71"/>
        <v>0</v>
      </c>
      <c r="O354" s="36">
        <v>0</v>
      </c>
      <c r="P354" s="32"/>
      <c r="Q354" s="325">
        <f>'AVT101'!BI119</f>
        <v>0</v>
      </c>
      <c r="R354" s="32"/>
      <c r="S354" s="325">
        <f>'AVT139'!BI119</f>
        <v>0</v>
      </c>
      <c r="T354" s="32"/>
      <c r="U354" s="325">
        <f>'AVT187'!BI119</f>
        <v>0</v>
      </c>
      <c r="V354" s="32"/>
      <c r="W354" s="325">
        <f>'AVT251'!BI94</f>
        <v>0</v>
      </c>
      <c r="X354" s="32"/>
      <c r="Y354" s="325">
        <f>AVT187In!BI93</f>
        <v>0</v>
      </c>
      <c r="Z354" s="32"/>
      <c r="AA354" s="325">
        <f>'AVT101(vn-A)'!BI119</f>
        <v>0</v>
      </c>
      <c r="AB354" s="32"/>
      <c r="AC354" s="325">
        <f>'AVT139(vn-A)'!BI119</f>
        <v>0</v>
      </c>
      <c r="AD354" s="32"/>
      <c r="AE354" s="325">
        <f>'AVT187(vn-A)'!BI119</f>
        <v>0</v>
      </c>
      <c r="AF354" s="32"/>
      <c r="AG354" s="325">
        <f>'AVT187In(vn-A)'!BI93</f>
        <v>0</v>
      </c>
      <c r="AH354" s="32"/>
      <c r="AI354" s="325">
        <f>'AVT187(vn-S)'!BI119</f>
        <v>0</v>
      </c>
      <c r="AJ354" s="32"/>
      <c r="AK354" s="325">
        <f>'AVT187In(vn-S)'!BI93</f>
        <v>0</v>
      </c>
      <c r="AL354" s="32"/>
      <c r="AM354" s="325">
        <f>'AVT77'!BI64</f>
        <v>0</v>
      </c>
      <c r="AN354" s="32"/>
      <c r="AO354" s="32"/>
      <c r="AP354" s="32"/>
      <c r="AQ354" s="32"/>
      <c r="AR354" s="32"/>
      <c r="AS354" s="32"/>
      <c r="AT354" s="32"/>
      <c r="AU354" s="32"/>
      <c r="AV354" s="32"/>
      <c r="AW354" s="32"/>
      <c r="AX354" s="32"/>
      <c r="AY354" s="32"/>
      <c r="AZ354" s="32"/>
      <c r="BA354" s="32"/>
      <c r="BB354" s="32"/>
      <c r="BC354" s="32"/>
      <c r="BD354" s="32"/>
      <c r="BE354" s="32"/>
      <c r="BF354" s="32"/>
      <c r="BG354" s="32"/>
      <c r="BH354" s="32"/>
      <c r="BI354" s="32"/>
      <c r="BJ354" s="32"/>
      <c r="BK354" s="32"/>
      <c r="BL354" s="32"/>
      <c r="BM354" s="32"/>
      <c r="BN354" s="32"/>
      <c r="BO354" s="165"/>
      <c r="BP354" s="165"/>
      <c r="BQ354" s="165"/>
      <c r="BR354" s="165"/>
      <c r="BS354" s="165"/>
      <c r="BT354" s="165"/>
      <c r="BU354" s="165"/>
      <c r="BV354" s="55"/>
      <c r="BW354" s="160"/>
      <c r="BX354" s="32"/>
      <c r="BY354" s="24"/>
      <c r="BZ354" s="24"/>
      <c r="CA354" s="24"/>
      <c r="CB354" s="24"/>
      <c r="CC354" s="24"/>
      <c r="CD354" s="24"/>
      <c r="CE354" s="24"/>
    </row>
    <row r="355" spans="1:83" ht="15" customHeight="1">
      <c r="A355" s="4"/>
      <c r="B355" s="318">
        <f>CENY!B731</f>
        <v>9256925</v>
      </c>
      <c r="C355" s="43" t="str">
        <f>VLOOKUP(B355,CENY!$B$11:$G$1054,2,FALSE)</f>
        <v>Quadro You(M) 600/P2O 25kg; EB21; ľavý</v>
      </c>
      <c r="D355" s="353">
        <f>VLOOKUP(B355,CENY!$B$11:$G$1054,3,FALSE)</f>
        <v>20</v>
      </c>
      <c r="E355" s="56" t="str">
        <f>IF(VLOOKUP(B355,CENY!$B$11:$G$1054,4,FALSE)=0,"",VLOOKUP(B355,CENY!$B$11:$G$1054,4,FALSE))</f>
        <v/>
      </c>
      <c r="F355" s="40" t="str">
        <f t="shared" si="70"/>
        <v/>
      </c>
      <c r="G355" s="52">
        <f>VLOOKUP(B355,CENY!$B$11:$M$1054,12,FALSE)</f>
        <v>282.45375999999999</v>
      </c>
      <c r="H355" s="54" t="str">
        <f t="shared" si="66"/>
        <v xml:space="preserve"> CZK</v>
      </c>
      <c r="I355" s="41" t="str">
        <f t="shared" si="67"/>
        <v/>
      </c>
      <c r="J355" s="122"/>
      <c r="K355" s="42" t="str">
        <f>VLOOKUP(B355,CENY!$B$11:$M$1054,8,FALSE)</f>
        <v xml:space="preserve"> </v>
      </c>
      <c r="L355" s="42" t="str">
        <f>VLOOKUP(B355,CENY!$B$11:$M$1054,9,FALSE)</f>
        <v>397848</v>
      </c>
      <c r="M355" s="32"/>
      <c r="N355" s="35">
        <f t="shared" si="71"/>
        <v>0</v>
      </c>
      <c r="O355" s="36">
        <v>0</v>
      </c>
      <c r="P355" s="32"/>
      <c r="Q355" s="325">
        <f>'AVT101'!BI120</f>
        <v>0</v>
      </c>
      <c r="R355" s="32"/>
      <c r="S355" s="325">
        <f>'AVT139'!BI120</f>
        <v>0</v>
      </c>
      <c r="T355" s="32"/>
      <c r="U355" s="325">
        <f>'AVT187'!BI120</f>
        <v>0</v>
      </c>
      <c r="V355" s="32"/>
      <c r="W355" s="325">
        <f>'AVT251'!BI95</f>
        <v>0</v>
      </c>
      <c r="X355" s="32"/>
      <c r="Y355" s="325">
        <f>AVT187In!BI94</f>
        <v>0</v>
      </c>
      <c r="Z355" s="32"/>
      <c r="AA355" s="325">
        <f>'AVT101(vn-A)'!BI120</f>
        <v>0</v>
      </c>
      <c r="AB355" s="32"/>
      <c r="AC355" s="325">
        <f>'AVT139(vn-A)'!BI120</f>
        <v>0</v>
      </c>
      <c r="AD355" s="32"/>
      <c r="AE355" s="325">
        <f>'AVT187(vn-A)'!BI120</f>
        <v>0</v>
      </c>
      <c r="AF355" s="32"/>
      <c r="AG355" s="325">
        <f>'AVT187In(vn-A)'!BI94</f>
        <v>0</v>
      </c>
      <c r="AH355" s="32"/>
      <c r="AI355" s="325">
        <f>'AVT187(vn-S)'!BI120</f>
        <v>0</v>
      </c>
      <c r="AJ355" s="32"/>
      <c r="AK355" s="325">
        <f>'AVT187In(vn-S)'!BI94</f>
        <v>0</v>
      </c>
      <c r="AL355" s="32"/>
      <c r="AM355" s="32"/>
      <c r="AN355" s="32"/>
      <c r="AO355" s="32"/>
      <c r="AP355" s="32"/>
      <c r="AQ355" s="32"/>
      <c r="AR355" s="32"/>
      <c r="AS355" s="32"/>
      <c r="AT355" s="32"/>
      <c r="AU355" s="32"/>
      <c r="AV355" s="32"/>
      <c r="AW355" s="32"/>
      <c r="AX355" s="32"/>
      <c r="AY355" s="32"/>
      <c r="AZ355" s="32"/>
      <c r="BA355" s="32"/>
      <c r="BB355" s="32"/>
      <c r="BC355" s="32"/>
      <c r="BD355" s="32"/>
      <c r="BE355" s="32"/>
      <c r="BF355" s="32"/>
      <c r="BG355" s="32"/>
      <c r="BH355" s="32"/>
      <c r="BI355" s="32"/>
      <c r="BJ355" s="32"/>
      <c r="BK355" s="32"/>
      <c r="BL355" s="32"/>
      <c r="BM355" s="32"/>
      <c r="BN355" s="32"/>
      <c r="BO355" s="165"/>
      <c r="BP355" s="165"/>
      <c r="BQ355" s="165"/>
      <c r="BR355" s="165"/>
      <c r="BS355" s="165"/>
      <c r="BT355" s="165"/>
      <c r="BU355" s="165"/>
      <c r="BV355" s="55"/>
      <c r="BW355" s="160"/>
      <c r="BX355" s="32"/>
      <c r="BY355" s="24"/>
      <c r="BZ355" s="24"/>
      <c r="CA355" s="24"/>
      <c r="CB355" s="24"/>
      <c r="CC355" s="24"/>
      <c r="CD355" s="24"/>
      <c r="CE355" s="24"/>
    </row>
    <row r="356" spans="1:83" ht="15" customHeight="1">
      <c r="A356" s="4"/>
      <c r="B356" s="318">
        <f>CENY!B732</f>
        <v>9256926</v>
      </c>
      <c r="C356" s="43" t="str">
        <f>VLOOKUP(B356,CENY!$B$11:$G$1054,2,FALSE)</f>
        <v>Quadro You(M) 600/P2O 25kg; EB21; pravý</v>
      </c>
      <c r="D356" s="353">
        <f>VLOOKUP(B356,CENY!$B$11:$G$1054,3,FALSE)</f>
        <v>20</v>
      </c>
      <c r="E356" s="56" t="str">
        <f>IF(VLOOKUP(B356,CENY!$B$11:$G$1054,4,FALSE)=0,"",VLOOKUP(B356,CENY!$B$11:$G$1054,4,FALSE))</f>
        <v/>
      </c>
      <c r="F356" s="40" t="str">
        <f t="shared" si="70"/>
        <v/>
      </c>
      <c r="G356" s="52">
        <f>VLOOKUP(B356,CENY!$B$11:$M$1054,12,FALSE)</f>
        <v>282.45375999999999</v>
      </c>
      <c r="H356" s="54" t="str">
        <f t="shared" si="66"/>
        <v xml:space="preserve"> CZK</v>
      </c>
      <c r="I356" s="41" t="str">
        <f t="shared" si="67"/>
        <v/>
      </c>
      <c r="J356" s="122"/>
      <c r="K356" s="42" t="str">
        <f>VLOOKUP(B356,CENY!$B$11:$M$1054,8,FALSE)</f>
        <v xml:space="preserve"> </v>
      </c>
      <c r="L356" s="42" t="str">
        <f>VLOOKUP(B356,CENY!$B$11:$M$1054,9,FALSE)</f>
        <v>397849</v>
      </c>
      <c r="M356" s="32"/>
      <c r="N356" s="35">
        <f t="shared" si="71"/>
        <v>0</v>
      </c>
      <c r="O356" s="36">
        <v>0</v>
      </c>
      <c r="P356" s="32"/>
      <c r="Q356" s="325">
        <f>'AVT101'!BI121</f>
        <v>0</v>
      </c>
      <c r="R356" s="32"/>
      <c r="S356" s="325">
        <f>'AVT139'!BI121</f>
        <v>0</v>
      </c>
      <c r="T356" s="32"/>
      <c r="U356" s="325">
        <f>'AVT187'!BI121</f>
        <v>0</v>
      </c>
      <c r="V356" s="32"/>
      <c r="W356" s="325">
        <f>'AVT251'!BI96</f>
        <v>0</v>
      </c>
      <c r="X356" s="32"/>
      <c r="Y356" s="325">
        <f>AVT187In!BI95</f>
        <v>0</v>
      </c>
      <c r="Z356" s="32"/>
      <c r="AA356" s="325">
        <f>'AVT101(vn-A)'!BI121</f>
        <v>0</v>
      </c>
      <c r="AB356" s="32"/>
      <c r="AC356" s="325">
        <f>'AVT139(vn-A)'!BI121</f>
        <v>0</v>
      </c>
      <c r="AD356" s="32"/>
      <c r="AE356" s="325">
        <f>'AVT187(vn-A)'!BI121</f>
        <v>0</v>
      </c>
      <c r="AF356" s="32"/>
      <c r="AG356" s="325">
        <f>'AVT187In(vn-A)'!BI95</f>
        <v>0</v>
      </c>
      <c r="AH356" s="32"/>
      <c r="AI356" s="325">
        <f>'AVT187(vn-S)'!BI121</f>
        <v>0</v>
      </c>
      <c r="AJ356" s="32"/>
      <c r="AK356" s="325">
        <f>'AVT187In(vn-S)'!BI95</f>
        <v>0</v>
      </c>
      <c r="AL356" s="32"/>
      <c r="AM356" s="32"/>
      <c r="AN356" s="32"/>
      <c r="AO356" s="32"/>
      <c r="AP356" s="32"/>
      <c r="AQ356" s="32"/>
      <c r="AR356" s="32"/>
      <c r="AS356" s="32"/>
      <c r="AT356" s="32"/>
      <c r="AU356" s="32"/>
      <c r="AV356" s="32"/>
      <c r="AW356" s="32"/>
      <c r="AX356" s="32"/>
      <c r="AY356" s="32"/>
      <c r="AZ356" s="32"/>
      <c r="BA356" s="32"/>
      <c r="BB356" s="32"/>
      <c r="BC356" s="32"/>
      <c r="BD356" s="32"/>
      <c r="BE356" s="32"/>
      <c r="BF356" s="32"/>
      <c r="BG356" s="32"/>
      <c r="BH356" s="32"/>
      <c r="BI356" s="32"/>
      <c r="BJ356" s="32"/>
      <c r="BK356" s="32"/>
      <c r="BL356" s="32"/>
      <c r="BM356" s="32"/>
      <c r="BN356" s="32"/>
      <c r="BO356" s="165"/>
      <c r="BP356" s="165"/>
      <c r="BQ356" s="165"/>
      <c r="BR356" s="165"/>
      <c r="BS356" s="165"/>
      <c r="BT356" s="165"/>
      <c r="BU356" s="165"/>
      <c r="BV356" s="55"/>
      <c r="BW356" s="160"/>
      <c r="BX356" s="32"/>
      <c r="BY356" s="24"/>
      <c r="BZ356" s="24"/>
      <c r="CA356" s="24"/>
      <c r="CB356" s="24"/>
      <c r="CC356" s="24"/>
      <c r="CD356" s="24"/>
      <c r="CE356" s="24"/>
    </row>
    <row r="357" spans="1:83" ht="8.1" customHeight="1">
      <c r="A357" s="4"/>
      <c r="B357" s="126"/>
      <c r="C357" s="43"/>
      <c r="D357" s="39"/>
      <c r="E357" s="56"/>
      <c r="F357" s="60"/>
      <c r="G357" s="52"/>
      <c r="H357" s="54"/>
      <c r="I357" s="41"/>
      <c r="J357" s="122"/>
      <c r="K357" s="42"/>
      <c r="L357" s="42"/>
      <c r="M357" s="32"/>
      <c r="N357" s="35"/>
      <c r="O357" s="36">
        <v>0</v>
      </c>
      <c r="P357" s="32"/>
      <c r="Q357" s="32"/>
      <c r="R357" s="32"/>
      <c r="S357" s="32"/>
      <c r="T357" s="32"/>
      <c r="U357" s="32"/>
      <c r="V357" s="32"/>
      <c r="W357" s="32"/>
      <c r="X357" s="32"/>
      <c r="Y357" s="32"/>
      <c r="Z357" s="32"/>
      <c r="AA357" s="32"/>
      <c r="AB357" s="32"/>
      <c r="AC357" s="32"/>
      <c r="AD357" s="32"/>
      <c r="AE357" s="32"/>
      <c r="AF357" s="32"/>
      <c r="AG357" s="32"/>
      <c r="AH357" s="32"/>
      <c r="AI357" s="32"/>
      <c r="AJ357" s="32"/>
      <c r="AK357" s="32"/>
      <c r="AL357" s="32"/>
      <c r="AM357" s="32"/>
      <c r="AN357" s="32"/>
      <c r="AO357" s="32"/>
      <c r="AP357" s="32"/>
      <c r="AQ357" s="32"/>
      <c r="AR357" s="32"/>
      <c r="AS357" s="32"/>
      <c r="AT357" s="32"/>
      <c r="AU357" s="32"/>
      <c r="AV357" s="32"/>
      <c r="AW357" s="32"/>
      <c r="AX357" s="32"/>
      <c r="AY357" s="32"/>
      <c r="AZ357" s="32"/>
      <c r="BA357" s="32"/>
      <c r="BB357" s="32"/>
      <c r="BC357" s="32"/>
      <c r="BD357" s="32"/>
      <c r="BE357" s="32"/>
      <c r="BF357" s="32"/>
      <c r="BG357" s="32"/>
      <c r="BH357" s="32"/>
      <c r="BI357" s="32"/>
      <c r="BJ357" s="32"/>
      <c r="BK357" s="32"/>
      <c r="BL357" s="32"/>
      <c r="BM357" s="32"/>
      <c r="BN357" s="32"/>
      <c r="BO357" s="165"/>
      <c r="BP357" s="165"/>
      <c r="BQ357" s="165"/>
      <c r="BR357" s="165"/>
      <c r="BS357" s="165"/>
      <c r="BT357" s="165"/>
      <c r="BU357" s="165"/>
      <c r="BV357" s="55"/>
      <c r="BW357" s="160"/>
      <c r="BX357" s="32"/>
      <c r="BY357" s="24"/>
      <c r="BZ357" s="24"/>
      <c r="CA357" s="24"/>
      <c r="CB357" s="24"/>
      <c r="CC357" s="24"/>
      <c r="CD357" s="24"/>
      <c r="CE357" s="24"/>
    </row>
    <row r="358" spans="1:83" ht="15" customHeight="1">
      <c r="A358" s="4"/>
      <c r="B358" s="318">
        <f>CENY!B734</f>
        <v>9219966</v>
      </c>
      <c r="C358" s="43" t="str">
        <f>VLOOKUP(B358,CENY!$B$11:$G$1054,2,FALSE)</f>
        <v>Push to open Synchro / adaptér typ A</v>
      </c>
      <c r="D358" s="354">
        <f>VLOOKUP(B358,CENY!$B$11:$G$1054,3,FALSE)</f>
        <v>200</v>
      </c>
      <c r="E358" s="56" t="str">
        <f>IF(VLOOKUP(B358,CENY!$B$11:$G$1054,4,FALSE)=0,"",VLOOKUP(B358,CENY!$B$11:$G$1054,4,FALSE))</f>
        <v/>
      </c>
      <c r="F358" s="40" t="str">
        <f>IF(J358&lt;&gt;"",J358,IF(N358=0,"",N358))</f>
        <v/>
      </c>
      <c r="G358" s="52">
        <f>VLOOKUP(B358,CENY!$B$11:$M$1054,12,FALSE)</f>
        <v>16.488900000000001</v>
      </c>
      <c r="H358" s="54" t="str">
        <f t="shared" si="66"/>
        <v xml:space="preserve"> CZK</v>
      </c>
      <c r="I358" s="41" t="str">
        <f t="shared" si="67"/>
        <v/>
      </c>
      <c r="J358" s="122"/>
      <c r="K358" s="42" t="str">
        <f>VLOOKUP(B358,CENY!$B$11:$M$1054,8,FALSE)</f>
        <v xml:space="preserve"> </v>
      </c>
      <c r="L358" s="42" t="str">
        <f>VLOOKUP(B358,CENY!$B$11:$M$1054,9,FALSE)</f>
        <v>318282</v>
      </c>
      <c r="M358" s="32"/>
      <c r="N358" s="35">
        <f t="shared" ref="N358:N381" si="72">SUM(P358:BW358)</f>
        <v>0</v>
      </c>
      <c r="O358" s="36">
        <v>0</v>
      </c>
      <c r="P358" s="325">
        <f>'AVT101'!AZ76</f>
        <v>0</v>
      </c>
      <c r="Q358" s="325">
        <f>'AVT101'!BI123</f>
        <v>0</v>
      </c>
      <c r="R358" s="325">
        <f>'AVT139'!AZ76</f>
        <v>0</v>
      </c>
      <c r="S358" s="325">
        <f>'AVT139'!BI123</f>
        <v>0</v>
      </c>
      <c r="T358" s="325">
        <f>'AVT187'!AZ76</f>
        <v>0</v>
      </c>
      <c r="U358" s="325">
        <f>'AVT187'!BI123</f>
        <v>0</v>
      </c>
      <c r="V358" s="325">
        <f>'AVT251'!AZ62</f>
        <v>0</v>
      </c>
      <c r="W358" s="325">
        <f>'AVT251'!BI98</f>
        <v>0</v>
      </c>
      <c r="X358" s="325">
        <f>AVT187In!AZ62</f>
        <v>0</v>
      </c>
      <c r="Y358" s="325">
        <f>AVT187In!BI97</f>
        <v>0</v>
      </c>
      <c r="Z358" s="325">
        <f>'AVT101(vn-A)'!AZ76</f>
        <v>0</v>
      </c>
      <c r="AA358" s="325">
        <f>'AVT101(vn-A)'!BI123</f>
        <v>0</v>
      </c>
      <c r="AB358" s="325">
        <f>'AVT139(vn-A)'!AZ76</f>
        <v>0</v>
      </c>
      <c r="AC358" s="325">
        <f>'AVT139(vn-A)'!BI123</f>
        <v>0</v>
      </c>
      <c r="AD358" s="325">
        <f>'AVT187(vn-A)'!AZ76</f>
        <v>0</v>
      </c>
      <c r="AE358" s="325">
        <f>'AVT187(vn-A)'!BI123</f>
        <v>0</v>
      </c>
      <c r="AF358" s="325">
        <f>'AVT187In(vn-A)'!AZ62</f>
        <v>0</v>
      </c>
      <c r="AG358" s="325">
        <f>'AVT187In(vn-A)'!BI97</f>
        <v>0</v>
      </c>
      <c r="AH358" s="325">
        <f>'AVT187(vn-S)'!AZ76</f>
        <v>0</v>
      </c>
      <c r="AI358" s="325">
        <f>'AVT187(vn-S)'!BI123</f>
        <v>0</v>
      </c>
      <c r="AJ358" s="325">
        <f>'AVT187In(vn-S)'!AZ62</f>
        <v>0</v>
      </c>
      <c r="AK358" s="325">
        <f>'AVT187In(vn-S)'!BI97</f>
        <v>0</v>
      </c>
      <c r="AL358" s="325">
        <f>'AVT77'!AZ44</f>
        <v>0</v>
      </c>
      <c r="AM358" s="325">
        <f>'AVT77'!BI66</f>
        <v>0</v>
      </c>
      <c r="AN358" s="32"/>
      <c r="AO358" s="32"/>
      <c r="AP358" s="32"/>
      <c r="AQ358" s="32"/>
      <c r="AR358" s="32"/>
      <c r="AS358" s="32"/>
      <c r="AT358" s="32"/>
      <c r="AU358" s="32"/>
      <c r="AV358" s="32"/>
      <c r="AW358" s="32"/>
      <c r="AX358" s="32"/>
      <c r="AY358" s="32"/>
      <c r="AZ358" s="32"/>
      <c r="BA358" s="32"/>
      <c r="BB358" s="32"/>
      <c r="BC358" s="32"/>
      <c r="BD358" s="32"/>
      <c r="BE358" s="32"/>
      <c r="BF358" s="32"/>
      <c r="BG358" s="32"/>
      <c r="BH358" s="32"/>
      <c r="BI358" s="32"/>
      <c r="BJ358" s="32"/>
      <c r="BK358" s="32"/>
      <c r="BL358" s="32"/>
      <c r="BM358" s="32"/>
      <c r="BN358" s="32"/>
      <c r="BO358" s="165"/>
      <c r="BP358" s="165"/>
      <c r="BQ358" s="165"/>
      <c r="BR358" s="165"/>
      <c r="BS358" s="165"/>
      <c r="BT358" s="165"/>
      <c r="BU358" s="165"/>
      <c r="BV358" s="55"/>
      <c r="BW358" s="160"/>
      <c r="BX358" s="32"/>
      <c r="BY358" s="24"/>
      <c r="BZ358" s="24"/>
      <c r="CA358" s="24"/>
      <c r="CB358" s="24"/>
      <c r="CC358" s="24"/>
      <c r="CD358" s="24"/>
      <c r="CE358" s="24"/>
    </row>
    <row r="359" spans="1:83" ht="8.1" customHeight="1">
      <c r="A359" s="4"/>
      <c r="B359" s="126"/>
      <c r="C359" s="43"/>
      <c r="D359" s="39"/>
      <c r="E359" s="56"/>
      <c r="F359" s="60"/>
      <c r="G359" s="52"/>
      <c r="H359" s="54"/>
      <c r="I359" s="41"/>
      <c r="J359" s="122"/>
      <c r="K359" s="42"/>
      <c r="L359" s="42"/>
      <c r="M359" s="32"/>
      <c r="N359" s="35">
        <f t="shared" si="72"/>
        <v>0</v>
      </c>
      <c r="O359" s="36">
        <v>0</v>
      </c>
      <c r="P359" s="32"/>
      <c r="Q359" s="32"/>
      <c r="R359" s="32"/>
      <c r="S359" s="32"/>
      <c r="T359" s="32"/>
      <c r="U359" s="32"/>
      <c r="V359" s="32"/>
      <c r="W359" s="32"/>
      <c r="X359" s="32"/>
      <c r="Y359" s="32"/>
      <c r="Z359" s="32"/>
      <c r="AA359" s="32"/>
      <c r="AB359" s="32"/>
      <c r="AC359" s="32"/>
      <c r="AD359" s="32"/>
      <c r="AE359" s="32"/>
      <c r="AF359" s="32"/>
      <c r="AG359" s="32"/>
      <c r="AH359" s="32"/>
      <c r="AI359" s="32"/>
      <c r="AJ359" s="32"/>
      <c r="AK359" s="32"/>
      <c r="AL359" s="32"/>
      <c r="AM359" s="32"/>
      <c r="AN359" s="32"/>
      <c r="AO359" s="32"/>
      <c r="AP359" s="32"/>
      <c r="AQ359" s="32"/>
      <c r="AR359" s="32"/>
      <c r="AS359" s="32"/>
      <c r="AT359" s="32"/>
      <c r="AU359" s="32"/>
      <c r="AV359" s="32"/>
      <c r="AW359" s="32"/>
      <c r="AX359" s="32"/>
      <c r="AY359" s="32"/>
      <c r="AZ359" s="32"/>
      <c r="BA359" s="32"/>
      <c r="BB359" s="32"/>
      <c r="BC359" s="32"/>
      <c r="BD359" s="32"/>
      <c r="BE359" s="32"/>
      <c r="BF359" s="32"/>
      <c r="BG359" s="32"/>
      <c r="BH359" s="32"/>
      <c r="BI359" s="32"/>
      <c r="BJ359" s="32"/>
      <c r="BK359" s="32"/>
      <c r="BL359" s="32"/>
      <c r="BM359" s="32"/>
      <c r="BN359" s="32"/>
      <c r="BO359" s="37"/>
      <c r="BP359" s="37"/>
      <c r="BQ359" s="37"/>
      <c r="BR359" s="37"/>
      <c r="BS359" s="37"/>
      <c r="BT359" s="37"/>
      <c r="BU359" s="37"/>
      <c r="BV359" s="32"/>
      <c r="BW359" s="38"/>
      <c r="BX359" s="32"/>
      <c r="BY359" s="24"/>
      <c r="BZ359" s="24"/>
      <c r="CA359" s="24"/>
      <c r="CB359" s="24"/>
      <c r="CC359" s="24"/>
      <c r="CD359" s="24"/>
      <c r="CE359" s="24"/>
    </row>
    <row r="360" spans="1:83" ht="15" customHeight="1">
      <c r="A360" s="4"/>
      <c r="B360" s="317">
        <f>CENY!B602</f>
        <v>9278225</v>
      </c>
      <c r="C360" s="43" t="str">
        <f>VLOOKUP(B360,CENY!$B$11:$G$1054,2,FALSE)</f>
        <v>Skrutka s polgul.hlavou 3,5x6,5mm</v>
      </c>
      <c r="D360" s="353">
        <f>VLOOKUP(B360,CENY!$B$11:$G$1054,3,FALSE)</f>
        <v>200</v>
      </c>
      <c r="E360" s="56" t="str">
        <f>IF(VLOOKUP(B360,CENY!$B$11:$G$1054,4,FALSE)=0,"",VLOOKUP(B360,CENY!$B$11:$G$1054,4,FALSE))</f>
        <v/>
      </c>
      <c r="F360" s="40" t="str">
        <f t="shared" ref="F360:F365" si="73">IF(J360&lt;&gt;"",J360,IF(N360=0,"",N360))</f>
        <v/>
      </c>
      <c r="G360" s="52">
        <f>VLOOKUP(B360,CENY!$B$11:$M$1054,12,FALSE)</f>
        <v>0</v>
      </c>
      <c r="H360" s="54" t="str">
        <f t="shared" ref="H360:H365" si="74">IF(G360="","",$H$22)</f>
        <v xml:space="preserve"> CZK</v>
      </c>
      <c r="I360" s="41" t="str">
        <f t="shared" ref="I360:I365" si="75">IF(F360="","",G360*F360)</f>
        <v/>
      </c>
      <c r="J360" s="122"/>
      <c r="K360" s="42" t="str">
        <f>VLOOKUP(B360,CENY!$B$11:$M$1054,8,FALSE)</f>
        <v xml:space="preserve"> </v>
      </c>
      <c r="L360" s="42">
        <f>VLOOKUP(B360,CENY!$B$11:$M$1054,9,FALSE)</f>
        <v>0</v>
      </c>
      <c r="M360" s="32"/>
      <c r="N360" s="35">
        <f t="shared" si="72"/>
        <v>0</v>
      </c>
      <c r="O360" s="36">
        <v>0</v>
      </c>
      <c r="P360" s="32"/>
      <c r="Q360" s="32"/>
      <c r="R360" s="32"/>
      <c r="S360" s="32"/>
      <c r="T360" s="32"/>
      <c r="U360" s="32"/>
      <c r="V360" s="32"/>
      <c r="W360" s="32"/>
      <c r="X360" s="32"/>
      <c r="Y360" s="32"/>
      <c r="Z360" s="32"/>
      <c r="AA360" s="32"/>
      <c r="AB360" s="32"/>
      <c r="AC360" s="32"/>
      <c r="AD360" s="32"/>
      <c r="AE360" s="32"/>
      <c r="AF360" s="32"/>
      <c r="AG360" s="32"/>
      <c r="AH360" s="32"/>
      <c r="AI360" s="32"/>
      <c r="AJ360" s="32"/>
      <c r="AK360" s="32"/>
      <c r="AL360" s="325">
        <f>'AVT77'!AZ70</f>
        <v>0</v>
      </c>
      <c r="AM360" s="325">
        <f>'AVT77'!BI70</f>
        <v>0</v>
      </c>
      <c r="AN360" s="32"/>
      <c r="AO360" s="32"/>
      <c r="AP360" s="32"/>
      <c r="AQ360" s="32"/>
      <c r="AR360" s="32"/>
      <c r="AS360" s="32"/>
      <c r="AT360" s="32"/>
      <c r="AU360" s="32"/>
      <c r="AV360" s="32"/>
      <c r="AW360" s="32"/>
      <c r="AX360" s="32"/>
      <c r="AY360" s="32"/>
      <c r="AZ360" s="32"/>
      <c r="BA360" s="32"/>
      <c r="BB360" s="32"/>
      <c r="BC360" s="32"/>
      <c r="BD360" s="32"/>
      <c r="BE360" s="32"/>
      <c r="BF360" s="32"/>
      <c r="BG360" s="32"/>
      <c r="BH360" s="32"/>
      <c r="BI360" s="32"/>
      <c r="BJ360" s="32"/>
      <c r="BK360" s="32"/>
      <c r="BL360" s="32"/>
      <c r="BM360" s="32"/>
      <c r="BN360" s="32"/>
      <c r="BO360" s="37"/>
      <c r="BP360" s="37"/>
      <c r="BQ360" s="37"/>
      <c r="BR360" s="37"/>
      <c r="BS360" s="37"/>
      <c r="BT360" s="37"/>
      <c r="BU360" s="37"/>
      <c r="BV360" s="32"/>
      <c r="BW360" s="38"/>
      <c r="BX360" s="32"/>
      <c r="BY360" s="24"/>
      <c r="BZ360" s="24"/>
      <c r="CA360" s="24"/>
      <c r="CB360" s="24"/>
      <c r="CC360" s="24"/>
      <c r="CD360" s="24"/>
      <c r="CE360" s="24"/>
    </row>
    <row r="361" spans="1:83" ht="15" customHeight="1">
      <c r="A361" s="4"/>
      <c r="B361" s="317">
        <f>CENY!B603</f>
        <v>45167</v>
      </c>
      <c r="C361" s="43" t="str">
        <f>VLOOKUP(B361,CENY!$B$11:$G$1054,2,FALSE)</f>
        <v>Skrutka s polgul.hlavou 3,5x12mm</v>
      </c>
      <c r="D361" s="353">
        <f>VLOOKUP(B361,CENY!$B$11:$G$1054,3,FALSE)</f>
        <v>200</v>
      </c>
      <c r="E361" s="56" t="str">
        <f>IF(VLOOKUP(B361,CENY!$B$11:$G$1054,4,FALSE)=0,"",VLOOKUP(B361,CENY!$B$11:$G$1054,4,FALSE))</f>
        <v/>
      </c>
      <c r="F361" s="40" t="str">
        <f t="shared" si="73"/>
        <v/>
      </c>
      <c r="G361" s="52">
        <f>VLOOKUP(B361,CENY!$B$11:$M$1054,12,FALSE)</f>
        <v>0.84719999999999995</v>
      </c>
      <c r="H361" s="54" t="str">
        <f t="shared" si="74"/>
        <v xml:space="preserve"> CZK</v>
      </c>
      <c r="I361" s="41" t="str">
        <f t="shared" si="75"/>
        <v/>
      </c>
      <c r="J361" s="122"/>
      <c r="K361" s="42" t="str">
        <f>VLOOKUP(B361,CENY!$B$11:$M$1054,8,FALSE)</f>
        <v xml:space="preserve"> </v>
      </c>
      <c r="L361" s="42" t="str">
        <f>VLOOKUP(B361,CENY!$B$11:$M$1054,9,FALSE)</f>
        <v>119084</v>
      </c>
      <c r="M361" s="32"/>
      <c r="N361" s="35">
        <f t="shared" si="72"/>
        <v>0</v>
      </c>
      <c r="O361" s="36">
        <v>0</v>
      </c>
      <c r="P361" s="325">
        <f>'AVT101'!AZ127</f>
        <v>0</v>
      </c>
      <c r="Q361" s="325">
        <f>'AVT101'!BI127</f>
        <v>0</v>
      </c>
      <c r="R361" s="325">
        <f>'AVT139'!AZ119</f>
        <v>0</v>
      </c>
      <c r="S361" s="325">
        <f>'AVT139'!BI127</f>
        <v>0</v>
      </c>
      <c r="T361" s="325">
        <f>'AVT187'!AZ127</f>
        <v>0</v>
      </c>
      <c r="U361" s="325">
        <f>'AVT187'!BI127</f>
        <v>0</v>
      </c>
      <c r="V361" s="325">
        <f>'AVT251'!AZ102</f>
        <v>0</v>
      </c>
      <c r="W361" s="325">
        <f>'AVT251'!BI102</f>
        <v>0</v>
      </c>
      <c r="X361" s="325">
        <f>AVT187In!AZ101</f>
        <v>0</v>
      </c>
      <c r="Y361" s="325">
        <f>AVT187In!BI101</f>
        <v>0</v>
      </c>
      <c r="Z361" s="325">
        <f>'AVT101(vn-A)'!AZ133</f>
        <v>0</v>
      </c>
      <c r="AA361" s="325">
        <f>'AVT101(vn-A)'!BI133</f>
        <v>0</v>
      </c>
      <c r="AB361" s="325">
        <f>'AVT139(vn-A)'!AZ125</f>
        <v>0</v>
      </c>
      <c r="AC361" s="325">
        <f>'AVT139(vn-A)'!BI133</f>
        <v>0</v>
      </c>
      <c r="AD361" s="325">
        <f>'AVT187(vn-A)'!AZ133</f>
        <v>0</v>
      </c>
      <c r="AE361" s="325">
        <f>'AVT187(vn-A)'!BI133</f>
        <v>0</v>
      </c>
      <c r="AF361" s="325">
        <f>'AVT187In(vn-A)'!AZ107</f>
        <v>0</v>
      </c>
      <c r="AG361" s="325">
        <f>'AVT187In(vn-A)'!BI107</f>
        <v>0</v>
      </c>
      <c r="AH361" s="325">
        <f>'AVT187(vn-S)'!AZ139</f>
        <v>0</v>
      </c>
      <c r="AI361" s="325">
        <f>'AVT187(vn-S)'!BI139</f>
        <v>0</v>
      </c>
      <c r="AJ361" s="325">
        <f>'AVT187In(vn-S)'!AZ113</f>
        <v>0</v>
      </c>
      <c r="AK361" s="325">
        <f>'AVT187In(vn-S)'!BI113</f>
        <v>0</v>
      </c>
      <c r="AL361" s="32"/>
      <c r="AM361" s="325">
        <f>'AVT77'!BI71</f>
        <v>0</v>
      </c>
      <c r="AN361" s="325">
        <f>'AVT-celny-101+187'!AZ104</f>
        <v>0</v>
      </c>
      <c r="AO361" s="325">
        <f>'AVT-celny-101+187'!BI104</f>
        <v>0</v>
      </c>
      <c r="AP361" s="325">
        <f>'AVT-celny-139+187'!AZ88</f>
        <v>0</v>
      </c>
      <c r="AQ361" s="325">
        <f>'AVT-celny-139+187'!BI88</f>
        <v>0</v>
      </c>
      <c r="AR361" s="325">
        <f>'AVT-celny-2x187'!AZ84</f>
        <v>0</v>
      </c>
      <c r="AS361" s="325">
        <f>'AVT-celny-2x187'!BI84</f>
        <v>0</v>
      </c>
      <c r="AT361" s="325">
        <f>'AVT-celny-2x187In'!AZ70</f>
        <v>0</v>
      </c>
      <c r="AU361" s="325">
        <f>'AVT-celny-2x187In'!BI70</f>
        <v>0</v>
      </c>
      <c r="AV361" s="325">
        <f>'potr-v101+187'!AZ142</f>
        <v>0</v>
      </c>
      <c r="AW361" s="325">
        <f>'potr-v101+187'!BI149</f>
        <v>0</v>
      </c>
      <c r="AX361" s="325">
        <f>'potr-v101+187-IL'!AZ142</f>
        <v>0</v>
      </c>
      <c r="AY361" s="325">
        <f>'potr-v101+187-IL'!BI149</f>
        <v>0</v>
      </c>
      <c r="AZ361" s="32"/>
      <c r="BA361" s="32"/>
      <c r="BB361" s="32"/>
      <c r="BC361" s="32"/>
      <c r="BD361" s="32"/>
      <c r="BE361" s="32"/>
      <c r="BF361" s="32"/>
      <c r="BG361" s="32"/>
      <c r="BH361" s="32"/>
      <c r="BI361" s="32"/>
      <c r="BJ361" s="32"/>
      <c r="BK361" s="32"/>
      <c r="BL361" s="32"/>
      <c r="BM361" s="32"/>
      <c r="BN361" s="32"/>
      <c r="BO361" s="37"/>
      <c r="BP361" s="37"/>
      <c r="BQ361" s="37"/>
      <c r="BR361" s="37"/>
      <c r="BS361" s="37"/>
      <c r="BT361" s="37"/>
      <c r="BU361" s="37"/>
      <c r="BV361" s="32"/>
      <c r="BW361" s="38"/>
      <c r="BX361" s="32"/>
      <c r="BY361" s="24"/>
      <c r="BZ361" s="24"/>
      <c r="CA361" s="24"/>
      <c r="CB361" s="24"/>
      <c r="CC361" s="24"/>
      <c r="CD361" s="24"/>
      <c r="CE361" s="24"/>
    </row>
    <row r="362" spans="1:83" ht="15" customHeight="1">
      <c r="A362" s="4"/>
      <c r="B362" s="317">
        <f>CENY!B604</f>
        <v>45168</v>
      </c>
      <c r="C362" s="43" t="str">
        <f>VLOOKUP(B362,CENY!$B$11:$G$1054,2,FALSE)</f>
        <v>Skrutka s polgul.hlavou 3,5x20mm</v>
      </c>
      <c r="D362" s="353">
        <f>VLOOKUP(B362,CENY!$B$11:$G$1054,3,FALSE)</f>
        <v>200</v>
      </c>
      <c r="E362" s="56" t="str">
        <f>IF(VLOOKUP(B362,CENY!$B$11:$G$1054,4,FALSE)=0,"",VLOOKUP(B362,CENY!$B$11:$G$1054,4,FALSE))</f>
        <v/>
      </c>
      <c r="F362" s="40" t="str">
        <f t="shared" si="73"/>
        <v/>
      </c>
      <c r="G362" s="52">
        <f>VLOOKUP(B362,CENY!$B$11:$M$1054,12,FALSE)</f>
        <v>1.2154199999999999</v>
      </c>
      <c r="H362" s="54" t="str">
        <f t="shared" si="74"/>
        <v xml:space="preserve"> CZK</v>
      </c>
      <c r="I362" s="41" t="str">
        <f t="shared" si="75"/>
        <v/>
      </c>
      <c r="J362" s="122"/>
      <c r="K362" s="42" t="str">
        <f>VLOOKUP(B362,CENY!$B$11:$M$1054,8,FALSE)</f>
        <v xml:space="preserve"> </v>
      </c>
      <c r="L362" s="42" t="str">
        <f>VLOOKUP(B362,CENY!$B$11:$M$1054,9,FALSE)</f>
        <v>177538</v>
      </c>
      <c r="M362" s="32"/>
      <c r="N362" s="35">
        <f t="shared" si="72"/>
        <v>0</v>
      </c>
      <c r="O362" s="36">
        <v>0</v>
      </c>
      <c r="P362" s="32"/>
      <c r="Q362" s="325">
        <f>'AVT101'!BI128</f>
        <v>0</v>
      </c>
      <c r="R362" s="32"/>
      <c r="S362" s="325">
        <f>'AVT139'!BI128</f>
        <v>0</v>
      </c>
      <c r="T362" s="32"/>
      <c r="U362" s="325">
        <f>'AVT187'!BI128</f>
        <v>0</v>
      </c>
      <c r="V362" s="32"/>
      <c r="W362" s="325">
        <f>'AVT251'!BI103</f>
        <v>0</v>
      </c>
      <c r="X362" s="32"/>
      <c r="Y362" s="325">
        <f>AVT187In!BI102</f>
        <v>0</v>
      </c>
      <c r="Z362" s="32"/>
      <c r="AA362" s="32"/>
      <c r="AB362" s="32"/>
      <c r="AC362" s="32"/>
      <c r="AD362" s="32"/>
      <c r="AE362" s="32"/>
      <c r="AF362" s="32"/>
      <c r="AG362" s="32"/>
      <c r="AH362" s="32"/>
      <c r="AI362" s="32"/>
      <c r="AJ362" s="32"/>
      <c r="AK362" s="32"/>
      <c r="AL362" s="32"/>
      <c r="AM362" s="325">
        <f>'AVT77'!BI72</f>
        <v>0</v>
      </c>
      <c r="AN362" s="32"/>
      <c r="AO362" s="325">
        <f>'AVT-celny-101+187'!BI105</f>
        <v>0</v>
      </c>
      <c r="AP362" s="32"/>
      <c r="AQ362" s="325">
        <f>'AVT-celny-139+187'!BI89</f>
        <v>0</v>
      </c>
      <c r="AR362" s="32"/>
      <c r="AS362" s="325">
        <f>'AVT-celny-2x187'!BI85</f>
        <v>0</v>
      </c>
      <c r="AT362" s="32"/>
      <c r="AU362" s="325">
        <f>'AVT-celny-2x187In'!BI71</f>
        <v>0</v>
      </c>
      <c r="AV362" s="32"/>
      <c r="AW362" s="325">
        <f>'potr-v101+187'!BI150</f>
        <v>0</v>
      </c>
      <c r="AX362" s="32"/>
      <c r="AY362" s="325">
        <f>'potr-v101+187-IL'!BI150</f>
        <v>0</v>
      </c>
      <c r="AZ362" s="32"/>
      <c r="BA362" s="32"/>
      <c r="BB362" s="32"/>
      <c r="BC362" s="32"/>
      <c r="BD362" s="32"/>
      <c r="BE362" s="32"/>
      <c r="BF362" s="32"/>
      <c r="BG362" s="32"/>
      <c r="BH362" s="32"/>
      <c r="BI362" s="32"/>
      <c r="BJ362" s="32"/>
      <c r="BK362" s="32"/>
      <c r="BL362" s="32"/>
      <c r="BM362" s="32"/>
      <c r="BN362" s="32"/>
      <c r="BO362" s="37"/>
      <c r="BP362" s="37"/>
      <c r="BQ362" s="37"/>
      <c r="BR362" s="37"/>
      <c r="BS362" s="37"/>
      <c r="BT362" s="37"/>
      <c r="BU362" s="37"/>
      <c r="BV362" s="32"/>
      <c r="BW362" s="38"/>
      <c r="BX362" s="32"/>
      <c r="BY362" s="24"/>
      <c r="BZ362" s="24"/>
      <c r="CA362" s="24"/>
      <c r="CB362" s="24"/>
      <c r="CC362" s="24"/>
      <c r="CD362" s="24"/>
      <c r="CE362" s="24"/>
    </row>
    <row r="363" spans="1:83" ht="15" customHeight="1">
      <c r="A363" s="4"/>
      <c r="B363" s="317">
        <f>CENY!B605</f>
        <v>9278224</v>
      </c>
      <c r="C363" s="43" t="str">
        <f>VLOOKUP(B363,CENY!$B$11:$G$1054,2,FALSE)</f>
        <v>Skrutka s polgul.hlavou 3,5x30mm</v>
      </c>
      <c r="D363" s="353">
        <f>VLOOKUP(B363,CENY!$B$11:$G$1054,3,FALSE)</f>
        <v>200</v>
      </c>
      <c r="E363" s="56" t="str">
        <f>IF(VLOOKUP(B363,CENY!$B$11:$G$1054,4,FALSE)=0,"",VLOOKUP(B363,CENY!$B$11:$G$1054,4,FALSE))</f>
        <v/>
      </c>
      <c r="F363" s="40" t="str">
        <f t="shared" si="73"/>
        <v/>
      </c>
      <c r="G363" s="52">
        <f>VLOOKUP(B363,CENY!$B$11:$M$1054,12,FALSE)</f>
        <v>0.89337999999999995</v>
      </c>
      <c r="H363" s="54" t="str">
        <f t="shared" si="74"/>
        <v xml:space="preserve"> CZK</v>
      </c>
      <c r="I363" s="41" t="str">
        <f t="shared" si="75"/>
        <v/>
      </c>
      <c r="J363" s="122"/>
      <c r="K363" s="42" t="str">
        <f>VLOOKUP(B363,CENY!$B$11:$M$1054,8,FALSE)</f>
        <v xml:space="preserve"> </v>
      </c>
      <c r="L363" s="42" t="str">
        <f>VLOOKUP(B363,CENY!$B$11:$M$1054,9,FALSE)</f>
        <v>518511</v>
      </c>
      <c r="M363" s="32"/>
      <c r="N363" s="35">
        <f t="shared" si="72"/>
        <v>0</v>
      </c>
      <c r="O363" s="36">
        <v>0</v>
      </c>
      <c r="P363" s="32"/>
      <c r="Q363" s="325">
        <f>'AVT101'!BI129</f>
        <v>0</v>
      </c>
      <c r="R363" s="32"/>
      <c r="S363" s="325">
        <f>'AVT139'!BI129</f>
        <v>0</v>
      </c>
      <c r="T363" s="32"/>
      <c r="U363" s="325">
        <f>'AVT187'!BI129</f>
        <v>0</v>
      </c>
      <c r="V363" s="32"/>
      <c r="W363" s="325">
        <f>'AVT251'!BI104</f>
        <v>0</v>
      </c>
      <c r="X363" s="32"/>
      <c r="Y363" s="325">
        <f>AVT187In!BI103</f>
        <v>0</v>
      </c>
      <c r="Z363" s="32"/>
      <c r="AA363" s="325">
        <f>'AVT101(vn-A)'!BI135</f>
        <v>0</v>
      </c>
      <c r="AB363" s="32"/>
      <c r="AC363" s="325">
        <f>'AVT139(vn-A)'!BI135</f>
        <v>0</v>
      </c>
      <c r="AD363" s="32"/>
      <c r="AE363" s="325">
        <f>'AVT187(vn-A)'!BI135</f>
        <v>0</v>
      </c>
      <c r="AF363" s="32"/>
      <c r="AG363" s="325">
        <f>'AVT187In(vn-A)'!BI109</f>
        <v>0</v>
      </c>
      <c r="AH363" s="32"/>
      <c r="AI363" s="325">
        <f>'AVT187(vn-S)'!BI141</f>
        <v>0</v>
      </c>
      <c r="AJ363" s="32"/>
      <c r="AK363" s="325">
        <f>'AVT187In(vn-S)'!BI115</f>
        <v>0</v>
      </c>
      <c r="AL363" s="32"/>
      <c r="AM363" s="325">
        <f>'AVT77'!BI73</f>
        <v>0</v>
      </c>
      <c r="AN363" s="32"/>
      <c r="AO363" s="325">
        <f>'AVT-celny-101+187'!BI106</f>
        <v>0</v>
      </c>
      <c r="AP363" s="32"/>
      <c r="AQ363" s="325">
        <f>'AVT-celny-139+187'!BI90</f>
        <v>0</v>
      </c>
      <c r="AR363" s="32"/>
      <c r="AS363" s="325">
        <f>'AVT-celny-2x187'!BI86</f>
        <v>0</v>
      </c>
      <c r="AT363" s="32"/>
      <c r="AU363" s="325">
        <f>'AVT-celny-2x187In'!BI72</f>
        <v>0</v>
      </c>
      <c r="AV363" s="32"/>
      <c r="AW363" s="325">
        <f>'potr-v101+187'!BI151</f>
        <v>0</v>
      </c>
      <c r="AX363" s="32"/>
      <c r="AY363" s="325">
        <f>'potr-v101+187-IL'!BI151</f>
        <v>0</v>
      </c>
      <c r="AZ363" s="32"/>
      <c r="BA363" s="32"/>
      <c r="BB363" s="32"/>
      <c r="BC363" s="32"/>
      <c r="BD363" s="32"/>
      <c r="BE363" s="32"/>
      <c r="BF363" s="32"/>
      <c r="BG363" s="32"/>
      <c r="BH363" s="32"/>
      <c r="BI363" s="32"/>
      <c r="BJ363" s="32"/>
      <c r="BK363" s="32"/>
      <c r="BL363" s="32"/>
      <c r="BM363" s="32"/>
      <c r="BN363" s="32"/>
      <c r="BO363" s="37"/>
      <c r="BP363" s="37"/>
      <c r="BQ363" s="37"/>
      <c r="BR363" s="37"/>
      <c r="BS363" s="37"/>
      <c r="BT363" s="37"/>
      <c r="BU363" s="37"/>
      <c r="BV363" s="32"/>
      <c r="BW363" s="38"/>
      <c r="BX363" s="32"/>
      <c r="BY363" s="24"/>
      <c r="BZ363" s="24"/>
      <c r="CA363" s="24"/>
      <c r="CB363" s="24"/>
      <c r="CC363" s="24"/>
      <c r="CD363" s="24"/>
      <c r="CE363" s="24"/>
    </row>
    <row r="364" spans="1:83" ht="15" customHeight="1">
      <c r="A364" s="4"/>
      <c r="B364" s="317">
        <f>CENY!B606</f>
        <v>9279197</v>
      </c>
      <c r="C364" s="43" t="str">
        <f>VLOOKUP(B364,CENY!$B$11:$G$1054,2,FALSE)</f>
        <v>Skrutka s polgul.hlavou M3,5x12mm</v>
      </c>
      <c r="D364" s="353">
        <f>VLOOKUP(B364,CENY!$B$11:$G$1054,3,FALSE)</f>
        <v>1000</v>
      </c>
      <c r="E364" s="56" t="str">
        <f>IF(VLOOKUP(B364,CENY!$B$11:$G$1054,4,FALSE)=0,"",VLOOKUP(B364,CENY!$B$11:$G$1054,4,FALSE))</f>
        <v/>
      </c>
      <c r="F364" s="40" t="str">
        <f t="shared" si="73"/>
        <v/>
      </c>
      <c r="G364" s="52">
        <f>VLOOKUP(B364,CENY!$B$11:$M$1054,12,FALSE)</f>
        <v>0</v>
      </c>
      <c r="H364" s="54" t="str">
        <f t="shared" si="74"/>
        <v xml:space="preserve"> CZK</v>
      </c>
      <c r="I364" s="41" t="str">
        <f t="shared" si="75"/>
        <v/>
      </c>
      <c r="J364" s="122"/>
      <c r="K364" s="42" t="str">
        <f>VLOOKUP(B364,CENY!$B$11:$M$1054,8,FALSE)</f>
        <v xml:space="preserve"> </v>
      </c>
      <c r="L364" s="42">
        <f>VLOOKUP(B364,CENY!$B$11:$M$1054,9,FALSE)</f>
        <v>0</v>
      </c>
      <c r="M364" s="32"/>
      <c r="N364" s="35">
        <f t="shared" si="72"/>
        <v>0</v>
      </c>
      <c r="O364" s="36">
        <v>0</v>
      </c>
      <c r="P364" s="32"/>
      <c r="Q364" s="32"/>
      <c r="R364" s="32"/>
      <c r="S364" s="32"/>
      <c r="T364" s="32"/>
      <c r="U364" s="32"/>
      <c r="V364" s="32"/>
      <c r="W364" s="32"/>
      <c r="X364" s="32"/>
      <c r="Y364" s="32"/>
      <c r="Z364" s="32"/>
      <c r="AA364" s="325">
        <f>'AVT101(vn-A)'!BI136</f>
        <v>0</v>
      </c>
      <c r="AB364" s="32"/>
      <c r="AC364" s="325">
        <f>'AVT139(vn-A)'!BI136</f>
        <v>0</v>
      </c>
      <c r="AD364" s="32"/>
      <c r="AE364" s="325">
        <f>'AVT187(vn-A)'!BI136</f>
        <v>0</v>
      </c>
      <c r="AF364" s="32"/>
      <c r="AG364" s="325">
        <f>'AVT187In(vn-A)'!BI110</f>
        <v>0</v>
      </c>
      <c r="AH364" s="32"/>
      <c r="AI364" s="32"/>
      <c r="AJ364" s="32"/>
      <c r="AK364" s="32"/>
      <c r="AL364" s="32"/>
      <c r="AM364" s="32"/>
      <c r="AN364" s="32"/>
      <c r="AO364" s="32"/>
      <c r="AP364" s="32"/>
      <c r="AQ364" s="32"/>
      <c r="AR364" s="32"/>
      <c r="AS364" s="32"/>
      <c r="AT364" s="32"/>
      <c r="AU364" s="32"/>
      <c r="AV364" s="32"/>
      <c r="AW364" s="325">
        <f>'potr-v101+187'!BI152</f>
        <v>0</v>
      </c>
      <c r="AX364" s="32"/>
      <c r="AY364" s="325">
        <f>'potr-v101+187-IL'!BI152</f>
        <v>0</v>
      </c>
      <c r="AZ364" s="32"/>
      <c r="BA364" s="32"/>
      <c r="BB364" s="32"/>
      <c r="BC364" s="32"/>
      <c r="BD364" s="32"/>
      <c r="BE364" s="32"/>
      <c r="BF364" s="32"/>
      <c r="BG364" s="32"/>
      <c r="BH364" s="32"/>
      <c r="BI364" s="32"/>
      <c r="BJ364" s="32"/>
      <c r="BK364" s="32"/>
      <c r="BL364" s="32"/>
      <c r="BM364" s="32"/>
      <c r="BN364" s="32"/>
      <c r="BO364" s="37"/>
      <c r="BP364" s="37"/>
      <c r="BQ364" s="37"/>
      <c r="BR364" s="37"/>
      <c r="BS364" s="37"/>
      <c r="BT364" s="37"/>
      <c r="BU364" s="37"/>
      <c r="BV364" s="32"/>
      <c r="BW364" s="38"/>
      <c r="BX364" s="32"/>
      <c r="BY364" s="24"/>
      <c r="BZ364" s="24"/>
      <c r="CA364" s="24"/>
      <c r="CB364" s="24"/>
      <c r="CC364" s="24"/>
      <c r="CD364" s="24"/>
      <c r="CE364" s="24"/>
    </row>
    <row r="365" spans="1:83" ht="15" customHeight="1">
      <c r="A365" s="4"/>
      <c r="B365" s="317">
        <f>CENY!B607</f>
        <v>9137114</v>
      </c>
      <c r="C365" s="43" t="str">
        <f>VLOOKUP(B365,CENY!$B$11:$G$1054,2,FALSE)</f>
        <v>EURO-skrutka  6,0x14mm / niklovaná</v>
      </c>
      <c r="D365" s="353">
        <f>VLOOKUP(B365,CENY!$B$11:$G$1054,3,FALSE)</f>
        <v>200</v>
      </c>
      <c r="E365" s="56" t="str">
        <f>IF(VLOOKUP(B365,CENY!$B$11:$G$1054,4,FALSE)=0,"",VLOOKUP(B365,CENY!$B$11:$G$1054,4,FALSE))</f>
        <v/>
      </c>
      <c r="F365" s="40" t="str">
        <f t="shared" si="73"/>
        <v/>
      </c>
      <c r="G365" s="52">
        <f>VLOOKUP(B365,CENY!$B$11:$M$1054,12,FALSE)</f>
        <v>1.8839300000000001</v>
      </c>
      <c r="H365" s="54" t="str">
        <f t="shared" si="74"/>
        <v xml:space="preserve"> CZK</v>
      </c>
      <c r="I365" s="41" t="str">
        <f t="shared" si="75"/>
        <v/>
      </c>
      <c r="J365" s="122"/>
      <c r="K365" s="42" t="str">
        <f>VLOOKUP(B365,CENY!$B$11:$M$1054,8,FALSE)</f>
        <v xml:space="preserve"> </v>
      </c>
      <c r="L365" s="42" t="str">
        <f>VLOOKUP(B365,CENY!$B$11:$M$1054,9,FALSE)</f>
        <v>210282</v>
      </c>
      <c r="M365" s="32"/>
      <c r="N365" s="35">
        <f t="shared" si="72"/>
        <v>0</v>
      </c>
      <c r="O365" s="36">
        <v>0</v>
      </c>
      <c r="P365" s="325">
        <f>'AVT101'!AZ131</f>
        <v>0</v>
      </c>
      <c r="Q365" s="325">
        <f>'AVT101'!BI131</f>
        <v>0</v>
      </c>
      <c r="R365" s="325">
        <f>'AVT139'!AZ123</f>
        <v>0</v>
      </c>
      <c r="S365" s="325">
        <f>'AVT139'!BI131</f>
        <v>0</v>
      </c>
      <c r="T365" s="325">
        <f>'AVT187'!AZ131</f>
        <v>0</v>
      </c>
      <c r="U365" s="325">
        <f>'AVT187'!BI131</f>
        <v>0</v>
      </c>
      <c r="V365" s="325">
        <f>'AVT251'!AZ106</f>
        <v>0</v>
      </c>
      <c r="W365" s="325">
        <f>'AVT251'!BI106</f>
        <v>0</v>
      </c>
      <c r="X365" s="325">
        <f>AVT187In!AZ105</f>
        <v>0</v>
      </c>
      <c r="Y365" s="325">
        <f>AVT187In!BI105</f>
        <v>0</v>
      </c>
      <c r="Z365" s="325">
        <f>'AVT101(vn-A)'!AZ137</f>
        <v>0</v>
      </c>
      <c r="AA365" s="325">
        <f>'AVT101(vn-A)'!BI137</f>
        <v>0</v>
      </c>
      <c r="AB365" s="325">
        <f>'AVT139(vn-A)'!AZ129</f>
        <v>0</v>
      </c>
      <c r="AC365" s="325">
        <f>'AVT139(vn-A)'!BI137</f>
        <v>0</v>
      </c>
      <c r="AD365" s="325">
        <f>'AVT187(vn-A)'!AZ137</f>
        <v>0</v>
      </c>
      <c r="AE365" s="325">
        <f>'AVT187(vn-A)'!BI137</f>
        <v>0</v>
      </c>
      <c r="AF365" s="325">
        <f>'AVT187In(vn-A)'!AZ111</f>
        <v>0</v>
      </c>
      <c r="AG365" s="325">
        <f>'AVT187In(vn-A)'!BI111</f>
        <v>0</v>
      </c>
      <c r="AH365" s="325">
        <f>'AVT187(vn-S)'!AZ143</f>
        <v>0</v>
      </c>
      <c r="AI365" s="325">
        <f>'AVT187(vn-S)'!BI143</f>
        <v>0</v>
      </c>
      <c r="AJ365" s="325">
        <f>'AVT187In(vn-S)'!AZ117</f>
        <v>0</v>
      </c>
      <c r="AK365" s="325">
        <f>'AVT187In(vn-S)'!BI117</f>
        <v>0</v>
      </c>
      <c r="AL365" s="325">
        <f>'AVT77'!AZ75</f>
        <v>0</v>
      </c>
      <c r="AM365" s="325">
        <f>'AVT77'!BI75</f>
        <v>0</v>
      </c>
      <c r="AN365" s="325">
        <f>'AVT-celny-101+187'!AZ108</f>
        <v>0</v>
      </c>
      <c r="AO365" s="325">
        <f>'AVT-celny-101+187'!BI108</f>
        <v>0</v>
      </c>
      <c r="AP365" s="325">
        <f>'AVT-celny-139+187'!AZ92</f>
        <v>0</v>
      </c>
      <c r="AQ365" s="325">
        <f>'AVT-celny-139+187'!BI92</f>
        <v>0</v>
      </c>
      <c r="AR365" s="325">
        <f>'AVT-celny-2x187'!AZ88</f>
        <v>0</v>
      </c>
      <c r="AS365" s="325">
        <f>'AVT-celny-2x187'!BI88</f>
        <v>0</v>
      </c>
      <c r="AT365" s="325">
        <f>'AVT-celny-2x187In'!AZ74</f>
        <v>0</v>
      </c>
      <c r="AU365" s="325">
        <f>'AVT-celny-2x187In'!BI74</f>
        <v>0</v>
      </c>
      <c r="AV365" s="325">
        <f>'potr-v101+187'!AZ146</f>
        <v>0</v>
      </c>
      <c r="AW365" s="325">
        <f>'potr-v101+187'!BI153</f>
        <v>0</v>
      </c>
      <c r="AX365" s="325">
        <f>'potr-v101+187-IL'!AZ146</f>
        <v>0</v>
      </c>
      <c r="AY365" s="325">
        <f>'potr-v101+187-IL'!BI153</f>
        <v>0</v>
      </c>
      <c r="AZ365" s="32"/>
      <c r="BA365" s="32"/>
      <c r="BB365" s="32"/>
      <c r="BC365" s="32"/>
      <c r="BD365" s="32"/>
      <c r="BE365" s="32"/>
      <c r="BF365" s="32"/>
      <c r="BG365" s="32"/>
      <c r="BH365" s="32"/>
      <c r="BI365" s="32"/>
      <c r="BJ365" s="32"/>
      <c r="BK365" s="32"/>
      <c r="BL365" s="32"/>
      <c r="BM365" s="32"/>
      <c r="BN365" s="32"/>
      <c r="BO365" s="37"/>
      <c r="BP365" s="37"/>
      <c r="BQ365" s="37"/>
      <c r="BR365" s="37"/>
      <c r="BS365" s="37"/>
      <c r="BT365" s="37"/>
      <c r="BU365" s="37"/>
      <c r="BV365" s="32"/>
      <c r="BW365" s="38"/>
      <c r="BX365" s="32"/>
      <c r="BY365" s="24"/>
      <c r="BZ365" s="24"/>
      <c r="CA365" s="24"/>
      <c r="CB365" s="24"/>
      <c r="CC365" s="24"/>
      <c r="CD365" s="24"/>
      <c r="CE365" s="24"/>
    </row>
    <row r="366" spans="1:83" ht="8.1" customHeight="1">
      <c r="A366" s="4"/>
      <c r="B366" s="126"/>
      <c r="C366" s="43"/>
      <c r="D366" s="39"/>
      <c r="E366" s="56"/>
      <c r="F366" s="60"/>
      <c r="G366" s="52"/>
      <c r="H366" s="54"/>
      <c r="I366" s="41"/>
      <c r="J366" s="122"/>
      <c r="K366" s="42"/>
      <c r="L366" s="42"/>
      <c r="M366" s="32"/>
      <c r="N366" s="35">
        <f t="shared" si="72"/>
        <v>0</v>
      </c>
      <c r="O366" s="36">
        <v>0</v>
      </c>
      <c r="P366" s="32"/>
      <c r="Q366" s="32"/>
      <c r="R366" s="32"/>
      <c r="S366" s="32"/>
      <c r="T366" s="32"/>
      <c r="U366" s="32"/>
      <c r="V366" s="32"/>
      <c r="W366" s="32"/>
      <c r="X366" s="32"/>
      <c r="Y366" s="32"/>
      <c r="Z366" s="32"/>
      <c r="AA366" s="32"/>
      <c r="AB366" s="32"/>
      <c r="AC366" s="32"/>
      <c r="AD366" s="32"/>
      <c r="AE366" s="32"/>
      <c r="AF366" s="32"/>
      <c r="AG366" s="32"/>
      <c r="AH366" s="32"/>
      <c r="AI366" s="32"/>
      <c r="AJ366" s="32"/>
      <c r="AK366" s="32"/>
      <c r="AL366" s="32"/>
      <c r="AM366" s="32"/>
      <c r="AN366" s="32"/>
      <c r="AO366" s="32"/>
      <c r="AP366" s="32"/>
      <c r="AQ366" s="32"/>
      <c r="AR366" s="32"/>
      <c r="AS366" s="32"/>
      <c r="AT366" s="32"/>
      <c r="AU366" s="32"/>
      <c r="AV366" s="32"/>
      <c r="AW366" s="32"/>
      <c r="AX366" s="32"/>
      <c r="AY366" s="32"/>
      <c r="AZ366" s="32"/>
      <c r="BA366" s="32"/>
      <c r="BB366" s="32"/>
      <c r="BC366" s="32"/>
      <c r="BD366" s="32"/>
      <c r="BE366" s="32"/>
      <c r="BF366" s="32"/>
      <c r="BG366" s="32"/>
      <c r="BH366" s="32"/>
      <c r="BI366" s="32"/>
      <c r="BJ366" s="32"/>
      <c r="BK366" s="32"/>
      <c r="BL366" s="32"/>
      <c r="BM366" s="32"/>
      <c r="BN366" s="32"/>
      <c r="BO366" s="37"/>
      <c r="BP366" s="37"/>
      <c r="BQ366" s="37"/>
      <c r="BR366" s="37"/>
      <c r="BS366" s="37"/>
      <c r="BT366" s="37"/>
      <c r="BU366" s="37"/>
      <c r="BV366" s="32"/>
      <c r="BW366" s="38"/>
      <c r="BX366" s="32"/>
      <c r="BY366" s="24"/>
      <c r="BZ366" s="24"/>
      <c r="CA366" s="24"/>
      <c r="CB366" s="24"/>
      <c r="CC366" s="24"/>
      <c r="CD366" s="24"/>
      <c r="CE366" s="24"/>
    </row>
    <row r="367" spans="1:83" ht="15" customHeight="1">
      <c r="A367" s="4"/>
      <c r="B367" s="39">
        <f>CENY!B1049</f>
        <v>9099540</v>
      </c>
      <c r="C367" s="43" t="str">
        <f>VLOOKUP(B367,CENY!$B$11:$G$1054,2,FALSE)</f>
        <v>SENSYS 8657i 165st. B12,5/TH52</v>
      </c>
      <c r="D367" s="39">
        <f>VLOOKUP(B367,CENY!$B$11:$G$1054,3,FALSE)</f>
        <v>50</v>
      </c>
      <c r="E367" s="56" t="str">
        <f>IF(VLOOKUP(B367,CENY!$B$11:$G$1054,4,FALSE)=0,"",VLOOKUP(B367,CENY!$B$11:$G$1054,4,FALSE))</f>
        <v/>
      </c>
      <c r="F367" s="40" t="str">
        <f>IF(J367&lt;&gt;"",J367,IF(N367=0,"",N367))</f>
        <v/>
      </c>
      <c r="G367" s="52">
        <f>VLOOKUP(B367,CENY!$B$11:$M$1054,12,FALSE)</f>
        <v>141.95956000000001</v>
      </c>
      <c r="H367" s="54" t="str">
        <f t="shared" ref="H367:H371" si="76">IF(G367="","",$H$22)</f>
        <v xml:space="preserve"> CZK</v>
      </c>
      <c r="I367" s="41" t="str">
        <f t="shared" ref="I367:I371" si="77">IF(F367="","",G367*F367)</f>
        <v/>
      </c>
      <c r="J367" s="122"/>
      <c r="K367" s="42" t="str">
        <f>VLOOKUP(B367,CENY!$B$11:$M$1054,8,FALSE)</f>
        <v xml:space="preserve"> </v>
      </c>
      <c r="L367" s="42" t="str">
        <f>VLOOKUP(B367,CENY!$B$11:$M$1054,9,FALSE)</f>
        <v>264246</v>
      </c>
      <c r="M367" s="32"/>
      <c r="N367" s="35">
        <f t="shared" si="72"/>
        <v>0</v>
      </c>
      <c r="O367" s="36">
        <v>0</v>
      </c>
      <c r="P367" s="32"/>
      <c r="Q367" s="32"/>
      <c r="R367" s="32"/>
      <c r="S367" s="32"/>
      <c r="T367" s="32"/>
      <c r="U367" s="32"/>
      <c r="V367" s="32"/>
      <c r="W367" s="32"/>
      <c r="X367" s="32"/>
      <c r="Y367" s="32"/>
      <c r="Z367" s="32"/>
      <c r="AA367" s="32"/>
      <c r="AB367" s="32"/>
      <c r="AC367" s="32"/>
      <c r="AD367" s="32"/>
      <c r="AE367" s="32"/>
      <c r="AF367" s="32"/>
      <c r="AG367" s="32"/>
      <c r="AH367" s="32"/>
      <c r="AI367" s="32"/>
      <c r="AJ367" s="32"/>
      <c r="AK367" s="32"/>
      <c r="AL367" s="32"/>
      <c r="AM367" s="32"/>
      <c r="AN367" s="32"/>
      <c r="AO367" s="32"/>
      <c r="AP367" s="32"/>
      <c r="AQ367" s="32"/>
      <c r="AR367" s="32"/>
      <c r="AS367" s="32"/>
      <c r="AT367" s="32"/>
      <c r="AU367" s="32"/>
      <c r="AV367" s="32"/>
      <c r="AW367" s="32"/>
      <c r="AX367" s="32"/>
      <c r="AY367" s="32"/>
      <c r="AZ367" s="32"/>
      <c r="BA367" s="32"/>
      <c r="BB367" s="32"/>
      <c r="BC367" s="32"/>
      <c r="BD367" s="32"/>
      <c r="BE367" s="32"/>
      <c r="BF367" s="32"/>
      <c r="BG367" s="32"/>
      <c r="BH367" s="32"/>
      <c r="BI367" s="32"/>
      <c r="BJ367" s="32"/>
      <c r="BK367" s="32"/>
      <c r="BL367" s="32"/>
      <c r="BM367" s="32"/>
      <c r="BN367" s="32"/>
      <c r="BO367" s="37"/>
      <c r="BP367" s="37"/>
      <c r="BQ367" s="37"/>
      <c r="BR367" s="37"/>
      <c r="BS367" s="37"/>
      <c r="BT367" s="37"/>
      <c r="BU367" s="37"/>
      <c r="BV367" s="32"/>
      <c r="BW367" s="32"/>
      <c r="BX367" s="32"/>
      <c r="BY367" s="24"/>
      <c r="BZ367" s="24"/>
      <c r="CA367" s="24"/>
      <c r="CB367" s="24"/>
      <c r="CC367" s="24"/>
      <c r="CD367" s="24"/>
      <c r="CE367" s="24"/>
    </row>
    <row r="368" spans="1:83" ht="15" customHeight="1">
      <c r="A368" s="4"/>
      <c r="B368" s="39">
        <f>CENY!B1050</f>
        <v>9099600</v>
      </c>
      <c r="C368" s="43" t="str">
        <f>VLOOKUP(B368,CENY!$B$11:$G$1054,2,FALSE)</f>
        <v>SENSYS 8657 165st. B12,5/TH52 (bez SiSy)</v>
      </c>
      <c r="D368" s="39">
        <f>VLOOKUP(B368,CENY!$B$11:$G$1054,3,FALSE)</f>
        <v>50</v>
      </c>
      <c r="E368" s="56" t="str">
        <f>IF(VLOOKUP(B368,CENY!$B$11:$G$1054,4,FALSE)=0,"",VLOOKUP(B368,CENY!$B$11:$G$1054,4,FALSE))</f>
        <v/>
      </c>
      <c r="F368" s="40" t="str">
        <f>IF(J368&lt;&gt;"",J368,IF(F367="","",0))</f>
        <v/>
      </c>
      <c r="G368" s="52">
        <f>VLOOKUP(B368,CENY!$B$11:$M$1054,12,FALSE)</f>
        <v>129.61077</v>
      </c>
      <c r="H368" s="54" t="str">
        <f t="shared" si="76"/>
        <v xml:space="preserve"> CZK</v>
      </c>
      <c r="I368" s="41" t="str">
        <f t="shared" si="77"/>
        <v/>
      </c>
      <c r="J368" s="122"/>
      <c r="K368" s="42" t="str">
        <f>VLOOKUP(B368,CENY!$B$11:$M$1054,8,FALSE)</f>
        <v xml:space="preserve"> </v>
      </c>
      <c r="L368" s="42" t="str">
        <f>VLOOKUP(B368,CENY!$B$11:$M$1054,9,FALSE)</f>
        <v>264266</v>
      </c>
      <c r="M368" s="32"/>
      <c r="N368" s="35">
        <f t="shared" si="72"/>
        <v>0</v>
      </c>
      <c r="O368" s="36">
        <v>0</v>
      </c>
      <c r="P368" s="32"/>
      <c r="Q368" s="32"/>
      <c r="R368" s="32"/>
      <c r="S368" s="32"/>
      <c r="T368" s="32"/>
      <c r="U368" s="32"/>
      <c r="V368" s="32"/>
      <c r="W368" s="32"/>
      <c r="X368" s="32"/>
      <c r="Y368" s="32"/>
      <c r="Z368" s="32"/>
      <c r="AA368" s="32"/>
      <c r="AB368" s="32"/>
      <c r="AC368" s="32"/>
      <c r="AD368" s="32"/>
      <c r="AE368" s="32"/>
      <c r="AF368" s="32"/>
      <c r="AG368" s="32"/>
      <c r="AH368" s="32"/>
      <c r="AI368" s="32"/>
      <c r="AJ368" s="32"/>
      <c r="AK368" s="32"/>
      <c r="AL368" s="32"/>
      <c r="AM368" s="32"/>
      <c r="AN368" s="32"/>
      <c r="AO368" s="32"/>
      <c r="AP368" s="32"/>
      <c r="AQ368" s="32"/>
      <c r="AR368" s="32"/>
      <c r="AS368" s="32"/>
      <c r="AT368" s="32"/>
      <c r="AU368" s="32"/>
      <c r="AV368" s="32"/>
      <c r="AW368" s="32"/>
      <c r="AX368" s="32"/>
      <c r="AY368" s="32"/>
      <c r="AZ368" s="32"/>
      <c r="BA368" s="32"/>
      <c r="BB368" s="32"/>
      <c r="BC368" s="32"/>
      <c r="BD368" s="32"/>
      <c r="BE368" s="32"/>
      <c r="BF368" s="32"/>
      <c r="BG368" s="32"/>
      <c r="BH368" s="32"/>
      <c r="BI368" s="32"/>
      <c r="BJ368" s="32"/>
      <c r="BK368" s="32"/>
      <c r="BL368" s="32"/>
      <c r="BM368" s="32"/>
      <c r="BN368" s="32"/>
      <c r="BO368" s="37"/>
      <c r="BP368" s="37"/>
      <c r="BQ368" s="37"/>
      <c r="BR368" s="37"/>
      <c r="BS368" s="37"/>
      <c r="BT368" s="37"/>
      <c r="BU368" s="37"/>
      <c r="BV368" s="32"/>
      <c r="BW368" s="32"/>
      <c r="BX368" s="32"/>
      <c r="BY368" s="24"/>
      <c r="BZ368" s="24"/>
      <c r="CA368" s="24"/>
      <c r="CB368" s="24"/>
      <c r="CC368" s="24"/>
      <c r="CD368" s="24"/>
      <c r="CE368" s="24"/>
    </row>
    <row r="369" spans="1:83" ht="15" customHeight="1">
      <c r="A369" s="4"/>
      <c r="B369" s="39">
        <f>CENY!B1051</f>
        <v>9099660</v>
      </c>
      <c r="C369" s="43" t="str">
        <f>VLOOKUP(B369,CENY!$B$11:$G$1054,2,FALSE)</f>
        <v>SENSYS 8687 165st. B12,5/TH52 (pre P2O)</v>
      </c>
      <c r="D369" s="39">
        <f>VLOOKUP(B369,CENY!$B$11:$G$1054,3,FALSE)</f>
        <v>50</v>
      </c>
      <c r="E369" s="56" t="str">
        <f>IF(VLOOKUP(B369,CENY!$B$11:$G$1054,4,FALSE)=0,"",VLOOKUP(B369,CENY!$B$11:$G$1054,4,FALSE))</f>
        <v/>
      </c>
      <c r="F369" s="40" t="str">
        <f>IF(J369&lt;&gt;"",J369,IF(F367="","",0))</f>
        <v/>
      </c>
      <c r="G369" s="52">
        <f>VLOOKUP(B369,CENY!$B$11:$M$1054,12,FALSE)</f>
        <v>134.40997999999999</v>
      </c>
      <c r="H369" s="54" t="str">
        <f t="shared" si="76"/>
        <v xml:space="preserve"> CZK</v>
      </c>
      <c r="I369" s="41" t="str">
        <f t="shared" si="77"/>
        <v/>
      </c>
      <c r="J369" s="122"/>
      <c r="K369" s="42" t="str">
        <f>VLOOKUP(B369,CENY!$B$11:$M$1054,8,FALSE)</f>
        <v xml:space="preserve"> </v>
      </c>
      <c r="L369" s="42" t="str">
        <f>VLOOKUP(B369,CENY!$B$11:$M$1054,9,FALSE)</f>
        <v>264278</v>
      </c>
      <c r="M369" s="32"/>
      <c r="N369" s="35">
        <f t="shared" si="72"/>
        <v>0</v>
      </c>
      <c r="O369" s="36">
        <v>0</v>
      </c>
      <c r="P369" s="32"/>
      <c r="Q369" s="32"/>
      <c r="R369" s="32"/>
      <c r="S369" s="32"/>
      <c r="T369" s="32"/>
      <c r="U369" s="32"/>
      <c r="V369" s="32"/>
      <c r="W369" s="32"/>
      <c r="X369" s="32"/>
      <c r="Y369" s="32"/>
      <c r="Z369" s="32"/>
      <c r="AA369" s="32"/>
      <c r="AB369" s="32"/>
      <c r="AC369" s="32"/>
      <c r="AD369" s="32"/>
      <c r="AE369" s="32"/>
      <c r="AF369" s="32"/>
      <c r="AG369" s="32"/>
      <c r="AH369" s="32"/>
      <c r="AI369" s="32"/>
      <c r="AJ369" s="32"/>
      <c r="AK369" s="32"/>
      <c r="AL369" s="32"/>
      <c r="AM369" s="32"/>
      <c r="AN369" s="32"/>
      <c r="AO369" s="32"/>
      <c r="AP369" s="32"/>
      <c r="AQ369" s="32"/>
      <c r="AR369" s="32"/>
      <c r="AS369" s="32"/>
      <c r="AT369" s="32"/>
      <c r="AU369" s="32"/>
      <c r="AV369" s="32"/>
      <c r="AW369" s="32"/>
      <c r="AX369" s="32"/>
      <c r="AY369" s="32"/>
      <c r="AZ369" s="32"/>
      <c r="BA369" s="32"/>
      <c r="BB369" s="32"/>
      <c r="BC369" s="32"/>
      <c r="BD369" s="32"/>
      <c r="BE369" s="32"/>
      <c r="BF369" s="32"/>
      <c r="BG369" s="32"/>
      <c r="BH369" s="32"/>
      <c r="BI369" s="32"/>
      <c r="BJ369" s="32"/>
      <c r="BK369" s="32"/>
      <c r="BL369" s="32"/>
      <c r="BM369" s="32"/>
      <c r="BN369" s="32"/>
      <c r="BO369" s="37"/>
      <c r="BP369" s="37"/>
      <c r="BQ369" s="37"/>
      <c r="BR369" s="37"/>
      <c r="BS369" s="37"/>
      <c r="BT369" s="37"/>
      <c r="BU369" s="37"/>
      <c r="BV369" s="32"/>
      <c r="BW369" s="32"/>
      <c r="BX369" s="32"/>
      <c r="BY369" s="24"/>
      <c r="BZ369" s="24"/>
      <c r="CA369" s="24"/>
      <c r="CB369" s="24"/>
      <c r="CC369" s="24"/>
      <c r="CD369" s="24"/>
      <c r="CE369" s="24"/>
    </row>
    <row r="370" spans="1:83" ht="15" customHeight="1">
      <c r="A370" s="4"/>
      <c r="B370" s="39">
        <f>CENY!B1052</f>
        <v>9071576</v>
      </c>
      <c r="C370" s="43" t="str">
        <f>VLOOKUP(B370,CENY!$B$11:$G$1054,2,FALSE)</f>
        <v>Podložka SENSYS k naskrut./D=1,5 mm</v>
      </c>
      <c r="D370" s="39">
        <f>VLOOKUP(B370,CENY!$B$11:$G$1054,3,FALSE)</f>
        <v>200</v>
      </c>
      <c r="E370" s="56" t="str">
        <f>IF(VLOOKUP(B370,CENY!$B$11:$G$1054,4,FALSE)=0,"",VLOOKUP(B370,CENY!$B$11:$G$1054,4,FALSE))</f>
        <v/>
      </c>
      <c r="F370" s="40" t="str">
        <f>IF(J370&lt;&gt;"",J370,IF(N370=0,"",N370))</f>
        <v/>
      </c>
      <c r="G370" s="52">
        <f>VLOOKUP(B370,CENY!$B$11:$M$1054,12,FALSE)</f>
        <v>8.1449099999999994</v>
      </c>
      <c r="H370" s="54" t="str">
        <f t="shared" si="76"/>
        <v xml:space="preserve"> CZK</v>
      </c>
      <c r="I370" s="41" t="str">
        <f t="shared" si="77"/>
        <v/>
      </c>
      <c r="J370" s="122"/>
      <c r="K370" s="42" t="str">
        <f>VLOOKUP(B370,CENY!$B$11:$M$1054,8,FALSE)</f>
        <v xml:space="preserve"> </v>
      </c>
      <c r="L370" s="42" t="str">
        <f>VLOOKUP(B370,CENY!$B$11:$M$1054,9,FALSE)</f>
        <v>106403</v>
      </c>
      <c r="M370" s="32"/>
      <c r="N370" s="35">
        <f t="shared" si="72"/>
        <v>0</v>
      </c>
      <c r="O370" s="36">
        <v>0</v>
      </c>
      <c r="P370" s="32"/>
      <c r="Q370" s="32"/>
      <c r="R370" s="32"/>
      <c r="S370" s="32"/>
      <c r="T370" s="32"/>
      <c r="U370" s="32"/>
      <c r="V370" s="32"/>
      <c r="W370" s="32"/>
      <c r="X370" s="32"/>
      <c r="Y370" s="32"/>
      <c r="Z370" s="32"/>
      <c r="AA370" s="32"/>
      <c r="AB370" s="32"/>
      <c r="AC370" s="32"/>
      <c r="AD370" s="32"/>
      <c r="AE370" s="32"/>
      <c r="AF370" s="32"/>
      <c r="AG370" s="32"/>
      <c r="AH370" s="32"/>
      <c r="AI370" s="32"/>
      <c r="AJ370" s="32"/>
      <c r="AK370" s="32"/>
      <c r="AL370" s="32"/>
      <c r="AM370" s="32"/>
      <c r="AN370" s="32"/>
      <c r="AO370" s="32"/>
      <c r="AP370" s="32"/>
      <c r="AQ370" s="32"/>
      <c r="AR370" s="32"/>
      <c r="AS370" s="32"/>
      <c r="AT370" s="32"/>
      <c r="AU370" s="32"/>
      <c r="AV370" s="32"/>
      <c r="AW370" s="32"/>
      <c r="AX370" s="32"/>
      <c r="AY370" s="32"/>
      <c r="AZ370" s="32"/>
      <c r="BA370" s="32"/>
      <c r="BB370" s="32"/>
      <c r="BC370" s="32"/>
      <c r="BD370" s="32"/>
      <c r="BE370" s="32"/>
      <c r="BF370" s="32"/>
      <c r="BG370" s="32"/>
      <c r="BH370" s="32"/>
      <c r="BI370" s="32"/>
      <c r="BJ370" s="32"/>
      <c r="BK370" s="32"/>
      <c r="BL370" s="32"/>
      <c r="BM370" s="32"/>
      <c r="BN370" s="32"/>
      <c r="BO370" s="37"/>
      <c r="BP370" s="37"/>
      <c r="BQ370" s="37"/>
      <c r="BR370" s="37"/>
      <c r="BS370" s="37"/>
      <c r="BT370" s="37"/>
      <c r="BU370" s="37"/>
      <c r="BV370" s="32"/>
      <c r="BW370" s="32"/>
      <c r="BX370" s="32"/>
      <c r="BY370" s="24"/>
      <c r="BZ370" s="24"/>
      <c r="CA370" s="24"/>
      <c r="CB370" s="24"/>
      <c r="CC370" s="24"/>
      <c r="CD370" s="24"/>
      <c r="CE370" s="24"/>
    </row>
    <row r="371" spans="1:83" ht="15" customHeight="1">
      <c r="A371" s="4"/>
      <c r="B371" s="39">
        <f>CENY!B1053</f>
        <v>9071671</v>
      </c>
      <c r="C371" s="43" t="str">
        <f>VLOOKUP(B371,CENY!$B$11:$G$1054,2,FALSE)</f>
        <v>Podlož.SENSYS s predm.skr.D=1,5(exc.)</v>
      </c>
      <c r="D371" s="39">
        <f>VLOOKUP(B371,CENY!$B$11:$G$1054,3,FALSE)</f>
        <v>200</v>
      </c>
      <c r="E371" s="56" t="str">
        <f>IF(VLOOKUP(B371,CENY!$B$11:$G$1054,4,FALSE)=0,"",VLOOKUP(B371,CENY!$B$11:$G$1054,4,FALSE))</f>
        <v/>
      </c>
      <c r="F371" s="40" t="str">
        <f>IF(J371&lt;&gt;"",J371,IF(F370="","",0))</f>
        <v/>
      </c>
      <c r="G371" s="52">
        <f>VLOOKUP(B371,CENY!$B$11:$M$1054,12,FALSE)</f>
        <v>17.145990000000001</v>
      </c>
      <c r="H371" s="54" t="str">
        <f t="shared" si="76"/>
        <v xml:space="preserve"> CZK</v>
      </c>
      <c r="I371" s="41" t="str">
        <f t="shared" si="77"/>
        <v/>
      </c>
      <c r="J371" s="122"/>
      <c r="K371" s="42" t="str">
        <f>VLOOKUP(B371,CENY!$B$11:$M$1054,8,FALSE)</f>
        <v xml:space="preserve"> </v>
      </c>
      <c r="L371" s="42" t="str">
        <f>VLOOKUP(B371,CENY!$B$11:$M$1054,9,FALSE)</f>
        <v>106416</v>
      </c>
      <c r="M371" s="32"/>
      <c r="N371" s="35">
        <f t="shared" si="72"/>
        <v>0</v>
      </c>
      <c r="O371" s="36">
        <v>0</v>
      </c>
      <c r="P371" s="32"/>
      <c r="Q371" s="32"/>
      <c r="R371" s="32"/>
      <c r="S371" s="32"/>
      <c r="T371" s="32"/>
      <c r="U371" s="32"/>
      <c r="V371" s="32"/>
      <c r="W371" s="32"/>
      <c r="X371" s="32"/>
      <c r="Y371" s="32"/>
      <c r="Z371" s="32"/>
      <c r="AA371" s="32"/>
      <c r="AB371" s="32"/>
      <c r="AC371" s="32"/>
      <c r="AD371" s="32"/>
      <c r="AE371" s="32"/>
      <c r="AF371" s="32"/>
      <c r="AG371" s="32"/>
      <c r="AH371" s="32"/>
      <c r="AI371" s="32"/>
      <c r="AJ371" s="32"/>
      <c r="AK371" s="32"/>
      <c r="AL371" s="32"/>
      <c r="AM371" s="32"/>
      <c r="AN371" s="32"/>
      <c r="AO371" s="32"/>
      <c r="AP371" s="32"/>
      <c r="AQ371" s="32"/>
      <c r="AR371" s="32"/>
      <c r="AS371" s="32"/>
      <c r="AT371" s="32"/>
      <c r="AU371" s="32"/>
      <c r="AV371" s="32"/>
      <c r="AW371" s="32"/>
      <c r="AX371" s="32"/>
      <c r="AY371" s="32"/>
      <c r="AZ371" s="32"/>
      <c r="BA371" s="32"/>
      <c r="BB371" s="32"/>
      <c r="BC371" s="32"/>
      <c r="BD371" s="32"/>
      <c r="BE371" s="32"/>
      <c r="BF371" s="32"/>
      <c r="BG371" s="32"/>
      <c r="BH371" s="32"/>
      <c r="BI371" s="32"/>
      <c r="BJ371" s="32"/>
      <c r="BK371" s="32"/>
      <c r="BL371" s="32"/>
      <c r="BM371" s="32"/>
      <c r="BN371" s="32"/>
      <c r="BO371" s="37"/>
      <c r="BP371" s="37"/>
      <c r="BQ371" s="37"/>
      <c r="BR371" s="37"/>
      <c r="BS371" s="37"/>
      <c r="BT371" s="37"/>
      <c r="BU371" s="37"/>
      <c r="BV371" s="32"/>
      <c r="BW371" s="32"/>
      <c r="BX371" s="32"/>
      <c r="BY371" s="24"/>
      <c r="BZ371" s="24"/>
      <c r="CA371" s="24"/>
      <c r="CB371" s="24"/>
      <c r="CC371" s="24"/>
      <c r="CD371" s="24"/>
      <c r="CE371" s="24"/>
    </row>
    <row r="372" spans="1:83" ht="15" customHeight="1">
      <c r="A372" s="4"/>
      <c r="B372" s="123"/>
      <c r="C372" s="123"/>
      <c r="D372" s="124"/>
      <c r="E372" s="125"/>
      <c r="F372" s="124"/>
      <c r="G372" s="229"/>
      <c r="H372" s="54" t="str">
        <f t="shared" ref="H372:H381" si="78">IF(G372="","",$H$22)</f>
        <v/>
      </c>
      <c r="I372" s="41" t="str">
        <f t="shared" ref="I372:I381" si="79">IF(F372="","",G372*F372)</f>
        <v/>
      </c>
      <c r="J372" s="42"/>
      <c r="K372" s="42"/>
      <c r="L372" s="124"/>
      <c r="M372" s="32"/>
      <c r="N372" s="35">
        <f t="shared" si="72"/>
        <v>0</v>
      </c>
      <c r="O372" s="36">
        <v>0</v>
      </c>
      <c r="P372" s="32"/>
      <c r="Q372" s="32"/>
      <c r="R372" s="32"/>
      <c r="S372" s="32"/>
      <c r="T372" s="32"/>
      <c r="U372" s="32"/>
      <c r="V372" s="32"/>
      <c r="W372" s="32"/>
      <c r="X372" s="32"/>
      <c r="Y372" s="32"/>
      <c r="Z372" s="32"/>
      <c r="AA372" s="32"/>
      <c r="AB372" s="32"/>
      <c r="AC372" s="32"/>
      <c r="AD372" s="32"/>
      <c r="AE372" s="32"/>
      <c r="AF372" s="32"/>
      <c r="AG372" s="32"/>
      <c r="AH372" s="32"/>
      <c r="AI372" s="32"/>
      <c r="AJ372" s="32"/>
      <c r="AK372" s="32"/>
      <c r="AL372" s="32"/>
      <c r="AM372" s="32"/>
      <c r="AN372" s="32"/>
      <c r="AO372" s="32"/>
      <c r="AP372" s="32"/>
      <c r="AQ372" s="32"/>
      <c r="AR372" s="32"/>
      <c r="AS372" s="32"/>
      <c r="AT372" s="32"/>
      <c r="AU372" s="32"/>
      <c r="AV372" s="32"/>
      <c r="AW372" s="32"/>
      <c r="AX372" s="32"/>
      <c r="AY372" s="32"/>
      <c r="AZ372" s="32"/>
      <c r="BA372" s="32"/>
      <c r="BB372" s="32"/>
      <c r="BC372" s="32"/>
      <c r="BD372" s="32"/>
      <c r="BE372" s="32"/>
      <c r="BF372" s="32"/>
      <c r="BG372" s="32"/>
      <c r="BH372" s="32"/>
      <c r="BI372" s="32"/>
      <c r="BJ372" s="32"/>
      <c r="BK372" s="32"/>
      <c r="BL372" s="32"/>
      <c r="BM372" s="32"/>
      <c r="BN372" s="32"/>
      <c r="BO372" s="32"/>
      <c r="BP372" s="32"/>
      <c r="BQ372" s="32"/>
      <c r="BR372" s="32"/>
      <c r="BS372" s="32"/>
      <c r="BT372" s="32"/>
      <c r="BU372" s="32"/>
      <c r="BV372" s="32"/>
      <c r="BW372" s="32"/>
      <c r="BX372" s="32"/>
      <c r="BY372" s="24"/>
      <c r="BZ372" s="24"/>
      <c r="CA372" s="24"/>
      <c r="CB372" s="24"/>
      <c r="CC372" s="24"/>
      <c r="CD372" s="24"/>
      <c r="CE372" s="24"/>
    </row>
    <row r="373" spans="1:83" ht="15" customHeight="1">
      <c r="A373" s="4"/>
      <c r="B373" s="123"/>
      <c r="C373" s="123"/>
      <c r="D373" s="124"/>
      <c r="E373" s="125"/>
      <c r="F373" s="124"/>
      <c r="G373" s="229"/>
      <c r="H373" s="54" t="str">
        <f t="shared" si="78"/>
        <v/>
      </c>
      <c r="I373" s="41" t="str">
        <f t="shared" si="79"/>
        <v/>
      </c>
      <c r="J373" s="42"/>
      <c r="K373" s="42"/>
      <c r="L373" s="124"/>
      <c r="M373" s="32"/>
      <c r="N373" s="35">
        <f t="shared" si="72"/>
        <v>0</v>
      </c>
      <c r="O373" s="36">
        <v>0</v>
      </c>
      <c r="P373" s="32"/>
      <c r="Q373" s="32"/>
      <c r="R373" s="32"/>
      <c r="S373" s="32"/>
      <c r="T373" s="32"/>
      <c r="U373" s="32"/>
      <c r="V373" s="32"/>
      <c r="W373" s="32"/>
      <c r="X373" s="32"/>
      <c r="Y373" s="32"/>
      <c r="Z373" s="32"/>
      <c r="AA373" s="32"/>
      <c r="AB373" s="32"/>
      <c r="AC373" s="32"/>
      <c r="AD373" s="32"/>
      <c r="AE373" s="32"/>
      <c r="AF373" s="32"/>
      <c r="AG373" s="32"/>
      <c r="AH373" s="32"/>
      <c r="AI373" s="32"/>
      <c r="AJ373" s="32"/>
      <c r="AK373" s="32"/>
      <c r="AL373" s="32"/>
      <c r="AM373" s="32"/>
      <c r="AN373" s="32"/>
      <c r="AO373" s="32"/>
      <c r="AP373" s="32"/>
      <c r="AQ373" s="32"/>
      <c r="AR373" s="32"/>
      <c r="AS373" s="32"/>
      <c r="AT373" s="32"/>
      <c r="AU373" s="32"/>
      <c r="AV373" s="32"/>
      <c r="AW373" s="32"/>
      <c r="AX373" s="32"/>
      <c r="AY373" s="32"/>
      <c r="AZ373" s="32"/>
      <c r="BA373" s="32"/>
      <c r="BB373" s="32"/>
      <c r="BC373" s="32"/>
      <c r="BD373" s="32"/>
      <c r="BE373" s="32"/>
      <c r="BF373" s="32"/>
      <c r="BG373" s="32"/>
      <c r="BH373" s="32"/>
      <c r="BI373" s="32"/>
      <c r="BJ373" s="32"/>
      <c r="BK373" s="32"/>
      <c r="BL373" s="32"/>
      <c r="BM373" s="32"/>
      <c r="BN373" s="32"/>
      <c r="BO373" s="32"/>
      <c r="BP373" s="32"/>
      <c r="BQ373" s="32"/>
      <c r="BR373" s="32"/>
      <c r="BS373" s="32"/>
      <c r="BT373" s="32"/>
      <c r="BU373" s="32"/>
      <c r="BV373" s="32"/>
      <c r="BW373" s="32"/>
      <c r="BX373" s="32"/>
      <c r="BY373" s="24"/>
      <c r="BZ373" s="24"/>
      <c r="CA373" s="24"/>
      <c r="CB373" s="24"/>
      <c r="CC373" s="24"/>
      <c r="CD373" s="24"/>
      <c r="CE373" s="24"/>
    </row>
    <row r="374" spans="1:83" ht="15" customHeight="1">
      <c r="A374" s="4"/>
      <c r="B374" s="123"/>
      <c r="C374" s="123"/>
      <c r="D374" s="124"/>
      <c r="E374" s="125"/>
      <c r="F374" s="124"/>
      <c r="G374" s="229"/>
      <c r="H374" s="54" t="str">
        <f t="shared" si="78"/>
        <v/>
      </c>
      <c r="I374" s="41" t="str">
        <f t="shared" si="79"/>
        <v/>
      </c>
      <c r="J374" s="42"/>
      <c r="K374" s="42"/>
      <c r="L374" s="124"/>
      <c r="M374" s="32"/>
      <c r="N374" s="35">
        <f t="shared" si="72"/>
        <v>0</v>
      </c>
      <c r="O374" s="36">
        <v>0</v>
      </c>
      <c r="P374" s="32"/>
      <c r="Q374" s="32"/>
      <c r="R374" s="32"/>
      <c r="S374" s="32"/>
      <c r="T374" s="32"/>
      <c r="U374" s="32"/>
      <c r="V374" s="32"/>
      <c r="W374" s="32"/>
      <c r="X374" s="32"/>
      <c r="Y374" s="32"/>
      <c r="Z374" s="32"/>
      <c r="AA374" s="32"/>
      <c r="AB374" s="32"/>
      <c r="AC374" s="32"/>
      <c r="AD374" s="32"/>
      <c r="AE374" s="32"/>
      <c r="AF374" s="32"/>
      <c r="AG374" s="32"/>
      <c r="AH374" s="32"/>
      <c r="AI374" s="32"/>
      <c r="AJ374" s="32"/>
      <c r="AK374" s="32"/>
      <c r="AL374" s="32"/>
      <c r="AM374" s="32"/>
      <c r="AN374" s="32"/>
      <c r="AO374" s="32"/>
      <c r="AP374" s="32"/>
      <c r="AQ374" s="32"/>
      <c r="AR374" s="32"/>
      <c r="AS374" s="32"/>
      <c r="AT374" s="32"/>
      <c r="AU374" s="32"/>
      <c r="AV374" s="32"/>
      <c r="AW374" s="32"/>
      <c r="AX374" s="32"/>
      <c r="AY374" s="32"/>
      <c r="AZ374" s="32"/>
      <c r="BA374" s="32"/>
      <c r="BB374" s="32"/>
      <c r="BC374" s="32"/>
      <c r="BD374" s="32"/>
      <c r="BE374" s="32"/>
      <c r="BF374" s="32"/>
      <c r="BG374" s="32"/>
      <c r="BH374" s="32"/>
      <c r="BI374" s="32"/>
      <c r="BJ374" s="32"/>
      <c r="BK374" s="32"/>
      <c r="BL374" s="32"/>
      <c r="BM374" s="32"/>
      <c r="BN374" s="32"/>
      <c r="BO374" s="32"/>
      <c r="BP374" s="32"/>
      <c r="BQ374" s="32"/>
      <c r="BR374" s="32"/>
      <c r="BS374" s="32"/>
      <c r="BT374" s="32"/>
      <c r="BU374" s="32"/>
      <c r="BV374" s="32"/>
      <c r="BW374" s="32"/>
      <c r="BX374" s="32"/>
      <c r="BY374" s="24"/>
      <c r="BZ374" s="24"/>
      <c r="CA374" s="24"/>
      <c r="CB374" s="24"/>
      <c r="CC374" s="24"/>
      <c r="CD374" s="24"/>
      <c r="CE374" s="24"/>
    </row>
    <row r="375" spans="1:83" ht="15" customHeight="1">
      <c r="A375" s="4"/>
      <c r="B375" s="123"/>
      <c r="C375" s="123"/>
      <c r="D375" s="124"/>
      <c r="E375" s="125"/>
      <c r="F375" s="124"/>
      <c r="G375" s="229"/>
      <c r="H375" s="54" t="str">
        <f t="shared" si="78"/>
        <v/>
      </c>
      <c r="I375" s="41" t="str">
        <f t="shared" si="79"/>
        <v/>
      </c>
      <c r="J375" s="42"/>
      <c r="K375" s="42"/>
      <c r="L375" s="124"/>
      <c r="M375" s="32"/>
      <c r="N375" s="35">
        <f t="shared" si="72"/>
        <v>0</v>
      </c>
      <c r="O375" s="36">
        <v>0</v>
      </c>
      <c r="P375" s="32"/>
      <c r="Q375" s="32"/>
      <c r="R375" s="32"/>
      <c r="S375" s="32"/>
      <c r="T375" s="32"/>
      <c r="U375" s="32"/>
      <c r="V375" s="32"/>
      <c r="W375" s="32"/>
      <c r="X375" s="32"/>
      <c r="Y375" s="32"/>
      <c r="Z375" s="32"/>
      <c r="AA375" s="32"/>
      <c r="AB375" s="32"/>
      <c r="AC375" s="32"/>
      <c r="AD375" s="32"/>
      <c r="AE375" s="32"/>
      <c r="AF375" s="32"/>
      <c r="AG375" s="32"/>
      <c r="AH375" s="32"/>
      <c r="AI375" s="32"/>
      <c r="AJ375" s="32"/>
      <c r="AK375" s="32"/>
      <c r="AL375" s="32"/>
      <c r="AM375" s="32"/>
      <c r="AN375" s="32"/>
      <c r="AO375" s="32"/>
      <c r="AP375" s="32"/>
      <c r="AQ375" s="32"/>
      <c r="AR375" s="32"/>
      <c r="AS375" s="32"/>
      <c r="AT375" s="32"/>
      <c r="AU375" s="32"/>
      <c r="AV375" s="32"/>
      <c r="AW375" s="32"/>
      <c r="AX375" s="32"/>
      <c r="AY375" s="32"/>
      <c r="AZ375" s="32"/>
      <c r="BA375" s="32"/>
      <c r="BB375" s="32"/>
      <c r="BC375" s="32"/>
      <c r="BD375" s="32"/>
      <c r="BE375" s="32"/>
      <c r="BF375" s="32"/>
      <c r="BG375" s="32"/>
      <c r="BH375" s="32"/>
      <c r="BI375" s="32"/>
      <c r="BJ375" s="32"/>
      <c r="BK375" s="32"/>
      <c r="BL375" s="32"/>
      <c r="BM375" s="32"/>
      <c r="BN375" s="32"/>
      <c r="BO375" s="32"/>
      <c r="BP375" s="32"/>
      <c r="BQ375" s="32"/>
      <c r="BR375" s="32"/>
      <c r="BS375" s="32"/>
      <c r="BT375" s="32"/>
      <c r="BU375" s="32"/>
      <c r="BV375" s="32"/>
      <c r="BW375" s="32"/>
      <c r="BX375" s="32"/>
      <c r="BY375" s="24"/>
      <c r="BZ375" s="24"/>
      <c r="CA375" s="24"/>
      <c r="CB375" s="24"/>
      <c r="CC375" s="24"/>
      <c r="CD375" s="24"/>
      <c r="CE375" s="24"/>
    </row>
    <row r="376" spans="1:83" ht="15" customHeight="1">
      <c r="A376" s="4"/>
      <c r="B376" s="123"/>
      <c r="C376" s="123"/>
      <c r="D376" s="124"/>
      <c r="E376" s="125"/>
      <c r="F376" s="124"/>
      <c r="G376" s="229"/>
      <c r="H376" s="54" t="str">
        <f t="shared" si="78"/>
        <v/>
      </c>
      <c r="I376" s="41" t="str">
        <f t="shared" si="79"/>
        <v/>
      </c>
      <c r="J376" s="42"/>
      <c r="K376" s="42"/>
      <c r="L376" s="124"/>
      <c r="M376" s="32"/>
      <c r="N376" s="35">
        <f t="shared" si="72"/>
        <v>0</v>
      </c>
      <c r="O376" s="36">
        <v>0</v>
      </c>
      <c r="P376" s="32"/>
      <c r="Q376" s="32"/>
      <c r="R376" s="32"/>
      <c r="S376" s="32"/>
      <c r="T376" s="32"/>
      <c r="U376" s="32"/>
      <c r="V376" s="32"/>
      <c r="W376" s="32"/>
      <c r="X376" s="32"/>
      <c r="Y376" s="32"/>
      <c r="Z376" s="32"/>
      <c r="AA376" s="32"/>
      <c r="AB376" s="32"/>
      <c r="AC376" s="32"/>
      <c r="AD376" s="32"/>
      <c r="AE376" s="32"/>
      <c r="AF376" s="32"/>
      <c r="AG376" s="32"/>
      <c r="AH376" s="32"/>
      <c r="AI376" s="32"/>
      <c r="AJ376" s="32"/>
      <c r="AK376" s="32"/>
      <c r="AL376" s="32"/>
      <c r="AM376" s="32"/>
      <c r="AN376" s="32"/>
      <c r="AO376" s="32"/>
      <c r="AP376" s="32"/>
      <c r="AQ376" s="32"/>
      <c r="AR376" s="32"/>
      <c r="AS376" s="32"/>
      <c r="AT376" s="32"/>
      <c r="AU376" s="32"/>
      <c r="AV376" s="32"/>
      <c r="AW376" s="32"/>
      <c r="AX376" s="32"/>
      <c r="AY376" s="32"/>
      <c r="AZ376" s="32"/>
      <c r="BA376" s="32"/>
      <c r="BB376" s="32"/>
      <c r="BC376" s="32"/>
      <c r="BD376" s="32"/>
      <c r="BE376" s="32"/>
      <c r="BF376" s="32"/>
      <c r="BG376" s="32"/>
      <c r="BH376" s="32"/>
      <c r="BI376" s="32"/>
      <c r="BJ376" s="32"/>
      <c r="BK376" s="32"/>
      <c r="BL376" s="32"/>
      <c r="BM376" s="32"/>
      <c r="BN376" s="32"/>
      <c r="BO376" s="32"/>
      <c r="BP376" s="32"/>
      <c r="BQ376" s="32"/>
      <c r="BR376" s="32"/>
      <c r="BS376" s="32"/>
      <c r="BT376" s="32"/>
      <c r="BU376" s="32"/>
      <c r="BV376" s="32"/>
      <c r="BW376" s="32"/>
      <c r="BX376" s="32"/>
      <c r="BY376" s="24"/>
      <c r="BZ376" s="24"/>
      <c r="CA376" s="24"/>
      <c r="CB376" s="24"/>
      <c r="CC376" s="24"/>
      <c r="CD376" s="24"/>
      <c r="CE376" s="24"/>
    </row>
    <row r="377" spans="1:83" ht="15" customHeight="1">
      <c r="A377" s="4"/>
      <c r="B377" s="123"/>
      <c r="C377" s="123"/>
      <c r="D377" s="124"/>
      <c r="E377" s="125"/>
      <c r="F377" s="124"/>
      <c r="G377" s="229"/>
      <c r="H377" s="54" t="str">
        <f t="shared" si="78"/>
        <v/>
      </c>
      <c r="I377" s="41" t="str">
        <f t="shared" si="79"/>
        <v/>
      </c>
      <c r="J377" s="42"/>
      <c r="K377" s="42"/>
      <c r="L377" s="124"/>
      <c r="M377" s="32"/>
      <c r="N377" s="35">
        <f t="shared" si="72"/>
        <v>0</v>
      </c>
      <c r="O377" s="36">
        <v>0</v>
      </c>
      <c r="P377" s="32"/>
      <c r="Q377" s="32"/>
      <c r="R377" s="32"/>
      <c r="S377" s="32"/>
      <c r="T377" s="32"/>
      <c r="U377" s="32"/>
      <c r="V377" s="32"/>
      <c r="W377" s="32"/>
      <c r="X377" s="32"/>
      <c r="Y377" s="32"/>
      <c r="Z377" s="32"/>
      <c r="AA377" s="32"/>
      <c r="AB377" s="32"/>
      <c r="AC377" s="32"/>
      <c r="AD377" s="32"/>
      <c r="AE377" s="32"/>
      <c r="AF377" s="32"/>
      <c r="AG377" s="32"/>
      <c r="AH377" s="32"/>
      <c r="AI377" s="32"/>
      <c r="AJ377" s="32"/>
      <c r="AK377" s="32"/>
      <c r="AL377" s="32"/>
      <c r="AM377" s="32"/>
      <c r="AN377" s="32"/>
      <c r="AO377" s="32"/>
      <c r="AP377" s="32"/>
      <c r="AQ377" s="32"/>
      <c r="AR377" s="32"/>
      <c r="AS377" s="32"/>
      <c r="AT377" s="32"/>
      <c r="AU377" s="32"/>
      <c r="AV377" s="32"/>
      <c r="AW377" s="32"/>
      <c r="AX377" s="32"/>
      <c r="AY377" s="32"/>
      <c r="AZ377" s="32"/>
      <c r="BA377" s="32"/>
      <c r="BB377" s="32"/>
      <c r="BC377" s="32"/>
      <c r="BD377" s="32"/>
      <c r="BE377" s="32"/>
      <c r="BF377" s="32"/>
      <c r="BG377" s="32"/>
      <c r="BH377" s="32"/>
      <c r="BI377" s="32"/>
      <c r="BJ377" s="32"/>
      <c r="BK377" s="32"/>
      <c r="BL377" s="32"/>
      <c r="BM377" s="32"/>
      <c r="BN377" s="32"/>
      <c r="BO377" s="32"/>
      <c r="BP377" s="32"/>
      <c r="BQ377" s="32"/>
      <c r="BR377" s="32"/>
      <c r="BS377" s="32"/>
      <c r="BT377" s="32"/>
      <c r="BU377" s="32"/>
      <c r="BV377" s="32"/>
      <c r="BW377" s="32"/>
      <c r="BX377" s="32"/>
      <c r="BY377" s="24"/>
      <c r="BZ377" s="24"/>
      <c r="CA377" s="24"/>
      <c r="CB377" s="24"/>
      <c r="CC377" s="24"/>
      <c r="CD377" s="24"/>
      <c r="CE377" s="24"/>
    </row>
    <row r="378" spans="1:83" ht="15" customHeight="1">
      <c r="A378" s="4"/>
      <c r="B378" s="123"/>
      <c r="C378" s="123"/>
      <c r="D378" s="124"/>
      <c r="E378" s="125"/>
      <c r="F378" s="124"/>
      <c r="G378" s="229"/>
      <c r="H378" s="54" t="str">
        <f t="shared" si="78"/>
        <v/>
      </c>
      <c r="I378" s="41" t="str">
        <f t="shared" si="79"/>
        <v/>
      </c>
      <c r="J378" s="42"/>
      <c r="K378" s="42"/>
      <c r="L378" s="124"/>
      <c r="M378" s="32"/>
      <c r="N378" s="35">
        <f t="shared" si="72"/>
        <v>0</v>
      </c>
      <c r="O378" s="36">
        <v>0</v>
      </c>
      <c r="P378" s="32"/>
      <c r="Q378" s="32"/>
      <c r="R378" s="32"/>
      <c r="S378" s="32"/>
      <c r="T378" s="32"/>
      <c r="U378" s="32"/>
      <c r="V378" s="32"/>
      <c r="W378" s="32"/>
      <c r="X378" s="32"/>
      <c r="Y378" s="32"/>
      <c r="Z378" s="32"/>
      <c r="AA378" s="32"/>
      <c r="AB378" s="32"/>
      <c r="AC378" s="32"/>
      <c r="AD378" s="32"/>
      <c r="AE378" s="32"/>
      <c r="AF378" s="32"/>
      <c r="AG378" s="32"/>
      <c r="AH378" s="32"/>
      <c r="AI378" s="32"/>
      <c r="AJ378" s="32"/>
      <c r="AK378" s="32"/>
      <c r="AL378" s="32"/>
      <c r="AM378" s="32"/>
      <c r="AN378" s="32"/>
      <c r="AO378" s="32"/>
      <c r="AP378" s="32"/>
      <c r="AQ378" s="32"/>
      <c r="AR378" s="32"/>
      <c r="AS378" s="32"/>
      <c r="AT378" s="32"/>
      <c r="AU378" s="32"/>
      <c r="AV378" s="32"/>
      <c r="AW378" s="32"/>
      <c r="AX378" s="32"/>
      <c r="AY378" s="32"/>
      <c r="AZ378" s="32"/>
      <c r="BA378" s="32"/>
      <c r="BB378" s="32"/>
      <c r="BC378" s="32"/>
      <c r="BD378" s="32"/>
      <c r="BE378" s="32"/>
      <c r="BF378" s="32"/>
      <c r="BG378" s="32"/>
      <c r="BH378" s="32"/>
      <c r="BI378" s="32"/>
      <c r="BJ378" s="32"/>
      <c r="BK378" s="32"/>
      <c r="BL378" s="32"/>
      <c r="BM378" s="32"/>
      <c r="BN378" s="32"/>
      <c r="BO378" s="32"/>
      <c r="BP378" s="32"/>
      <c r="BQ378" s="32"/>
      <c r="BR378" s="32"/>
      <c r="BS378" s="32"/>
      <c r="BT378" s="32"/>
      <c r="BU378" s="32"/>
      <c r="BV378" s="32"/>
      <c r="BW378" s="32"/>
      <c r="BX378" s="32"/>
      <c r="BY378" s="24"/>
      <c r="BZ378" s="24"/>
      <c r="CA378" s="24"/>
      <c r="CB378" s="24"/>
      <c r="CC378" s="24"/>
      <c r="CD378" s="24"/>
      <c r="CE378" s="24"/>
    </row>
    <row r="379" spans="1:83" ht="15" customHeight="1">
      <c r="A379" s="4"/>
      <c r="B379" s="123"/>
      <c r="C379" s="123"/>
      <c r="D379" s="124"/>
      <c r="E379" s="125"/>
      <c r="F379" s="124"/>
      <c r="G379" s="229"/>
      <c r="H379" s="54" t="str">
        <f t="shared" si="78"/>
        <v/>
      </c>
      <c r="I379" s="41" t="str">
        <f t="shared" si="79"/>
        <v/>
      </c>
      <c r="J379" s="42"/>
      <c r="K379" s="42"/>
      <c r="L379" s="124"/>
      <c r="M379" s="32"/>
      <c r="N379" s="35">
        <f t="shared" si="72"/>
        <v>0</v>
      </c>
      <c r="O379" s="36">
        <v>0</v>
      </c>
      <c r="P379" s="32"/>
      <c r="Q379" s="32"/>
      <c r="R379" s="32"/>
      <c r="S379" s="32"/>
      <c r="T379" s="32"/>
      <c r="U379" s="32"/>
      <c r="V379" s="32"/>
      <c r="W379" s="32"/>
      <c r="X379" s="32"/>
      <c r="Y379" s="32"/>
      <c r="Z379" s="32"/>
      <c r="AA379" s="32"/>
      <c r="AB379" s="32"/>
      <c r="AC379" s="32"/>
      <c r="AD379" s="32"/>
      <c r="AE379" s="32"/>
      <c r="AF379" s="32"/>
      <c r="AG379" s="32"/>
      <c r="AH379" s="32"/>
      <c r="AI379" s="32"/>
      <c r="AJ379" s="32"/>
      <c r="AK379" s="32"/>
      <c r="AL379" s="32"/>
      <c r="AM379" s="32"/>
      <c r="AN379" s="32"/>
      <c r="AO379" s="32"/>
      <c r="AP379" s="32"/>
      <c r="AQ379" s="32"/>
      <c r="AR379" s="32"/>
      <c r="AS379" s="32"/>
      <c r="AT379" s="32"/>
      <c r="AU379" s="32"/>
      <c r="AV379" s="32"/>
      <c r="AW379" s="32"/>
      <c r="AX379" s="32"/>
      <c r="AY379" s="32"/>
      <c r="AZ379" s="32"/>
      <c r="BA379" s="32"/>
      <c r="BB379" s="32"/>
      <c r="BC379" s="32"/>
      <c r="BD379" s="32"/>
      <c r="BE379" s="32"/>
      <c r="BF379" s="32"/>
      <c r="BG379" s="32"/>
      <c r="BH379" s="32"/>
      <c r="BI379" s="32"/>
      <c r="BJ379" s="32"/>
      <c r="BK379" s="32"/>
      <c r="BL379" s="32"/>
      <c r="BM379" s="32"/>
      <c r="BN379" s="32"/>
      <c r="BO379" s="32"/>
      <c r="BP379" s="32"/>
      <c r="BQ379" s="32"/>
      <c r="BR379" s="32"/>
      <c r="BS379" s="32"/>
      <c r="BT379" s="32"/>
      <c r="BU379" s="32"/>
      <c r="BV379" s="32"/>
      <c r="BW379" s="32"/>
      <c r="BX379" s="32"/>
      <c r="BY379" s="24"/>
      <c r="BZ379" s="24"/>
      <c r="CA379" s="24"/>
      <c r="CB379" s="24"/>
      <c r="CC379" s="24"/>
      <c r="CD379" s="24"/>
      <c r="CE379" s="24"/>
    </row>
    <row r="380" spans="1:83" ht="15" customHeight="1">
      <c r="A380" s="4"/>
      <c r="B380" s="123"/>
      <c r="C380" s="123"/>
      <c r="D380" s="124"/>
      <c r="E380" s="125"/>
      <c r="F380" s="124"/>
      <c r="G380" s="229"/>
      <c r="H380" s="54" t="str">
        <f t="shared" si="78"/>
        <v/>
      </c>
      <c r="I380" s="41" t="str">
        <f t="shared" si="79"/>
        <v/>
      </c>
      <c r="J380" s="42"/>
      <c r="K380" s="42"/>
      <c r="L380" s="124"/>
      <c r="M380" s="32"/>
      <c r="N380" s="35">
        <f t="shared" si="72"/>
        <v>0</v>
      </c>
      <c r="O380" s="36">
        <v>0</v>
      </c>
      <c r="P380" s="32"/>
      <c r="Q380" s="32"/>
      <c r="R380" s="32"/>
      <c r="S380" s="32"/>
      <c r="T380" s="32"/>
      <c r="U380" s="32"/>
      <c r="V380" s="32"/>
      <c r="W380" s="32"/>
      <c r="X380" s="32"/>
      <c r="Y380" s="32"/>
      <c r="Z380" s="32"/>
      <c r="AA380" s="32"/>
      <c r="AB380" s="32"/>
      <c r="AC380" s="32"/>
      <c r="AD380" s="32"/>
      <c r="AE380" s="32"/>
      <c r="AF380" s="32"/>
      <c r="AG380" s="32"/>
      <c r="AH380" s="32"/>
      <c r="AI380" s="32"/>
      <c r="AJ380" s="32"/>
      <c r="AK380" s="32"/>
      <c r="AL380" s="32"/>
      <c r="AM380" s="32"/>
      <c r="AN380" s="32"/>
      <c r="AO380" s="32"/>
      <c r="AP380" s="32"/>
      <c r="AQ380" s="32"/>
      <c r="AR380" s="32"/>
      <c r="AS380" s="32"/>
      <c r="AT380" s="32"/>
      <c r="AU380" s="32"/>
      <c r="AV380" s="32"/>
      <c r="AW380" s="32"/>
      <c r="AX380" s="32"/>
      <c r="AY380" s="32"/>
      <c r="AZ380" s="32"/>
      <c r="BA380" s="32"/>
      <c r="BB380" s="32"/>
      <c r="BC380" s="32"/>
      <c r="BD380" s="32"/>
      <c r="BE380" s="32"/>
      <c r="BF380" s="32"/>
      <c r="BG380" s="32"/>
      <c r="BH380" s="32"/>
      <c r="BI380" s="32"/>
      <c r="BJ380" s="32"/>
      <c r="BK380" s="32"/>
      <c r="BL380" s="32"/>
      <c r="BM380" s="32"/>
      <c r="BN380" s="32"/>
      <c r="BO380" s="32"/>
      <c r="BP380" s="32"/>
      <c r="BQ380" s="32"/>
      <c r="BR380" s="32"/>
      <c r="BS380" s="32"/>
      <c r="BT380" s="32"/>
      <c r="BU380" s="32"/>
      <c r="BV380" s="32"/>
      <c r="BW380" s="32"/>
      <c r="BX380" s="32"/>
      <c r="BY380" s="24"/>
      <c r="BZ380" s="24"/>
      <c r="CA380" s="24"/>
      <c r="CB380" s="24"/>
      <c r="CC380" s="24"/>
      <c r="CD380" s="24"/>
      <c r="CE380" s="24"/>
    </row>
    <row r="381" spans="1:83" ht="15" customHeight="1">
      <c r="A381" s="4"/>
      <c r="B381" s="123"/>
      <c r="C381" s="123"/>
      <c r="D381" s="124"/>
      <c r="E381" s="125"/>
      <c r="F381" s="124"/>
      <c r="G381" s="229"/>
      <c r="H381" s="54" t="str">
        <f t="shared" si="78"/>
        <v/>
      </c>
      <c r="I381" s="41" t="str">
        <f t="shared" si="79"/>
        <v/>
      </c>
      <c r="J381" s="42"/>
      <c r="K381" s="42"/>
      <c r="L381" s="124"/>
      <c r="M381" s="32"/>
      <c r="N381" s="35">
        <f t="shared" si="72"/>
        <v>0</v>
      </c>
      <c r="O381" s="36">
        <v>0</v>
      </c>
      <c r="P381" s="32"/>
      <c r="Q381" s="32"/>
      <c r="R381" s="32"/>
      <c r="S381" s="32"/>
      <c r="T381" s="32"/>
      <c r="U381" s="32"/>
      <c r="V381" s="32"/>
      <c r="W381" s="32"/>
      <c r="X381" s="32"/>
      <c r="Y381" s="32"/>
      <c r="Z381" s="32"/>
      <c r="AA381" s="32"/>
      <c r="AB381" s="32"/>
      <c r="AC381" s="32"/>
      <c r="AD381" s="32"/>
      <c r="AE381" s="32"/>
      <c r="AF381" s="32"/>
      <c r="AG381" s="32"/>
      <c r="AH381" s="32"/>
      <c r="AI381" s="32"/>
      <c r="AJ381" s="32"/>
      <c r="AK381" s="32"/>
      <c r="AL381" s="32"/>
      <c r="AM381" s="32"/>
      <c r="AN381" s="32"/>
      <c r="AO381" s="32"/>
      <c r="AP381" s="32"/>
      <c r="AQ381" s="32"/>
      <c r="AR381" s="32"/>
      <c r="AS381" s="32"/>
      <c r="AT381" s="32"/>
      <c r="AU381" s="32"/>
      <c r="AV381" s="32"/>
      <c r="AW381" s="32"/>
      <c r="AX381" s="32"/>
      <c r="AY381" s="32"/>
      <c r="AZ381" s="32"/>
      <c r="BA381" s="32"/>
      <c r="BB381" s="32"/>
      <c r="BC381" s="32"/>
      <c r="BD381" s="32"/>
      <c r="BE381" s="32"/>
      <c r="BF381" s="32"/>
      <c r="BG381" s="32"/>
      <c r="BH381" s="32"/>
      <c r="BI381" s="32"/>
      <c r="BJ381" s="32"/>
      <c r="BK381" s="32"/>
      <c r="BL381" s="32"/>
      <c r="BM381" s="32"/>
      <c r="BN381" s="32"/>
      <c r="BO381" s="32"/>
      <c r="BP381" s="32"/>
      <c r="BQ381" s="32"/>
      <c r="BR381" s="32"/>
      <c r="BS381" s="32"/>
      <c r="BT381" s="32"/>
      <c r="BU381" s="32"/>
      <c r="BV381" s="32"/>
      <c r="BW381" s="32"/>
      <c r="BX381" s="32"/>
      <c r="BY381" s="24"/>
      <c r="BZ381" s="24"/>
      <c r="CA381" s="24"/>
      <c r="CB381" s="24"/>
      <c r="CC381" s="24"/>
      <c r="CD381" s="24"/>
      <c r="CE381" s="24"/>
    </row>
    <row r="382" spans="1:83" ht="15" customHeight="1">
      <c r="A382" s="4"/>
      <c r="B382" s="4"/>
      <c r="C382" s="44"/>
      <c r="D382" s="24"/>
      <c r="E382" s="45"/>
      <c r="F382" s="24"/>
      <c r="G382" s="24"/>
      <c r="H382" s="24"/>
      <c r="I382" s="24"/>
      <c r="J382" s="32"/>
      <c r="K382" s="24"/>
      <c r="L382" s="24"/>
      <c r="M382" s="32"/>
      <c r="N382" s="24"/>
      <c r="O382" s="25"/>
      <c r="P382" s="32"/>
      <c r="Q382" s="32"/>
      <c r="R382" s="32"/>
      <c r="S382" s="32"/>
      <c r="T382" s="32"/>
      <c r="U382" s="32"/>
      <c r="V382" s="32"/>
      <c r="W382" s="32"/>
      <c r="X382" s="32"/>
      <c r="Y382" s="32"/>
      <c r="Z382" s="32"/>
      <c r="AA382" s="32"/>
      <c r="AB382" s="32"/>
      <c r="AC382" s="32"/>
      <c r="AD382" s="32"/>
      <c r="AE382" s="32"/>
      <c r="AF382" s="32"/>
      <c r="AG382" s="32"/>
      <c r="AH382" s="32"/>
      <c r="AI382" s="32"/>
      <c r="AJ382" s="32"/>
      <c r="AK382" s="32"/>
      <c r="AL382" s="32"/>
      <c r="AM382" s="32"/>
      <c r="AN382" s="32"/>
      <c r="AO382" s="32"/>
      <c r="AP382" s="32"/>
      <c r="AQ382" s="32"/>
      <c r="AR382" s="32"/>
      <c r="AS382" s="32"/>
      <c r="AT382" s="32"/>
      <c r="AU382" s="32"/>
      <c r="AV382" s="32"/>
      <c r="AW382" s="32"/>
      <c r="AX382" s="32"/>
      <c r="AY382" s="32"/>
      <c r="AZ382" s="32"/>
      <c r="BA382" s="32"/>
      <c r="BB382" s="32"/>
      <c r="BC382" s="32"/>
      <c r="BD382" s="32"/>
      <c r="BE382" s="32"/>
      <c r="BF382" s="32"/>
      <c r="BG382" s="32"/>
      <c r="BH382" s="32"/>
      <c r="BI382" s="32"/>
      <c r="BJ382" s="32"/>
      <c r="BK382" s="32"/>
      <c r="BL382" s="32"/>
      <c r="BM382" s="32"/>
      <c r="BN382" s="32"/>
      <c r="BO382" s="32"/>
      <c r="BP382" s="32"/>
      <c r="BQ382" s="32"/>
      <c r="BR382" s="32"/>
      <c r="BS382" s="32"/>
      <c r="BT382" s="32"/>
      <c r="BU382" s="32"/>
      <c r="BV382" s="32"/>
      <c r="BW382" s="32"/>
      <c r="BX382" s="32"/>
      <c r="BY382" s="24"/>
      <c r="BZ382" s="24"/>
      <c r="CA382" s="24"/>
      <c r="CB382" s="24"/>
      <c r="CC382" s="24"/>
      <c r="CD382" s="24"/>
      <c r="CE382" s="24"/>
    </row>
    <row r="383" spans="1:83" ht="15" customHeight="1">
      <c r="A383" s="4"/>
      <c r="B383" s="4"/>
      <c r="C383" s="58"/>
      <c r="D383" s="58"/>
      <c r="E383" s="46"/>
      <c r="F383" s="47" t="str">
        <f>verze!$E$207</f>
        <v xml:space="preserve">Cena celkem bez DPH </v>
      </c>
      <c r="G383" s="618">
        <f>SUM(I23:I381)</f>
        <v>0</v>
      </c>
      <c r="H383" s="618"/>
      <c r="I383" s="618"/>
      <c r="J383" s="59" t="str">
        <f>$H$22</f>
        <v xml:space="preserve"> CZK</v>
      </c>
      <c r="K383" s="24"/>
      <c r="L383" s="24"/>
      <c r="M383" s="24"/>
      <c r="N383" s="24"/>
      <c r="O383" s="25"/>
      <c r="P383" s="32"/>
      <c r="Q383" s="32"/>
      <c r="R383" s="32"/>
      <c r="S383" s="32"/>
      <c r="T383" s="32"/>
      <c r="U383" s="32"/>
      <c r="V383" s="32"/>
      <c r="W383" s="32"/>
      <c r="X383" s="32"/>
      <c r="Y383" s="32"/>
      <c r="Z383" s="32"/>
      <c r="AA383" s="32"/>
      <c r="AB383" s="32"/>
      <c r="AC383" s="32"/>
      <c r="AD383" s="32"/>
      <c r="AE383" s="32"/>
      <c r="AF383" s="32"/>
      <c r="AG383" s="32"/>
      <c r="AH383" s="32"/>
      <c r="AI383" s="32"/>
      <c r="AJ383" s="32"/>
      <c r="AK383" s="32"/>
      <c r="AL383" s="32"/>
      <c r="AM383" s="32"/>
      <c r="AN383" s="32"/>
      <c r="AO383" s="32"/>
      <c r="AP383" s="32"/>
      <c r="AQ383" s="32"/>
      <c r="AR383" s="32"/>
      <c r="AS383" s="32"/>
      <c r="AT383" s="32"/>
      <c r="AU383" s="32"/>
      <c r="AV383" s="32"/>
      <c r="AW383" s="32"/>
      <c r="AX383" s="32"/>
      <c r="AY383" s="32"/>
      <c r="AZ383" s="32"/>
      <c r="BA383" s="32"/>
      <c r="BB383" s="32"/>
      <c r="BC383" s="32"/>
      <c r="BD383" s="32"/>
      <c r="BE383" s="32"/>
      <c r="BF383" s="32"/>
      <c r="BG383" s="32"/>
      <c r="BH383" s="32"/>
      <c r="BI383" s="32"/>
      <c r="BJ383" s="32"/>
      <c r="BK383" s="32"/>
      <c r="BL383" s="32"/>
      <c r="BM383" s="32"/>
      <c r="BN383" s="32"/>
      <c r="BO383" s="32"/>
      <c r="BP383" s="32"/>
      <c r="BQ383" s="32"/>
      <c r="BR383" s="32"/>
      <c r="BS383" s="32"/>
      <c r="BT383" s="32"/>
      <c r="BU383" s="32"/>
      <c r="BV383" s="32"/>
      <c r="BW383" s="32"/>
      <c r="BX383" s="32"/>
      <c r="BY383" s="24"/>
      <c r="BZ383" s="24"/>
      <c r="CA383" s="24"/>
      <c r="CB383" s="24"/>
      <c r="CC383" s="24"/>
      <c r="CD383" s="24"/>
      <c r="CE383" s="24"/>
    </row>
    <row r="384" spans="1:83" ht="15" customHeight="1">
      <c r="A384" s="4"/>
      <c r="B384" s="4"/>
      <c r="C384" s="44"/>
      <c r="D384" s="24"/>
      <c r="E384" s="45"/>
      <c r="F384" s="24"/>
      <c r="G384" s="24"/>
      <c r="H384" s="24"/>
      <c r="I384" s="24"/>
      <c r="J384" s="32"/>
      <c r="K384" s="24"/>
      <c r="L384" s="24"/>
      <c r="M384" s="24"/>
      <c r="N384" s="24"/>
      <c r="O384" s="25"/>
      <c r="P384" s="32"/>
      <c r="Q384" s="32"/>
      <c r="R384" s="32"/>
      <c r="S384" s="32"/>
      <c r="T384" s="32"/>
      <c r="U384" s="32"/>
      <c r="V384" s="32"/>
      <c r="W384" s="32"/>
      <c r="X384" s="32"/>
      <c r="Y384" s="32"/>
      <c r="Z384" s="32"/>
      <c r="AA384" s="32"/>
      <c r="AB384" s="32"/>
      <c r="AC384" s="32"/>
      <c r="AD384" s="32"/>
      <c r="AE384" s="32"/>
      <c r="AF384" s="32"/>
      <c r="AG384" s="32"/>
      <c r="AH384" s="32"/>
      <c r="AI384" s="32"/>
      <c r="AJ384" s="32"/>
      <c r="AK384" s="32"/>
      <c r="AL384" s="32"/>
      <c r="AM384" s="32"/>
      <c r="AN384" s="32"/>
      <c r="AO384" s="32"/>
      <c r="AP384" s="32"/>
      <c r="AQ384" s="32"/>
      <c r="AR384" s="32"/>
      <c r="AS384" s="32"/>
      <c r="AT384" s="32"/>
      <c r="AU384" s="32"/>
      <c r="AV384" s="32"/>
      <c r="AW384" s="32"/>
      <c r="AX384" s="32"/>
      <c r="AY384" s="32"/>
      <c r="AZ384" s="32"/>
      <c r="BA384" s="32"/>
      <c r="BB384" s="32"/>
      <c r="BC384" s="32"/>
      <c r="BD384" s="32"/>
      <c r="BE384" s="32"/>
      <c r="BF384" s="32"/>
      <c r="BG384" s="32"/>
      <c r="BH384" s="32"/>
      <c r="BI384" s="32"/>
      <c r="BJ384" s="32"/>
      <c r="BK384" s="32"/>
      <c r="BL384" s="32"/>
      <c r="BM384" s="32"/>
      <c r="BN384" s="32"/>
      <c r="BO384" s="32"/>
      <c r="BP384" s="32"/>
      <c r="BQ384" s="32"/>
      <c r="BR384" s="32"/>
      <c r="BS384" s="32"/>
      <c r="BT384" s="32"/>
      <c r="BU384" s="32"/>
      <c r="BV384" s="32"/>
      <c r="BW384" s="32"/>
      <c r="BX384" s="32"/>
      <c r="BY384" s="24"/>
      <c r="BZ384" s="24"/>
      <c r="CA384" s="24"/>
      <c r="CB384" s="24"/>
      <c r="CC384" s="24"/>
      <c r="CD384" s="24"/>
      <c r="CE384" s="24"/>
    </row>
    <row r="385" spans="1:83" ht="15" customHeight="1">
      <c r="A385" s="4"/>
      <c r="B385" s="4"/>
      <c r="C385" s="48" t="s">
        <v>47</v>
      </c>
      <c r="D385" s="24"/>
      <c r="E385" s="45"/>
      <c r="F385" s="24"/>
      <c r="G385" s="24"/>
      <c r="H385" s="24"/>
      <c r="I385" s="24"/>
      <c r="J385" s="32"/>
      <c r="K385" s="24"/>
      <c r="L385" s="24"/>
      <c r="M385" s="24"/>
      <c r="N385" s="24"/>
      <c r="O385" s="25"/>
      <c r="P385" s="32"/>
      <c r="Q385" s="32"/>
      <c r="R385" s="32"/>
      <c r="S385" s="32"/>
      <c r="T385" s="32"/>
      <c r="U385" s="32"/>
      <c r="V385" s="32"/>
      <c r="W385" s="32"/>
      <c r="X385" s="32"/>
      <c r="Y385" s="32"/>
      <c r="Z385" s="32"/>
      <c r="AA385" s="32"/>
      <c r="AB385" s="32"/>
      <c r="AC385" s="32"/>
      <c r="AD385" s="32"/>
      <c r="AE385" s="32"/>
      <c r="AF385" s="32"/>
      <c r="AG385" s="32"/>
      <c r="AH385" s="32"/>
      <c r="AI385" s="32"/>
      <c r="AJ385" s="32"/>
      <c r="AK385" s="32"/>
      <c r="AL385" s="32"/>
      <c r="AM385" s="32"/>
      <c r="AN385" s="32"/>
      <c r="AO385" s="32"/>
      <c r="AP385" s="32"/>
      <c r="AQ385" s="32"/>
      <c r="AR385" s="32"/>
      <c r="AS385" s="32"/>
      <c r="AT385" s="32"/>
      <c r="AU385" s="32"/>
      <c r="AV385" s="32"/>
      <c r="AW385" s="32"/>
      <c r="AX385" s="32"/>
      <c r="AY385" s="32"/>
      <c r="AZ385" s="32"/>
      <c r="BA385" s="32"/>
      <c r="BB385" s="32"/>
      <c r="BC385" s="32"/>
      <c r="BD385" s="32"/>
      <c r="BE385" s="32"/>
      <c r="BF385" s="32"/>
      <c r="BG385" s="32"/>
      <c r="BH385" s="32"/>
      <c r="BI385" s="32"/>
      <c r="BJ385" s="32"/>
      <c r="BK385" s="32"/>
      <c r="BL385" s="32"/>
      <c r="BM385" s="32"/>
      <c r="BN385" s="32"/>
      <c r="BO385" s="32"/>
      <c r="BP385" s="32"/>
      <c r="BQ385" s="32"/>
      <c r="BR385" s="32"/>
      <c r="BS385" s="32"/>
      <c r="BT385" s="32"/>
      <c r="BU385" s="32"/>
      <c r="BV385" s="32"/>
      <c r="BW385" s="32"/>
      <c r="BX385" s="32"/>
      <c r="BY385" s="24"/>
      <c r="BZ385" s="24"/>
      <c r="CA385" s="24"/>
      <c r="CB385" s="24"/>
      <c r="CC385" s="24"/>
      <c r="CD385" s="24"/>
      <c r="CE385" s="24"/>
    </row>
    <row r="386" spans="1:83" ht="15" customHeight="1">
      <c r="A386" s="4"/>
      <c r="B386" s="4"/>
      <c r="C386" s="48"/>
      <c r="D386" s="24"/>
      <c r="E386" s="45"/>
      <c r="F386" s="24"/>
      <c r="G386" s="24"/>
      <c r="H386" s="24"/>
      <c r="I386" s="24"/>
      <c r="J386" s="32"/>
      <c r="K386" s="24"/>
      <c r="L386" s="24"/>
      <c r="M386" s="24"/>
      <c r="N386" s="24"/>
      <c r="O386" s="25"/>
      <c r="P386" s="32"/>
      <c r="Q386" s="32"/>
      <c r="R386" s="32"/>
      <c r="S386" s="32"/>
      <c r="T386" s="32"/>
      <c r="U386" s="32"/>
      <c r="V386" s="32"/>
      <c r="W386" s="32"/>
      <c r="X386" s="32"/>
      <c r="Y386" s="32"/>
      <c r="Z386" s="32"/>
      <c r="AA386" s="32"/>
      <c r="AB386" s="32"/>
      <c r="AC386" s="32"/>
      <c r="AD386" s="32"/>
      <c r="AE386" s="32"/>
      <c r="AF386" s="32"/>
      <c r="AG386" s="32"/>
      <c r="AH386" s="32"/>
      <c r="AI386" s="32"/>
      <c r="AJ386" s="32"/>
      <c r="AK386" s="32"/>
      <c r="AL386" s="32"/>
      <c r="AM386" s="32"/>
      <c r="AN386" s="32"/>
      <c r="AO386" s="32"/>
      <c r="AP386" s="32"/>
      <c r="AQ386" s="32"/>
      <c r="AR386" s="32"/>
      <c r="AS386" s="32"/>
      <c r="AT386" s="32"/>
      <c r="AU386" s="32"/>
      <c r="AV386" s="32"/>
      <c r="AW386" s="32"/>
      <c r="AX386" s="32"/>
      <c r="AY386" s="32"/>
      <c r="AZ386" s="32"/>
      <c r="BA386" s="32"/>
      <c r="BB386" s="32"/>
      <c r="BC386" s="32"/>
      <c r="BD386" s="32"/>
      <c r="BE386" s="32"/>
      <c r="BF386" s="32"/>
      <c r="BG386" s="32"/>
      <c r="BH386" s="32"/>
      <c r="BI386" s="32"/>
      <c r="BJ386" s="32"/>
      <c r="BK386" s="32"/>
      <c r="BL386" s="32"/>
      <c r="BM386" s="32"/>
      <c r="BN386" s="32"/>
      <c r="BO386" s="32"/>
      <c r="BP386" s="32"/>
      <c r="BQ386" s="32"/>
      <c r="BR386" s="32"/>
      <c r="BS386" s="32"/>
      <c r="BT386" s="32"/>
      <c r="BU386" s="32"/>
      <c r="BV386" s="32"/>
      <c r="BW386" s="32"/>
      <c r="BX386" s="32"/>
      <c r="BY386" s="24"/>
      <c r="BZ386" s="24"/>
      <c r="CA386" s="24"/>
      <c r="CB386" s="24"/>
      <c r="CC386" s="24"/>
      <c r="CD386" s="24"/>
      <c r="CE386" s="24"/>
    </row>
    <row r="387" spans="1:83" ht="15" customHeight="1">
      <c r="A387" s="4"/>
      <c r="B387" s="4"/>
      <c r="C387" s="49" t="str">
        <f>verze!$E$208</f>
        <v>Poznámka :</v>
      </c>
      <c r="D387" s="24"/>
      <c r="E387" s="45"/>
      <c r="F387" s="24"/>
      <c r="G387" s="24"/>
      <c r="H387" s="24"/>
      <c r="I387" s="24"/>
      <c r="J387" s="32"/>
      <c r="K387" s="24"/>
      <c r="L387" s="24"/>
      <c r="M387" s="24"/>
      <c r="N387" s="24"/>
      <c r="O387" s="25"/>
      <c r="P387" s="32"/>
      <c r="Q387" s="32"/>
      <c r="R387" s="32"/>
      <c r="S387" s="32"/>
      <c r="T387" s="32"/>
      <c r="U387" s="32"/>
      <c r="V387" s="32"/>
      <c r="W387" s="32"/>
      <c r="X387" s="32"/>
      <c r="Y387" s="32"/>
      <c r="Z387" s="32"/>
      <c r="AA387" s="32"/>
      <c r="AB387" s="32"/>
      <c r="AC387" s="32"/>
      <c r="AD387" s="32"/>
      <c r="AE387" s="32"/>
      <c r="AF387" s="32"/>
      <c r="AG387" s="32"/>
      <c r="AH387" s="32"/>
      <c r="AI387" s="32"/>
      <c r="AJ387" s="32"/>
      <c r="AK387" s="32"/>
      <c r="AL387" s="32"/>
      <c r="AM387" s="32"/>
      <c r="AN387" s="32"/>
      <c r="AO387" s="32"/>
      <c r="AP387" s="32"/>
      <c r="AQ387" s="32"/>
      <c r="AR387" s="32"/>
      <c r="AS387" s="32"/>
      <c r="AT387" s="32"/>
      <c r="AU387" s="32"/>
      <c r="AV387" s="32"/>
      <c r="AW387" s="32"/>
      <c r="AX387" s="32"/>
      <c r="AY387" s="32"/>
      <c r="AZ387" s="32"/>
      <c r="BA387" s="32"/>
      <c r="BB387" s="32"/>
      <c r="BC387" s="32"/>
      <c r="BD387" s="32"/>
      <c r="BE387" s="32"/>
      <c r="BF387" s="32"/>
      <c r="BG387" s="32"/>
      <c r="BH387" s="32"/>
      <c r="BI387" s="32"/>
      <c r="BJ387" s="32"/>
      <c r="BK387" s="32"/>
      <c r="BL387" s="32"/>
      <c r="BM387" s="32"/>
      <c r="BN387" s="32"/>
      <c r="BO387" s="32"/>
      <c r="BP387" s="32"/>
      <c r="BQ387" s="32"/>
      <c r="BR387" s="32"/>
      <c r="BS387" s="32"/>
      <c r="BT387" s="32"/>
      <c r="BU387" s="32"/>
      <c r="BV387" s="32"/>
      <c r="BW387" s="32"/>
      <c r="BX387" s="32"/>
      <c r="BY387" s="24"/>
      <c r="BZ387" s="24"/>
      <c r="CA387" s="24"/>
      <c r="CB387" s="24"/>
      <c r="CC387" s="24"/>
      <c r="CD387" s="24"/>
      <c r="CE387" s="24"/>
    </row>
    <row r="388" spans="1:83" ht="15" customHeight="1">
      <c r="A388" s="24"/>
      <c r="B388" s="24"/>
      <c r="C388" s="620"/>
      <c r="D388" s="620"/>
      <c r="E388" s="620"/>
      <c r="F388" s="620"/>
      <c r="G388" s="620"/>
      <c r="H388" s="620"/>
      <c r="I388" s="620"/>
      <c r="J388" s="620"/>
      <c r="K388" s="620"/>
      <c r="L388" s="620"/>
      <c r="M388" s="50"/>
      <c r="N388" s="24"/>
      <c r="O388" s="25"/>
      <c r="P388" s="32"/>
      <c r="Q388" s="32"/>
      <c r="R388" s="32"/>
      <c r="S388" s="32"/>
      <c r="T388" s="32"/>
      <c r="U388" s="32"/>
      <c r="V388" s="32"/>
      <c r="W388" s="32"/>
      <c r="X388" s="32"/>
      <c r="Y388" s="32"/>
      <c r="Z388" s="32"/>
      <c r="AA388" s="32"/>
      <c r="AB388" s="32"/>
      <c r="AC388" s="32"/>
      <c r="AD388" s="32"/>
      <c r="AE388" s="32"/>
      <c r="AF388" s="32"/>
      <c r="AG388" s="32"/>
      <c r="AH388" s="32"/>
      <c r="AI388" s="32"/>
      <c r="AJ388" s="32"/>
      <c r="AK388" s="32"/>
      <c r="AL388" s="32"/>
      <c r="AM388" s="32"/>
      <c r="AN388" s="32"/>
      <c r="AO388" s="32"/>
      <c r="AP388" s="32"/>
      <c r="AQ388" s="32"/>
      <c r="AR388" s="32"/>
      <c r="AS388" s="32"/>
      <c r="AT388" s="32"/>
      <c r="AU388" s="32"/>
      <c r="AV388" s="32"/>
      <c r="AW388" s="32"/>
      <c r="AX388" s="32"/>
      <c r="AY388" s="32"/>
      <c r="AZ388" s="32"/>
      <c r="BA388" s="32"/>
      <c r="BB388" s="32"/>
      <c r="BC388" s="32"/>
      <c r="BD388" s="32"/>
      <c r="BE388" s="32"/>
      <c r="BF388" s="32"/>
      <c r="BG388" s="32"/>
      <c r="BH388" s="32"/>
      <c r="BI388" s="32"/>
      <c r="BJ388" s="32"/>
      <c r="BK388" s="32"/>
      <c r="BL388" s="32"/>
      <c r="BM388" s="32"/>
      <c r="BN388" s="32"/>
      <c r="BO388" s="32"/>
      <c r="BP388" s="32"/>
      <c r="BQ388" s="32"/>
      <c r="BR388" s="32"/>
      <c r="BS388" s="32"/>
      <c r="BT388" s="32"/>
      <c r="BU388" s="32"/>
      <c r="BV388" s="32"/>
      <c r="BW388" s="32"/>
      <c r="BX388" s="32"/>
      <c r="BY388" s="24"/>
      <c r="BZ388" s="24"/>
      <c r="CA388" s="24"/>
      <c r="CB388" s="24"/>
      <c r="CC388" s="24"/>
      <c r="CD388" s="24"/>
      <c r="CE388" s="24"/>
    </row>
    <row r="389" spans="1:83" ht="15" customHeight="1">
      <c r="A389" s="24"/>
      <c r="B389" s="24"/>
      <c r="C389" s="620"/>
      <c r="D389" s="620"/>
      <c r="E389" s="620"/>
      <c r="F389" s="620"/>
      <c r="G389" s="620"/>
      <c r="H389" s="620"/>
      <c r="I389" s="620"/>
      <c r="J389" s="620"/>
      <c r="K389" s="620"/>
      <c r="L389" s="620"/>
      <c r="M389" s="50"/>
      <c r="N389" s="24"/>
      <c r="O389" s="25"/>
      <c r="P389" s="32"/>
      <c r="Q389" s="32"/>
      <c r="R389" s="32"/>
      <c r="S389" s="32"/>
      <c r="T389" s="32"/>
      <c r="U389" s="32"/>
      <c r="V389" s="32"/>
      <c r="W389" s="32"/>
      <c r="X389" s="32"/>
      <c r="Y389" s="32"/>
      <c r="Z389" s="32"/>
      <c r="AA389" s="32"/>
      <c r="AB389" s="32"/>
      <c r="AC389" s="32"/>
      <c r="AD389" s="32"/>
      <c r="AE389" s="32"/>
      <c r="AF389" s="32"/>
      <c r="AG389" s="32"/>
      <c r="AH389" s="32"/>
      <c r="AI389" s="32"/>
      <c r="AJ389" s="32"/>
      <c r="AK389" s="32"/>
      <c r="AL389" s="32"/>
      <c r="AM389" s="32"/>
      <c r="AN389" s="32"/>
      <c r="AO389" s="32"/>
      <c r="AP389" s="32"/>
      <c r="AQ389" s="32"/>
      <c r="AR389" s="32"/>
      <c r="AS389" s="32"/>
      <c r="AT389" s="32"/>
      <c r="AU389" s="32"/>
      <c r="AV389" s="32"/>
      <c r="AW389" s="32"/>
      <c r="AX389" s="32"/>
      <c r="AY389" s="32"/>
      <c r="AZ389" s="32"/>
      <c r="BA389" s="32"/>
      <c r="BB389" s="32"/>
      <c r="BC389" s="32"/>
      <c r="BD389" s="32"/>
      <c r="BE389" s="32"/>
      <c r="BF389" s="32"/>
      <c r="BG389" s="32"/>
      <c r="BH389" s="32"/>
      <c r="BI389" s="32"/>
      <c r="BJ389" s="32"/>
      <c r="BK389" s="32"/>
      <c r="BL389" s="32"/>
      <c r="BM389" s="32"/>
      <c r="BN389" s="32"/>
      <c r="BO389" s="32"/>
      <c r="BP389" s="32"/>
      <c r="BQ389" s="32"/>
      <c r="BR389" s="32"/>
      <c r="BS389" s="32"/>
      <c r="BT389" s="32"/>
      <c r="BU389" s="32"/>
      <c r="BV389" s="32"/>
      <c r="BW389" s="32"/>
      <c r="BX389" s="32"/>
      <c r="BY389" s="24"/>
      <c r="BZ389" s="24"/>
      <c r="CA389" s="24"/>
      <c r="CB389" s="24"/>
      <c r="CC389" s="24"/>
      <c r="CD389" s="24"/>
      <c r="CE389" s="24"/>
    </row>
    <row r="390" spans="1:83" ht="15" customHeight="1">
      <c r="A390" s="24"/>
      <c r="B390" s="24"/>
      <c r="C390" s="620"/>
      <c r="D390" s="620"/>
      <c r="E390" s="620"/>
      <c r="F390" s="620"/>
      <c r="G390" s="620"/>
      <c r="H390" s="620"/>
      <c r="I390" s="620"/>
      <c r="J390" s="620"/>
      <c r="K390" s="620"/>
      <c r="L390" s="620"/>
      <c r="M390" s="50"/>
      <c r="N390" s="24"/>
      <c r="O390" s="25"/>
      <c r="P390" s="32"/>
      <c r="Q390" s="32"/>
      <c r="R390" s="32"/>
      <c r="S390" s="32"/>
      <c r="T390" s="32"/>
      <c r="U390" s="32"/>
      <c r="V390" s="32"/>
      <c r="W390" s="32"/>
      <c r="X390" s="32"/>
      <c r="Y390" s="32"/>
      <c r="Z390" s="32"/>
      <c r="AA390" s="32"/>
      <c r="AB390" s="32"/>
      <c r="AC390" s="32"/>
      <c r="AD390" s="32"/>
      <c r="AE390" s="32"/>
      <c r="AF390" s="32"/>
      <c r="AG390" s="32"/>
      <c r="AH390" s="32"/>
      <c r="AI390" s="32"/>
      <c r="AJ390" s="32"/>
      <c r="AK390" s="32"/>
      <c r="AL390" s="32"/>
      <c r="AM390" s="32"/>
      <c r="AN390" s="32"/>
      <c r="AO390" s="32"/>
      <c r="AP390" s="32"/>
      <c r="AQ390" s="32"/>
      <c r="AR390" s="32"/>
      <c r="AS390" s="32"/>
      <c r="AT390" s="32"/>
      <c r="AU390" s="32"/>
      <c r="AV390" s="32"/>
      <c r="AW390" s="32"/>
      <c r="AX390" s="32"/>
      <c r="AY390" s="32"/>
      <c r="AZ390" s="32"/>
      <c r="BA390" s="32"/>
      <c r="BB390" s="32"/>
      <c r="BC390" s="32"/>
      <c r="BD390" s="32"/>
      <c r="BE390" s="32"/>
      <c r="BF390" s="32"/>
      <c r="BG390" s="32"/>
      <c r="BH390" s="32"/>
      <c r="BI390" s="32"/>
      <c r="BJ390" s="32"/>
      <c r="BK390" s="32"/>
      <c r="BL390" s="32"/>
      <c r="BM390" s="32"/>
      <c r="BN390" s="32"/>
      <c r="BO390" s="32"/>
      <c r="BP390" s="32"/>
      <c r="BQ390" s="32"/>
      <c r="BR390" s="32"/>
      <c r="BS390" s="32"/>
      <c r="BT390" s="32"/>
      <c r="BU390" s="32"/>
      <c r="BV390" s="32"/>
      <c r="BW390" s="32"/>
      <c r="BX390" s="32"/>
      <c r="BY390" s="24"/>
      <c r="BZ390" s="24"/>
      <c r="CA390" s="24"/>
      <c r="CB390" s="24"/>
      <c r="CC390" s="24"/>
      <c r="CD390" s="24"/>
      <c r="CE390" s="24"/>
    </row>
    <row r="391" spans="1:83" ht="15" customHeight="1">
      <c r="A391" s="24"/>
      <c r="B391" s="24"/>
      <c r="C391" s="24"/>
      <c r="D391" s="24"/>
      <c r="E391" s="45"/>
      <c r="F391" s="24"/>
      <c r="G391" s="24"/>
      <c r="H391" s="24"/>
      <c r="I391" s="24"/>
      <c r="J391" s="32"/>
      <c r="K391" s="24"/>
      <c r="L391" s="24"/>
      <c r="M391" s="24"/>
      <c r="N391" s="24"/>
      <c r="O391" s="25"/>
      <c r="P391" s="32"/>
      <c r="Q391" s="32"/>
      <c r="R391" s="32"/>
      <c r="S391" s="32"/>
      <c r="T391" s="32"/>
      <c r="U391" s="32"/>
      <c r="V391" s="32"/>
      <c r="W391" s="32"/>
      <c r="X391" s="32"/>
      <c r="Y391" s="32"/>
      <c r="Z391" s="32"/>
      <c r="AA391" s="32"/>
      <c r="AB391" s="32"/>
      <c r="AC391" s="32"/>
      <c r="AD391" s="32"/>
      <c r="AE391" s="32"/>
      <c r="AF391" s="32"/>
      <c r="AG391" s="32"/>
      <c r="AH391" s="32"/>
      <c r="AI391" s="32"/>
      <c r="AJ391" s="32"/>
      <c r="AK391" s="32"/>
      <c r="AL391" s="32"/>
      <c r="AM391" s="32"/>
      <c r="AN391" s="32"/>
      <c r="AO391" s="32"/>
      <c r="AP391" s="32"/>
      <c r="AQ391" s="32"/>
      <c r="AR391" s="32"/>
      <c r="AS391" s="32"/>
      <c r="AT391" s="32"/>
      <c r="AU391" s="32"/>
      <c r="AV391" s="32"/>
      <c r="AW391" s="32"/>
      <c r="AX391" s="32"/>
      <c r="AY391" s="32"/>
      <c r="AZ391" s="32"/>
      <c r="BA391" s="32"/>
      <c r="BB391" s="32"/>
      <c r="BC391" s="32"/>
      <c r="BD391" s="32"/>
      <c r="BE391" s="32"/>
      <c r="BF391" s="32"/>
      <c r="BG391" s="32"/>
      <c r="BH391" s="32"/>
      <c r="BI391" s="32"/>
      <c r="BJ391" s="32"/>
      <c r="BK391" s="32"/>
      <c r="BL391" s="32"/>
      <c r="BM391" s="32"/>
      <c r="BN391" s="32"/>
      <c r="BO391" s="32"/>
      <c r="BP391" s="32"/>
      <c r="BQ391" s="32"/>
      <c r="BR391" s="32"/>
      <c r="BS391" s="32"/>
      <c r="BT391" s="32"/>
      <c r="BU391" s="32"/>
      <c r="BV391" s="32"/>
      <c r="BW391" s="32"/>
      <c r="BX391" s="32"/>
      <c r="BY391" s="24"/>
      <c r="BZ391" s="24"/>
      <c r="CA391" s="24"/>
      <c r="CB391" s="24"/>
      <c r="CC391" s="24"/>
      <c r="CD391" s="24"/>
      <c r="CE391" s="24"/>
    </row>
    <row r="392" spans="1:83" ht="15" customHeight="1">
      <c r="A392" s="24"/>
      <c r="B392" s="153">
        <f ca="1">NOW()</f>
        <v>46295.675980555556</v>
      </c>
      <c r="C392" s="238"/>
      <c r="D392" s="24"/>
      <c r="E392" s="45"/>
      <c r="F392" s="24"/>
      <c r="G392" s="24"/>
      <c r="H392" s="24"/>
      <c r="I392" s="24"/>
      <c r="J392" s="32"/>
      <c r="K392" s="24"/>
      <c r="L392" s="24"/>
      <c r="M392" s="24"/>
      <c r="N392" s="24"/>
      <c r="O392" s="25"/>
      <c r="P392" s="32"/>
      <c r="Q392" s="32"/>
      <c r="R392" s="32"/>
      <c r="S392" s="32"/>
      <c r="T392" s="32"/>
      <c r="U392" s="32"/>
      <c r="V392" s="32"/>
      <c r="W392" s="32"/>
      <c r="X392" s="32"/>
      <c r="Y392" s="32"/>
      <c r="Z392" s="32"/>
      <c r="AA392" s="32"/>
      <c r="AB392" s="32"/>
      <c r="AC392" s="32"/>
      <c r="AD392" s="32"/>
      <c r="AE392" s="32"/>
      <c r="AF392" s="32"/>
      <c r="AG392" s="32"/>
      <c r="AH392" s="32"/>
      <c r="AI392" s="32"/>
      <c r="AJ392" s="32"/>
      <c r="AK392" s="32"/>
      <c r="AL392" s="32"/>
      <c r="AM392" s="32"/>
      <c r="AN392" s="32"/>
      <c r="AO392" s="32"/>
      <c r="AP392" s="32"/>
      <c r="AQ392" s="32"/>
      <c r="AR392" s="32"/>
      <c r="AS392" s="32"/>
      <c r="AT392" s="32"/>
      <c r="AU392" s="32"/>
      <c r="AV392" s="32"/>
      <c r="AW392" s="32"/>
      <c r="AX392" s="32"/>
      <c r="AY392" s="32"/>
      <c r="AZ392" s="32"/>
      <c r="BA392" s="32"/>
      <c r="BB392" s="32"/>
      <c r="BC392" s="32"/>
      <c r="BD392" s="32"/>
      <c r="BE392" s="32"/>
      <c r="BF392" s="32"/>
      <c r="BG392" s="32"/>
      <c r="BH392" s="32"/>
      <c r="BI392" s="32"/>
      <c r="BJ392" s="32"/>
      <c r="BK392" s="32"/>
      <c r="BL392" s="32"/>
      <c r="BM392" s="32"/>
      <c r="BN392" s="32"/>
      <c r="BO392" s="32"/>
      <c r="BP392" s="32"/>
      <c r="BQ392" s="32"/>
      <c r="BR392" s="32"/>
      <c r="BS392" s="32"/>
      <c r="BT392" s="32"/>
      <c r="BU392" s="32"/>
      <c r="BV392" s="32"/>
      <c r="BW392" s="32"/>
      <c r="BX392" s="32"/>
      <c r="BY392" s="24"/>
      <c r="BZ392" s="24"/>
      <c r="CA392" s="24"/>
      <c r="CB392" s="24"/>
      <c r="CC392" s="24"/>
      <c r="CD392" s="24"/>
      <c r="CE392" s="24"/>
    </row>
    <row r="393" spans="1:83" ht="15" customHeight="1">
      <c r="A393" s="24"/>
      <c r="B393" s="153"/>
      <c r="C393" s="24"/>
      <c r="D393" s="24"/>
      <c r="E393" s="45"/>
      <c r="F393" s="24"/>
      <c r="G393" s="24"/>
      <c r="H393" s="24"/>
      <c r="I393" s="24"/>
      <c r="J393" s="32"/>
      <c r="K393" s="24"/>
      <c r="L393" s="24"/>
      <c r="M393" s="24"/>
      <c r="N393" s="24"/>
      <c r="O393" s="25"/>
      <c r="P393" s="32"/>
      <c r="Q393" s="32"/>
      <c r="R393" s="32"/>
      <c r="S393" s="32"/>
      <c r="T393" s="32"/>
      <c r="U393" s="32"/>
      <c r="V393" s="32"/>
      <c r="W393" s="32"/>
      <c r="X393" s="32"/>
      <c r="Y393" s="32"/>
      <c r="Z393" s="32"/>
      <c r="AA393" s="32"/>
      <c r="AB393" s="32"/>
      <c r="AC393" s="32"/>
      <c r="AD393" s="32"/>
      <c r="AE393" s="32"/>
      <c r="AF393" s="32"/>
      <c r="AG393" s="32"/>
      <c r="AH393" s="32"/>
      <c r="AI393" s="32"/>
      <c r="AJ393" s="32"/>
      <c r="AK393" s="32"/>
      <c r="AL393" s="32"/>
      <c r="AM393" s="32"/>
      <c r="AN393" s="32"/>
      <c r="AO393" s="32"/>
      <c r="AP393" s="32"/>
      <c r="AQ393" s="32"/>
      <c r="AR393" s="32"/>
      <c r="AS393" s="32"/>
      <c r="AT393" s="32"/>
      <c r="AU393" s="32"/>
      <c r="AV393" s="32"/>
      <c r="AW393" s="32"/>
      <c r="AX393" s="32"/>
      <c r="AY393" s="32"/>
      <c r="AZ393" s="32"/>
      <c r="BA393" s="32"/>
      <c r="BB393" s="32"/>
      <c r="BC393" s="32"/>
      <c r="BD393" s="32"/>
      <c r="BE393" s="32"/>
      <c r="BF393" s="32"/>
      <c r="BG393" s="32"/>
      <c r="BH393" s="32"/>
      <c r="BI393" s="32"/>
      <c r="BJ393" s="32"/>
      <c r="BK393" s="32"/>
      <c r="BL393" s="32"/>
      <c r="BM393" s="32"/>
      <c r="BN393" s="32"/>
      <c r="BO393" s="32"/>
      <c r="BP393" s="32"/>
      <c r="BQ393" s="32"/>
      <c r="BR393" s="32"/>
      <c r="BS393" s="32"/>
      <c r="BT393" s="32"/>
      <c r="BU393" s="32"/>
      <c r="BV393" s="32"/>
      <c r="BW393" s="32"/>
      <c r="BX393" s="32"/>
      <c r="BY393" s="24"/>
      <c r="BZ393" s="24"/>
      <c r="CA393" s="24"/>
      <c r="CB393" s="24"/>
      <c r="CC393" s="24"/>
      <c r="CD393" s="24"/>
      <c r="CE393" s="24"/>
    </row>
    <row r="394" spans="1:83" ht="15" customHeight="1">
      <c r="A394" s="24"/>
      <c r="B394" s="24"/>
      <c r="C394" s="24" t="str">
        <f>verze!$E$191</f>
        <v>Ve sloupci "Změna" můžeš upravit počty kusů jednotlivých položek.</v>
      </c>
      <c r="D394" s="24"/>
      <c r="E394" s="45"/>
      <c r="F394" s="24"/>
      <c r="G394" s="24"/>
      <c r="H394" s="24"/>
      <c r="I394" s="24"/>
      <c r="J394" s="32"/>
      <c r="K394" s="24"/>
      <c r="L394" s="24"/>
      <c r="M394" s="24"/>
      <c r="N394" s="24"/>
      <c r="O394" s="25"/>
      <c r="P394" s="32"/>
      <c r="Q394" s="32"/>
      <c r="R394" s="32"/>
      <c r="S394" s="32"/>
      <c r="T394" s="32"/>
      <c r="U394" s="32"/>
      <c r="V394" s="32"/>
      <c r="W394" s="32"/>
      <c r="X394" s="32"/>
      <c r="Y394" s="32"/>
      <c r="Z394" s="32"/>
      <c r="AA394" s="32"/>
      <c r="AB394" s="32"/>
      <c r="AC394" s="32"/>
      <c r="AD394" s="32"/>
      <c r="AE394" s="32"/>
      <c r="AF394" s="32"/>
      <c r="AG394" s="32"/>
      <c r="AH394" s="32"/>
      <c r="AI394" s="32"/>
      <c r="AJ394" s="32"/>
      <c r="AK394" s="32"/>
      <c r="AL394" s="32"/>
      <c r="AM394" s="32"/>
      <c r="AN394" s="32"/>
      <c r="AO394" s="32"/>
      <c r="AP394" s="32"/>
      <c r="AQ394" s="32"/>
      <c r="AR394" s="32"/>
      <c r="AS394" s="32"/>
      <c r="AT394" s="32"/>
      <c r="AU394" s="32"/>
      <c r="AV394" s="32"/>
      <c r="AW394" s="32"/>
      <c r="AX394" s="32"/>
      <c r="AY394" s="32"/>
      <c r="AZ394" s="32"/>
      <c r="BA394" s="32"/>
      <c r="BB394" s="32"/>
      <c r="BC394" s="32"/>
      <c r="BD394" s="32"/>
      <c r="BE394" s="32"/>
      <c r="BF394" s="32"/>
      <c r="BG394" s="32"/>
      <c r="BH394" s="32"/>
      <c r="BI394" s="32"/>
      <c r="BJ394" s="32"/>
      <c r="BK394" s="32"/>
      <c r="BL394" s="32"/>
      <c r="BM394" s="32"/>
      <c r="BN394" s="32"/>
      <c r="BO394" s="32"/>
      <c r="BP394" s="32"/>
      <c r="BQ394" s="32"/>
      <c r="BR394" s="32"/>
      <c r="BS394" s="32"/>
      <c r="BT394" s="32"/>
      <c r="BU394" s="32"/>
      <c r="BV394" s="32"/>
      <c r="BW394" s="32"/>
      <c r="BX394" s="32"/>
      <c r="BY394" s="24"/>
      <c r="BZ394" s="24"/>
      <c r="CA394" s="24"/>
      <c r="CB394" s="24"/>
      <c r="CC394" s="24"/>
      <c r="CD394" s="24"/>
      <c r="CE394" s="24"/>
    </row>
    <row r="395" spans="1:83" ht="15" customHeight="1">
      <c r="A395" s="24"/>
      <c r="B395" s="24"/>
      <c r="C395" s="24" t="str">
        <f>verze!$E$192</f>
        <v>Po úpravě objednávky odfiltruj prázné řádky pomocí filtru ve sloupci "Počet".</v>
      </c>
      <c r="D395" s="24"/>
      <c r="E395" s="45"/>
      <c r="F395" s="24"/>
      <c r="G395" s="24"/>
      <c r="H395" s="24"/>
      <c r="I395" s="24"/>
      <c r="J395" s="32"/>
      <c r="K395" s="24"/>
      <c r="L395" s="24"/>
      <c r="M395" s="24"/>
      <c r="N395" s="24"/>
      <c r="O395" s="25"/>
      <c r="P395" s="32"/>
      <c r="Q395" s="32"/>
      <c r="R395" s="32"/>
      <c r="S395" s="32"/>
      <c r="T395" s="32"/>
      <c r="U395" s="32"/>
      <c r="V395" s="32"/>
      <c r="W395" s="32"/>
      <c r="X395" s="32"/>
      <c r="Y395" s="32"/>
      <c r="Z395" s="32"/>
      <c r="AA395" s="32"/>
      <c r="AB395" s="32"/>
      <c r="AC395" s="32"/>
      <c r="AD395" s="32"/>
      <c r="AE395" s="32"/>
      <c r="AF395" s="32"/>
      <c r="AG395" s="32"/>
      <c r="AH395" s="32"/>
      <c r="AI395" s="32"/>
      <c r="AJ395" s="32"/>
      <c r="AK395" s="32"/>
      <c r="AL395" s="32"/>
      <c r="AM395" s="32"/>
      <c r="AN395" s="32"/>
      <c r="AO395" s="32"/>
      <c r="AP395" s="32"/>
      <c r="AQ395" s="32"/>
      <c r="AR395" s="32"/>
      <c r="AS395" s="32"/>
      <c r="AT395" s="32"/>
      <c r="AU395" s="32"/>
      <c r="AV395" s="32"/>
      <c r="AW395" s="32"/>
      <c r="AX395" s="32"/>
      <c r="AY395" s="32"/>
      <c r="AZ395" s="32"/>
      <c r="BA395" s="32"/>
      <c r="BB395" s="32"/>
      <c r="BC395" s="32"/>
      <c r="BD395" s="32"/>
      <c r="BE395" s="32"/>
      <c r="BF395" s="32"/>
      <c r="BG395" s="32"/>
      <c r="BH395" s="32"/>
      <c r="BI395" s="32"/>
      <c r="BJ395" s="32"/>
      <c r="BK395" s="32"/>
      <c r="BL395" s="32"/>
      <c r="BM395" s="32"/>
      <c r="BN395" s="32"/>
      <c r="BO395" s="32"/>
      <c r="BP395" s="32"/>
      <c r="BQ395" s="32"/>
      <c r="BR395" s="32"/>
      <c r="BS395" s="32"/>
      <c r="BT395" s="32"/>
      <c r="BU395" s="32"/>
      <c r="BV395" s="32"/>
      <c r="BW395" s="32"/>
      <c r="BX395" s="32"/>
      <c r="BY395" s="24"/>
      <c r="BZ395" s="24"/>
      <c r="CA395" s="24"/>
      <c r="CB395" s="24"/>
      <c r="CC395" s="24"/>
      <c r="CD395" s="24"/>
      <c r="CE395" s="24"/>
    </row>
    <row r="396" spans="1:83" ht="15" customHeight="1">
      <c r="A396" s="24"/>
      <c r="B396" s="24"/>
      <c r="C396" s="24" t="str">
        <f>verze!$E$193</f>
        <v>Pokud chceš objednávku uložit nebo odeslat jako přílohu, vytvoř nový soubor kliknutím na odkaz  'Vytvořit objednávku'.</v>
      </c>
      <c r="D396" s="24"/>
      <c r="E396" s="45"/>
      <c r="F396" s="24"/>
      <c r="G396" s="24"/>
      <c r="H396" s="24"/>
      <c r="I396" s="24"/>
      <c r="J396" s="32"/>
      <c r="K396" s="24"/>
      <c r="L396" s="24"/>
      <c r="M396" s="24"/>
      <c r="N396" s="24"/>
      <c r="O396" s="25"/>
      <c r="P396" s="32"/>
      <c r="Q396" s="32"/>
      <c r="R396" s="32"/>
      <c r="S396" s="32"/>
      <c r="T396" s="32"/>
      <c r="U396" s="32"/>
      <c r="V396" s="32"/>
      <c r="W396" s="32"/>
      <c r="X396" s="32"/>
      <c r="Y396" s="32"/>
      <c r="Z396" s="32"/>
      <c r="AA396" s="32"/>
      <c r="AB396" s="32"/>
      <c r="AC396" s="32"/>
      <c r="AD396" s="32"/>
      <c r="AE396" s="32"/>
      <c r="AF396" s="32"/>
      <c r="AG396" s="32"/>
      <c r="AH396" s="32"/>
      <c r="AI396" s="32"/>
      <c r="AJ396" s="32"/>
      <c r="AK396" s="32"/>
      <c r="AL396" s="32"/>
      <c r="AM396" s="32"/>
      <c r="AN396" s="32"/>
      <c r="AO396" s="32"/>
      <c r="AP396" s="32"/>
      <c r="AQ396" s="32"/>
      <c r="AR396" s="32"/>
      <c r="AS396" s="32"/>
      <c r="AT396" s="32"/>
      <c r="AU396" s="32"/>
      <c r="AV396" s="32"/>
      <c r="AW396" s="32"/>
      <c r="AX396" s="32"/>
      <c r="AY396" s="32"/>
      <c r="AZ396" s="32"/>
      <c r="BA396" s="32"/>
      <c r="BB396" s="32"/>
      <c r="BC396" s="32"/>
      <c r="BD396" s="32"/>
      <c r="BE396" s="32"/>
      <c r="BF396" s="32"/>
      <c r="BG396" s="32"/>
      <c r="BH396" s="32"/>
      <c r="BI396" s="32"/>
      <c r="BJ396" s="32"/>
      <c r="BK396" s="32"/>
      <c r="BL396" s="32"/>
      <c r="BM396" s="32"/>
      <c r="BN396" s="32"/>
      <c r="BO396" s="32"/>
      <c r="BP396" s="32"/>
      <c r="BQ396" s="32"/>
      <c r="BR396" s="32"/>
      <c r="BS396" s="32"/>
      <c r="BT396" s="32"/>
      <c r="BU396" s="32"/>
      <c r="BV396" s="32"/>
      <c r="BW396" s="32"/>
      <c r="BX396" s="32"/>
      <c r="BY396" s="24"/>
      <c r="BZ396" s="24"/>
      <c r="CA396" s="24"/>
      <c r="CB396" s="24"/>
      <c r="CC396" s="24"/>
      <c r="CD396" s="24"/>
      <c r="CE396" s="24"/>
    </row>
    <row r="397" spans="1:83" ht="15" customHeight="1">
      <c r="A397" s="24"/>
      <c r="B397" s="24"/>
      <c r="C397" s="24"/>
      <c r="D397" s="24"/>
      <c r="E397" s="45"/>
      <c r="F397" s="24"/>
      <c r="G397" s="24"/>
      <c r="H397" s="24"/>
      <c r="I397" s="24"/>
      <c r="J397" s="32"/>
      <c r="K397" s="24"/>
      <c r="L397" s="24"/>
      <c r="M397" s="24"/>
      <c r="N397" s="24"/>
      <c r="O397" s="25"/>
      <c r="P397" s="32"/>
      <c r="Q397" s="32"/>
      <c r="R397" s="32"/>
      <c r="S397" s="32"/>
      <c r="T397" s="32"/>
      <c r="U397" s="32"/>
      <c r="V397" s="32"/>
      <c r="W397" s="32"/>
      <c r="X397" s="32"/>
      <c r="Y397" s="32"/>
      <c r="Z397" s="32"/>
      <c r="AA397" s="32"/>
      <c r="AB397" s="32"/>
      <c r="AC397" s="32"/>
      <c r="AD397" s="32"/>
      <c r="AE397" s="32"/>
      <c r="AF397" s="32"/>
      <c r="AG397" s="32"/>
      <c r="AH397" s="32"/>
      <c r="AI397" s="32"/>
      <c r="AJ397" s="32"/>
      <c r="AK397" s="32"/>
      <c r="AL397" s="32"/>
      <c r="AM397" s="32"/>
      <c r="AN397" s="32"/>
      <c r="AO397" s="32"/>
      <c r="AP397" s="32"/>
      <c r="AQ397" s="32"/>
      <c r="AR397" s="32"/>
      <c r="AS397" s="32"/>
      <c r="AT397" s="32"/>
      <c r="AU397" s="32"/>
      <c r="AV397" s="32"/>
      <c r="AW397" s="32"/>
      <c r="AX397" s="32"/>
      <c r="AY397" s="32"/>
      <c r="AZ397" s="32"/>
      <c r="BA397" s="32"/>
      <c r="BB397" s="32"/>
      <c r="BC397" s="32"/>
      <c r="BD397" s="32"/>
      <c r="BE397" s="32"/>
      <c r="BF397" s="32"/>
      <c r="BG397" s="32"/>
      <c r="BH397" s="32"/>
      <c r="BI397" s="32"/>
      <c r="BJ397" s="32"/>
      <c r="BK397" s="32"/>
      <c r="BL397" s="32"/>
      <c r="BM397" s="32"/>
      <c r="BN397" s="32"/>
      <c r="BO397" s="32"/>
      <c r="BP397" s="32"/>
      <c r="BQ397" s="32"/>
      <c r="BR397" s="32"/>
      <c r="BS397" s="32"/>
      <c r="BT397" s="32"/>
      <c r="BU397" s="32"/>
      <c r="BV397" s="32"/>
      <c r="BW397" s="32"/>
      <c r="BX397" s="32"/>
      <c r="BY397" s="24"/>
      <c r="BZ397" s="24"/>
      <c r="CA397" s="24"/>
      <c r="CB397" s="24"/>
      <c r="CC397" s="24"/>
      <c r="CD397" s="24"/>
      <c r="CE397" s="24"/>
    </row>
    <row r="398" spans="1:83" ht="15" customHeight="1">
      <c r="A398" s="24"/>
      <c r="B398" s="153"/>
      <c r="C398" s="24"/>
      <c r="D398" s="24"/>
      <c r="E398" s="45"/>
      <c r="F398" s="24"/>
      <c r="G398" s="24"/>
      <c r="H398" s="24"/>
      <c r="I398" s="24"/>
      <c r="J398" s="32"/>
      <c r="K398" s="24"/>
      <c r="L398" s="24"/>
      <c r="M398" s="24"/>
      <c r="N398" s="24"/>
      <c r="O398" s="25"/>
      <c r="P398" s="32"/>
      <c r="Q398" s="32"/>
      <c r="R398" s="32"/>
      <c r="S398" s="32"/>
      <c r="T398" s="32"/>
      <c r="U398" s="32"/>
      <c r="V398" s="32"/>
      <c r="W398" s="32"/>
      <c r="X398" s="32"/>
      <c r="Y398" s="32"/>
      <c r="Z398" s="32"/>
      <c r="AA398" s="32"/>
      <c r="AB398" s="32"/>
      <c r="AC398" s="32"/>
      <c r="AD398" s="32"/>
      <c r="AE398" s="32"/>
      <c r="AF398" s="32"/>
      <c r="AG398" s="32"/>
      <c r="AH398" s="32"/>
      <c r="AI398" s="32"/>
      <c r="AJ398" s="32"/>
      <c r="AK398" s="32"/>
      <c r="AL398" s="32"/>
      <c r="AM398" s="32"/>
      <c r="AN398" s="32"/>
      <c r="AO398" s="32"/>
      <c r="AP398" s="32"/>
      <c r="AQ398" s="32"/>
      <c r="AR398" s="32"/>
      <c r="AS398" s="32"/>
      <c r="AT398" s="32"/>
      <c r="AU398" s="32"/>
      <c r="AV398" s="32"/>
      <c r="AW398" s="32"/>
      <c r="AX398" s="32"/>
      <c r="AY398" s="32"/>
      <c r="AZ398" s="32"/>
      <c r="BA398" s="32"/>
      <c r="BB398" s="32"/>
      <c r="BC398" s="32"/>
      <c r="BD398" s="32"/>
      <c r="BE398" s="32"/>
      <c r="BF398" s="32"/>
      <c r="BG398" s="32"/>
      <c r="BH398" s="32"/>
      <c r="BI398" s="32"/>
      <c r="BJ398" s="32"/>
      <c r="BK398" s="32"/>
      <c r="BL398" s="32"/>
      <c r="BM398" s="32"/>
      <c r="BN398" s="32"/>
      <c r="BO398" s="32"/>
      <c r="BP398" s="32"/>
      <c r="BQ398" s="32"/>
      <c r="BR398" s="32"/>
      <c r="BS398" s="32"/>
      <c r="BT398" s="32"/>
      <c r="BU398" s="32"/>
      <c r="BV398" s="32"/>
      <c r="BW398" s="32"/>
      <c r="BX398" s="32"/>
      <c r="BY398" s="24"/>
      <c r="BZ398" s="24"/>
      <c r="CA398" s="24"/>
      <c r="CB398" s="24"/>
      <c r="CC398" s="24"/>
      <c r="CD398" s="24"/>
      <c r="CE398" s="24"/>
    </row>
    <row r="399" spans="1:83" ht="15" customHeight="1">
      <c r="A399" s="24"/>
      <c r="B399" s="24"/>
      <c r="C399" s="24"/>
      <c r="D399" s="24"/>
      <c r="E399" s="45"/>
      <c r="F399" s="24"/>
      <c r="G399" s="24"/>
      <c r="H399" s="24"/>
      <c r="I399" s="24"/>
      <c r="J399" s="32"/>
      <c r="K399" s="24"/>
      <c r="L399" s="24"/>
      <c r="M399" s="24"/>
      <c r="N399" s="24"/>
      <c r="O399" s="25"/>
      <c r="P399" s="32"/>
      <c r="Q399" s="32"/>
      <c r="R399" s="32"/>
      <c r="S399" s="32"/>
      <c r="T399" s="32"/>
      <c r="U399" s="32"/>
      <c r="V399" s="32"/>
      <c r="W399" s="32"/>
      <c r="X399" s="32"/>
      <c r="Y399" s="32"/>
      <c r="Z399" s="32"/>
      <c r="AA399" s="32"/>
      <c r="AB399" s="32"/>
      <c r="AC399" s="32"/>
      <c r="AD399" s="32"/>
      <c r="AE399" s="32"/>
      <c r="AF399" s="32"/>
      <c r="AG399" s="32"/>
      <c r="AH399" s="32"/>
      <c r="AI399" s="32"/>
      <c r="AJ399" s="32"/>
      <c r="AK399" s="32"/>
      <c r="AL399" s="32"/>
      <c r="AM399" s="32"/>
      <c r="AN399" s="32"/>
      <c r="AO399" s="32"/>
      <c r="AP399" s="32"/>
      <c r="AQ399" s="32"/>
      <c r="AR399" s="32"/>
      <c r="AS399" s="32"/>
      <c r="AT399" s="32"/>
      <c r="AU399" s="32"/>
      <c r="AV399" s="32"/>
      <c r="AW399" s="32"/>
      <c r="AX399" s="32"/>
      <c r="AY399" s="32"/>
      <c r="AZ399" s="32"/>
      <c r="BA399" s="32"/>
      <c r="BB399" s="32"/>
      <c r="BC399" s="32"/>
      <c r="BD399" s="32"/>
      <c r="BE399" s="32"/>
      <c r="BF399" s="32"/>
      <c r="BG399" s="32"/>
      <c r="BH399" s="32"/>
      <c r="BI399" s="32"/>
      <c r="BJ399" s="32"/>
      <c r="BK399" s="32"/>
      <c r="BL399" s="32"/>
      <c r="BM399" s="32"/>
      <c r="BN399" s="32"/>
      <c r="BO399" s="32"/>
      <c r="BP399" s="32"/>
      <c r="BQ399" s="32"/>
      <c r="BR399" s="32"/>
      <c r="BS399" s="32"/>
      <c r="BT399" s="32"/>
      <c r="BU399" s="32"/>
      <c r="BV399" s="32"/>
      <c r="BW399" s="32"/>
      <c r="BX399" s="32"/>
      <c r="BY399" s="24"/>
      <c r="BZ399" s="24"/>
      <c r="CA399" s="24"/>
      <c r="CB399" s="24"/>
      <c r="CC399" s="24"/>
      <c r="CD399" s="24"/>
      <c r="CE399" s="24"/>
    </row>
    <row r="400" spans="1:83" ht="15" customHeight="1">
      <c r="A400" s="24"/>
      <c r="B400" s="24"/>
      <c r="C400" s="24"/>
      <c r="D400" s="24"/>
      <c r="E400" s="45"/>
      <c r="F400" s="24"/>
      <c r="G400" s="24"/>
      <c r="H400" s="24"/>
      <c r="I400" s="24"/>
      <c r="J400" s="32"/>
      <c r="K400" s="24"/>
      <c r="L400" s="24"/>
      <c r="M400" s="24"/>
      <c r="N400" s="24"/>
      <c r="O400" s="25"/>
      <c r="P400" s="32"/>
      <c r="Q400" s="32"/>
      <c r="R400" s="32"/>
      <c r="S400" s="32"/>
      <c r="T400" s="32"/>
      <c r="U400" s="32"/>
      <c r="V400" s="32"/>
      <c r="W400" s="32"/>
      <c r="X400" s="32"/>
      <c r="Y400" s="32"/>
      <c r="Z400" s="32"/>
      <c r="AA400" s="32"/>
      <c r="AB400" s="32"/>
      <c r="AC400" s="32"/>
      <c r="AD400" s="32"/>
      <c r="AE400" s="32"/>
      <c r="AF400" s="32"/>
      <c r="AG400" s="32"/>
      <c r="AH400" s="32"/>
      <c r="AI400" s="32"/>
      <c r="AJ400" s="32"/>
      <c r="AK400" s="32"/>
      <c r="AL400" s="32"/>
      <c r="AM400" s="32"/>
      <c r="AN400" s="32"/>
      <c r="AO400" s="32"/>
      <c r="AP400" s="32"/>
      <c r="AQ400" s="32"/>
      <c r="AR400" s="32"/>
      <c r="AS400" s="32"/>
      <c r="AT400" s="32"/>
      <c r="AU400" s="32"/>
      <c r="AV400" s="32"/>
      <c r="AW400" s="32"/>
      <c r="AX400" s="32"/>
      <c r="AY400" s="32"/>
      <c r="AZ400" s="32"/>
      <c r="BA400" s="32"/>
      <c r="BB400" s="32"/>
      <c r="BC400" s="32"/>
      <c r="BD400" s="32"/>
      <c r="BE400" s="32"/>
      <c r="BF400" s="32"/>
      <c r="BG400" s="32"/>
      <c r="BH400" s="32"/>
      <c r="BI400" s="32"/>
      <c r="BJ400" s="32"/>
      <c r="BK400" s="32"/>
      <c r="BL400" s="32"/>
      <c r="BM400" s="32"/>
      <c r="BN400" s="32"/>
      <c r="BO400" s="32"/>
      <c r="BP400" s="32"/>
      <c r="BQ400" s="32"/>
      <c r="BR400" s="32"/>
      <c r="BS400" s="32"/>
      <c r="BT400" s="32"/>
      <c r="BU400" s="32"/>
      <c r="BV400" s="32"/>
      <c r="BW400" s="32"/>
      <c r="BX400" s="32"/>
      <c r="BY400" s="24"/>
      <c r="BZ400" s="24"/>
      <c r="CA400" s="24"/>
      <c r="CB400" s="24"/>
      <c r="CC400" s="24"/>
      <c r="CD400" s="24"/>
      <c r="CE400" s="24"/>
    </row>
    <row r="401" spans="1:83" ht="15" customHeight="1">
      <c r="A401" s="24"/>
      <c r="B401" s="24"/>
      <c r="C401" s="24"/>
      <c r="D401" s="24"/>
      <c r="E401" s="45"/>
      <c r="F401" s="24"/>
      <c r="G401" s="24"/>
      <c r="H401" s="24"/>
      <c r="I401" s="24"/>
      <c r="J401" s="32"/>
      <c r="K401" s="24"/>
      <c r="L401" s="24"/>
      <c r="M401" s="24"/>
      <c r="N401" s="24"/>
      <c r="O401" s="25"/>
      <c r="P401" s="32"/>
      <c r="Q401" s="32"/>
      <c r="R401" s="32"/>
      <c r="S401" s="32"/>
      <c r="T401" s="32"/>
      <c r="U401" s="32"/>
      <c r="V401" s="32"/>
      <c r="W401" s="32"/>
      <c r="X401" s="32"/>
      <c r="Y401" s="32"/>
      <c r="Z401" s="32"/>
      <c r="AA401" s="32"/>
      <c r="AB401" s="32"/>
      <c r="AC401" s="32"/>
      <c r="AD401" s="32"/>
      <c r="AE401" s="32"/>
      <c r="AF401" s="32"/>
      <c r="AG401" s="32"/>
      <c r="AH401" s="32"/>
      <c r="AI401" s="32"/>
      <c r="AJ401" s="32"/>
      <c r="AK401" s="32"/>
      <c r="AL401" s="32"/>
      <c r="AM401" s="32"/>
      <c r="AN401" s="32"/>
      <c r="AO401" s="32"/>
      <c r="AP401" s="32"/>
      <c r="AQ401" s="32"/>
      <c r="AR401" s="32"/>
      <c r="AS401" s="32"/>
      <c r="AT401" s="32"/>
      <c r="AU401" s="32"/>
      <c r="AV401" s="32"/>
      <c r="AW401" s="32"/>
      <c r="AX401" s="32"/>
      <c r="AY401" s="32"/>
      <c r="AZ401" s="32"/>
      <c r="BA401" s="32"/>
      <c r="BB401" s="32"/>
      <c r="BC401" s="32"/>
      <c r="BD401" s="32"/>
      <c r="BE401" s="32"/>
      <c r="BF401" s="32"/>
      <c r="BG401" s="32"/>
      <c r="BH401" s="32"/>
      <c r="BI401" s="32"/>
      <c r="BJ401" s="32"/>
      <c r="BK401" s="32"/>
      <c r="BL401" s="32"/>
      <c r="BM401" s="32"/>
      <c r="BN401" s="32"/>
      <c r="BO401" s="32"/>
      <c r="BP401" s="32"/>
      <c r="BQ401" s="32"/>
      <c r="BR401" s="32"/>
      <c r="BS401" s="32"/>
      <c r="BT401" s="32"/>
      <c r="BU401" s="32"/>
      <c r="BV401" s="32"/>
      <c r="BW401" s="32"/>
      <c r="BX401" s="32"/>
      <c r="BY401" s="24"/>
      <c r="BZ401" s="24"/>
      <c r="CA401" s="24"/>
      <c r="CB401" s="24"/>
      <c r="CC401" s="24"/>
      <c r="CD401" s="24"/>
      <c r="CE401" s="24"/>
    </row>
    <row r="402" spans="1:83" ht="15" customHeight="1">
      <c r="A402" s="24"/>
      <c r="B402" s="24"/>
      <c r="C402" s="24"/>
      <c r="D402" s="24"/>
      <c r="E402" s="45"/>
      <c r="F402" s="24"/>
      <c r="G402" s="24"/>
      <c r="H402" s="24"/>
      <c r="I402" s="24"/>
      <c r="J402" s="32"/>
      <c r="K402" s="24"/>
      <c r="L402" s="24"/>
      <c r="M402" s="24"/>
      <c r="N402" s="24"/>
      <c r="O402" s="25"/>
      <c r="P402" s="32"/>
      <c r="Q402" s="32"/>
      <c r="R402" s="32"/>
      <c r="S402" s="32"/>
      <c r="T402" s="32"/>
      <c r="U402" s="32"/>
      <c r="V402" s="32"/>
      <c r="W402" s="32"/>
      <c r="X402" s="32"/>
      <c r="Y402" s="32"/>
      <c r="Z402" s="32"/>
      <c r="AA402" s="32"/>
      <c r="AB402" s="32"/>
      <c r="AC402" s="32"/>
      <c r="AD402" s="32"/>
      <c r="AE402" s="32"/>
      <c r="AF402" s="32"/>
      <c r="AG402" s="32"/>
      <c r="AH402" s="32"/>
      <c r="AI402" s="32"/>
      <c r="AJ402" s="32"/>
      <c r="AK402" s="32"/>
      <c r="AL402" s="32"/>
      <c r="AM402" s="32"/>
      <c r="AN402" s="32"/>
      <c r="AO402" s="32"/>
      <c r="AP402" s="32"/>
      <c r="AQ402" s="32"/>
      <c r="AR402" s="32"/>
      <c r="AS402" s="32"/>
      <c r="AT402" s="32"/>
      <c r="AU402" s="32"/>
      <c r="AV402" s="32"/>
      <c r="AW402" s="32"/>
      <c r="AX402" s="32"/>
      <c r="AY402" s="32"/>
      <c r="AZ402" s="32"/>
      <c r="BA402" s="32"/>
      <c r="BB402" s="32"/>
      <c r="BC402" s="32"/>
      <c r="BD402" s="32"/>
      <c r="BE402" s="32"/>
      <c r="BF402" s="32"/>
      <c r="BG402" s="32"/>
      <c r="BH402" s="32"/>
      <c r="BI402" s="32"/>
      <c r="BJ402" s="32"/>
      <c r="BK402" s="32"/>
      <c r="BL402" s="32"/>
      <c r="BM402" s="32"/>
      <c r="BN402" s="32"/>
      <c r="BO402" s="32"/>
      <c r="BP402" s="32"/>
      <c r="BQ402" s="32"/>
      <c r="BR402" s="32"/>
      <c r="BS402" s="32"/>
      <c r="BT402" s="32"/>
      <c r="BU402" s="32"/>
      <c r="BV402" s="32"/>
      <c r="BW402" s="32"/>
      <c r="BX402" s="32"/>
      <c r="BY402" s="24"/>
      <c r="BZ402" s="24"/>
      <c r="CA402" s="24"/>
      <c r="CB402" s="24"/>
      <c r="CC402" s="24"/>
      <c r="CD402" s="24"/>
      <c r="CE402" s="24"/>
    </row>
    <row r="403" spans="1:83" ht="15" customHeight="1">
      <c r="A403" s="24"/>
      <c r="B403" s="24"/>
      <c r="C403" s="24"/>
      <c r="D403" s="24"/>
      <c r="E403" s="45"/>
      <c r="F403" s="24"/>
      <c r="G403" s="24"/>
      <c r="H403" s="24"/>
      <c r="I403" s="24"/>
      <c r="J403" s="32"/>
      <c r="K403" s="24"/>
      <c r="L403" s="24"/>
      <c r="M403" s="24"/>
      <c r="N403" s="24"/>
      <c r="O403" s="25"/>
      <c r="P403" s="32"/>
      <c r="Q403" s="32"/>
      <c r="R403" s="32"/>
      <c r="S403" s="32"/>
      <c r="T403" s="32"/>
      <c r="U403" s="32"/>
      <c r="V403" s="32"/>
      <c r="W403" s="32"/>
      <c r="X403" s="32"/>
      <c r="Y403" s="32"/>
      <c r="Z403" s="32"/>
      <c r="AA403" s="32"/>
      <c r="AB403" s="32"/>
      <c r="AC403" s="32"/>
      <c r="AD403" s="32"/>
      <c r="AE403" s="32"/>
      <c r="AF403" s="32"/>
      <c r="AG403" s="32"/>
      <c r="AH403" s="32"/>
      <c r="AI403" s="32"/>
      <c r="AJ403" s="32"/>
      <c r="AK403" s="32"/>
      <c r="AL403" s="32"/>
      <c r="AM403" s="32"/>
      <c r="AN403" s="32"/>
      <c r="AO403" s="32"/>
      <c r="AP403" s="32"/>
      <c r="AQ403" s="32"/>
      <c r="AR403" s="32"/>
      <c r="AS403" s="32"/>
      <c r="AT403" s="32"/>
      <c r="AU403" s="32"/>
      <c r="AV403" s="32"/>
      <c r="AW403" s="32"/>
      <c r="AX403" s="32"/>
      <c r="AY403" s="32"/>
      <c r="AZ403" s="32"/>
      <c r="BA403" s="32"/>
      <c r="BB403" s="32"/>
      <c r="BC403" s="32"/>
      <c r="BD403" s="32"/>
      <c r="BE403" s="32"/>
      <c r="BF403" s="32"/>
      <c r="BG403" s="32"/>
      <c r="BH403" s="32"/>
      <c r="BI403" s="32"/>
      <c r="BJ403" s="32"/>
      <c r="BK403" s="32"/>
      <c r="BL403" s="32"/>
      <c r="BM403" s="32"/>
      <c r="BN403" s="32"/>
      <c r="BO403" s="32"/>
      <c r="BP403" s="32"/>
      <c r="BQ403" s="32"/>
      <c r="BR403" s="32"/>
      <c r="BS403" s="32"/>
      <c r="BT403" s="32"/>
      <c r="BU403" s="32"/>
      <c r="BV403" s="32"/>
      <c r="BW403" s="32"/>
      <c r="BX403" s="32"/>
      <c r="BY403" s="24"/>
      <c r="BZ403" s="24"/>
      <c r="CA403" s="24"/>
      <c r="CB403" s="24"/>
      <c r="CC403" s="24"/>
      <c r="CD403" s="24"/>
      <c r="CE403" s="24"/>
    </row>
    <row r="404" spans="1:83" ht="15" customHeight="1">
      <c r="A404" s="24"/>
      <c r="B404" s="24"/>
      <c r="C404" s="24"/>
      <c r="D404" s="24"/>
      <c r="E404" s="45"/>
      <c r="F404" s="24"/>
      <c r="G404" s="24"/>
      <c r="H404" s="24"/>
      <c r="I404" s="24"/>
      <c r="J404" s="32"/>
      <c r="K404" s="24"/>
      <c r="L404" s="24"/>
      <c r="M404" s="24"/>
      <c r="N404" s="24"/>
      <c r="O404" s="25"/>
      <c r="P404" s="32"/>
      <c r="Q404" s="32"/>
      <c r="R404" s="32"/>
      <c r="S404" s="32"/>
      <c r="T404" s="32"/>
      <c r="U404" s="32"/>
      <c r="V404" s="32"/>
      <c r="W404" s="32"/>
      <c r="X404" s="32"/>
      <c r="Y404" s="32"/>
      <c r="Z404" s="32"/>
      <c r="AA404" s="32"/>
      <c r="AB404" s="32"/>
      <c r="AC404" s="32"/>
      <c r="AD404" s="32"/>
      <c r="AE404" s="32"/>
      <c r="AF404" s="32"/>
      <c r="AG404" s="32"/>
      <c r="AH404" s="32"/>
      <c r="AI404" s="32"/>
      <c r="AJ404" s="32"/>
      <c r="AK404" s="32"/>
      <c r="AL404" s="32"/>
      <c r="AM404" s="32"/>
      <c r="AN404" s="32"/>
      <c r="AO404" s="32"/>
      <c r="AP404" s="32"/>
      <c r="AQ404" s="32"/>
      <c r="AR404" s="32"/>
      <c r="AS404" s="32"/>
      <c r="AT404" s="32"/>
      <c r="AU404" s="32"/>
      <c r="AV404" s="32"/>
      <c r="AW404" s="32"/>
      <c r="AX404" s="32"/>
      <c r="AY404" s="32"/>
      <c r="AZ404" s="32"/>
      <c r="BA404" s="32"/>
      <c r="BB404" s="32"/>
      <c r="BC404" s="32"/>
      <c r="BD404" s="32"/>
      <c r="BE404" s="32"/>
      <c r="BF404" s="32"/>
      <c r="BG404" s="32"/>
      <c r="BH404" s="32"/>
      <c r="BI404" s="32"/>
      <c r="BJ404" s="32"/>
      <c r="BK404" s="32"/>
      <c r="BL404" s="32"/>
      <c r="BM404" s="32"/>
      <c r="BN404" s="32"/>
      <c r="BO404" s="32"/>
      <c r="BP404" s="32"/>
      <c r="BQ404" s="32"/>
      <c r="BR404" s="32"/>
      <c r="BS404" s="32"/>
      <c r="BT404" s="32"/>
      <c r="BU404" s="32"/>
      <c r="BV404" s="32"/>
      <c r="BW404" s="32"/>
      <c r="BX404" s="32"/>
      <c r="BY404" s="24"/>
      <c r="BZ404" s="24"/>
      <c r="CA404" s="24"/>
      <c r="CB404" s="24"/>
      <c r="CC404" s="24"/>
      <c r="CD404" s="24"/>
      <c r="CE404" s="24"/>
    </row>
    <row r="405" spans="1:83" ht="15" customHeight="1">
      <c r="A405" s="24"/>
      <c r="B405" s="24"/>
      <c r="C405" s="24"/>
      <c r="D405" s="24"/>
      <c r="E405" s="45"/>
      <c r="F405" s="24"/>
      <c r="G405" s="24"/>
      <c r="H405" s="24"/>
      <c r="I405" s="24"/>
      <c r="J405" s="32"/>
      <c r="K405" s="24"/>
      <c r="L405" s="24"/>
      <c r="M405" s="24"/>
      <c r="N405" s="24"/>
      <c r="O405" s="25"/>
      <c r="P405" s="32"/>
      <c r="Q405" s="32"/>
      <c r="R405" s="32"/>
      <c r="S405" s="32"/>
      <c r="T405" s="32"/>
      <c r="U405" s="32"/>
      <c r="V405" s="32"/>
      <c r="W405" s="32"/>
      <c r="X405" s="32"/>
      <c r="Y405" s="32"/>
      <c r="Z405" s="32"/>
      <c r="AA405" s="32"/>
      <c r="AB405" s="32"/>
      <c r="AC405" s="32"/>
      <c r="AD405" s="32"/>
      <c r="AE405" s="32"/>
      <c r="AF405" s="32"/>
      <c r="AG405" s="32"/>
      <c r="AH405" s="32"/>
      <c r="AI405" s="32"/>
      <c r="AJ405" s="32"/>
      <c r="AK405" s="32"/>
      <c r="AL405" s="32"/>
      <c r="AM405" s="32"/>
      <c r="AN405" s="32"/>
      <c r="AO405" s="32"/>
      <c r="AP405" s="32"/>
      <c r="AQ405" s="32"/>
      <c r="AR405" s="32"/>
      <c r="AS405" s="32"/>
      <c r="AT405" s="32"/>
      <c r="AU405" s="32"/>
      <c r="AV405" s="32"/>
      <c r="AW405" s="32"/>
      <c r="AX405" s="32"/>
      <c r="AY405" s="32"/>
      <c r="AZ405" s="32"/>
      <c r="BA405" s="32"/>
      <c r="BB405" s="32"/>
      <c r="BC405" s="32"/>
      <c r="BD405" s="32"/>
      <c r="BE405" s="32"/>
      <c r="BF405" s="32"/>
      <c r="BG405" s="32"/>
      <c r="BH405" s="32"/>
      <c r="BI405" s="32"/>
      <c r="BJ405" s="32"/>
      <c r="BK405" s="32"/>
      <c r="BL405" s="32"/>
      <c r="BM405" s="32"/>
      <c r="BN405" s="32"/>
      <c r="BO405" s="32"/>
      <c r="BP405" s="32"/>
      <c r="BQ405" s="32"/>
      <c r="BR405" s="32"/>
      <c r="BS405" s="32"/>
      <c r="BT405" s="32"/>
      <c r="BU405" s="32"/>
      <c r="BV405" s="32"/>
      <c r="BW405" s="32"/>
      <c r="BX405" s="32"/>
      <c r="BY405" s="24"/>
      <c r="BZ405" s="24"/>
      <c r="CA405" s="24"/>
      <c r="CB405" s="24"/>
      <c r="CC405" s="24"/>
      <c r="CD405" s="24"/>
      <c r="CE405" s="24"/>
    </row>
    <row r="406" spans="1:83" ht="15" customHeight="1">
      <c r="A406" s="24"/>
      <c r="B406" s="24"/>
      <c r="C406" s="24"/>
      <c r="D406" s="24"/>
      <c r="E406" s="45"/>
      <c r="F406" s="24"/>
      <c r="G406" s="24"/>
      <c r="H406" s="24"/>
      <c r="I406" s="24"/>
      <c r="J406" s="32"/>
      <c r="K406" s="24"/>
      <c r="L406" s="24"/>
      <c r="M406" s="24"/>
      <c r="N406" s="24"/>
      <c r="O406" s="25"/>
      <c r="P406" s="32"/>
      <c r="Q406" s="32"/>
      <c r="R406" s="32"/>
      <c r="S406" s="32"/>
      <c r="T406" s="32"/>
      <c r="U406" s="32"/>
      <c r="V406" s="32"/>
      <c r="W406" s="32"/>
      <c r="X406" s="32"/>
      <c r="Y406" s="32"/>
      <c r="Z406" s="32"/>
      <c r="AA406" s="32"/>
      <c r="AB406" s="32"/>
      <c r="AC406" s="32"/>
      <c r="AD406" s="32"/>
      <c r="AE406" s="32"/>
      <c r="AF406" s="32"/>
      <c r="AG406" s="32"/>
      <c r="AH406" s="32"/>
      <c r="AI406" s="32"/>
      <c r="AJ406" s="32"/>
      <c r="AK406" s="32"/>
      <c r="AL406" s="32"/>
      <c r="AM406" s="32"/>
      <c r="AN406" s="32"/>
      <c r="AO406" s="32"/>
      <c r="AP406" s="32"/>
      <c r="AQ406" s="32"/>
      <c r="AR406" s="32"/>
      <c r="AS406" s="32"/>
      <c r="AT406" s="32"/>
      <c r="AU406" s="32"/>
      <c r="AV406" s="32"/>
      <c r="AW406" s="32"/>
      <c r="AX406" s="32"/>
      <c r="AY406" s="32"/>
      <c r="AZ406" s="32"/>
      <c r="BA406" s="32"/>
      <c r="BB406" s="32"/>
      <c r="BC406" s="32"/>
      <c r="BD406" s="32"/>
      <c r="BE406" s="32"/>
      <c r="BF406" s="32"/>
      <c r="BG406" s="32"/>
      <c r="BH406" s="32"/>
      <c r="BI406" s="32"/>
      <c r="BJ406" s="32"/>
      <c r="BK406" s="32"/>
      <c r="BL406" s="32"/>
      <c r="BM406" s="32"/>
      <c r="BN406" s="32"/>
      <c r="BO406" s="32"/>
      <c r="BP406" s="32"/>
      <c r="BQ406" s="32"/>
      <c r="BR406" s="32"/>
      <c r="BS406" s="32"/>
      <c r="BT406" s="32"/>
      <c r="BU406" s="32"/>
      <c r="BV406" s="32"/>
      <c r="BW406" s="32"/>
      <c r="BX406" s="32"/>
      <c r="BY406" s="24"/>
      <c r="BZ406" s="24"/>
      <c r="CA406" s="24"/>
      <c r="CB406" s="24"/>
      <c r="CC406" s="24"/>
      <c r="CD406" s="24"/>
      <c r="CE406" s="24"/>
    </row>
    <row r="407" spans="1:83" ht="15" customHeight="1">
      <c r="A407" s="24"/>
      <c r="B407" s="24"/>
      <c r="C407" s="24"/>
      <c r="D407" s="24"/>
      <c r="E407" s="45"/>
      <c r="F407" s="24"/>
      <c r="G407" s="24"/>
      <c r="H407" s="24"/>
      <c r="I407" s="24"/>
      <c r="J407" s="32"/>
      <c r="K407" s="24"/>
      <c r="L407" s="24"/>
      <c r="M407" s="24"/>
      <c r="N407" s="24"/>
      <c r="O407" s="25"/>
      <c r="P407" s="32"/>
      <c r="Q407" s="32"/>
      <c r="R407" s="32"/>
      <c r="S407" s="32"/>
      <c r="T407" s="32"/>
      <c r="U407" s="32"/>
      <c r="V407" s="32"/>
      <c r="W407" s="32"/>
      <c r="X407" s="32"/>
      <c r="Y407" s="32"/>
      <c r="Z407" s="32"/>
      <c r="AA407" s="32"/>
      <c r="AB407" s="32"/>
      <c r="AC407" s="32"/>
      <c r="AD407" s="32"/>
      <c r="AE407" s="32"/>
      <c r="AF407" s="32"/>
      <c r="AG407" s="32"/>
      <c r="AH407" s="32"/>
      <c r="AI407" s="32"/>
      <c r="AJ407" s="32"/>
      <c r="AK407" s="32"/>
      <c r="AL407" s="32"/>
      <c r="AM407" s="32"/>
      <c r="AN407" s="32"/>
      <c r="AO407" s="32"/>
      <c r="AP407" s="32"/>
      <c r="AQ407" s="32"/>
      <c r="AR407" s="32"/>
      <c r="AS407" s="32"/>
      <c r="AT407" s="32"/>
      <c r="AU407" s="32"/>
      <c r="AV407" s="32"/>
      <c r="AW407" s="32"/>
      <c r="AX407" s="32"/>
      <c r="AY407" s="32"/>
      <c r="AZ407" s="32"/>
      <c r="BA407" s="32"/>
      <c r="BB407" s="32"/>
      <c r="BC407" s="32"/>
      <c r="BD407" s="32"/>
      <c r="BE407" s="32"/>
      <c r="BF407" s="32"/>
      <c r="BG407" s="32"/>
      <c r="BH407" s="32"/>
      <c r="BI407" s="32"/>
      <c r="BJ407" s="32"/>
      <c r="BK407" s="32"/>
      <c r="BL407" s="32"/>
      <c r="BM407" s="32"/>
      <c r="BN407" s="32"/>
      <c r="BO407" s="32"/>
      <c r="BP407" s="32"/>
      <c r="BQ407" s="32"/>
      <c r="BR407" s="32"/>
      <c r="BS407" s="32"/>
      <c r="BT407" s="32"/>
      <c r="BU407" s="32"/>
      <c r="BV407" s="32"/>
      <c r="BW407" s="32"/>
      <c r="BX407" s="32"/>
      <c r="BY407" s="24"/>
      <c r="BZ407" s="24"/>
      <c r="CA407" s="24"/>
      <c r="CB407" s="24"/>
      <c r="CC407" s="24"/>
      <c r="CD407" s="24"/>
      <c r="CE407" s="24"/>
    </row>
    <row r="408" spans="1:83" ht="15" customHeight="1">
      <c r="A408" s="24"/>
      <c r="B408" s="24"/>
      <c r="C408" s="24"/>
      <c r="D408" s="24"/>
      <c r="E408" s="45"/>
      <c r="F408" s="24"/>
      <c r="G408" s="24"/>
      <c r="H408" s="24"/>
      <c r="I408" s="24"/>
      <c r="J408" s="32"/>
      <c r="K408" s="24"/>
      <c r="L408" s="24"/>
      <c r="M408" s="24"/>
      <c r="N408" s="24"/>
      <c r="O408" s="25"/>
      <c r="P408" s="32"/>
      <c r="Q408" s="32"/>
      <c r="R408" s="32"/>
      <c r="S408" s="32"/>
      <c r="T408" s="32"/>
      <c r="U408" s="32"/>
      <c r="V408" s="32"/>
      <c r="W408" s="32"/>
      <c r="X408" s="32"/>
      <c r="Y408" s="32"/>
      <c r="Z408" s="32"/>
      <c r="AA408" s="32"/>
      <c r="AB408" s="32"/>
      <c r="AC408" s="32"/>
      <c r="AD408" s="32"/>
      <c r="AE408" s="32"/>
      <c r="AF408" s="32"/>
      <c r="AG408" s="32"/>
      <c r="AH408" s="32"/>
      <c r="AI408" s="32"/>
      <c r="AJ408" s="32"/>
      <c r="AK408" s="32"/>
      <c r="AL408" s="32"/>
      <c r="AM408" s="32"/>
      <c r="AN408" s="32"/>
      <c r="AO408" s="32"/>
      <c r="AP408" s="32"/>
      <c r="AQ408" s="32"/>
      <c r="AR408" s="32"/>
      <c r="AS408" s="32"/>
      <c r="AT408" s="32"/>
      <c r="AU408" s="32"/>
      <c r="AV408" s="32"/>
      <c r="AW408" s="32"/>
      <c r="AX408" s="32"/>
      <c r="AY408" s="32"/>
      <c r="AZ408" s="32"/>
      <c r="BA408" s="32"/>
      <c r="BB408" s="32"/>
      <c r="BC408" s="32"/>
      <c r="BD408" s="32"/>
      <c r="BE408" s="32"/>
      <c r="BF408" s="32"/>
      <c r="BG408" s="32"/>
      <c r="BH408" s="32"/>
      <c r="BI408" s="32"/>
      <c r="BJ408" s="32"/>
      <c r="BK408" s="32"/>
      <c r="BL408" s="32"/>
      <c r="BM408" s="32"/>
      <c r="BN408" s="32"/>
      <c r="BO408" s="32"/>
      <c r="BP408" s="32"/>
      <c r="BQ408" s="32"/>
      <c r="BR408" s="32"/>
      <c r="BS408" s="32"/>
      <c r="BT408" s="32"/>
      <c r="BU408" s="32"/>
      <c r="BV408" s="32"/>
      <c r="BW408" s="32"/>
      <c r="BX408" s="32"/>
      <c r="BY408" s="24"/>
      <c r="BZ408" s="24"/>
      <c r="CA408" s="24"/>
      <c r="CB408" s="24"/>
      <c r="CC408" s="24"/>
      <c r="CD408" s="24"/>
      <c r="CE408" s="24"/>
    </row>
    <row r="409" spans="1:83" ht="15" customHeight="1">
      <c r="A409" s="24"/>
      <c r="B409" s="24"/>
      <c r="C409" s="24"/>
      <c r="D409" s="24"/>
      <c r="E409" s="45"/>
      <c r="F409" s="24"/>
      <c r="G409" s="24"/>
      <c r="H409" s="24"/>
      <c r="I409" s="24"/>
      <c r="J409" s="32"/>
      <c r="K409" s="24"/>
      <c r="L409" s="24"/>
      <c r="M409" s="24"/>
      <c r="N409" s="24"/>
      <c r="O409" s="25"/>
      <c r="P409" s="32"/>
      <c r="Q409" s="32"/>
      <c r="R409" s="32"/>
      <c r="S409" s="32"/>
      <c r="T409" s="32"/>
      <c r="U409" s="32"/>
      <c r="V409" s="32"/>
      <c r="W409" s="32"/>
      <c r="X409" s="32"/>
      <c r="Y409" s="32"/>
      <c r="Z409" s="32"/>
      <c r="AA409" s="32"/>
      <c r="AB409" s="32"/>
      <c r="AC409" s="32"/>
      <c r="AD409" s="32"/>
      <c r="AE409" s="32"/>
      <c r="AF409" s="32"/>
      <c r="AG409" s="32"/>
      <c r="AH409" s="32"/>
      <c r="AI409" s="32"/>
      <c r="AJ409" s="32"/>
      <c r="AK409" s="32"/>
      <c r="AL409" s="32"/>
      <c r="AM409" s="32"/>
      <c r="AN409" s="32"/>
      <c r="AO409" s="32"/>
      <c r="AP409" s="32"/>
      <c r="AQ409" s="32"/>
      <c r="AR409" s="32"/>
      <c r="AS409" s="32"/>
      <c r="AT409" s="32"/>
      <c r="AU409" s="32"/>
      <c r="AV409" s="32"/>
      <c r="AW409" s="32"/>
      <c r="AX409" s="32"/>
      <c r="AY409" s="32"/>
      <c r="AZ409" s="32"/>
      <c r="BA409" s="32"/>
      <c r="BB409" s="32"/>
      <c r="BC409" s="32"/>
      <c r="BD409" s="32"/>
      <c r="BE409" s="32"/>
      <c r="BF409" s="32"/>
      <c r="BG409" s="32"/>
      <c r="BH409" s="32"/>
      <c r="BI409" s="32"/>
      <c r="BJ409" s="32"/>
      <c r="BK409" s="32"/>
      <c r="BL409" s="32"/>
      <c r="BM409" s="32"/>
      <c r="BN409" s="32"/>
      <c r="BO409" s="32"/>
      <c r="BP409" s="32"/>
      <c r="BQ409" s="32"/>
      <c r="BR409" s="32"/>
      <c r="BS409" s="32"/>
      <c r="BT409" s="32"/>
      <c r="BU409" s="32"/>
      <c r="BV409" s="32"/>
      <c r="BW409" s="32"/>
      <c r="BX409" s="32"/>
      <c r="BY409" s="24"/>
      <c r="BZ409" s="24"/>
      <c r="CA409" s="24"/>
      <c r="CB409" s="24"/>
      <c r="CC409" s="24"/>
      <c r="CD409" s="24"/>
      <c r="CE409" s="24"/>
    </row>
    <row r="410" spans="1:83" ht="15" customHeight="1">
      <c r="A410" s="24"/>
      <c r="B410" s="24"/>
      <c r="C410" s="24"/>
      <c r="D410" s="24"/>
      <c r="E410" s="45"/>
      <c r="F410" s="24"/>
      <c r="G410" s="24"/>
      <c r="H410" s="24"/>
      <c r="I410" s="24"/>
      <c r="J410" s="32"/>
      <c r="K410" s="24"/>
      <c r="L410" s="24"/>
      <c r="M410" s="24"/>
      <c r="N410" s="24"/>
      <c r="O410" s="25"/>
      <c r="P410" s="32"/>
      <c r="Q410" s="32"/>
      <c r="R410" s="32"/>
      <c r="S410" s="32"/>
      <c r="T410" s="32"/>
      <c r="U410" s="32"/>
      <c r="V410" s="32"/>
      <c r="W410" s="32"/>
      <c r="X410" s="32"/>
      <c r="Y410" s="32"/>
      <c r="Z410" s="32"/>
      <c r="AA410" s="32"/>
      <c r="AB410" s="32"/>
      <c r="AC410" s="32"/>
      <c r="AD410" s="32"/>
      <c r="AE410" s="32"/>
      <c r="AF410" s="32"/>
      <c r="AG410" s="32"/>
      <c r="AH410" s="32"/>
      <c r="AI410" s="32"/>
      <c r="AJ410" s="32"/>
      <c r="AK410" s="32"/>
      <c r="AL410" s="32"/>
      <c r="AM410" s="32"/>
      <c r="AN410" s="32"/>
      <c r="AO410" s="32"/>
      <c r="AP410" s="32"/>
      <c r="AQ410" s="32"/>
      <c r="AR410" s="32"/>
      <c r="AS410" s="32"/>
      <c r="AT410" s="32"/>
      <c r="AU410" s="32"/>
      <c r="AV410" s="32"/>
      <c r="AW410" s="32"/>
      <c r="AX410" s="32"/>
      <c r="AY410" s="32"/>
      <c r="AZ410" s="32"/>
      <c r="BA410" s="32"/>
      <c r="BB410" s="32"/>
      <c r="BC410" s="32"/>
      <c r="BD410" s="32"/>
      <c r="BE410" s="32"/>
      <c r="BF410" s="32"/>
      <c r="BG410" s="32"/>
      <c r="BH410" s="32"/>
      <c r="BI410" s="32"/>
      <c r="BJ410" s="32"/>
      <c r="BK410" s="32"/>
      <c r="BL410" s="32"/>
      <c r="BM410" s="32"/>
      <c r="BN410" s="32"/>
      <c r="BO410" s="32"/>
      <c r="BP410" s="32"/>
      <c r="BQ410" s="32"/>
      <c r="BR410" s="32"/>
      <c r="BS410" s="32"/>
      <c r="BT410" s="32"/>
      <c r="BU410" s="32"/>
      <c r="BV410" s="32"/>
      <c r="BW410" s="32"/>
      <c r="BX410" s="32"/>
      <c r="BY410" s="24"/>
      <c r="BZ410" s="24"/>
      <c r="CA410" s="24"/>
      <c r="CB410" s="24"/>
      <c r="CC410" s="24"/>
      <c r="CD410" s="24"/>
      <c r="CE410" s="24"/>
    </row>
    <row r="411" spans="1:83" ht="15" customHeight="1">
      <c r="A411" s="24"/>
      <c r="B411" s="24"/>
      <c r="C411" s="24"/>
      <c r="D411" s="24"/>
      <c r="E411" s="45"/>
      <c r="F411" s="24"/>
      <c r="G411" s="24"/>
      <c r="H411" s="24"/>
      <c r="I411" s="24"/>
      <c r="J411" s="32"/>
      <c r="K411" s="24"/>
      <c r="L411" s="24"/>
      <c r="M411" s="24"/>
      <c r="N411" s="24"/>
      <c r="O411" s="25"/>
      <c r="P411" s="32"/>
      <c r="Q411" s="32"/>
      <c r="R411" s="32"/>
      <c r="S411" s="32"/>
      <c r="T411" s="32"/>
      <c r="U411" s="32"/>
      <c r="V411" s="32"/>
      <c r="W411" s="32"/>
      <c r="X411" s="32"/>
      <c r="Y411" s="32"/>
      <c r="Z411" s="32"/>
      <c r="AA411" s="32"/>
      <c r="AB411" s="32"/>
      <c r="AC411" s="32"/>
      <c r="AD411" s="32"/>
      <c r="AE411" s="32"/>
      <c r="AF411" s="32"/>
      <c r="AG411" s="32"/>
      <c r="AH411" s="32"/>
      <c r="AI411" s="32"/>
      <c r="AJ411" s="32"/>
      <c r="AK411" s="32"/>
      <c r="AL411" s="32"/>
      <c r="AM411" s="32"/>
      <c r="AN411" s="32"/>
      <c r="AO411" s="32"/>
      <c r="AP411" s="32"/>
      <c r="AQ411" s="32"/>
      <c r="AR411" s="32"/>
      <c r="AS411" s="32"/>
      <c r="AT411" s="32"/>
      <c r="AU411" s="32"/>
      <c r="AV411" s="32"/>
      <c r="AW411" s="32"/>
      <c r="AX411" s="32"/>
      <c r="AY411" s="32"/>
      <c r="AZ411" s="32"/>
      <c r="BA411" s="32"/>
      <c r="BB411" s="32"/>
      <c r="BC411" s="32"/>
      <c r="BD411" s="32"/>
      <c r="BE411" s="32"/>
      <c r="BF411" s="32"/>
      <c r="BG411" s="32"/>
      <c r="BH411" s="32"/>
      <c r="BI411" s="32"/>
      <c r="BJ411" s="32"/>
      <c r="BK411" s="32"/>
      <c r="BL411" s="32"/>
      <c r="BM411" s="32"/>
      <c r="BN411" s="32"/>
      <c r="BO411" s="32"/>
      <c r="BP411" s="32"/>
      <c r="BQ411" s="32"/>
      <c r="BR411" s="32"/>
      <c r="BS411" s="32"/>
      <c r="BT411" s="32"/>
      <c r="BU411" s="32"/>
      <c r="BV411" s="32"/>
      <c r="BW411" s="32"/>
      <c r="BX411" s="32"/>
      <c r="BY411" s="24"/>
      <c r="BZ411" s="24"/>
      <c r="CA411" s="24"/>
      <c r="CB411" s="24"/>
      <c r="CC411" s="24"/>
      <c r="CD411" s="24"/>
      <c r="CE411" s="24"/>
    </row>
    <row r="412" spans="1:83" ht="15" customHeight="1">
      <c r="A412" s="24"/>
      <c r="B412" s="24"/>
      <c r="C412" s="24"/>
      <c r="D412" s="24"/>
      <c r="E412" s="45"/>
      <c r="F412" s="24"/>
      <c r="G412" s="24"/>
      <c r="H412" s="24"/>
      <c r="I412" s="24"/>
      <c r="J412" s="32"/>
      <c r="K412" s="24"/>
      <c r="L412" s="24"/>
      <c r="M412" s="24"/>
      <c r="N412" s="24"/>
      <c r="O412" s="25"/>
      <c r="P412" s="32"/>
      <c r="Q412" s="32"/>
      <c r="R412" s="32"/>
      <c r="S412" s="32"/>
      <c r="T412" s="32"/>
      <c r="U412" s="32"/>
      <c r="V412" s="32"/>
      <c r="W412" s="32"/>
      <c r="X412" s="32"/>
      <c r="Y412" s="32"/>
      <c r="Z412" s="32"/>
      <c r="AA412" s="32"/>
      <c r="AB412" s="32"/>
      <c r="AC412" s="32"/>
      <c r="AD412" s="32"/>
      <c r="AE412" s="32"/>
      <c r="AF412" s="32"/>
      <c r="AG412" s="32"/>
      <c r="AH412" s="32"/>
      <c r="AI412" s="32"/>
      <c r="AJ412" s="32"/>
      <c r="AK412" s="32"/>
      <c r="AL412" s="32"/>
      <c r="AM412" s="32"/>
      <c r="AN412" s="32"/>
      <c r="AO412" s="32"/>
      <c r="AP412" s="32"/>
      <c r="AQ412" s="32"/>
      <c r="AR412" s="32"/>
      <c r="AS412" s="32"/>
      <c r="AT412" s="32"/>
      <c r="AU412" s="32"/>
      <c r="AV412" s="32"/>
      <c r="AW412" s="32"/>
      <c r="AX412" s="32"/>
      <c r="AY412" s="32"/>
      <c r="AZ412" s="32"/>
      <c r="BA412" s="32"/>
      <c r="BB412" s="32"/>
      <c r="BC412" s="32"/>
      <c r="BD412" s="32"/>
      <c r="BE412" s="32"/>
      <c r="BF412" s="32"/>
      <c r="BG412" s="32"/>
      <c r="BH412" s="32"/>
      <c r="BI412" s="32"/>
      <c r="BJ412" s="32"/>
      <c r="BK412" s="32"/>
      <c r="BL412" s="32"/>
      <c r="BM412" s="32"/>
      <c r="BN412" s="32"/>
      <c r="BO412" s="32"/>
      <c r="BP412" s="32"/>
      <c r="BQ412" s="32"/>
      <c r="BR412" s="32"/>
      <c r="BS412" s="32"/>
      <c r="BT412" s="32"/>
      <c r="BU412" s="32"/>
      <c r="BV412" s="32"/>
      <c r="BW412" s="32"/>
      <c r="BX412" s="32"/>
      <c r="BY412" s="24"/>
      <c r="BZ412" s="24"/>
      <c r="CA412" s="24"/>
      <c r="CB412" s="24"/>
      <c r="CC412" s="24"/>
      <c r="CD412" s="24"/>
      <c r="CE412" s="24"/>
    </row>
    <row r="413" spans="1:83">
      <c r="AY413" s="32"/>
      <c r="AZ413" s="32"/>
      <c r="BA413" s="32"/>
      <c r="BB413" s="32"/>
      <c r="BC413" s="32"/>
      <c r="BD413" s="32"/>
      <c r="BE413" s="32"/>
      <c r="BF413" s="32"/>
      <c r="BG413" s="32"/>
      <c r="BH413" s="32"/>
      <c r="BI413" s="32"/>
      <c r="BJ413" s="32"/>
      <c r="BK413" s="32"/>
      <c r="BL413" s="32"/>
      <c r="BM413" s="32"/>
      <c r="BN413" s="32"/>
    </row>
    <row r="414" spans="1:83">
      <c r="AY414" s="32"/>
      <c r="AZ414" s="32"/>
      <c r="BA414" s="32"/>
      <c r="BB414" s="32"/>
      <c r="BC414" s="32"/>
      <c r="BD414" s="32"/>
      <c r="BE414" s="32"/>
      <c r="BF414" s="32"/>
      <c r="BG414" s="32"/>
      <c r="BH414" s="32"/>
      <c r="BI414" s="32"/>
      <c r="BJ414" s="32"/>
      <c r="BK414" s="32"/>
      <c r="BL414" s="32"/>
      <c r="BM414" s="32"/>
      <c r="BN414" s="32"/>
    </row>
    <row r="415" spans="1:83">
      <c r="AY415" s="32"/>
      <c r="AZ415" s="32"/>
      <c r="BA415" s="32"/>
      <c r="BB415" s="32"/>
      <c r="BC415" s="32"/>
      <c r="BD415" s="32"/>
      <c r="BE415" s="32"/>
      <c r="BF415" s="32"/>
      <c r="BG415" s="32"/>
      <c r="BH415" s="32"/>
      <c r="BI415" s="32"/>
      <c r="BJ415" s="32"/>
      <c r="BK415" s="32"/>
      <c r="BL415" s="32"/>
      <c r="BM415" s="32"/>
      <c r="BN415" s="32"/>
    </row>
    <row r="416" spans="1:83">
      <c r="AY416" s="32"/>
      <c r="AZ416" s="32"/>
      <c r="BA416" s="32"/>
      <c r="BB416" s="32"/>
      <c r="BC416" s="32"/>
      <c r="BD416" s="32"/>
      <c r="BE416" s="32"/>
      <c r="BF416" s="32"/>
      <c r="BG416" s="32"/>
      <c r="BH416" s="32"/>
      <c r="BI416" s="32"/>
      <c r="BJ416" s="32"/>
      <c r="BK416" s="32"/>
      <c r="BL416" s="32"/>
      <c r="BM416" s="32"/>
      <c r="BN416" s="32"/>
    </row>
    <row r="417" spans="51:66">
      <c r="AY417" s="32"/>
      <c r="AZ417" s="32"/>
      <c r="BA417" s="32"/>
      <c r="BB417" s="32"/>
      <c r="BC417" s="32"/>
      <c r="BD417" s="32"/>
      <c r="BE417" s="32"/>
      <c r="BF417" s="32"/>
      <c r="BG417" s="32"/>
      <c r="BH417" s="32"/>
      <c r="BI417" s="32"/>
      <c r="BJ417" s="32"/>
      <c r="BK417" s="32"/>
      <c r="BL417" s="32"/>
      <c r="BM417" s="32"/>
      <c r="BN417" s="32"/>
    </row>
    <row r="418" spans="51:66">
      <c r="AY418" s="32"/>
      <c r="AZ418" s="32"/>
      <c r="BA418" s="32"/>
      <c r="BB418" s="32"/>
      <c r="BC418" s="32"/>
      <c r="BD418" s="32"/>
      <c r="BE418" s="32"/>
      <c r="BF418" s="32"/>
      <c r="BG418" s="32"/>
      <c r="BH418" s="32"/>
      <c r="BI418" s="32"/>
      <c r="BJ418" s="32"/>
      <c r="BK418" s="32"/>
      <c r="BL418" s="32"/>
      <c r="BM418" s="32"/>
      <c r="BN418" s="32"/>
    </row>
    <row r="419" spans="51:66">
      <c r="AY419" s="32"/>
      <c r="AZ419" s="32"/>
      <c r="BA419" s="32"/>
      <c r="BB419" s="32"/>
      <c r="BC419" s="32"/>
      <c r="BD419" s="32"/>
      <c r="BE419" s="32"/>
      <c r="BF419" s="32"/>
      <c r="BG419" s="32"/>
      <c r="BH419" s="32"/>
      <c r="BI419" s="32"/>
      <c r="BJ419" s="32"/>
      <c r="BK419" s="32"/>
      <c r="BL419" s="32"/>
      <c r="BM419" s="32"/>
      <c r="BN419" s="32"/>
    </row>
    <row r="420" spans="51:66">
      <c r="AY420" s="32"/>
      <c r="AZ420" s="32"/>
      <c r="BA420" s="32"/>
      <c r="BB420" s="32"/>
      <c r="BC420" s="32"/>
      <c r="BD420" s="32"/>
      <c r="BE420" s="32"/>
      <c r="BF420" s="32"/>
      <c r="BG420" s="32"/>
      <c r="BH420" s="32"/>
      <c r="BI420" s="32"/>
      <c r="BJ420" s="32"/>
      <c r="BK420" s="32"/>
      <c r="BL420" s="32"/>
      <c r="BM420" s="32"/>
      <c r="BN420" s="32"/>
    </row>
    <row r="421" spans="51:66">
      <c r="AY421" s="32"/>
      <c r="AZ421" s="32"/>
      <c r="BA421" s="32"/>
      <c r="BB421" s="32"/>
      <c r="BC421" s="32"/>
      <c r="BD421" s="32"/>
      <c r="BE421" s="32"/>
      <c r="BF421" s="32"/>
      <c r="BG421" s="32"/>
      <c r="BH421" s="32"/>
      <c r="BI421" s="32"/>
      <c r="BJ421" s="32"/>
      <c r="BK421" s="32"/>
      <c r="BL421" s="32"/>
      <c r="BM421" s="32"/>
      <c r="BN421" s="32"/>
    </row>
    <row r="422" spans="51:66">
      <c r="AY422" s="32"/>
      <c r="AZ422" s="32"/>
      <c r="BA422" s="32"/>
      <c r="BB422" s="32"/>
      <c r="BC422" s="32"/>
      <c r="BD422" s="32"/>
      <c r="BE422" s="32"/>
      <c r="BF422" s="32"/>
      <c r="BG422" s="32"/>
      <c r="BH422" s="32"/>
      <c r="BI422" s="32"/>
      <c r="BJ422" s="32"/>
      <c r="BK422" s="32"/>
      <c r="BL422" s="32"/>
      <c r="BM422" s="32"/>
      <c r="BN422" s="32"/>
    </row>
    <row r="423" spans="51:66">
      <c r="AY423" s="32"/>
      <c r="AZ423" s="32"/>
      <c r="BA423" s="32"/>
      <c r="BB423" s="32"/>
      <c r="BC423" s="32"/>
      <c r="BD423" s="32"/>
      <c r="BE423" s="32"/>
      <c r="BF423" s="32"/>
      <c r="BG423" s="32"/>
      <c r="BH423" s="32"/>
      <c r="BI423" s="32"/>
      <c r="BJ423" s="32"/>
      <c r="BK423" s="32"/>
      <c r="BL423" s="32"/>
      <c r="BM423" s="32"/>
      <c r="BN423" s="32"/>
    </row>
    <row r="424" spans="51:66">
      <c r="AY424" s="32"/>
      <c r="AZ424" s="32"/>
      <c r="BA424" s="32"/>
      <c r="BB424" s="32"/>
      <c r="BC424" s="32"/>
      <c r="BD424" s="32"/>
      <c r="BE424" s="32"/>
      <c r="BF424" s="32"/>
      <c r="BG424" s="32"/>
      <c r="BH424" s="32"/>
      <c r="BI424" s="32"/>
      <c r="BJ424" s="32"/>
      <c r="BK424" s="32"/>
      <c r="BL424" s="32"/>
      <c r="BM424" s="32"/>
      <c r="BN424" s="32"/>
    </row>
    <row r="425" spans="51:66">
      <c r="AY425" s="32"/>
      <c r="AZ425" s="32"/>
      <c r="BA425" s="32"/>
      <c r="BB425" s="32"/>
      <c r="BC425" s="32"/>
      <c r="BD425" s="32"/>
      <c r="BE425" s="32"/>
      <c r="BF425" s="32"/>
      <c r="BG425" s="32"/>
      <c r="BH425" s="32"/>
      <c r="BI425" s="32"/>
      <c r="BJ425" s="32"/>
      <c r="BK425" s="32"/>
      <c r="BL425" s="32"/>
      <c r="BM425" s="32"/>
      <c r="BN425" s="32"/>
    </row>
    <row r="426" spans="51:66">
      <c r="AY426" s="32"/>
      <c r="AZ426" s="32"/>
      <c r="BA426" s="32"/>
      <c r="BB426" s="32"/>
      <c r="BC426" s="32"/>
      <c r="BD426" s="32"/>
      <c r="BE426" s="32"/>
      <c r="BF426" s="32"/>
      <c r="BG426" s="32"/>
      <c r="BH426" s="32"/>
      <c r="BI426" s="32"/>
      <c r="BJ426" s="32"/>
      <c r="BK426" s="32"/>
      <c r="BL426" s="32"/>
      <c r="BM426" s="32"/>
      <c r="BN426" s="32"/>
    </row>
  </sheetData>
  <sheetProtection algorithmName="SHA-512" hashValue="2W+R5FFP5QVUDImWl6dG8+rGvBQO7o8q/u/GJIJ/iyMt2bdnJoy4gki2tyNN/sKf+kmhyFEQHt7JEgkGi9RlbA==" saltValue="zlE+MK2HiwHqRvH0uIjTug==" spinCount="100000" sheet="1" autoFilter="0"/>
  <autoFilter ref="F22:F381" xr:uid="{00000000-0009-0000-0000-00001A000000}"/>
  <mergeCells count="51">
    <mergeCell ref="BW21:BW22"/>
    <mergeCell ref="AY21:AY22"/>
    <mergeCell ref="AQ21:AQ22"/>
    <mergeCell ref="AR21:AR22"/>
    <mergeCell ref="AS21:AS22"/>
    <mergeCell ref="AT21:AT22"/>
    <mergeCell ref="AU21:AU22"/>
    <mergeCell ref="AW21:AW22"/>
    <mergeCell ref="AV21:AV22"/>
    <mergeCell ref="BC21:BC22"/>
    <mergeCell ref="BD21:BD22"/>
    <mergeCell ref="BE21:BE22"/>
    <mergeCell ref="F16:K16"/>
    <mergeCell ref="F18:K18"/>
    <mergeCell ref="V21:V22"/>
    <mergeCell ref="AD21:AD22"/>
    <mergeCell ref="AC21:AC22"/>
    <mergeCell ref="W21:W22"/>
    <mergeCell ref="U21:U22"/>
    <mergeCell ref="S21:S22"/>
    <mergeCell ref="R21:R22"/>
    <mergeCell ref="Q21:Q22"/>
    <mergeCell ref="P21:P22"/>
    <mergeCell ref="Z20:AE20"/>
    <mergeCell ref="AA21:AA22"/>
    <mergeCell ref="Z21:Z22"/>
    <mergeCell ref="Y21:Y22"/>
    <mergeCell ref="X21:X22"/>
    <mergeCell ref="C389:L389"/>
    <mergeCell ref="C390:L390"/>
    <mergeCell ref="C388:L388"/>
    <mergeCell ref="AI21:AI22"/>
    <mergeCell ref="T21:T22"/>
    <mergeCell ref="AH21:AH22"/>
    <mergeCell ref="AF21:AF22"/>
    <mergeCell ref="AE21:AE22"/>
    <mergeCell ref="AH20:AK20"/>
    <mergeCell ref="BB21:BB22"/>
    <mergeCell ref="AB21:AB22"/>
    <mergeCell ref="G383:I383"/>
    <mergeCell ref="AP21:AP22"/>
    <mergeCell ref="AX21:AX22"/>
    <mergeCell ref="AZ21:AZ22"/>
    <mergeCell ref="AG21:AG22"/>
    <mergeCell ref="BA21:BA22"/>
    <mergeCell ref="AO21:AO22"/>
    <mergeCell ref="AN21:AN22"/>
    <mergeCell ref="AM21:AM22"/>
    <mergeCell ref="AL21:AL22"/>
    <mergeCell ref="AK21:AK22"/>
    <mergeCell ref="AJ21:AJ22"/>
  </mergeCells>
  <conditionalFormatting sqref="F193 F196">
    <cfRule type="cellIs" dxfId="3" priority="4" stopIfTrue="1" operator="notEqual">
      <formula>""</formula>
    </cfRule>
  </conditionalFormatting>
  <conditionalFormatting sqref="F194:F195">
    <cfRule type="cellIs" dxfId="2" priority="3" stopIfTrue="1" operator="notEqual">
      <formula>""</formula>
    </cfRule>
  </conditionalFormatting>
  <conditionalFormatting sqref="F288">
    <cfRule type="cellIs" dxfId="1" priority="2" stopIfTrue="1" operator="notEqual">
      <formula>""</formula>
    </cfRule>
  </conditionalFormatting>
  <conditionalFormatting sqref="F210">
    <cfRule type="cellIs" dxfId="0" priority="1" stopIfTrue="1" operator="notEqual">
      <formula>""</formula>
    </cfRule>
  </conditionalFormatting>
  <printOptions horizontalCentered="1"/>
  <pageMargins left="0.19685039370078741" right="0.19685039370078741" top="0.19685039370078741" bottom="0.19685039370078741" header="0.31496062992125984" footer="0.31496062992125984"/>
  <pageSetup paperSize="9" scale="66" fitToHeight="10" orientation="portrait" r:id="rId1"/>
  <headerFooter>
    <oddHeader>&amp;R&amp;"Aptos"&amp;10&amp;K000000 Restricted&amp;1#_x000D_</oddHeader>
  </headerFooter>
  <ignoredErrors>
    <ignoredError sqref="N23 N194:N195 N368:N381 N26:N27 N29:N31 N39:N43 N34:N37 N45:N48 N50 N59:N60 N62:N68 N71 N79 N82:N87 N93 N110 N112:N115 N117:N120 N122:N123 N141 N143:N149 N152 N168:N174 N176:N182 N203 N205:N206 N198:N201 N210 N224:N226 N234:N241 N243:N255 N208 N74:N77 N101:N106 N139 N192" formulaRange="1"/>
    <ignoredError sqref="D23:D27 D39:D48 D71:D79 D82:D88 D112:D120 D143:D145 D152:D165 D168:D174 D176:D189 D233:D241 D347:D356 D245:D272 D29:D37 D50:D69 D93:D106 D122:D139 D190:D191 D140:D141 D109:D110 D89:D92 D107:D108 D147:D150" unlockedFormula="1"/>
    <ignoredError sqref="W73:W79 W141 W284:W288" formula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3424" r:id="rId4" name="Button 1504">
              <controlPr defaultSize="0" print="0" autoFill="0" autoPict="0" macro="[0]!Export_objednavky">
                <anchor moveWithCells="1" sizeWithCells="1">
                  <from>
                    <xdr:col>8</xdr:col>
                    <xdr:colOff>601980</xdr:colOff>
                    <xdr:row>397</xdr:row>
                    <xdr:rowOff>0</xdr:rowOff>
                  </from>
                  <to>
                    <xdr:col>12</xdr:col>
                    <xdr:colOff>7620</xdr:colOff>
                    <xdr:row>398</xdr:row>
                    <xdr:rowOff>68580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List35"/>
  <dimension ref="A1:M243"/>
  <sheetViews>
    <sheetView showGridLines="0" showRowColHeaders="0" workbookViewId="0">
      <pane ySplit="1" topLeftCell="A2" activePane="bottomLeft" state="frozen"/>
      <selection pane="bottomLeft" activeCell="E2" sqref="E2"/>
    </sheetView>
  </sheetViews>
  <sheetFormatPr defaultColWidth="9" defaultRowHeight="13.8"/>
  <cols>
    <col min="1" max="1" width="9" style="61"/>
    <col min="2" max="2" width="191.8984375" style="61" customWidth="1"/>
    <col min="3" max="4" width="9" style="61"/>
    <col min="5" max="5" width="37.5" style="146" bestFit="1" customWidth="1"/>
    <col min="6" max="6" width="2.3984375" style="145" customWidth="1"/>
    <col min="7" max="7" width="29.09765625" style="145" customWidth="1"/>
    <col min="8" max="10" width="29.09765625" style="61" customWidth="1"/>
    <col min="11" max="16384" width="9" style="61"/>
  </cols>
  <sheetData>
    <row r="1" spans="1:13">
      <c r="A1" s="228" t="s">
        <v>247</v>
      </c>
      <c r="E1" s="227" t="s">
        <v>5</v>
      </c>
      <c r="G1" s="250" t="s">
        <v>5</v>
      </c>
      <c r="H1" s="251" t="s">
        <v>6</v>
      </c>
      <c r="I1" s="251" t="s">
        <v>424</v>
      </c>
      <c r="J1" s="251" t="s">
        <v>425</v>
      </c>
    </row>
    <row r="2" spans="1:13" ht="14.4" thickBot="1"/>
    <row r="3" spans="1:13">
      <c r="E3" s="247" t="str">
        <f>IF($E$1=$G$1,G3,IF($E$1=$H$1,H3,IF($E$1=$I$1,I3,IF($E$1=$J$1,J3,""))))</f>
        <v xml:space="preserve"> Základní údaje</v>
      </c>
      <c r="G3" s="239" t="s">
        <v>10</v>
      </c>
      <c r="H3" s="240" t="s">
        <v>14</v>
      </c>
      <c r="I3" s="241" t="s">
        <v>426</v>
      </c>
      <c r="J3" s="242"/>
    </row>
    <row r="4" spans="1:13">
      <c r="E4" s="248" t="str">
        <f t="shared" ref="E4:E68" si="0">IF($E$1=$G$1,G4,IF($E$1=$H$1,H4,IF($E$1=$I$1,I4,IF($E$1=$J$1,J4,""))))</f>
        <v>Údaje pro objednávku, zadání slevy od prodejce</v>
      </c>
      <c r="G4" s="239" t="s">
        <v>11</v>
      </c>
      <c r="H4" s="240" t="s">
        <v>15</v>
      </c>
      <c r="I4" s="241" t="s">
        <v>427</v>
      </c>
      <c r="J4" s="242"/>
    </row>
    <row r="5" spans="1:13">
      <c r="E5" s="248" t="str">
        <f t="shared" si="0"/>
        <v>Pokračovat na:</v>
      </c>
      <c r="G5" s="239" t="s">
        <v>12</v>
      </c>
      <c r="H5" s="240" t="s">
        <v>16</v>
      </c>
      <c r="I5" s="241" t="s">
        <v>428</v>
      </c>
      <c r="J5" s="242"/>
    </row>
    <row r="6" spans="1:13">
      <c r="E6" s="248" t="str">
        <f t="shared" si="0"/>
        <v xml:space="preserve"> Úvod</v>
      </c>
      <c r="G6" s="239" t="s">
        <v>8</v>
      </c>
      <c r="H6" s="240" t="s">
        <v>8</v>
      </c>
      <c r="I6" s="241" t="s">
        <v>429</v>
      </c>
      <c r="J6" s="242"/>
    </row>
    <row r="7" spans="1:13">
      <c r="E7" s="248" t="str">
        <f t="shared" si="0"/>
        <v xml:space="preserve"> Výběr zásuvek</v>
      </c>
      <c r="G7" s="239" t="s">
        <v>113</v>
      </c>
      <c r="H7" s="240" t="s">
        <v>114</v>
      </c>
      <c r="I7" s="241" t="s">
        <v>430</v>
      </c>
      <c r="J7" s="242"/>
    </row>
    <row r="8" spans="1:13">
      <c r="E8" s="248" t="str">
        <f t="shared" si="0"/>
        <v xml:space="preserve"> </v>
      </c>
      <c r="G8" s="239" t="s">
        <v>47</v>
      </c>
      <c r="H8" s="240" t="s">
        <v>47</v>
      </c>
      <c r="I8" s="241" t="s">
        <v>47</v>
      </c>
      <c r="J8" s="242"/>
    </row>
    <row r="9" spans="1:13">
      <c r="E9" s="248" t="str">
        <f t="shared" si="0"/>
        <v xml:space="preserve"> </v>
      </c>
      <c r="G9" s="239" t="s">
        <v>47</v>
      </c>
      <c r="H9" s="240" t="s">
        <v>47</v>
      </c>
      <c r="I9" s="241" t="s">
        <v>47</v>
      </c>
      <c r="J9" s="242"/>
    </row>
    <row r="10" spans="1:13">
      <c r="E10" s="248" t="str">
        <f t="shared" si="0"/>
        <v xml:space="preserve"> Objednávka</v>
      </c>
      <c r="G10" s="239" t="s">
        <v>9</v>
      </c>
      <c r="H10" s="240" t="s">
        <v>9</v>
      </c>
      <c r="I10" s="241" t="s">
        <v>431</v>
      </c>
      <c r="J10" s="242"/>
    </row>
    <row r="11" spans="1:13">
      <c r="E11" s="248" t="str">
        <f t="shared" si="0"/>
        <v>Zpět na:</v>
      </c>
      <c r="G11" s="239" t="s">
        <v>13</v>
      </c>
      <c r="H11" s="240" t="s">
        <v>17</v>
      </c>
      <c r="I11" s="241" t="s">
        <v>432</v>
      </c>
      <c r="J11" s="242"/>
    </row>
    <row r="12" spans="1:13">
      <c r="E12" s="248" t="str">
        <f t="shared" si="0"/>
        <v>Vpřed na:</v>
      </c>
      <c r="G12" s="239" t="s">
        <v>116</v>
      </c>
      <c r="H12" s="240" t="s">
        <v>115</v>
      </c>
      <c r="I12" s="241" t="s">
        <v>433</v>
      </c>
      <c r="J12" s="242"/>
    </row>
    <row r="13" spans="1:13">
      <c r="E13" s="248" t="str">
        <f t="shared" si="0"/>
        <v>&lt;&lt;  zpět</v>
      </c>
      <c r="G13" s="239" t="s">
        <v>139</v>
      </c>
      <c r="H13" s="240" t="s">
        <v>141</v>
      </c>
      <c r="I13" s="241" t="s">
        <v>434</v>
      </c>
      <c r="J13" s="242"/>
    </row>
    <row r="14" spans="1:13">
      <c r="E14" s="248" t="str">
        <f t="shared" si="0"/>
        <v>vpřed  &gt;&gt;</v>
      </c>
      <c r="G14" s="239" t="s">
        <v>140</v>
      </c>
      <c r="H14" s="240" t="s">
        <v>142</v>
      </c>
      <c r="I14" s="241" t="s">
        <v>435</v>
      </c>
      <c r="J14" s="242"/>
    </row>
    <row r="15" spans="1:13">
      <c r="E15" s="248" t="str">
        <f t="shared" si="0"/>
        <v xml:space="preserve"> Základní údaje // Nápověda</v>
      </c>
      <c r="G15" s="243" t="s">
        <v>407</v>
      </c>
      <c r="H15" s="244" t="s">
        <v>112</v>
      </c>
      <c r="I15" s="241" t="s">
        <v>436</v>
      </c>
      <c r="J15" s="242"/>
    </row>
    <row r="16" spans="1:13">
      <c r="E16" s="248" t="str">
        <f t="shared" si="0"/>
        <v xml:space="preserve"> Nápověda</v>
      </c>
      <c r="G16" s="243" t="s">
        <v>26</v>
      </c>
      <c r="H16" s="244" t="s">
        <v>65</v>
      </c>
      <c r="I16" s="241" t="s">
        <v>437</v>
      </c>
      <c r="J16" s="242"/>
      <c r="M16" s="92"/>
    </row>
    <row r="17" spans="5:13">
      <c r="E17" s="248">
        <f t="shared" si="0"/>
        <v>0</v>
      </c>
      <c r="G17" s="239"/>
      <c r="H17" s="244"/>
      <c r="I17" s="241" t="s">
        <v>47</v>
      </c>
      <c r="J17" s="242"/>
      <c r="M17" s="92"/>
    </row>
    <row r="18" spans="5:13">
      <c r="E18" s="248" t="str">
        <f t="shared" si="0"/>
        <v>plnovýsuv</v>
      </c>
      <c r="G18" s="239" t="s">
        <v>3</v>
      </c>
      <c r="H18" s="244" t="s">
        <v>3</v>
      </c>
      <c r="I18" s="241" t="s">
        <v>438</v>
      </c>
      <c r="J18" s="242"/>
      <c r="M18" s="92"/>
    </row>
    <row r="19" spans="5:13">
      <c r="E19" s="248" t="str">
        <f t="shared" si="0"/>
        <v>částečný výsuv</v>
      </c>
      <c r="G19" s="239" t="s">
        <v>4</v>
      </c>
      <c r="H19" s="244" t="s">
        <v>2</v>
      </c>
      <c r="I19" s="241" t="s">
        <v>439</v>
      </c>
      <c r="J19" s="242"/>
      <c r="M19" s="92"/>
    </row>
    <row r="20" spans="5:13">
      <c r="E20" s="248" t="str">
        <f t="shared" si="0"/>
        <v>Jmenovitá délka:</v>
      </c>
      <c r="G20" s="239" t="s">
        <v>0</v>
      </c>
      <c r="H20" s="244" t="s">
        <v>7</v>
      </c>
      <c r="I20" s="241" t="s">
        <v>440</v>
      </c>
      <c r="J20" s="242"/>
      <c r="M20" s="92"/>
    </row>
    <row r="21" spans="5:13">
      <c r="E21" s="248" t="str">
        <f t="shared" si="0"/>
        <v>Jmenovitá délka 470 mm:</v>
      </c>
      <c r="G21" s="239" t="s">
        <v>200</v>
      </c>
      <c r="H21" s="244" t="s">
        <v>201</v>
      </c>
      <c r="I21" s="241" t="s">
        <v>441</v>
      </c>
      <c r="J21" s="242"/>
      <c r="M21" s="92"/>
    </row>
    <row r="22" spans="5:13">
      <c r="E22" s="248" t="str">
        <f t="shared" si="0"/>
        <v>STOP CONTROL - samodovírání</v>
      </c>
      <c r="G22" s="239" t="s">
        <v>128</v>
      </c>
      <c r="H22" s="244" t="s">
        <v>107</v>
      </c>
      <c r="I22" s="241" t="s">
        <v>442</v>
      </c>
      <c r="J22" s="242"/>
      <c r="M22" s="92"/>
    </row>
    <row r="23" spans="5:13">
      <c r="E23" s="248" t="str">
        <f t="shared" si="0"/>
        <v>SILENT SYSTEM - s tlumením</v>
      </c>
      <c r="G23" s="239" t="s">
        <v>129</v>
      </c>
      <c r="H23" s="244" t="s">
        <v>108</v>
      </c>
      <c r="I23" s="241" t="s">
        <v>443</v>
      </c>
      <c r="J23" s="242"/>
      <c r="M23" s="92"/>
    </row>
    <row r="24" spans="5:13">
      <c r="E24" s="248" t="str">
        <f t="shared" si="0"/>
        <v>PUSH-TO-OPEN - bez úchytkové</v>
      </c>
      <c r="G24" s="239" t="s">
        <v>109</v>
      </c>
      <c r="H24" s="244" t="s">
        <v>109</v>
      </c>
      <c r="I24" s="241" t="s">
        <v>444</v>
      </c>
      <c r="J24" s="242"/>
      <c r="M24" s="92"/>
    </row>
    <row r="25" spans="5:13">
      <c r="E25" s="248" t="str">
        <f t="shared" si="0"/>
        <v>způsob balení:</v>
      </c>
      <c r="G25" s="239" t="s">
        <v>408</v>
      </c>
      <c r="H25" s="244" t="s">
        <v>293</v>
      </c>
      <c r="I25" s="241" t="s">
        <v>445</v>
      </c>
      <c r="J25" s="242"/>
      <c r="M25" s="92"/>
    </row>
    <row r="26" spans="5:13">
      <c r="E26" s="248" t="str">
        <f t="shared" si="0"/>
        <v>flexibilní sety</v>
      </c>
      <c r="G26" s="239" t="s">
        <v>130</v>
      </c>
      <c r="H26" s="240" t="s">
        <v>106</v>
      </c>
      <c r="I26" s="241" t="s">
        <v>447</v>
      </c>
      <c r="J26" s="242"/>
      <c r="M26" s="92"/>
    </row>
    <row r="27" spans="5:13">
      <c r="E27" s="248" t="str">
        <f t="shared" si="0"/>
        <v>velkobalení</v>
      </c>
      <c r="G27" s="239" t="s">
        <v>131</v>
      </c>
      <c r="H27" s="240" t="s">
        <v>103</v>
      </c>
      <c r="I27" s="241" t="s">
        <v>446</v>
      </c>
      <c r="J27" s="242"/>
      <c r="M27" s="92"/>
    </row>
    <row r="28" spans="5:13">
      <c r="E28" s="248">
        <f t="shared" si="0"/>
        <v>0</v>
      </c>
      <c r="G28" s="239"/>
      <c r="H28" s="244"/>
      <c r="I28" s="241" t="s">
        <v>47</v>
      </c>
      <c r="J28" s="242"/>
    </row>
    <row r="29" spans="5:13">
      <c r="E29" s="248" t="str">
        <f t="shared" si="0"/>
        <v>Prodejce:</v>
      </c>
      <c r="G29" s="243" t="s">
        <v>27</v>
      </c>
      <c r="H29" s="240" t="s">
        <v>82</v>
      </c>
      <c r="I29" s="241" t="s">
        <v>448</v>
      </c>
      <c r="J29" s="242"/>
    </row>
    <row r="30" spans="5:13">
      <c r="E30" s="248" t="str">
        <f t="shared" si="0"/>
        <v>Odběratel</v>
      </c>
      <c r="G30" s="239" t="s">
        <v>35</v>
      </c>
      <c r="H30" s="244" t="s">
        <v>50</v>
      </c>
      <c r="I30" s="241" t="s">
        <v>449</v>
      </c>
      <c r="J30" s="242"/>
    </row>
    <row r="31" spans="5:13">
      <c r="E31" s="248" t="str">
        <f t="shared" si="0"/>
        <v>Adresa</v>
      </c>
      <c r="G31" s="239" t="s">
        <v>48</v>
      </c>
      <c r="H31" s="244" t="s">
        <v>48</v>
      </c>
      <c r="I31" s="241" t="s">
        <v>451</v>
      </c>
      <c r="J31" s="242"/>
    </row>
    <row r="32" spans="5:13">
      <c r="E32" s="248" t="str">
        <f t="shared" si="0"/>
        <v>Fakturační adresa</v>
      </c>
      <c r="G32" s="239" t="s">
        <v>132</v>
      </c>
      <c r="H32" s="244" t="s">
        <v>133</v>
      </c>
      <c r="I32" s="241" t="s">
        <v>450</v>
      </c>
      <c r="J32" s="242"/>
    </row>
    <row r="33" spans="5:10">
      <c r="E33" s="248" t="str">
        <f t="shared" si="0"/>
        <v>Dodací adresa</v>
      </c>
      <c r="G33" s="239" t="s">
        <v>37</v>
      </c>
      <c r="H33" s="244" t="s">
        <v>51</v>
      </c>
      <c r="I33" s="241" t="s">
        <v>452</v>
      </c>
      <c r="J33" s="242"/>
    </row>
    <row r="34" spans="5:10">
      <c r="E34" s="248" t="str">
        <f t="shared" si="0"/>
        <v>IČO</v>
      </c>
      <c r="G34" s="239" t="s">
        <v>134</v>
      </c>
      <c r="H34" s="244" t="s">
        <v>134</v>
      </c>
      <c r="I34" s="241" t="s">
        <v>454</v>
      </c>
      <c r="J34" s="242"/>
    </row>
    <row r="35" spans="5:10">
      <c r="E35" s="248" t="str">
        <f t="shared" si="0"/>
        <v>DIČ</v>
      </c>
      <c r="G35" s="239" t="s">
        <v>280</v>
      </c>
      <c r="H35" s="240" t="s">
        <v>135</v>
      </c>
      <c r="I35" s="241" t="s">
        <v>453</v>
      </c>
      <c r="J35" s="242"/>
    </row>
    <row r="36" spans="5:10">
      <c r="E36" s="248" t="str">
        <f t="shared" si="0"/>
        <v>Telefon, fax, e-mail</v>
      </c>
      <c r="G36" s="239" t="s">
        <v>38</v>
      </c>
      <c r="H36" s="244" t="s">
        <v>52</v>
      </c>
      <c r="I36" s="241" t="s">
        <v>455</v>
      </c>
      <c r="J36" s="242"/>
    </row>
    <row r="37" spans="5:10">
      <c r="E37" s="248" t="str">
        <f t="shared" si="0"/>
        <v xml:space="preserve">Sleva od prodejce [%]: </v>
      </c>
      <c r="G37" s="239" t="s">
        <v>49</v>
      </c>
      <c r="H37" s="244" t="s">
        <v>53</v>
      </c>
      <c r="I37" s="241" t="s">
        <v>456</v>
      </c>
      <c r="J37" s="242"/>
    </row>
    <row r="38" spans="5:10">
      <c r="E38" s="248" t="str">
        <f t="shared" si="0"/>
        <v>Objednávka</v>
      </c>
      <c r="G38" s="239" t="s">
        <v>36</v>
      </c>
      <c r="H38" s="244" t="s">
        <v>36</v>
      </c>
      <c r="I38" s="241" t="s">
        <v>431</v>
      </c>
      <c r="J38" s="242"/>
    </row>
    <row r="39" spans="5:10">
      <c r="E39" s="248" t="str">
        <f t="shared" si="0"/>
        <v>Číslo objednávky</v>
      </c>
      <c r="G39" s="239" t="s">
        <v>39</v>
      </c>
      <c r="H39" s="244" t="s">
        <v>39</v>
      </c>
      <c r="I39" s="241" t="s">
        <v>457</v>
      </c>
      <c r="J39" s="242"/>
    </row>
    <row r="40" spans="5:10">
      <c r="E40" s="248" t="str">
        <f t="shared" si="0"/>
        <v>Zakázka</v>
      </c>
      <c r="G40" s="239" t="s">
        <v>40</v>
      </c>
      <c r="H40" s="244" t="s">
        <v>54</v>
      </c>
      <c r="I40" s="241" t="s">
        <v>458</v>
      </c>
      <c r="J40" s="242"/>
    </row>
    <row r="41" spans="5:10">
      <c r="E41" s="248" t="str">
        <f t="shared" si="0"/>
        <v>Číslo artiklu</v>
      </c>
      <c r="G41" s="239" t="s">
        <v>30</v>
      </c>
      <c r="H41" s="244" t="s">
        <v>30</v>
      </c>
      <c r="I41" s="241" t="s">
        <v>459</v>
      </c>
      <c r="J41" s="242"/>
    </row>
    <row r="42" spans="5:10">
      <c r="E42" s="248" t="str">
        <f t="shared" si="0"/>
        <v>Název</v>
      </c>
      <c r="G42" s="239" t="s">
        <v>29</v>
      </c>
      <c r="H42" s="244" t="s">
        <v>55</v>
      </c>
      <c r="I42" s="241" t="s">
        <v>460</v>
      </c>
      <c r="J42" s="242"/>
    </row>
    <row r="43" spans="5:10">
      <c r="E43" s="248" t="str">
        <f t="shared" si="0"/>
        <v>balení</v>
      </c>
      <c r="G43" s="239" t="s">
        <v>56</v>
      </c>
      <c r="H43" s="244" t="s">
        <v>32</v>
      </c>
      <c r="I43" s="241" t="s">
        <v>461</v>
      </c>
      <c r="J43" s="242"/>
    </row>
    <row r="44" spans="5:10">
      <c r="E44" s="248" t="str">
        <f t="shared" si="0"/>
        <v>Sklad</v>
      </c>
      <c r="G44" s="239" t="s">
        <v>111</v>
      </c>
      <c r="H44" s="244" t="s">
        <v>111</v>
      </c>
      <c r="I44" s="241" t="s">
        <v>462</v>
      </c>
      <c r="J44" s="242"/>
    </row>
    <row r="45" spans="5:10">
      <c r="E45" s="248" t="str">
        <f t="shared" si="0"/>
        <v>Počet</v>
      </c>
      <c r="G45" s="239" t="s">
        <v>41</v>
      </c>
      <c r="H45" s="244" t="s">
        <v>41</v>
      </c>
      <c r="I45" s="241" t="s">
        <v>463</v>
      </c>
      <c r="J45" s="242"/>
    </row>
    <row r="46" spans="5:10">
      <c r="E46" s="248" t="str">
        <f t="shared" si="0"/>
        <v>Jednotková cena</v>
      </c>
      <c r="G46" s="239" t="s">
        <v>31</v>
      </c>
      <c r="H46" s="244" t="s">
        <v>31</v>
      </c>
      <c r="I46" s="241" t="s">
        <v>465</v>
      </c>
      <c r="J46" s="242"/>
    </row>
    <row r="47" spans="5:10">
      <c r="E47" s="248" t="str">
        <f t="shared" si="0"/>
        <v>Celkem</v>
      </c>
      <c r="G47" s="239" t="s">
        <v>42</v>
      </c>
      <c r="H47" s="244" t="s">
        <v>57</v>
      </c>
      <c r="I47" s="241" t="s">
        <v>464</v>
      </c>
      <c r="J47" s="242"/>
    </row>
    <row r="48" spans="5:10">
      <c r="E48" s="248" t="str">
        <f t="shared" si="0"/>
        <v>Změna</v>
      </c>
      <c r="G48" s="239" t="s">
        <v>43</v>
      </c>
      <c r="H48" s="244" t="s">
        <v>58</v>
      </c>
      <c r="I48" s="241" t="s">
        <v>466</v>
      </c>
      <c r="J48" s="242"/>
    </row>
    <row r="49" spans="5:10">
      <c r="E49" s="248" t="str">
        <f t="shared" si="0"/>
        <v>Volné pole</v>
      </c>
      <c r="G49" s="239" t="s">
        <v>277</v>
      </c>
      <c r="H49" s="240" t="s">
        <v>278</v>
      </c>
      <c r="I49" s="241" t="s">
        <v>467</v>
      </c>
      <c r="J49" s="242"/>
    </row>
    <row r="50" spans="5:10">
      <c r="E50" s="248" t="str">
        <f t="shared" si="0"/>
        <v>Kód prodejce</v>
      </c>
      <c r="G50" s="239" t="s">
        <v>136</v>
      </c>
      <c r="H50" s="244" t="s">
        <v>110</v>
      </c>
      <c r="I50" s="241" t="s">
        <v>468</v>
      </c>
      <c r="J50" s="242"/>
    </row>
    <row r="51" spans="5:10">
      <c r="E51" s="248" t="str">
        <f t="shared" si="0"/>
        <v xml:space="preserve">Verze </v>
      </c>
      <c r="G51" s="243" t="s">
        <v>60</v>
      </c>
      <c r="H51" s="244" t="s">
        <v>66</v>
      </c>
      <c r="I51" s="241" t="s">
        <v>469</v>
      </c>
      <c r="J51" s="242"/>
    </row>
    <row r="52" spans="5:10">
      <c r="E52" s="248" t="str">
        <f t="shared" si="0"/>
        <v>2.0.0</v>
      </c>
      <c r="G52" s="239" t="s">
        <v>1316</v>
      </c>
      <c r="H52" s="240" t="s">
        <v>1316</v>
      </c>
      <c r="I52" s="241" t="s">
        <v>1316</v>
      </c>
      <c r="J52" s="242"/>
    </row>
    <row r="53" spans="5:10">
      <c r="E53" s="248" t="str">
        <f t="shared" si="0"/>
        <v>Platnost cenníka od</v>
      </c>
      <c r="G53" s="239" t="s">
        <v>137</v>
      </c>
      <c r="H53" s="240" t="s">
        <v>138</v>
      </c>
      <c r="I53" s="241" t="s">
        <v>470</v>
      </c>
      <c r="J53" s="242"/>
    </row>
    <row r="54" spans="5:10">
      <c r="E54" s="248">
        <f t="shared" si="0"/>
        <v>0</v>
      </c>
      <c r="G54" s="239"/>
      <c r="H54" s="244"/>
      <c r="I54" s="241"/>
      <c r="J54" s="242"/>
    </row>
    <row r="55" spans="5:10">
      <c r="E55" s="248" t="str">
        <f t="shared" si="0"/>
        <v>Vybrané</v>
      </c>
      <c r="G55" s="239" t="s">
        <v>117</v>
      </c>
      <c r="H55" s="240" t="s">
        <v>118</v>
      </c>
      <c r="I55" s="241" t="s">
        <v>471</v>
      </c>
      <c r="J55" s="242"/>
    </row>
    <row r="56" spans="5:10">
      <c r="E56" s="248" t="str">
        <f t="shared" si="0"/>
        <v>barva:</v>
      </c>
      <c r="G56" s="243" t="s">
        <v>61</v>
      </c>
      <c r="H56" s="244" t="s">
        <v>23</v>
      </c>
      <c r="I56" s="241" t="s">
        <v>472</v>
      </c>
      <c r="J56" s="242"/>
    </row>
    <row r="57" spans="5:10">
      <c r="E57" s="248" t="str">
        <f t="shared" si="0"/>
        <v>čelní kování:</v>
      </c>
      <c r="G57" s="239" t="s">
        <v>62</v>
      </c>
      <c r="H57" s="240" t="s">
        <v>24</v>
      </c>
      <c r="I57" s="241" t="s">
        <v>473</v>
      </c>
      <c r="J57" s="242"/>
    </row>
    <row r="58" spans="5:10">
      <c r="E58" s="248" t="str">
        <f t="shared" si="0"/>
        <v>Cenová hladina:</v>
      </c>
      <c r="G58" s="243" t="s">
        <v>67</v>
      </c>
      <c r="H58" s="244" t="s">
        <v>67</v>
      </c>
      <c r="I58" s="241" t="s">
        <v>474</v>
      </c>
      <c r="J58" s="242"/>
    </row>
    <row r="59" spans="5:10">
      <c r="E59" s="248" t="str">
        <f t="shared" si="0"/>
        <v>Sleva %</v>
      </c>
      <c r="G59" s="239" t="s">
        <v>63</v>
      </c>
      <c r="H59" s="240" t="s">
        <v>68</v>
      </c>
      <c r="I59" s="241" t="s">
        <v>475</v>
      </c>
      <c r="J59" s="242"/>
    </row>
    <row r="60" spans="5:10">
      <c r="E60" s="248">
        <f t="shared" si="0"/>
        <v>0</v>
      </c>
      <c r="G60" s="239"/>
      <c r="H60" s="244"/>
      <c r="I60" s="241"/>
      <c r="J60" s="242"/>
    </row>
    <row r="61" spans="5:10">
      <c r="E61" s="248" t="str">
        <f t="shared" si="0"/>
        <v>stříbrná</v>
      </c>
      <c r="G61" s="239" t="s">
        <v>69</v>
      </c>
      <c r="H61" s="240" t="s">
        <v>19</v>
      </c>
      <c r="I61" s="241" t="s">
        <v>476</v>
      </c>
      <c r="J61" s="242"/>
    </row>
    <row r="62" spans="5:10">
      <c r="E62" s="248" t="str">
        <f t="shared" si="0"/>
        <v>bílá</v>
      </c>
      <c r="G62" s="239" t="s">
        <v>70</v>
      </c>
      <c r="H62" s="244" t="s">
        <v>71</v>
      </c>
      <c r="I62" s="241" t="s">
        <v>477</v>
      </c>
      <c r="J62" s="242"/>
    </row>
    <row r="63" spans="5:10">
      <c r="E63" s="248" t="str">
        <f t="shared" si="0"/>
        <v>antracit</v>
      </c>
      <c r="G63" s="239" t="s">
        <v>72</v>
      </c>
      <c r="H63" s="240" t="s">
        <v>72</v>
      </c>
      <c r="I63" s="241" t="s">
        <v>478</v>
      </c>
      <c r="J63" s="242"/>
    </row>
    <row r="64" spans="5:10">
      <c r="E64" s="248" t="str">
        <f t="shared" si="0"/>
        <v>barva relingu:</v>
      </c>
      <c r="G64" s="239" t="s">
        <v>101</v>
      </c>
      <c r="H64" s="240" t="s">
        <v>102</v>
      </c>
      <c r="I64" s="241"/>
      <c r="J64" s="242"/>
    </row>
    <row r="65" spans="5:10">
      <c r="E65" s="248" t="str">
        <f t="shared" si="0"/>
        <v>chrom</v>
      </c>
      <c r="G65" s="239" t="s">
        <v>410</v>
      </c>
      <c r="H65" s="240" t="s">
        <v>99</v>
      </c>
      <c r="I65" s="241" t="s">
        <v>479</v>
      </c>
      <c r="J65" s="242"/>
    </row>
    <row r="66" spans="5:10">
      <c r="E66" s="248" t="str">
        <f t="shared" si="0"/>
        <v>nerez finiš</v>
      </c>
      <c r="G66" s="239" t="s">
        <v>100</v>
      </c>
      <c r="H66" s="240" t="s">
        <v>100</v>
      </c>
      <c r="I66" s="241" t="s">
        <v>480</v>
      </c>
      <c r="J66" s="242"/>
    </row>
    <row r="67" spans="5:10">
      <c r="E67" s="248" t="str">
        <f t="shared" si="0"/>
        <v>na vruty</v>
      </c>
      <c r="G67" s="239" t="s">
        <v>59</v>
      </c>
      <c r="H67" s="244" t="s">
        <v>20</v>
      </c>
      <c r="I67" s="241" t="s">
        <v>481</v>
      </c>
      <c r="J67" s="242"/>
    </row>
    <row r="68" spans="5:10">
      <c r="E68" s="248" t="str">
        <f t="shared" si="0"/>
        <v>s rozpěrnými pouzdry</v>
      </c>
      <c r="G68" s="239" t="s">
        <v>73</v>
      </c>
      <c r="H68" s="240" t="s">
        <v>74</v>
      </c>
      <c r="I68" s="241" t="s">
        <v>482</v>
      </c>
      <c r="J68" s="242"/>
    </row>
    <row r="69" spans="5:10">
      <c r="E69" s="248">
        <f t="shared" ref="E69:E85" si="1">IF($E$1=$G$1,G69,IF($E$1=$H$1,H69,IF($E$1=$I$1,I69,IF($E$1=$J$1,J69,""))))</f>
        <v>0</v>
      </c>
      <c r="G69" s="239"/>
      <c r="H69" s="240"/>
      <c r="I69" s="241"/>
      <c r="J69" s="242"/>
    </row>
    <row r="70" spans="5:10">
      <c r="E70" s="248" t="str">
        <f t="shared" si="1"/>
        <v>dekorativní profil:</v>
      </c>
      <c r="G70" s="239" t="s">
        <v>317</v>
      </c>
      <c r="H70" s="240" t="s">
        <v>307</v>
      </c>
      <c r="I70" s="241" t="s">
        <v>483</v>
      </c>
      <c r="J70" s="242"/>
    </row>
    <row r="71" spans="5:10">
      <c r="E71" s="248" t="str">
        <f t="shared" si="1"/>
        <v>v barvě bočnice</v>
      </c>
      <c r="G71" s="239" t="s">
        <v>319</v>
      </c>
      <c r="H71" s="240" t="s">
        <v>318</v>
      </c>
      <c r="I71" s="241" t="s">
        <v>484</v>
      </c>
      <c r="J71" s="242"/>
    </row>
    <row r="72" spans="5:10">
      <c r="E72" s="248" t="str">
        <f t="shared" si="1"/>
        <v>hliník</v>
      </c>
      <c r="G72" s="239" t="s">
        <v>303</v>
      </c>
      <c r="H72" s="240" t="s">
        <v>303</v>
      </c>
      <c r="I72" s="241" t="s">
        <v>485</v>
      </c>
      <c r="J72" s="242"/>
    </row>
    <row r="73" spans="5:10">
      <c r="E73" s="248" t="str">
        <f t="shared" si="1"/>
        <v>nerez</v>
      </c>
      <c r="G73" s="239" t="s">
        <v>304</v>
      </c>
      <c r="H73" s="240" t="s">
        <v>304</v>
      </c>
      <c r="I73" s="241" t="s">
        <v>480</v>
      </c>
      <c r="J73" s="242"/>
    </row>
    <row r="74" spans="5:10">
      <c r="E74" s="248" t="str">
        <f t="shared" si="1"/>
        <v>dub</v>
      </c>
      <c r="G74" s="239" t="s">
        <v>305</v>
      </c>
      <c r="H74" s="240" t="s">
        <v>305</v>
      </c>
      <c r="I74" s="241" t="s">
        <v>486</v>
      </c>
      <c r="J74" s="242"/>
    </row>
    <row r="75" spans="5:10">
      <c r="E75" s="248" t="str">
        <f t="shared" si="1"/>
        <v>ořech</v>
      </c>
      <c r="G75" s="239" t="s">
        <v>320</v>
      </c>
      <c r="H75" s="240" t="s">
        <v>306</v>
      </c>
      <c r="I75" s="241" t="s">
        <v>487</v>
      </c>
      <c r="J75" s="242"/>
    </row>
    <row r="76" spans="5:10">
      <c r="E76" s="248" t="str">
        <f t="shared" si="1"/>
        <v>krytka:</v>
      </c>
      <c r="G76" s="240" t="s">
        <v>315</v>
      </c>
      <c r="H76" s="240" t="s">
        <v>315</v>
      </c>
      <c r="I76" s="241" t="s">
        <v>488</v>
      </c>
      <c r="J76" s="242"/>
    </row>
    <row r="77" spans="5:10">
      <c r="E77" s="248" t="str">
        <f t="shared" si="1"/>
        <v>žádná</v>
      </c>
      <c r="G77" s="240" t="s">
        <v>409</v>
      </c>
      <c r="H77" s="240" t="s">
        <v>308</v>
      </c>
      <c r="I77" s="241" t="s">
        <v>489</v>
      </c>
      <c r="J77" s="242"/>
    </row>
    <row r="78" spans="5:10">
      <c r="E78" s="248" t="str">
        <f t="shared" si="1"/>
        <v>stříbrná s logem</v>
      </c>
      <c r="G78" s="240" t="s">
        <v>321</v>
      </c>
      <c r="H78" s="240" t="s">
        <v>309</v>
      </c>
      <c r="I78" s="241" t="s">
        <v>490</v>
      </c>
      <c r="J78" s="242"/>
    </row>
    <row r="79" spans="5:10">
      <c r="E79" s="248" t="str">
        <f t="shared" si="1"/>
        <v>stříbrná bez loga</v>
      </c>
      <c r="G79" s="240" t="s">
        <v>322</v>
      </c>
      <c r="H79" s="240" t="s">
        <v>310</v>
      </c>
      <c r="I79" s="241" t="s">
        <v>491</v>
      </c>
      <c r="J79" s="242"/>
    </row>
    <row r="80" spans="5:10">
      <c r="E80" s="248" t="str">
        <f t="shared" si="1"/>
        <v>bílá s logem</v>
      </c>
      <c r="G80" s="240" t="s">
        <v>324</v>
      </c>
      <c r="H80" s="240" t="s">
        <v>311</v>
      </c>
      <c r="I80" s="241" t="s">
        <v>492</v>
      </c>
      <c r="J80" s="242"/>
    </row>
    <row r="81" spans="5:10">
      <c r="E81" s="248" t="str">
        <f t="shared" si="1"/>
        <v>bílá bez loga</v>
      </c>
      <c r="G81" s="240" t="s">
        <v>323</v>
      </c>
      <c r="H81" s="240" t="s">
        <v>312</v>
      </c>
      <c r="I81" s="241" t="s">
        <v>493</v>
      </c>
      <c r="J81" s="242"/>
    </row>
    <row r="82" spans="5:10">
      <c r="E82" s="248" t="str">
        <f t="shared" si="1"/>
        <v>antracitová s logem</v>
      </c>
      <c r="G82" s="240" t="s">
        <v>325</v>
      </c>
      <c r="H82" s="240" t="s">
        <v>313</v>
      </c>
      <c r="I82" s="241" t="s">
        <v>494</v>
      </c>
      <c r="J82" s="242"/>
    </row>
    <row r="83" spans="5:10">
      <c r="E83" s="248" t="str">
        <f t="shared" si="1"/>
        <v>antracitová bez loga</v>
      </c>
      <c r="G83" s="240" t="s">
        <v>314</v>
      </c>
      <c r="H83" s="240" t="s">
        <v>314</v>
      </c>
      <c r="I83" s="241" t="s">
        <v>495</v>
      </c>
      <c r="J83" s="242"/>
    </row>
    <row r="84" spans="5:10">
      <c r="E84" s="248" t="str">
        <f t="shared" si="1"/>
        <v>tloušťka boku skřínky:</v>
      </c>
      <c r="G84" s="240" t="s">
        <v>326</v>
      </c>
      <c r="H84" s="240" t="s">
        <v>316</v>
      </c>
      <c r="I84" s="241" t="s">
        <v>496</v>
      </c>
      <c r="J84" s="242"/>
    </row>
    <row r="85" spans="5:10">
      <c r="E85" s="248">
        <f t="shared" si="1"/>
        <v>0</v>
      </c>
      <c r="G85" s="239"/>
      <c r="H85" s="244"/>
      <c r="I85" s="241"/>
      <c r="J85" s="242"/>
    </row>
    <row r="86" spans="5:10">
      <c r="E86" s="248" t="str">
        <f t="shared" ref="E86:E148" si="2">IF($E$1=$G$1,G86,IF($E$1=$H$1,H86,IF($E$1=$I$1,I86,IF($E$1=$J$1,J86,""))))</f>
        <v>Základní ceny</v>
      </c>
      <c r="G86" s="243" t="s">
        <v>87</v>
      </c>
      <c r="H86" s="244" t="s">
        <v>88</v>
      </c>
      <c r="I86" s="241" t="s">
        <v>497</v>
      </c>
      <c r="J86" s="242"/>
    </row>
    <row r="87" spans="5:10">
      <c r="E87" s="248" t="str">
        <f t="shared" si="2"/>
        <v>Nákupní ceny</v>
      </c>
      <c r="G87" s="243" t="s">
        <v>90</v>
      </c>
      <c r="H87" s="244" t="s">
        <v>89</v>
      </c>
      <c r="I87" s="241" t="s">
        <v>498</v>
      </c>
      <c r="J87" s="242"/>
    </row>
    <row r="88" spans="5:10">
      <c r="E88" s="248" t="str">
        <f t="shared" si="2"/>
        <v>S volitelnou slevou</v>
      </c>
      <c r="G88" s="243" t="s">
        <v>91</v>
      </c>
      <c r="H88" s="244" t="s">
        <v>92</v>
      </c>
      <c r="I88" s="241" t="s">
        <v>499</v>
      </c>
      <c r="J88" s="242"/>
    </row>
    <row r="89" spans="5:10">
      <c r="E89" s="248">
        <f t="shared" si="2"/>
        <v>0</v>
      </c>
      <c r="G89" s="239"/>
      <c r="H89" s="244"/>
      <c r="I89" s="241"/>
      <c r="J89" s="242"/>
    </row>
    <row r="90" spans="5:10">
      <c r="E90" s="248" t="str">
        <f t="shared" si="2"/>
        <v>bočnice:</v>
      </c>
      <c r="G90" s="243" t="s">
        <v>18</v>
      </c>
      <c r="H90" s="244" t="s">
        <v>21</v>
      </c>
      <c r="I90" s="241" t="s">
        <v>500</v>
      </c>
      <c r="J90" s="242"/>
    </row>
    <row r="91" spans="5:10">
      <c r="E91" s="248" t="str">
        <f t="shared" si="2"/>
        <v>záda:</v>
      </c>
      <c r="G91" s="243" t="s">
        <v>75</v>
      </c>
      <c r="H91" s="244" t="s">
        <v>22</v>
      </c>
      <c r="I91" s="241" t="s">
        <v>501</v>
      </c>
      <c r="J91" s="242"/>
    </row>
    <row r="92" spans="5:10">
      <c r="E92" s="248" t="str">
        <f t="shared" si="2"/>
        <v>cena kování:</v>
      </c>
      <c r="G92" s="243" t="s">
        <v>76</v>
      </c>
      <c r="H92" s="244" t="s">
        <v>25</v>
      </c>
      <c r="I92" s="241" t="s">
        <v>502</v>
      </c>
      <c r="J92" s="242"/>
    </row>
    <row r="93" spans="5:10">
      <c r="E93" s="248">
        <f t="shared" si="2"/>
        <v>0</v>
      </c>
      <c r="G93" s="239"/>
      <c r="H93" s="244"/>
      <c r="I93" s="241"/>
      <c r="J93" s="242"/>
    </row>
    <row r="94" spans="5:10">
      <c r="E94" s="248" t="str">
        <f t="shared" si="2"/>
        <v>Formulář pro identifikační údaje</v>
      </c>
      <c r="G94" s="243" t="s">
        <v>64</v>
      </c>
      <c r="H94" s="244" t="s">
        <v>77</v>
      </c>
      <c r="I94" s="241" t="s">
        <v>503</v>
      </c>
      <c r="J94" s="242"/>
    </row>
    <row r="95" spans="5:10">
      <c r="E95" s="248" t="str">
        <f t="shared" si="2"/>
        <v>Zpět na úvod</v>
      </c>
      <c r="G95" s="239" t="s">
        <v>28</v>
      </c>
      <c r="H95" s="240" t="s">
        <v>78</v>
      </c>
      <c r="I95" s="241" t="s">
        <v>504</v>
      </c>
      <c r="J95" s="242"/>
    </row>
    <row r="96" spans="5:10">
      <c r="E96" s="248">
        <f t="shared" si="2"/>
        <v>0</v>
      </c>
      <c r="G96" s="239"/>
      <c r="H96" s="244"/>
      <c r="I96" s="241"/>
      <c r="J96" s="242"/>
    </row>
    <row r="97" spans="5:10">
      <c r="E97" s="248" t="str">
        <f t="shared" si="2"/>
        <v>Nápověda</v>
      </c>
      <c r="G97" s="239" t="s">
        <v>84</v>
      </c>
      <c r="H97" s="240" t="s">
        <v>97</v>
      </c>
      <c r="I97" s="241" t="s">
        <v>437</v>
      </c>
      <c r="J97" s="242"/>
    </row>
    <row r="98" spans="5:10">
      <c r="E98" s="248" t="str">
        <f t="shared" si="2"/>
        <v>Úvod</v>
      </c>
      <c r="G98" s="239" t="s">
        <v>85</v>
      </c>
      <c r="H98" s="240" t="s">
        <v>85</v>
      </c>
      <c r="I98" s="241" t="s">
        <v>505</v>
      </c>
      <c r="J98" s="242"/>
    </row>
    <row r="99" spans="5:10">
      <c r="E99" s="248" t="str">
        <f t="shared" si="2"/>
        <v>Před prvním spuštěním:</v>
      </c>
      <c r="G99" s="243" t="s">
        <v>83</v>
      </c>
      <c r="H99" s="244" t="s">
        <v>86</v>
      </c>
      <c r="I99" s="241" t="s">
        <v>506</v>
      </c>
      <c r="J99" s="242"/>
    </row>
    <row r="100" spans="5:10">
      <c r="E100" s="248" t="str">
        <f t="shared" si="2"/>
        <v>V levé části obrazovky vyplň identifikační údaje.</v>
      </c>
      <c r="G100" s="243" t="s">
        <v>231</v>
      </c>
      <c r="H100" s="244" t="s">
        <v>237</v>
      </c>
      <c r="I100" s="241" t="s">
        <v>509</v>
      </c>
      <c r="J100" s="242"/>
    </row>
    <row r="101" spans="5:10">
      <c r="E101" s="248" t="str">
        <f t="shared" si="2"/>
        <v>Ve střední části vyplň výšku slevy od prodejce.</v>
      </c>
      <c r="G101" s="243" t="s">
        <v>232</v>
      </c>
      <c r="H101" s="244" t="s">
        <v>236</v>
      </c>
      <c r="I101" s="241" t="s">
        <v>507</v>
      </c>
      <c r="J101" s="242"/>
    </row>
    <row r="102" spans="5:10">
      <c r="E102" s="248" t="str">
        <f t="shared" si="2"/>
        <v>Vrať se na úvod a soubor ulož nebo zavři s potvzením změn.</v>
      </c>
      <c r="G102" s="243" t="s">
        <v>233</v>
      </c>
      <c r="H102" s="244" t="s">
        <v>238</v>
      </c>
      <c r="I102" s="241" t="s">
        <v>508</v>
      </c>
      <c r="J102" s="242"/>
    </row>
    <row r="103" spans="5:10">
      <c r="E103" s="248" t="str">
        <f t="shared" si="2"/>
        <v>Identifikační údaje se budou zobrazovat v hlavičce objednávky.</v>
      </c>
      <c r="G103" s="243" t="s">
        <v>234</v>
      </c>
      <c r="H103" s="244" t="s">
        <v>235</v>
      </c>
      <c r="I103" s="241" t="s">
        <v>510</v>
      </c>
      <c r="J103" s="242"/>
    </row>
    <row r="104" spans="5:10">
      <c r="E104" s="248" t="str">
        <f t="shared" si="2"/>
        <v>Na úvodní obrazovce :</v>
      </c>
      <c r="G104" s="243" t="s">
        <v>228</v>
      </c>
      <c r="H104" s="244" t="s">
        <v>227</v>
      </c>
      <c r="I104" s="241" t="s">
        <v>511</v>
      </c>
      <c r="J104" s="242"/>
    </row>
    <row r="105" spans="5:10">
      <c r="E105" s="248" t="str">
        <f t="shared" si="2"/>
        <v>vyber, jaké ceny se budou zobrazovat:</v>
      </c>
      <c r="G105" s="243" t="s">
        <v>230</v>
      </c>
      <c r="H105" s="244" t="s">
        <v>229</v>
      </c>
      <c r="I105" s="241" t="s">
        <v>512</v>
      </c>
      <c r="J105" s="242"/>
    </row>
    <row r="106" spans="5:10">
      <c r="E106" s="248" t="str">
        <f t="shared" si="2"/>
        <v>základní ceny, tj. ceníkové bez slevy</v>
      </c>
      <c r="G106" s="243" t="s">
        <v>239</v>
      </c>
      <c r="H106" s="244" t="s">
        <v>241</v>
      </c>
      <c r="I106" s="241" t="s">
        <v>513</v>
      </c>
      <c r="J106" s="242"/>
    </row>
    <row r="107" spans="5:10">
      <c r="E107" s="248" t="str">
        <f t="shared" si="2"/>
        <v>nákupní ceny, tj. ceny se slevou od prodejce</v>
      </c>
      <c r="G107" s="243" t="s">
        <v>240</v>
      </c>
      <c r="H107" s="244" t="s">
        <v>242</v>
      </c>
      <c r="I107" s="241" t="s">
        <v>514</v>
      </c>
      <c r="J107" s="242"/>
    </row>
    <row r="108" spans="5:10">
      <c r="E108" s="248" t="str">
        <f t="shared" si="2"/>
        <v>ceny s volitelnou slevou</v>
      </c>
      <c r="G108" s="243" t="s">
        <v>243</v>
      </c>
      <c r="H108" s="244" t="s">
        <v>244</v>
      </c>
      <c r="I108" s="241" t="s">
        <v>515</v>
      </c>
      <c r="J108" s="242"/>
    </row>
    <row r="109" spans="5:10">
      <c r="E109" s="248" t="str">
        <f t="shared" si="2"/>
        <v>Tip:</v>
      </c>
      <c r="G109" s="243" t="s">
        <v>98</v>
      </c>
      <c r="H109" s="244" t="s">
        <v>98</v>
      </c>
      <c r="I109" s="241" t="s">
        <v>98</v>
      </c>
      <c r="J109" s="242"/>
    </row>
    <row r="110" spans="5:10">
      <c r="E110" s="248" t="str">
        <f t="shared" si="2"/>
        <v>Zadáte-li slevu s mínusovým znamínkem, zobrazí se ceny o tuto hodnotu vyšší.</v>
      </c>
      <c r="G110" s="243" t="s">
        <v>245</v>
      </c>
      <c r="H110" s="244" t="s">
        <v>246</v>
      </c>
      <c r="I110" s="241" t="s">
        <v>516</v>
      </c>
      <c r="J110" s="242"/>
    </row>
    <row r="111" spans="5:10">
      <c r="E111" s="248" t="str">
        <f t="shared" si="2"/>
        <v>vyber barvu povrchové úpravy</v>
      </c>
      <c r="G111" s="243" t="s">
        <v>225</v>
      </c>
      <c r="H111" s="244" t="s">
        <v>223</v>
      </c>
      <c r="I111" s="241" t="s">
        <v>517</v>
      </c>
      <c r="J111" s="242"/>
    </row>
    <row r="112" spans="5:10">
      <c r="E112" s="248" t="str">
        <f t="shared" si="2"/>
        <v>vyber způsob montáže čelního kování</v>
      </c>
      <c r="G112" s="243" t="s">
        <v>226</v>
      </c>
      <c r="H112" s="244" t="s">
        <v>224</v>
      </c>
      <c r="I112" s="241" t="s">
        <v>518</v>
      </c>
      <c r="J112" s="242"/>
    </row>
    <row r="113" spans="5:10">
      <c r="E113" s="248" t="str">
        <f t="shared" si="2"/>
        <v xml:space="preserve">Zadej výšku slevy [%] </v>
      </c>
      <c r="G113" s="239" t="s">
        <v>221</v>
      </c>
      <c r="H113" s="240" t="s">
        <v>219</v>
      </c>
      <c r="I113" s="241" t="s">
        <v>519</v>
      </c>
      <c r="J113" s="242"/>
    </row>
    <row r="114" spans="5:10">
      <c r="E114" s="248" t="str">
        <f t="shared" si="2"/>
        <v>Zadej výšku slevy</v>
      </c>
      <c r="G114" s="243" t="s">
        <v>222</v>
      </c>
      <c r="H114" s="244" t="s">
        <v>220</v>
      </c>
      <c r="I114" s="241" t="s">
        <v>519</v>
      </c>
      <c r="J114" s="242"/>
    </row>
    <row r="115" spans="5:10">
      <c r="E115" s="248" t="str">
        <f t="shared" si="2"/>
        <v>Nastavit</v>
      </c>
      <c r="G115" s="239" t="s">
        <v>94</v>
      </c>
      <c r="H115" s="244" t="s">
        <v>95</v>
      </c>
      <c r="I115" s="241" t="s">
        <v>520</v>
      </c>
      <c r="J115" s="242"/>
    </row>
    <row r="116" spans="5:10">
      <c r="E116" s="248" t="str">
        <f t="shared" si="2"/>
        <v>Ceny se slevou od prodejce [Základní údaje]</v>
      </c>
      <c r="G116" s="243" t="s">
        <v>93</v>
      </c>
      <c r="H116" s="244" t="s">
        <v>96</v>
      </c>
      <c r="I116" s="241" t="s">
        <v>521</v>
      </c>
      <c r="J116" s="242"/>
    </row>
    <row r="117" spans="5:10">
      <c r="E117" s="248">
        <f t="shared" si="2"/>
        <v>0</v>
      </c>
      <c r="G117" s="239"/>
      <c r="H117" s="244"/>
      <c r="I117" s="241"/>
      <c r="J117" s="242"/>
    </row>
    <row r="118" spans="5:10">
      <c r="E118" s="248" t="str">
        <f t="shared" si="2"/>
        <v>Nevymazal jsi vnitřní čela !</v>
      </c>
      <c r="G118" s="243" t="s">
        <v>260</v>
      </c>
      <c r="H118" s="244" t="s">
        <v>259</v>
      </c>
      <c r="I118" s="241" t="s">
        <v>522</v>
      </c>
      <c r="J118" s="242"/>
    </row>
    <row r="119" spans="5:10">
      <c r="E119" s="248" t="str">
        <f t="shared" si="2"/>
        <v>zásuvka základní</v>
      </c>
      <c r="G119" s="239" t="s">
        <v>411</v>
      </c>
      <c r="H119" s="244" t="s">
        <v>104</v>
      </c>
      <c r="I119" s="241" t="s">
        <v>523</v>
      </c>
      <c r="J119" s="242"/>
    </row>
    <row r="120" spans="5:10">
      <c r="E120" s="248" t="str">
        <f t="shared" si="2"/>
        <v>zásuvka ze skleněnou bočnicí</v>
      </c>
      <c r="G120" s="239" t="s">
        <v>340</v>
      </c>
      <c r="H120" s="244" t="s">
        <v>341</v>
      </c>
      <c r="I120" s="241" t="s">
        <v>524</v>
      </c>
      <c r="J120" s="242"/>
    </row>
    <row r="121" spans="5:10">
      <c r="E121" s="248" t="str">
        <f t="shared" si="2"/>
        <v>zásuvka s 2x relingem</v>
      </c>
      <c r="G121" s="239" t="s">
        <v>124</v>
      </c>
      <c r="H121" s="244" t="s">
        <v>123</v>
      </c>
      <c r="I121" s="241"/>
      <c r="J121" s="242"/>
    </row>
    <row r="122" spans="5:10">
      <c r="E122" s="248" t="str">
        <f t="shared" si="2"/>
        <v>zásuvka s TopSide ocel.</v>
      </c>
      <c r="G122" s="243" t="s">
        <v>125</v>
      </c>
      <c r="H122" s="244" t="s">
        <v>121</v>
      </c>
      <c r="I122" s="241"/>
      <c r="J122" s="242"/>
    </row>
    <row r="123" spans="5:10">
      <c r="E123" s="248" t="str">
        <f t="shared" si="2"/>
        <v>zásuvka s TopSide skleň.</v>
      </c>
      <c r="G123" s="243" t="s">
        <v>126</v>
      </c>
      <c r="H123" s="244" t="s">
        <v>122</v>
      </c>
      <c r="I123" s="241"/>
      <c r="J123" s="242"/>
    </row>
    <row r="124" spans="5:10">
      <c r="E124" s="248" t="str">
        <f t="shared" si="2"/>
        <v>zásuvka s DesignSide</v>
      </c>
      <c r="G124" s="243" t="s">
        <v>264</v>
      </c>
      <c r="H124" s="244" t="s">
        <v>264</v>
      </c>
      <c r="I124" s="241"/>
      <c r="J124" s="242"/>
    </row>
    <row r="125" spans="5:10">
      <c r="E125" s="248" t="str">
        <f t="shared" si="2"/>
        <v>Vnitřní zásuvka - 101 mm s ALU čelem</v>
      </c>
      <c r="G125" s="243" t="s">
        <v>347</v>
      </c>
      <c r="H125" s="244" t="s">
        <v>351</v>
      </c>
      <c r="I125" s="241" t="s">
        <v>525</v>
      </c>
      <c r="J125" s="242"/>
    </row>
    <row r="126" spans="5:10">
      <c r="E126" s="248" t="str">
        <f t="shared" si="2"/>
        <v>Vnitřní zásuvka - 139 mm s ALU čelem</v>
      </c>
      <c r="G126" s="243" t="s">
        <v>348</v>
      </c>
      <c r="H126" s="244" t="s">
        <v>352</v>
      </c>
      <c r="I126" s="241" t="s">
        <v>527</v>
      </c>
      <c r="J126" s="242"/>
    </row>
    <row r="127" spans="5:10">
      <c r="E127" s="248" t="str">
        <f t="shared" si="2"/>
        <v>Vnitřní zásuvka - 187 mm s ALU čelem</v>
      </c>
      <c r="G127" s="243" t="s">
        <v>349</v>
      </c>
      <c r="H127" s="244" t="s">
        <v>353</v>
      </c>
      <c r="I127" s="241" t="s">
        <v>526</v>
      </c>
      <c r="J127" s="242"/>
    </row>
    <row r="128" spans="5:10">
      <c r="E128" s="248" t="str">
        <f t="shared" si="2"/>
        <v>Vnitřní zásuvka - 187 mm se skleněným čelem</v>
      </c>
      <c r="G128" s="243" t="s">
        <v>350</v>
      </c>
      <c r="H128" s="244" t="s">
        <v>363</v>
      </c>
      <c r="I128" s="241" t="s">
        <v>528</v>
      </c>
      <c r="J128" s="242"/>
    </row>
    <row r="129" spans="5:10">
      <c r="E129" s="248" t="str">
        <f t="shared" si="2"/>
        <v>zásuvka nízká (v 77mm)</v>
      </c>
      <c r="G129" s="243" t="s">
        <v>345</v>
      </c>
      <c r="H129" s="244" t="s">
        <v>346</v>
      </c>
      <c r="I129" s="241" t="s">
        <v>529</v>
      </c>
      <c r="J129" s="242"/>
    </row>
    <row r="130" spans="5:10">
      <c r="E130" s="248" t="str">
        <f t="shared" si="2"/>
        <v>zásuvka s relingem a individuálně vysokými zády</v>
      </c>
      <c r="G130" s="243" t="s">
        <v>179</v>
      </c>
      <c r="H130" s="244" t="s">
        <v>178</v>
      </c>
      <c r="I130" s="241"/>
      <c r="J130" s="242"/>
    </row>
    <row r="131" spans="5:10">
      <c r="E131" s="248" t="str">
        <f t="shared" si="2"/>
        <v>zásuvka velkokapacitní XXL</v>
      </c>
      <c r="G131" s="243" t="s">
        <v>181</v>
      </c>
      <c r="H131" s="244" t="s">
        <v>180</v>
      </c>
      <c r="I131" s="241"/>
      <c r="J131" s="242"/>
    </row>
    <row r="132" spans="5:10">
      <c r="E132" s="248" t="str">
        <f t="shared" si="2"/>
        <v>zásuvka s vybráním pod dřez</v>
      </c>
      <c r="G132" s="243" t="s">
        <v>182</v>
      </c>
      <c r="H132" s="244" t="s">
        <v>184</v>
      </c>
      <c r="I132" s="241"/>
      <c r="J132" s="242"/>
    </row>
    <row r="133" spans="5:10">
      <c r="E133" s="248" t="str">
        <f t="shared" si="2"/>
        <v>zásuvka s relingem a s vybráním pod dřez</v>
      </c>
      <c r="G133" s="243" t="s">
        <v>183</v>
      </c>
      <c r="H133" s="244" t="s">
        <v>185</v>
      </c>
      <c r="I133" s="241"/>
      <c r="J133" s="242"/>
    </row>
    <row r="134" spans="5:10">
      <c r="E134" s="248" t="str">
        <f t="shared" si="2"/>
        <v>zásuvka velkokapacitní pod sporák</v>
      </c>
      <c r="G134" s="243" t="s">
        <v>186</v>
      </c>
      <c r="H134" s="244" t="s">
        <v>187</v>
      </c>
      <c r="I134" s="241"/>
      <c r="J134" s="242"/>
    </row>
    <row r="135" spans="5:10">
      <c r="E135" s="248" t="str">
        <f t="shared" si="2"/>
        <v>nebo</v>
      </c>
      <c r="G135" s="243" t="s">
        <v>189</v>
      </c>
      <c r="H135" s="244" t="s">
        <v>188</v>
      </c>
      <c r="I135" s="241" t="s">
        <v>530</v>
      </c>
      <c r="J135" s="242"/>
    </row>
    <row r="136" spans="5:10">
      <c r="E136" s="248" t="str">
        <f t="shared" si="2"/>
        <v>zásuvka úzká spodní 101/187</v>
      </c>
      <c r="G136" s="243" t="s">
        <v>379</v>
      </c>
      <c r="H136" s="244" t="s">
        <v>380</v>
      </c>
      <c r="I136" s="241" t="s">
        <v>532</v>
      </c>
      <c r="J136" s="242"/>
    </row>
    <row r="137" spans="5:10">
      <c r="E137" s="248" t="str">
        <f t="shared" si="2"/>
        <v>zásuvka úzká spodní 139/187</v>
      </c>
      <c r="G137" s="243" t="s">
        <v>381</v>
      </c>
      <c r="H137" s="244" t="s">
        <v>382</v>
      </c>
      <c r="I137" s="241" t="s">
        <v>533</v>
      </c>
      <c r="J137" s="242"/>
    </row>
    <row r="138" spans="5:10">
      <c r="E138" s="248" t="str">
        <f>IF($E$1=$G$1,G138,IF($E$1=$H$1,H138,IF($E$1=$I$1,I138,IF($E$1=$J$1,J138,""))))</f>
        <v>zásuvka úzká spodní 2x187</v>
      </c>
      <c r="G138" s="243" t="s">
        <v>383</v>
      </c>
      <c r="H138" s="244" t="s">
        <v>384</v>
      </c>
      <c r="I138" s="241" t="s">
        <v>531</v>
      </c>
      <c r="J138" s="242"/>
    </row>
    <row r="139" spans="5:10">
      <c r="E139" s="248" t="str">
        <f t="shared" si="2"/>
        <v>potravinová skříň vysoká výsuvná</v>
      </c>
      <c r="G139" s="243" t="s">
        <v>192</v>
      </c>
      <c r="H139" s="244" t="s">
        <v>190</v>
      </c>
      <c r="I139" s="241" t="s">
        <v>534</v>
      </c>
      <c r="J139" s="242"/>
    </row>
    <row r="140" spans="5:10">
      <c r="E140" s="248" t="str">
        <f t="shared" si="2"/>
        <v>potravinová skříň vysoká otvíravá</v>
      </c>
      <c r="G140" s="243" t="s">
        <v>193</v>
      </c>
      <c r="H140" s="244" t="s">
        <v>191</v>
      </c>
      <c r="I140" s="241" t="s">
        <v>535</v>
      </c>
      <c r="J140" s="242"/>
    </row>
    <row r="141" spans="5:10">
      <c r="E141" s="248" t="str">
        <f t="shared" si="2"/>
        <v>Speciální zásuvky a speciální řešení</v>
      </c>
      <c r="G141" s="243" t="s">
        <v>279</v>
      </c>
      <c r="H141" s="244" t="s">
        <v>177</v>
      </c>
      <c r="I141" s="241" t="s">
        <v>536</v>
      </c>
      <c r="J141" s="242"/>
    </row>
    <row r="142" spans="5:10">
      <c r="E142" s="248" t="str">
        <f t="shared" si="2"/>
        <v>Zásuvky úzké</v>
      </c>
      <c r="G142" s="243" t="s">
        <v>263</v>
      </c>
      <c r="H142" s="244" t="s">
        <v>255</v>
      </c>
      <c r="I142" s="241" t="s">
        <v>537</v>
      </c>
      <c r="J142" s="242"/>
    </row>
    <row r="143" spans="5:10">
      <c r="E143" s="248" t="str">
        <f t="shared" si="2"/>
        <v>Vysoké potravinové skříně</v>
      </c>
      <c r="G143" s="243" t="s">
        <v>257</v>
      </c>
      <c r="H143" s="244" t="s">
        <v>256</v>
      </c>
      <c r="I143" s="241" t="s">
        <v>538</v>
      </c>
      <c r="J143" s="242"/>
    </row>
    <row r="144" spans="5:10">
      <c r="E144" s="248">
        <f t="shared" si="2"/>
        <v>0</v>
      </c>
      <c r="G144" s="243"/>
      <c r="H144" s="244"/>
      <c r="I144" s="241"/>
      <c r="J144" s="242"/>
    </row>
    <row r="145" spans="5:10">
      <c r="E145" s="248" t="str">
        <f t="shared" si="2"/>
        <v>výška bočnice :</v>
      </c>
      <c r="G145" s="243" t="s">
        <v>120</v>
      </c>
      <c r="H145" s="244" t="s">
        <v>120</v>
      </c>
      <c r="I145" s="241" t="s">
        <v>539</v>
      </c>
      <c r="J145" s="242"/>
    </row>
    <row r="146" spans="5:10">
      <c r="E146" s="248" t="str">
        <f t="shared" si="2"/>
        <v>výška zad :</v>
      </c>
      <c r="G146" s="243" t="s">
        <v>127</v>
      </c>
      <c r="H146" s="244" t="s">
        <v>105</v>
      </c>
      <c r="I146" s="241" t="s">
        <v>540</v>
      </c>
      <c r="J146" s="242"/>
    </row>
    <row r="147" spans="5:10">
      <c r="E147" s="248" t="str">
        <f t="shared" si="2"/>
        <v>min.vestavná výška [mm] :</v>
      </c>
      <c r="G147" s="243" t="s">
        <v>412</v>
      </c>
      <c r="H147" s="244" t="s">
        <v>333</v>
      </c>
      <c r="I147" s="241" t="s">
        <v>541</v>
      </c>
      <c r="J147" s="242"/>
    </row>
    <row r="148" spans="5:10">
      <c r="E148" s="248" t="str">
        <f t="shared" si="2"/>
        <v>jenom SiSy</v>
      </c>
      <c r="G148" s="243" t="s">
        <v>374</v>
      </c>
      <c r="H148" s="244" t="s">
        <v>338</v>
      </c>
      <c r="I148" s="241" t="s">
        <v>542</v>
      </c>
      <c r="J148" s="242"/>
    </row>
    <row r="149" spans="5:10">
      <c r="E149" s="248"/>
      <c r="G149" s="243"/>
      <c r="H149" s="244"/>
      <c r="I149" s="241"/>
      <c r="J149" s="242"/>
    </row>
    <row r="150" spans="5:10">
      <c r="E150" s="248" t="str">
        <f t="shared" ref="E150:E215" si="3">IF($E$1=$G$1,G150,IF($E$1=$H$1,H150,IF($E$1=$I$1,I150,IF($E$1=$J$1,J150,""))))</f>
        <v>min.šířka korp.:</v>
      </c>
      <c r="G150" s="243" t="s">
        <v>269</v>
      </c>
      <c r="H150" s="244" t="s">
        <v>270</v>
      </c>
      <c r="I150" s="241" t="s">
        <v>543</v>
      </c>
      <c r="J150" s="242"/>
    </row>
    <row r="151" spans="5:10">
      <c r="E151" s="248" t="str">
        <f t="shared" si="3"/>
        <v>max.šířka korp.:</v>
      </c>
      <c r="G151" s="243" t="s">
        <v>271</v>
      </c>
      <c r="H151" s="244" t="s">
        <v>272</v>
      </c>
      <c r="I151" s="241" t="s">
        <v>544</v>
      </c>
      <c r="J151" s="242"/>
    </row>
    <row r="152" spans="5:10">
      <c r="E152" s="248" t="str">
        <f t="shared" si="3"/>
        <v>min.hl.příbor. :</v>
      </c>
      <c r="G152" s="243" t="s">
        <v>273</v>
      </c>
      <c r="H152" s="244" t="s">
        <v>275</v>
      </c>
      <c r="I152" s="241" t="s">
        <v>545</v>
      </c>
      <c r="J152" s="242"/>
    </row>
    <row r="153" spans="5:10">
      <c r="E153" s="248" t="str">
        <f t="shared" si="3"/>
        <v>max.hl.příbor.:</v>
      </c>
      <c r="G153" s="243" t="s">
        <v>274</v>
      </c>
      <c r="H153" s="244" t="s">
        <v>276</v>
      </c>
      <c r="I153" s="241" t="s">
        <v>546</v>
      </c>
      <c r="J153" s="242"/>
    </row>
    <row r="154" spans="5:10">
      <c r="E154" s="248">
        <f t="shared" si="3"/>
        <v>0</v>
      </c>
      <c r="G154" s="239"/>
      <c r="H154" s="244"/>
      <c r="I154" s="241"/>
      <c r="J154" s="242"/>
    </row>
    <row r="155" spans="5:10">
      <c r="E155" s="248" t="str">
        <f t="shared" si="3"/>
        <v>Ke každé zásuvce je uvažované jedno přední 2m hliníkové čelo.</v>
      </c>
      <c r="G155" s="239" t="s">
        <v>161</v>
      </c>
      <c r="H155" s="240" t="s">
        <v>160</v>
      </c>
      <c r="I155" s="241" t="s">
        <v>547</v>
      </c>
      <c r="J155" s="242"/>
    </row>
    <row r="156" spans="5:10">
      <c r="E156" s="248" t="str">
        <f t="shared" si="3"/>
        <v>Ke každé zásuvce je uvažované jedno přední 2m hliníkové čelo a příčny reling.</v>
      </c>
      <c r="G156" s="239" t="s">
        <v>167</v>
      </c>
      <c r="H156" s="240" t="s">
        <v>166</v>
      </c>
      <c r="I156" s="241"/>
      <c r="J156" s="242"/>
    </row>
    <row r="157" spans="5:10">
      <c r="E157" s="248" t="str">
        <f t="shared" si="3"/>
        <v>Případnou úpravu počtu hliníkových čel (profilů) vykonej v objednávce.</v>
      </c>
      <c r="G157" s="239" t="s">
        <v>215</v>
      </c>
      <c r="H157" s="240" t="s">
        <v>217</v>
      </c>
      <c r="I157" s="241" t="s">
        <v>548</v>
      </c>
      <c r="J157" s="242"/>
    </row>
    <row r="158" spans="5:10">
      <c r="E158" s="248" t="str">
        <f t="shared" si="3"/>
        <v>Případnou úpravu počtu hliníkových čel (profilů) a příčných relingů vykonej v objednávce.</v>
      </c>
      <c r="G158" s="239" t="s">
        <v>216</v>
      </c>
      <c r="H158" s="240" t="s">
        <v>218</v>
      </c>
      <c r="I158" s="241"/>
      <c r="J158" s="242"/>
    </row>
    <row r="159" spans="5:10">
      <c r="E159" s="248" t="str">
        <f t="shared" si="3"/>
        <v>Je nutné vybrat skleněné čela podle rozměrů skříněk !</v>
      </c>
      <c r="G159" s="239" t="s">
        <v>163</v>
      </c>
      <c r="H159" s="240" t="s">
        <v>162</v>
      </c>
      <c r="I159" s="241" t="s">
        <v>549</v>
      </c>
      <c r="J159" s="242"/>
    </row>
    <row r="160" spans="5:10">
      <c r="E160" s="248" t="str">
        <f t="shared" si="3"/>
        <v>Je nutné natypovat šířky čel ?</v>
      </c>
      <c r="G160" s="243" t="s">
        <v>355</v>
      </c>
      <c r="H160" s="244" t="s">
        <v>354</v>
      </c>
      <c r="I160" s="241" t="s">
        <v>550</v>
      </c>
      <c r="J160" s="242"/>
    </row>
    <row r="161" spans="5:10">
      <c r="E161" s="248" t="str">
        <f t="shared" si="3"/>
        <v>Pro výběr kliknu zde.</v>
      </c>
      <c r="G161" s="243" t="s">
        <v>165</v>
      </c>
      <c r="H161" s="244" t="s">
        <v>164</v>
      </c>
      <c r="I161" s="241" t="s">
        <v>551</v>
      </c>
      <c r="J161" s="242"/>
    </row>
    <row r="162" spans="5:10">
      <c r="E162" s="248" t="str">
        <f t="shared" si="3"/>
        <v>Čelo na vnitřní zásuvku</v>
      </c>
      <c r="G162" s="243" t="s">
        <v>146</v>
      </c>
      <c r="H162" s="244" t="s">
        <v>143</v>
      </c>
      <c r="I162" s="241" t="s">
        <v>552</v>
      </c>
      <c r="J162" s="242"/>
    </row>
    <row r="163" spans="5:10">
      <c r="E163" s="248" t="str">
        <f t="shared" si="3"/>
        <v>vnější rozměry zásuvkové skřínky [mm]</v>
      </c>
      <c r="G163" s="243" t="s">
        <v>147</v>
      </c>
      <c r="H163" s="244" t="s">
        <v>144</v>
      </c>
      <c r="I163" s="241" t="s">
        <v>553</v>
      </c>
      <c r="J163" s="242"/>
    </row>
    <row r="164" spans="5:10">
      <c r="E164" s="248" t="str">
        <f t="shared" si="3"/>
        <v>nízke čelo = 66 mm</v>
      </c>
      <c r="G164" s="243" t="s">
        <v>364</v>
      </c>
      <c r="H164" s="244" t="s">
        <v>364</v>
      </c>
      <c r="I164" s="241" t="s">
        <v>554</v>
      </c>
      <c r="J164" s="242"/>
    </row>
    <row r="165" spans="5:10">
      <c r="E165" s="248" t="str">
        <f t="shared" si="3"/>
        <v>vysoké čelo = 130 mm</v>
      </c>
      <c r="G165" s="243" t="s">
        <v>365</v>
      </c>
      <c r="H165" s="244" t="s">
        <v>365</v>
      </c>
      <c r="I165" s="241" t="s">
        <v>555</v>
      </c>
      <c r="J165" s="242"/>
    </row>
    <row r="166" spans="5:10">
      <c r="E166" s="248" t="str">
        <f t="shared" si="3"/>
        <v>Šířka korpusu:</v>
      </c>
      <c r="G166" s="243" t="s">
        <v>148</v>
      </c>
      <c r="H166" s="244" t="s">
        <v>145</v>
      </c>
      <c r="I166" s="241" t="s">
        <v>556</v>
      </c>
      <c r="J166" s="242"/>
    </row>
    <row r="167" spans="5:10">
      <c r="E167" s="248" t="str">
        <f t="shared" si="3"/>
        <v>ALU čelo</v>
      </c>
      <c r="G167" s="243" t="s">
        <v>360</v>
      </c>
      <c r="H167" s="244" t="s">
        <v>360</v>
      </c>
      <c r="I167" s="241" t="s">
        <v>557</v>
      </c>
      <c r="J167" s="242"/>
    </row>
    <row r="168" spans="5:10">
      <c r="E168" s="248" t="str">
        <f t="shared" si="3"/>
        <v>Skleněné čelo</v>
      </c>
      <c r="G168" s="243" t="s">
        <v>361</v>
      </c>
      <c r="H168" s="244" t="s">
        <v>362</v>
      </c>
      <c r="I168" s="241" t="s">
        <v>558</v>
      </c>
      <c r="J168" s="242"/>
    </row>
    <row r="169" spans="5:10">
      <c r="E169" s="248" t="str">
        <f t="shared" si="3"/>
        <v>Je potřebné vybrat</v>
      </c>
      <c r="G169" s="243" t="s">
        <v>150</v>
      </c>
      <c r="H169" s="244" t="s">
        <v>149</v>
      </c>
      <c r="I169" s="241" t="s">
        <v>559</v>
      </c>
      <c r="J169" s="242"/>
    </row>
    <row r="170" spans="5:10">
      <c r="E170" s="248" t="str">
        <f t="shared" si="3"/>
        <v>ks vnitřních čel.</v>
      </c>
      <c r="G170" s="243" t="s">
        <v>151</v>
      </c>
      <c r="H170" s="244" t="s">
        <v>152</v>
      </c>
      <c r="I170" s="241" t="s">
        <v>560</v>
      </c>
      <c r="J170" s="242"/>
    </row>
    <row r="171" spans="5:10">
      <c r="E171" s="248" t="str">
        <f t="shared" si="3"/>
        <v>Ešte CHYBÍ vybrat</v>
      </c>
      <c r="G171" s="243" t="s">
        <v>158</v>
      </c>
      <c r="H171" s="244" t="s">
        <v>157</v>
      </c>
      <c r="I171" s="241" t="s">
        <v>561</v>
      </c>
      <c r="J171" s="242"/>
    </row>
    <row r="172" spans="5:10">
      <c r="E172" s="248" t="str">
        <f t="shared" si="3"/>
        <v>Vybral jsi o</v>
      </c>
      <c r="G172" s="243" t="s">
        <v>155</v>
      </c>
      <c r="H172" s="244" t="s">
        <v>153</v>
      </c>
      <c r="I172" s="241" t="s">
        <v>562</v>
      </c>
      <c r="J172" s="242"/>
    </row>
    <row r="173" spans="5:10">
      <c r="E173" s="248" t="str">
        <f t="shared" si="3"/>
        <v>ks vnitřních čel VÍCE.</v>
      </c>
      <c r="G173" s="243" t="s">
        <v>156</v>
      </c>
      <c r="H173" s="244" t="s">
        <v>154</v>
      </c>
      <c r="I173" s="241" t="s">
        <v>563</v>
      </c>
      <c r="J173" s="242"/>
    </row>
    <row r="174" spans="5:10">
      <c r="E174" s="248" t="str">
        <f t="shared" si="3"/>
        <v>Počet vnitřních čel nyní pasuje s počtem zásuvek.</v>
      </c>
      <c r="G174" s="243" t="s">
        <v>212</v>
      </c>
      <c r="H174" s="244" t="s">
        <v>159</v>
      </c>
      <c r="I174" s="241" t="s">
        <v>564</v>
      </c>
      <c r="J174" s="242"/>
    </row>
    <row r="175" spans="5:10">
      <c r="E175" s="248" t="str">
        <f t="shared" si="3"/>
        <v>Je potřebné vybrat vnitřní čela na</v>
      </c>
      <c r="G175" s="243" t="s">
        <v>205</v>
      </c>
      <c r="H175" s="244" t="s">
        <v>204</v>
      </c>
      <c r="I175" s="241" t="s">
        <v>565</v>
      </c>
      <c r="J175" s="242"/>
    </row>
    <row r="176" spans="5:10">
      <c r="E176" s="248" t="str">
        <f t="shared" si="3"/>
        <v>skříň (skříně).</v>
      </c>
      <c r="G176" s="243" t="s">
        <v>208</v>
      </c>
      <c r="H176" s="244" t="s">
        <v>207</v>
      </c>
      <c r="I176" s="241" t="s">
        <v>566</v>
      </c>
      <c r="J176" s="242"/>
    </row>
    <row r="177" spans="5:10">
      <c r="E177" s="248" t="str">
        <f t="shared" si="3"/>
        <v>Ešte CHYBÍ vybrat vnitřní čela na</v>
      </c>
      <c r="G177" s="243" t="s">
        <v>209</v>
      </c>
      <c r="H177" s="244" t="s">
        <v>206</v>
      </c>
      <c r="I177" s="241" t="s">
        <v>567</v>
      </c>
      <c r="J177" s="242"/>
    </row>
    <row r="178" spans="5:10">
      <c r="E178" s="248" t="str">
        <f t="shared" si="3"/>
        <v>Vybral jsi na</v>
      </c>
      <c r="G178" s="243" t="s">
        <v>211</v>
      </c>
      <c r="H178" s="244" t="s">
        <v>210</v>
      </c>
      <c r="I178" s="241" t="s">
        <v>568</v>
      </c>
      <c r="J178" s="242"/>
    </row>
    <row r="179" spans="5:10">
      <c r="E179" s="248" t="str">
        <f t="shared" si="3"/>
        <v>skříň (skříně) vnitřních čel VÍCE.</v>
      </c>
      <c r="G179" s="243" t="s">
        <v>214</v>
      </c>
      <c r="H179" s="244" t="s">
        <v>213</v>
      </c>
      <c r="I179" s="241" t="s">
        <v>569</v>
      </c>
      <c r="J179" s="242"/>
    </row>
    <row r="180" spans="5:10">
      <c r="E180" s="248">
        <f t="shared" si="3"/>
        <v>0</v>
      </c>
      <c r="G180" s="243"/>
      <c r="H180" s="244"/>
      <c r="I180" s="241"/>
      <c r="J180" s="242"/>
    </row>
    <row r="181" spans="5:10">
      <c r="E181" s="248" t="str">
        <f t="shared" si="3"/>
        <v>vnější šířka skřínky</v>
      </c>
      <c r="G181" s="243" t="s">
        <v>173</v>
      </c>
      <c r="H181" s="244" t="s">
        <v>168</v>
      </c>
      <c r="I181" s="241" t="s">
        <v>570</v>
      </c>
      <c r="J181" s="242"/>
    </row>
    <row r="182" spans="5:10">
      <c r="E182" s="248" t="str">
        <f t="shared" si="3"/>
        <v>šířka výlisku</v>
      </c>
      <c r="G182" s="243" t="s">
        <v>174</v>
      </c>
      <c r="H182" s="244" t="s">
        <v>169</v>
      </c>
      <c r="I182" s="241" t="s">
        <v>571</v>
      </c>
      <c r="J182" s="242"/>
    </row>
    <row r="183" spans="5:10">
      <c r="E183" s="248" t="str">
        <f t="shared" si="3"/>
        <v>hloubka výlisku [mm]</v>
      </c>
      <c r="G183" s="243" t="s">
        <v>175</v>
      </c>
      <c r="H183" s="244" t="s">
        <v>172</v>
      </c>
      <c r="I183" s="241" t="s">
        <v>572</v>
      </c>
      <c r="J183" s="242"/>
    </row>
    <row r="184" spans="5:10">
      <c r="E184" s="248" t="str">
        <f t="shared" si="3"/>
        <v>hloubka zásuvky</v>
      </c>
      <c r="G184" s="243" t="s">
        <v>176</v>
      </c>
      <c r="H184" s="244" t="s">
        <v>171</v>
      </c>
      <c r="I184" s="241" t="s">
        <v>573</v>
      </c>
      <c r="J184" s="242"/>
    </row>
    <row r="185" spans="5:10">
      <c r="E185" s="248">
        <f t="shared" si="3"/>
        <v>0</v>
      </c>
      <c r="G185" s="239"/>
      <c r="H185" s="244"/>
      <c r="I185" s="241"/>
      <c r="J185" s="242"/>
    </row>
    <row r="186" spans="5:10">
      <c r="E186" s="248" t="str">
        <f t="shared" si="3"/>
        <v>Kolik úrovňový chceš mít reling ?</v>
      </c>
      <c r="G186" s="243" t="s">
        <v>195</v>
      </c>
      <c r="H186" s="244" t="s">
        <v>194</v>
      </c>
      <c r="I186" s="241"/>
      <c r="J186" s="242"/>
    </row>
    <row r="187" spans="5:10">
      <c r="E187" s="248" t="str">
        <f t="shared" si="3"/>
        <v>Vnitřní krátke bočnice jsou uvažované v jmenovité délce 260mm.</v>
      </c>
      <c r="G187" s="239" t="s">
        <v>197</v>
      </c>
      <c r="H187" s="240" t="s">
        <v>198</v>
      </c>
      <c r="I187" s="241" t="s">
        <v>581</v>
      </c>
      <c r="J187" s="242"/>
    </row>
    <row r="188" spans="5:10">
      <c r="E188" s="248" t="str">
        <f t="shared" si="3"/>
        <v>Případnou změnu na jinou délku vykonejte v objednávce.</v>
      </c>
      <c r="G188" s="239" t="s">
        <v>199</v>
      </c>
      <c r="H188" s="240" t="s">
        <v>196</v>
      </c>
      <c r="I188" s="241" t="s">
        <v>582</v>
      </c>
      <c r="J188" s="242"/>
    </row>
    <row r="189" spans="5:10">
      <c r="E189" s="248" t="str">
        <f t="shared" si="3"/>
        <v>Maximální výška korpusu skříňky = 750mm.   Maximální šířka korpusu skříňky = 300mm.</v>
      </c>
      <c r="G189" s="243" t="s">
        <v>202</v>
      </c>
      <c r="H189" s="244" t="s">
        <v>203</v>
      </c>
      <c r="I189" s="241" t="s">
        <v>583</v>
      </c>
      <c r="J189" s="242"/>
    </row>
    <row r="190" spans="5:10">
      <c r="E190" s="248">
        <f t="shared" si="3"/>
        <v>0</v>
      </c>
      <c r="G190" s="239"/>
      <c r="H190" s="244"/>
      <c r="I190" s="241"/>
      <c r="J190" s="242"/>
    </row>
    <row r="191" spans="5:10">
      <c r="E191" s="248" t="str">
        <f t="shared" si="3"/>
        <v>Ve sloupci "Změna" můžeš upravit počty kusů jednotlivých položek.</v>
      </c>
      <c r="G191" s="245" t="s">
        <v>415</v>
      </c>
      <c r="H191" s="246" t="s">
        <v>248</v>
      </c>
      <c r="I191" s="241" t="s">
        <v>584</v>
      </c>
      <c r="J191" s="242"/>
    </row>
    <row r="192" spans="5:10">
      <c r="E192" s="248" t="str">
        <f t="shared" si="3"/>
        <v>Po úpravě objednávky odfiltruj prázné řádky pomocí filtru ve sloupci "Počet".</v>
      </c>
      <c r="G192" s="245" t="s">
        <v>249</v>
      </c>
      <c r="H192" s="246" t="s">
        <v>250</v>
      </c>
      <c r="I192" s="241" t="s">
        <v>585</v>
      </c>
      <c r="J192" s="242"/>
    </row>
    <row r="193" spans="5:10">
      <c r="E193" s="248" t="str">
        <f t="shared" si="3"/>
        <v>Pokud chceš objednávku uložit nebo odeslat jako přílohu, vytvoř nový soubor kliknutím na odkaz  'Vytvořit objednávku'.</v>
      </c>
      <c r="G193" s="245" t="s">
        <v>251</v>
      </c>
      <c r="H193" s="246" t="s">
        <v>254</v>
      </c>
      <c r="I193" s="241" t="s">
        <v>586</v>
      </c>
      <c r="J193" s="242"/>
    </row>
    <row r="194" spans="5:10">
      <c r="E194" s="248" t="str">
        <f t="shared" si="3"/>
        <v>VYTVOŘIT  OBJEDNÁVKU</v>
      </c>
      <c r="G194" s="243" t="s">
        <v>253</v>
      </c>
      <c r="H194" s="244" t="s">
        <v>252</v>
      </c>
      <c r="I194" s="241" t="s">
        <v>580</v>
      </c>
      <c r="J194" s="242"/>
    </row>
    <row r="195" spans="5:10">
      <c r="E195" s="248">
        <f t="shared" si="3"/>
        <v>0</v>
      </c>
      <c r="G195" s="239"/>
      <c r="H195" s="244"/>
      <c r="I195" s="241"/>
      <c r="J195" s="242"/>
    </row>
    <row r="196" spans="5:10">
      <c r="E196" s="248" t="str">
        <f t="shared" si="3"/>
        <v>Tlačítko "RESET" funguje jenom při zapnuté funkci MAKRO. Pokud není zapnutá, musíte pole vymazat ručne.</v>
      </c>
      <c r="G196" s="239" t="s">
        <v>404</v>
      </c>
      <c r="H196" s="244" t="s">
        <v>403</v>
      </c>
      <c r="I196" s="241"/>
      <c r="J196" s="242"/>
    </row>
    <row r="197" spans="5:10">
      <c r="E197" s="248">
        <f t="shared" si="3"/>
        <v>0</v>
      </c>
      <c r="G197" s="239"/>
      <c r="H197" s="244"/>
      <c r="I197" s="241"/>
      <c r="J197" s="242"/>
    </row>
    <row r="198" spans="5:10">
      <c r="E198" s="248" t="str">
        <f t="shared" si="3"/>
        <v>P2O Silent pro Actro</v>
      </c>
      <c r="G198" s="239" t="s">
        <v>413</v>
      </c>
      <c r="H198" s="244" t="s">
        <v>300</v>
      </c>
      <c r="I198" s="241" t="s">
        <v>578</v>
      </c>
      <c r="J198" s="242"/>
    </row>
    <row r="199" spans="5:10">
      <c r="E199" s="248" t="str">
        <f t="shared" si="3"/>
        <v>P2O Silent pro Quadro</v>
      </c>
      <c r="G199" s="239" t="s">
        <v>414</v>
      </c>
      <c r="H199" s="244" t="s">
        <v>301</v>
      </c>
      <c r="I199" s="241" t="s">
        <v>579</v>
      </c>
      <c r="J199" s="242"/>
    </row>
    <row r="200" spans="5:10">
      <c r="E200" s="248">
        <f t="shared" si="3"/>
        <v>0</v>
      </c>
      <c r="G200" s="239"/>
      <c r="H200" s="244"/>
      <c r="I200" s="241"/>
      <c r="J200" s="242"/>
    </row>
    <row r="201" spans="5:10">
      <c r="E201" s="248" t="str">
        <f t="shared" si="3"/>
        <v>SiSy = tlumení Silent System</v>
      </c>
      <c r="G201" s="239" t="s">
        <v>416</v>
      </c>
      <c r="H201" s="244" t="s">
        <v>418</v>
      </c>
      <c r="I201" s="241" t="s">
        <v>574</v>
      </c>
      <c r="J201" s="242"/>
    </row>
    <row r="202" spans="5:10">
      <c r="E202" s="248" t="str">
        <f t="shared" si="3"/>
        <v>P2O/SiSy = tlumení s otvíráním bez úchytky Push to open Silent</v>
      </c>
      <c r="G202" s="239" t="s">
        <v>417</v>
      </c>
      <c r="H202" s="244" t="s">
        <v>419</v>
      </c>
      <c r="I202" s="241" t="s">
        <v>575</v>
      </c>
      <c r="J202" s="242"/>
    </row>
    <row r="203" spans="5:10">
      <c r="E203" s="248" t="str">
        <f t="shared" si="3"/>
        <v>P2O Silent = tlumení s otvíráním bez úchytky Push to open Silent</v>
      </c>
      <c r="G203" s="239" t="s">
        <v>420</v>
      </c>
      <c r="H203" s="244" t="s">
        <v>421</v>
      </c>
      <c r="I203" s="241" t="s">
        <v>576</v>
      </c>
      <c r="J203" s="242"/>
    </row>
    <row r="204" spans="5:10">
      <c r="E204" s="248" t="str">
        <f t="shared" si="3"/>
        <v>P2O = otvírání bez úchytky Push to open</v>
      </c>
      <c r="G204" s="239" t="s">
        <v>422</v>
      </c>
      <c r="H204" s="244" t="s">
        <v>423</v>
      </c>
      <c r="I204" s="241" t="s">
        <v>577</v>
      </c>
      <c r="J204" s="242"/>
    </row>
    <row r="205" spans="5:10">
      <c r="E205" s="248">
        <f t="shared" si="3"/>
        <v>0</v>
      </c>
      <c r="G205" s="239"/>
      <c r="H205" s="244"/>
      <c r="I205" s="241"/>
      <c r="J205" s="242"/>
    </row>
    <row r="206" spans="5:10">
      <c r="E206" s="248" t="str">
        <f t="shared" si="3"/>
        <v>Zásuvka</v>
      </c>
      <c r="G206" s="239" t="s">
        <v>587</v>
      </c>
      <c r="H206" s="244" t="s">
        <v>587</v>
      </c>
      <c r="I206" s="241" t="s">
        <v>590</v>
      </c>
      <c r="J206" s="242"/>
    </row>
    <row r="207" spans="5:10">
      <c r="E207" s="248" t="str">
        <f t="shared" ref="E207:E212" si="4">IF($E$1=$G$1,G207,IF($E$1=$H$1,H207,IF($E$1=$I$1,I207,IF($E$1=$J$1,J207,""))))</f>
        <v xml:space="preserve">Cena celkem bez DPH </v>
      </c>
      <c r="G207" s="239" t="s">
        <v>46</v>
      </c>
      <c r="H207" s="244" t="s">
        <v>588</v>
      </c>
      <c r="I207" s="241" t="s">
        <v>590</v>
      </c>
      <c r="J207" s="242"/>
    </row>
    <row r="208" spans="5:10">
      <c r="E208" s="248" t="str">
        <f t="shared" si="4"/>
        <v>Poznámka :</v>
      </c>
      <c r="G208" s="239" t="s">
        <v>589</v>
      </c>
      <c r="H208" s="244" t="s">
        <v>589</v>
      </c>
      <c r="I208" s="241" t="s">
        <v>590</v>
      </c>
      <c r="J208" s="242"/>
    </row>
    <row r="209" spans="5:10">
      <c r="E209" s="248">
        <f t="shared" si="4"/>
        <v>0</v>
      </c>
      <c r="G209" s="239"/>
      <c r="H209" s="244"/>
      <c r="I209" s="241"/>
      <c r="J209" s="242"/>
    </row>
    <row r="210" spans="5:10">
      <c r="E210" s="248">
        <f t="shared" si="4"/>
        <v>0</v>
      </c>
      <c r="G210" s="239"/>
      <c r="H210" s="244"/>
      <c r="I210" s="241"/>
      <c r="J210" s="242"/>
    </row>
    <row r="211" spans="5:10">
      <c r="E211" s="248">
        <f t="shared" si="4"/>
        <v>0</v>
      </c>
      <c r="G211" s="239"/>
      <c r="H211" s="244"/>
      <c r="I211" s="241"/>
      <c r="J211" s="242"/>
    </row>
    <row r="212" spans="5:10">
      <c r="E212" s="248">
        <f t="shared" si="4"/>
        <v>0</v>
      </c>
      <c r="G212" s="239"/>
      <c r="H212" s="244"/>
      <c r="I212" s="241"/>
      <c r="J212" s="242"/>
    </row>
    <row r="213" spans="5:10">
      <c r="E213" s="248">
        <f t="shared" si="3"/>
        <v>0</v>
      </c>
      <c r="G213" s="239"/>
      <c r="H213" s="244"/>
      <c r="I213" s="241"/>
      <c r="J213" s="242"/>
    </row>
    <row r="214" spans="5:10">
      <c r="E214" s="248">
        <f t="shared" si="3"/>
        <v>0</v>
      </c>
      <c r="G214" s="239"/>
      <c r="H214" s="244"/>
      <c r="I214" s="241"/>
      <c r="J214" s="242"/>
    </row>
    <row r="215" spans="5:10">
      <c r="E215" s="248">
        <f t="shared" si="3"/>
        <v>0</v>
      </c>
      <c r="G215" s="239"/>
      <c r="H215" s="244"/>
      <c r="I215" s="241"/>
      <c r="J215" s="242"/>
    </row>
    <row r="216" spans="5:10">
      <c r="E216" s="248">
        <f t="shared" ref="E216:E243" si="5">IF($E$1=$G$1,G216,IF($E$1=$H$1,H216,IF($E$1=$I$1,I216,IF($E$1=$J$1,J216,""))))</f>
        <v>0</v>
      </c>
      <c r="G216" s="239"/>
      <c r="H216" s="244"/>
      <c r="I216" s="241"/>
      <c r="J216" s="242"/>
    </row>
    <row r="217" spans="5:10">
      <c r="E217" s="248">
        <f t="shared" si="5"/>
        <v>0</v>
      </c>
      <c r="G217" s="239"/>
      <c r="H217" s="244"/>
      <c r="I217" s="241"/>
      <c r="J217" s="242"/>
    </row>
    <row r="218" spans="5:10">
      <c r="E218" s="248">
        <f t="shared" si="5"/>
        <v>0</v>
      </c>
      <c r="G218" s="239"/>
      <c r="H218" s="244"/>
      <c r="I218" s="241"/>
      <c r="J218" s="242"/>
    </row>
    <row r="219" spans="5:10">
      <c r="E219" s="248">
        <f t="shared" si="5"/>
        <v>0</v>
      </c>
      <c r="G219" s="239"/>
      <c r="H219" s="244"/>
      <c r="I219" s="241"/>
      <c r="J219" s="242"/>
    </row>
    <row r="220" spans="5:10">
      <c r="E220" s="248">
        <f t="shared" si="5"/>
        <v>0</v>
      </c>
      <c r="G220" s="239"/>
      <c r="H220" s="244"/>
      <c r="I220" s="241"/>
      <c r="J220" s="242"/>
    </row>
    <row r="221" spans="5:10">
      <c r="E221" s="248">
        <f t="shared" si="5"/>
        <v>0</v>
      </c>
      <c r="G221" s="239"/>
      <c r="H221" s="244"/>
      <c r="I221" s="241"/>
      <c r="J221" s="242"/>
    </row>
    <row r="222" spans="5:10">
      <c r="E222" s="248">
        <f t="shared" si="5"/>
        <v>0</v>
      </c>
      <c r="G222" s="239"/>
      <c r="H222" s="244"/>
      <c r="I222" s="241"/>
      <c r="J222" s="242"/>
    </row>
    <row r="223" spans="5:10">
      <c r="E223" s="248">
        <f t="shared" si="5"/>
        <v>0</v>
      </c>
      <c r="G223" s="239"/>
      <c r="H223" s="244"/>
      <c r="I223" s="241"/>
      <c r="J223" s="242"/>
    </row>
    <row r="224" spans="5:10">
      <c r="E224" s="248">
        <f t="shared" si="5"/>
        <v>0</v>
      </c>
      <c r="G224" s="239"/>
      <c r="H224" s="244"/>
      <c r="I224" s="241"/>
      <c r="J224" s="242"/>
    </row>
    <row r="225" spans="5:10">
      <c r="E225" s="248">
        <f t="shared" si="5"/>
        <v>0</v>
      </c>
      <c r="G225" s="239"/>
      <c r="H225" s="244"/>
      <c r="I225" s="241"/>
      <c r="J225" s="242"/>
    </row>
    <row r="226" spans="5:10">
      <c r="E226" s="248">
        <f t="shared" si="5"/>
        <v>0</v>
      </c>
      <c r="G226" s="239"/>
      <c r="H226" s="244"/>
      <c r="I226" s="241"/>
      <c r="J226" s="242"/>
    </row>
    <row r="227" spans="5:10">
      <c r="E227" s="248">
        <f t="shared" si="5"/>
        <v>0</v>
      </c>
      <c r="G227" s="239"/>
      <c r="H227" s="244"/>
      <c r="I227" s="241"/>
      <c r="J227" s="242"/>
    </row>
    <row r="228" spans="5:10">
      <c r="E228" s="248">
        <f t="shared" si="5"/>
        <v>0</v>
      </c>
      <c r="G228" s="239"/>
      <c r="H228" s="244"/>
      <c r="I228" s="241"/>
      <c r="J228" s="242"/>
    </row>
    <row r="229" spans="5:10">
      <c r="E229" s="248">
        <f t="shared" si="5"/>
        <v>0</v>
      </c>
      <c r="G229" s="239"/>
      <c r="H229" s="244"/>
      <c r="I229" s="241"/>
      <c r="J229" s="242"/>
    </row>
    <row r="230" spans="5:10">
      <c r="E230" s="248">
        <f t="shared" si="5"/>
        <v>0</v>
      </c>
      <c r="G230" s="239"/>
      <c r="H230" s="244"/>
      <c r="I230" s="241"/>
      <c r="J230" s="242"/>
    </row>
    <row r="231" spans="5:10">
      <c r="E231" s="248">
        <f t="shared" si="5"/>
        <v>0</v>
      </c>
      <c r="G231" s="239"/>
      <c r="H231" s="244"/>
      <c r="I231" s="241"/>
      <c r="J231" s="242"/>
    </row>
    <row r="232" spans="5:10">
      <c r="E232" s="248">
        <f t="shared" si="5"/>
        <v>0</v>
      </c>
      <c r="G232" s="239"/>
      <c r="H232" s="244"/>
      <c r="I232" s="241"/>
      <c r="J232" s="242"/>
    </row>
    <row r="233" spans="5:10">
      <c r="E233" s="248">
        <f t="shared" si="5"/>
        <v>0</v>
      </c>
      <c r="G233" s="239"/>
      <c r="H233" s="244"/>
      <c r="I233" s="241"/>
      <c r="J233" s="242"/>
    </row>
    <row r="234" spans="5:10">
      <c r="E234" s="248">
        <f t="shared" si="5"/>
        <v>0</v>
      </c>
      <c r="G234" s="239"/>
      <c r="H234" s="244"/>
      <c r="I234" s="241"/>
      <c r="J234" s="242"/>
    </row>
    <row r="235" spans="5:10">
      <c r="E235" s="248">
        <f t="shared" si="5"/>
        <v>0</v>
      </c>
      <c r="G235" s="239"/>
      <c r="H235" s="244"/>
      <c r="I235" s="241"/>
      <c r="J235" s="242"/>
    </row>
    <row r="236" spans="5:10">
      <c r="E236" s="248">
        <f t="shared" si="5"/>
        <v>0</v>
      </c>
      <c r="G236" s="239"/>
      <c r="H236" s="244"/>
      <c r="I236" s="241"/>
      <c r="J236" s="242"/>
    </row>
    <row r="237" spans="5:10">
      <c r="E237" s="248">
        <f t="shared" si="5"/>
        <v>0</v>
      </c>
      <c r="G237" s="239"/>
      <c r="H237" s="244"/>
      <c r="I237" s="241"/>
      <c r="J237" s="242"/>
    </row>
    <row r="238" spans="5:10">
      <c r="E238" s="248">
        <f t="shared" si="5"/>
        <v>0</v>
      </c>
      <c r="G238" s="239"/>
      <c r="H238" s="244"/>
      <c r="I238" s="241"/>
      <c r="J238" s="242"/>
    </row>
    <row r="239" spans="5:10">
      <c r="E239" s="248">
        <f t="shared" si="5"/>
        <v>0</v>
      </c>
      <c r="G239" s="239"/>
      <c r="H239" s="244"/>
      <c r="I239" s="241"/>
      <c r="J239" s="242"/>
    </row>
    <row r="240" spans="5:10">
      <c r="E240" s="248">
        <f t="shared" si="5"/>
        <v>0</v>
      </c>
      <c r="G240" s="239"/>
      <c r="H240" s="244"/>
      <c r="I240" s="241"/>
      <c r="J240" s="242"/>
    </row>
    <row r="241" spans="5:10">
      <c r="E241" s="248">
        <f t="shared" si="5"/>
        <v>0</v>
      </c>
      <c r="G241" s="239"/>
      <c r="H241" s="244"/>
      <c r="I241" s="241"/>
      <c r="J241" s="242"/>
    </row>
    <row r="242" spans="5:10">
      <c r="E242" s="248">
        <f t="shared" si="5"/>
        <v>0</v>
      </c>
      <c r="G242" s="239"/>
      <c r="H242" s="244"/>
      <c r="I242" s="241"/>
      <c r="J242" s="242"/>
    </row>
    <row r="243" spans="5:10" ht="14.4" thickBot="1">
      <c r="E243" s="249">
        <f t="shared" si="5"/>
        <v>0</v>
      </c>
      <c r="G243" s="239"/>
      <c r="H243" s="244"/>
      <c r="I243" s="241"/>
      <c r="J243" s="242"/>
    </row>
  </sheetData>
  <sheetProtection algorithmName="SHA-512" hashValue="YkJ+2DGHJ8tnfoWx6UcHBqdhxJwnRDJS6Z2NIN4Pauj2HCwRxBbRSpBXoNgZ5iDemByU9uh91maN2oCzhzWc7w==" saltValue="dNEDh1EhEcoguZ27rf7eMQ==" spinCount="100000" sheet="1" objects="1" scenarios="1"/>
  <pageMargins left="0.7" right="0.7" top="0.78740157499999996" bottom="0.78740157499999996" header="0.3" footer="0.3"/>
  <pageSetup paperSize="9" orientation="portrait" r:id="rId1"/>
  <headerFooter>
    <oddHeader>&amp;R&amp;"Aptos"&amp;10&amp;K000000 Restricted&amp;1#_x000D_</oddHead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List34"/>
  <dimension ref="A1:AE10259"/>
  <sheetViews>
    <sheetView showGridLines="0" topLeftCell="A727" zoomScaleNormal="100" workbookViewId="0">
      <selection activeCell="G730" sqref="G730"/>
    </sheetView>
  </sheetViews>
  <sheetFormatPr defaultColWidth="9" defaultRowHeight="13.8"/>
  <cols>
    <col min="1" max="1" width="2" style="86" customWidth="1"/>
    <col min="2" max="2" width="11.19921875" style="86" bestFit="1" customWidth="1"/>
    <col min="3" max="3" width="60.8984375" style="86" customWidth="1"/>
    <col min="4" max="4" width="5.09765625" style="86" bestFit="1" customWidth="1"/>
    <col min="5" max="5" width="2.3984375" style="86" customWidth="1"/>
    <col min="6" max="6" width="2.19921875" style="86" customWidth="1"/>
    <col min="7" max="7" width="12" style="86" customWidth="1"/>
    <col min="8" max="8" width="5.5" style="86" customWidth="1"/>
    <col min="9" max="10" width="12" style="86" customWidth="1"/>
    <col min="11" max="11" width="9" style="86" customWidth="1"/>
    <col min="12" max="12" width="0" style="86" hidden="1" customWidth="1"/>
    <col min="13" max="13" width="21.59765625" style="86" customWidth="1"/>
    <col min="14" max="14" width="9" style="86" customWidth="1"/>
    <col min="15" max="15" width="20.3984375" style="86" customWidth="1"/>
    <col min="16" max="30" width="9" style="86" customWidth="1"/>
    <col min="31" max="31" width="13.59765625" style="86" customWidth="1"/>
    <col min="32" max="16384" width="9" style="86"/>
  </cols>
  <sheetData>
    <row r="1" spans="1:31" ht="14.4" thickBot="1">
      <c r="B1" s="4"/>
      <c r="C1" s="4"/>
      <c r="D1" s="4"/>
      <c r="E1" s="6"/>
      <c r="F1" s="4"/>
      <c r="G1" s="128"/>
      <c r="H1" s="128"/>
      <c r="I1" s="4"/>
      <c r="J1" s="6"/>
    </row>
    <row r="2" spans="1:31" ht="14.4" thickBot="1">
      <c r="B2" s="4"/>
      <c r="C2" s="4" t="str">
        <f>verze!E29</f>
        <v>Prodejce:</v>
      </c>
      <c r="D2" s="4"/>
      <c r="E2" s="6"/>
      <c r="F2" s="4"/>
      <c r="G2" s="128"/>
      <c r="H2" s="128"/>
      <c r="I2" s="4"/>
      <c r="J2" s="127" t="s">
        <v>8</v>
      </c>
    </row>
    <row r="3" spans="1:31" ht="15" thickBot="1">
      <c r="B3" s="4"/>
      <c r="C3" s="421" t="s">
        <v>79</v>
      </c>
      <c r="D3" s="4"/>
      <c r="E3" s="6"/>
      <c r="F3" s="4"/>
      <c r="G3" s="128"/>
      <c r="H3" s="128"/>
      <c r="I3" s="4"/>
      <c r="J3" s="8"/>
      <c r="AA3" s="461"/>
      <c r="AB3" s="462"/>
      <c r="AC3" s="462"/>
      <c r="AD3" s="462"/>
      <c r="AE3" s="462"/>
    </row>
    <row r="4" spans="1:31" ht="15" thickBot="1">
      <c r="B4" s="4"/>
      <c r="C4" s="422" t="s">
        <v>80</v>
      </c>
      <c r="D4" s="4"/>
      <c r="E4" s="6"/>
      <c r="F4" s="4"/>
      <c r="G4" s="128"/>
      <c r="H4" s="128"/>
      <c r="AA4" s="463"/>
      <c r="AB4" s="462"/>
      <c r="AC4" s="462"/>
      <c r="AD4" s="464"/>
      <c r="AE4" s="465"/>
    </row>
    <row r="5" spans="1:31" ht="15" thickBot="1">
      <c r="B5" s="4"/>
      <c r="C5" s="422" t="s">
        <v>81</v>
      </c>
      <c r="D5" s="4"/>
      <c r="E5" s="6"/>
      <c r="F5" s="4"/>
      <c r="G5" s="128"/>
      <c r="H5" s="128"/>
      <c r="I5" s="4"/>
      <c r="AA5" s="463"/>
      <c r="AB5" s="462"/>
      <c r="AC5" s="462"/>
      <c r="AD5" s="464"/>
      <c r="AE5" s="465"/>
    </row>
    <row r="6" spans="1:31" ht="15" thickBot="1">
      <c r="B6" s="4"/>
      <c r="C6" s="422" t="s">
        <v>1129</v>
      </c>
      <c r="D6" s="4"/>
      <c r="E6" s="6"/>
      <c r="F6" s="4"/>
      <c r="G6" s="128"/>
      <c r="H6" s="128"/>
      <c r="I6" s="9" t="str">
        <f>verze!E51&amp;" : "</f>
        <v xml:space="preserve">Verze  : </v>
      </c>
      <c r="J6" s="10" t="str">
        <f>verze!E52</f>
        <v>2.0.0</v>
      </c>
      <c r="AA6" s="463"/>
      <c r="AB6" s="462"/>
      <c r="AC6" s="462"/>
      <c r="AD6" s="464"/>
      <c r="AE6" s="465"/>
    </row>
    <row r="7" spans="1:31" ht="15" thickBot="1">
      <c r="B7" s="4"/>
      <c r="C7" s="422" t="s">
        <v>1130</v>
      </c>
      <c r="D7" s="4"/>
      <c r="E7" s="6"/>
      <c r="F7" s="4"/>
      <c r="G7" s="128"/>
      <c r="H7" s="128"/>
      <c r="I7" s="4"/>
      <c r="J7" s="4"/>
      <c r="AA7" s="463"/>
      <c r="AB7" s="462"/>
      <c r="AC7" s="462"/>
      <c r="AD7" s="464"/>
      <c r="AE7" s="465"/>
    </row>
    <row r="8" spans="1:31" ht="15" thickBot="1">
      <c r="B8" s="4"/>
      <c r="C8" s="423" t="s">
        <v>1131</v>
      </c>
      <c r="D8" s="4"/>
      <c r="E8" s="6"/>
      <c r="F8" s="4"/>
      <c r="G8" s="128"/>
      <c r="H8" s="128"/>
      <c r="I8" s="9" t="str">
        <f>verze!E53&amp;" : "</f>
        <v xml:space="preserve">Platnost cenníka od : </v>
      </c>
      <c r="J8" s="384">
        <v>45597</v>
      </c>
      <c r="AA8" s="463"/>
      <c r="AB8" s="462"/>
      <c r="AC8" s="462"/>
      <c r="AD8" s="464"/>
      <c r="AE8" s="465"/>
    </row>
    <row r="9" spans="1:31" ht="15" thickBot="1">
      <c r="B9" s="4"/>
      <c r="C9" s="4"/>
      <c r="D9" s="4"/>
      <c r="E9" s="6"/>
      <c r="F9" s="4"/>
      <c r="G9" s="129"/>
      <c r="H9" s="129"/>
      <c r="I9" s="4"/>
      <c r="J9" s="4"/>
      <c r="AA9" s="463"/>
      <c r="AB9" s="462"/>
      <c r="AC9" s="462"/>
      <c r="AD9" s="464"/>
      <c r="AE9" s="465"/>
    </row>
    <row r="10" spans="1:31" ht="24.6" thickBot="1">
      <c r="B10" s="16" t="str">
        <f>verze!E41</f>
        <v>Číslo artiklu</v>
      </c>
      <c r="C10" s="274" t="str">
        <f>verze!E42</f>
        <v>Název</v>
      </c>
      <c r="D10" s="11" t="str">
        <f>verze!E43</f>
        <v>balení</v>
      </c>
      <c r="E10" s="275" t="str">
        <f>verze!E44</f>
        <v>Sklad</v>
      </c>
      <c r="F10" s="11"/>
      <c r="G10" s="276" t="str">
        <f>verze!E46</f>
        <v>Jednotková cena</v>
      </c>
      <c r="H10" s="17" t="str">
        <f>IF(verze!E1="CZK","CZK","EUR")</f>
        <v>CZK</v>
      </c>
      <c r="I10" s="277" t="str">
        <f>verze!E49</f>
        <v>Volné pole</v>
      </c>
      <c r="J10" s="278" t="str">
        <f>verze!E50</f>
        <v>Kód prodejce</v>
      </c>
      <c r="M10" s="255" t="str">
        <f>verze!E107</f>
        <v>nákupní ceny, tj. ceny se slevou od prodejce</v>
      </c>
      <c r="AA10" s="463"/>
      <c r="AB10" s="462"/>
      <c r="AC10" s="462"/>
      <c r="AD10" s="464"/>
      <c r="AE10" s="465"/>
    </row>
    <row r="11" spans="1:31" ht="14.4">
      <c r="A11" s="130"/>
      <c r="B11" s="433">
        <v>9353331</v>
      </c>
      <c r="C11" s="292" t="s">
        <v>1168</v>
      </c>
      <c r="D11" s="293">
        <v>1</v>
      </c>
      <c r="E11" s="385"/>
      <c r="F11" s="294"/>
      <c r="G11" s="295">
        <v>565.42399</v>
      </c>
      <c r="H11" s="296" t="str">
        <f>IF(G11="","",$H$10)</f>
        <v>CZK</v>
      </c>
      <c r="I11" s="402" t="s">
        <v>47</v>
      </c>
      <c r="J11" s="624" t="s">
        <v>1876</v>
      </c>
      <c r="M11" s="256">
        <f>G11*(1-FORM!$AE$28/100)</f>
        <v>565.42399</v>
      </c>
      <c r="AA11" s="463"/>
      <c r="AB11" s="462"/>
      <c r="AC11" s="462"/>
      <c r="AD11" s="464"/>
      <c r="AE11" s="465"/>
    </row>
    <row r="12" spans="1:31" ht="14.4">
      <c r="A12" s="130"/>
      <c r="B12" s="434">
        <v>9353332</v>
      </c>
      <c r="C12" s="224" t="s">
        <v>1169</v>
      </c>
      <c r="D12" s="225">
        <v>1</v>
      </c>
      <c r="E12" s="386"/>
      <c r="F12" s="267"/>
      <c r="G12" s="272">
        <v>557.79456000000005</v>
      </c>
      <c r="H12" s="138" t="str">
        <f t="shared" ref="H12:H27" si="0">IF(G12="","",$H$10)</f>
        <v>CZK</v>
      </c>
      <c r="I12" s="403" t="s">
        <v>47</v>
      </c>
      <c r="J12" s="625" t="s">
        <v>1877</v>
      </c>
      <c r="L12" s="86" t="e">
        <f>VLOOKUP(B12,$B$11:B11,1,FALSE)</f>
        <v>#N/A</v>
      </c>
      <c r="M12" s="256">
        <f>G12*(1-FORM!$AE$28/100)</f>
        <v>557.79456000000005</v>
      </c>
      <c r="AA12" s="463"/>
      <c r="AB12" s="462"/>
      <c r="AC12" s="462"/>
      <c r="AD12" s="464"/>
      <c r="AE12" s="465"/>
    </row>
    <row r="13" spans="1:31" ht="14.4">
      <c r="A13" s="130"/>
      <c r="B13" s="435">
        <v>9353333</v>
      </c>
      <c r="C13" s="12" t="s">
        <v>1170</v>
      </c>
      <c r="D13" s="161">
        <v>1</v>
      </c>
      <c r="E13" s="387"/>
      <c r="F13" s="258"/>
      <c r="G13" s="272">
        <v>565.18799999999999</v>
      </c>
      <c r="H13" s="131" t="str">
        <f t="shared" si="0"/>
        <v>CZK</v>
      </c>
      <c r="I13" s="404" t="s">
        <v>47</v>
      </c>
      <c r="J13" s="625" t="s">
        <v>1878</v>
      </c>
      <c r="L13" s="86" t="e">
        <f>VLOOKUP(B13,$B$11:B12,1,FALSE)</f>
        <v>#N/A</v>
      </c>
      <c r="M13" s="256">
        <f>G13*(1-FORM!$AE$28/100)</f>
        <v>565.18799999999999</v>
      </c>
      <c r="AA13" s="463"/>
      <c r="AB13" s="462"/>
      <c r="AC13" s="462"/>
      <c r="AD13" s="464"/>
      <c r="AE13" s="465"/>
    </row>
    <row r="14" spans="1:31" ht="14.4">
      <c r="A14" s="130"/>
      <c r="B14" s="436">
        <v>9353334</v>
      </c>
      <c r="C14" s="14" t="s">
        <v>1171</v>
      </c>
      <c r="D14" s="162">
        <v>1</v>
      </c>
      <c r="E14" s="388"/>
      <c r="F14" s="259"/>
      <c r="G14" s="272">
        <v>588.23680999999999</v>
      </c>
      <c r="H14" s="132" t="str">
        <f t="shared" si="0"/>
        <v>CZK</v>
      </c>
      <c r="I14" s="405" t="s">
        <v>47</v>
      </c>
      <c r="J14" s="626" t="s">
        <v>1879</v>
      </c>
      <c r="L14" s="86" t="e">
        <f>VLOOKUP(B14,$B$11:B13,1,FALSE)</f>
        <v>#N/A</v>
      </c>
      <c r="M14" s="256">
        <f>G14*(1-FORM!$AE$28/100)</f>
        <v>588.23680999999999</v>
      </c>
      <c r="AA14" s="463"/>
      <c r="AB14" s="462"/>
      <c r="AC14" s="462"/>
      <c r="AD14" s="464"/>
      <c r="AE14" s="465"/>
    </row>
    <row r="15" spans="1:31" ht="14.4">
      <c r="A15" s="137"/>
      <c r="B15" s="437">
        <v>9353379</v>
      </c>
      <c r="C15" s="13" t="s">
        <v>1172</v>
      </c>
      <c r="D15" s="163">
        <v>1</v>
      </c>
      <c r="E15" s="389"/>
      <c r="F15" s="257"/>
      <c r="G15" s="272">
        <v>565.42399</v>
      </c>
      <c r="H15" s="135" t="str">
        <f t="shared" si="0"/>
        <v>CZK</v>
      </c>
      <c r="I15" s="407" t="s">
        <v>47</v>
      </c>
      <c r="J15" s="627" t="s">
        <v>1914</v>
      </c>
      <c r="L15" s="86" t="e">
        <f>VLOOKUP(B15,$B$11:B14,1,FALSE)</f>
        <v>#N/A</v>
      </c>
      <c r="M15" s="256">
        <f>G15*(1-FORM!$AE$28/100)</f>
        <v>565.42399</v>
      </c>
      <c r="AA15" s="463"/>
      <c r="AB15" s="462"/>
      <c r="AC15" s="462"/>
      <c r="AD15" s="464"/>
      <c r="AE15" s="465"/>
    </row>
    <row r="16" spans="1:31" ht="14.4">
      <c r="A16" s="137"/>
      <c r="B16" s="435">
        <v>9353380</v>
      </c>
      <c r="C16" s="12" t="s">
        <v>1173</v>
      </c>
      <c r="D16" s="161">
        <v>1</v>
      </c>
      <c r="E16" s="387"/>
      <c r="F16" s="258"/>
      <c r="G16" s="272">
        <v>557.79456000000005</v>
      </c>
      <c r="H16" s="131" t="str">
        <f t="shared" si="0"/>
        <v>CZK</v>
      </c>
      <c r="I16" s="404" t="s">
        <v>47</v>
      </c>
      <c r="J16" s="625" t="s">
        <v>1915</v>
      </c>
      <c r="L16" s="86" t="e">
        <f>VLOOKUP(B16,$B$11:B15,1,FALSE)</f>
        <v>#N/A</v>
      </c>
      <c r="M16" s="256">
        <f>G16*(1-FORM!$AE$28/100)</f>
        <v>557.79456000000005</v>
      </c>
      <c r="AA16" s="463"/>
      <c r="AB16" s="462"/>
      <c r="AC16" s="462"/>
      <c r="AD16" s="464"/>
      <c r="AE16" s="465"/>
    </row>
    <row r="17" spans="1:31" ht="14.4">
      <c r="A17" s="137"/>
      <c r="B17" s="435">
        <v>9353381</v>
      </c>
      <c r="C17" s="12" t="s">
        <v>1174</v>
      </c>
      <c r="D17" s="161">
        <v>1</v>
      </c>
      <c r="E17" s="387"/>
      <c r="F17" s="258"/>
      <c r="G17" s="272">
        <v>565.18799999999999</v>
      </c>
      <c r="H17" s="131" t="str">
        <f t="shared" si="0"/>
        <v>CZK</v>
      </c>
      <c r="I17" s="404" t="s">
        <v>47</v>
      </c>
      <c r="J17" s="625" t="s">
        <v>1916</v>
      </c>
      <c r="L17" s="86" t="e">
        <f>VLOOKUP(B17,$B$11:B16,1,FALSE)</f>
        <v>#N/A</v>
      </c>
      <c r="M17" s="256">
        <f>G17*(1-FORM!$AE$28/100)</f>
        <v>565.18799999999999</v>
      </c>
      <c r="AA17" s="463"/>
      <c r="AB17" s="462"/>
      <c r="AC17" s="462"/>
      <c r="AD17" s="464"/>
      <c r="AE17" s="465"/>
    </row>
    <row r="18" spans="1:31" ht="14.4">
      <c r="A18" s="137"/>
      <c r="B18" s="436">
        <v>9353382</v>
      </c>
      <c r="C18" s="14" t="s">
        <v>1175</v>
      </c>
      <c r="D18" s="162">
        <v>1</v>
      </c>
      <c r="E18" s="388"/>
      <c r="F18" s="259"/>
      <c r="G18" s="272">
        <v>588.23680999999999</v>
      </c>
      <c r="H18" s="132" t="str">
        <f t="shared" si="0"/>
        <v>CZK</v>
      </c>
      <c r="I18" s="405" t="s">
        <v>47</v>
      </c>
      <c r="J18" s="626" t="s">
        <v>1917</v>
      </c>
      <c r="L18" s="86" t="e">
        <f>VLOOKUP(B18,$B$11:B17,1,FALSE)</f>
        <v>#N/A</v>
      </c>
      <c r="M18" s="256">
        <f>G18*(1-FORM!$AE$28/100)</f>
        <v>588.23680999999999</v>
      </c>
      <c r="AA18" s="463"/>
      <c r="AB18" s="462"/>
      <c r="AC18" s="462"/>
      <c r="AD18" s="464"/>
      <c r="AE18" s="465"/>
    </row>
    <row r="19" spans="1:31" ht="14.4">
      <c r="A19" s="139"/>
      <c r="B19" s="438">
        <v>9353417</v>
      </c>
      <c r="C19" s="214" t="s">
        <v>1176</v>
      </c>
      <c r="D19" s="215">
        <v>1</v>
      </c>
      <c r="E19" s="390"/>
      <c r="F19" s="261"/>
      <c r="G19" s="272">
        <v>565.42399</v>
      </c>
      <c r="H19" s="156" t="str">
        <f>IF(G19="","",$H$10)</f>
        <v>CZK</v>
      </c>
      <c r="I19" s="408" t="s">
        <v>47</v>
      </c>
      <c r="J19" s="627" t="s">
        <v>1951</v>
      </c>
      <c r="L19" s="86" t="e">
        <f>VLOOKUP(B19,$B$11:B18,1,FALSE)</f>
        <v>#N/A</v>
      </c>
      <c r="M19" s="256">
        <f>G19*(1-FORM!$AE$28/100)</f>
        <v>565.42399</v>
      </c>
      <c r="AA19" s="463"/>
      <c r="AB19" s="462"/>
      <c r="AC19" s="462"/>
      <c r="AD19" s="464"/>
      <c r="AE19" s="465"/>
    </row>
    <row r="20" spans="1:31" ht="14.4">
      <c r="A20" s="139"/>
      <c r="B20" s="425">
        <v>9353418</v>
      </c>
      <c r="C20" s="216" t="s">
        <v>1177</v>
      </c>
      <c r="D20" s="217">
        <v>1</v>
      </c>
      <c r="E20" s="391"/>
      <c r="F20" s="262"/>
      <c r="G20" s="272">
        <v>557.79456000000005</v>
      </c>
      <c r="H20" s="141" t="str">
        <f t="shared" si="0"/>
        <v>CZK</v>
      </c>
      <c r="I20" s="409" t="s">
        <v>47</v>
      </c>
      <c r="J20" s="625" t="s">
        <v>1952</v>
      </c>
      <c r="L20" s="86" t="e">
        <f>VLOOKUP(B20,$B$11:B19,1,FALSE)</f>
        <v>#N/A</v>
      </c>
      <c r="M20" s="256">
        <f>G20*(1-FORM!$AE$28/100)</f>
        <v>557.79456000000005</v>
      </c>
      <c r="AA20" s="463"/>
      <c r="AB20" s="462"/>
      <c r="AC20" s="462"/>
      <c r="AD20" s="464"/>
      <c r="AE20" s="465"/>
    </row>
    <row r="21" spans="1:31" ht="14.4">
      <c r="A21" s="139"/>
      <c r="B21" s="439">
        <v>9353419</v>
      </c>
      <c r="C21" s="218" t="s">
        <v>1178</v>
      </c>
      <c r="D21" s="219">
        <v>1</v>
      </c>
      <c r="E21" s="392"/>
      <c r="F21" s="263"/>
      <c r="G21" s="272">
        <v>565.18799999999999</v>
      </c>
      <c r="H21" s="133" t="str">
        <f t="shared" si="0"/>
        <v>CZK</v>
      </c>
      <c r="I21" s="411" t="s">
        <v>47</v>
      </c>
      <c r="J21" s="625" t="s">
        <v>1953</v>
      </c>
      <c r="L21" s="86" t="e">
        <f>VLOOKUP(B21,$B$11:B20,1,FALSE)</f>
        <v>#N/A</v>
      </c>
      <c r="M21" s="256">
        <f>G21*(1-FORM!$AE$28/100)</f>
        <v>565.18799999999999</v>
      </c>
      <c r="AA21" s="463"/>
      <c r="AB21" s="462"/>
      <c r="AC21" s="462"/>
      <c r="AD21" s="464"/>
      <c r="AE21" s="465"/>
    </row>
    <row r="22" spans="1:31" ht="14.4">
      <c r="A22" s="139"/>
      <c r="B22" s="440">
        <v>9353420</v>
      </c>
      <c r="C22" s="164" t="s">
        <v>1179</v>
      </c>
      <c r="D22" s="220">
        <v>1</v>
      </c>
      <c r="E22" s="393"/>
      <c r="F22" s="264"/>
      <c r="G22" s="272">
        <v>588.23680999999999</v>
      </c>
      <c r="H22" s="134" t="str">
        <f t="shared" si="0"/>
        <v>CZK</v>
      </c>
      <c r="I22" s="412" t="s">
        <v>47</v>
      </c>
      <c r="J22" s="626" t="s">
        <v>1954</v>
      </c>
      <c r="L22" s="86" t="e">
        <f>VLOOKUP(B22,$B$11:B21,1,FALSE)</f>
        <v>#N/A</v>
      </c>
      <c r="M22" s="256">
        <f>G22*(1-FORM!$AE$28/100)</f>
        <v>588.23680999999999</v>
      </c>
      <c r="AA22" s="463"/>
      <c r="AB22" s="462"/>
      <c r="AC22" s="462"/>
      <c r="AD22" s="464"/>
      <c r="AE22" s="465"/>
    </row>
    <row r="23" spans="1:31" ht="14.4">
      <c r="B23" s="302">
        <v>79665</v>
      </c>
      <c r="C23" s="15" t="s">
        <v>603</v>
      </c>
      <c r="D23" s="221">
        <v>100</v>
      </c>
      <c r="E23" s="394"/>
      <c r="F23" s="265"/>
      <c r="G23" s="272">
        <v>9.3302200000000006</v>
      </c>
      <c r="H23" s="136" t="str">
        <f t="shared" si="0"/>
        <v>CZK</v>
      </c>
      <c r="I23" s="414" t="s">
        <v>47</v>
      </c>
      <c r="J23" s="628" t="s">
        <v>1319</v>
      </c>
      <c r="L23" s="86" t="e">
        <f>VLOOKUP(B23,$B$11:B22,1,FALSE)</f>
        <v>#N/A</v>
      </c>
      <c r="M23" s="256">
        <f>G23*(1-FORM!$AE$28/100)</f>
        <v>9.3302200000000006</v>
      </c>
      <c r="AA23" s="463"/>
      <c r="AB23" s="462"/>
      <c r="AC23" s="462"/>
      <c r="AD23" s="464"/>
      <c r="AE23" s="465"/>
    </row>
    <row r="24" spans="1:31" ht="14.4">
      <c r="A24" s="130"/>
      <c r="B24" s="301">
        <v>9255000</v>
      </c>
      <c r="C24" s="222" t="s">
        <v>604</v>
      </c>
      <c r="D24" s="223">
        <v>10</v>
      </c>
      <c r="E24" s="395"/>
      <c r="F24" s="266"/>
      <c r="G24" s="272">
        <v>218.14608000000001</v>
      </c>
      <c r="H24" s="211" t="str">
        <f t="shared" si="0"/>
        <v>CZK</v>
      </c>
      <c r="I24" s="416" t="s">
        <v>47</v>
      </c>
      <c r="J24" s="627" t="s">
        <v>1329</v>
      </c>
      <c r="L24" s="86" t="e">
        <f>VLOOKUP(B24,$B$11:B23,1,FALSE)</f>
        <v>#N/A</v>
      </c>
      <c r="M24" s="256">
        <f>G24*(1-FORM!$AE$28/100)</f>
        <v>218.14608000000001</v>
      </c>
      <c r="AA24" s="463"/>
      <c r="AB24" s="462"/>
      <c r="AC24" s="462"/>
      <c r="AD24" s="464"/>
      <c r="AE24" s="465"/>
    </row>
    <row r="25" spans="1:31" ht="14.4">
      <c r="A25" s="130"/>
      <c r="B25" s="298">
        <v>9255001</v>
      </c>
      <c r="C25" s="216" t="s">
        <v>605</v>
      </c>
      <c r="D25" s="217">
        <v>10</v>
      </c>
      <c r="E25" s="391"/>
      <c r="F25" s="262"/>
      <c r="G25" s="272">
        <v>218.14608000000001</v>
      </c>
      <c r="H25" s="141" t="str">
        <f t="shared" si="0"/>
        <v>CZK</v>
      </c>
      <c r="I25" s="409" t="s">
        <v>47</v>
      </c>
      <c r="J25" s="625" t="s">
        <v>1330</v>
      </c>
      <c r="L25" s="86" t="e">
        <f>VLOOKUP(B25,$B$11:B24,1,FALSE)</f>
        <v>#N/A</v>
      </c>
      <c r="M25" s="256">
        <f>G25*(1-FORM!$AE$28/100)</f>
        <v>218.14608000000001</v>
      </c>
      <c r="AA25" s="463"/>
      <c r="AB25" s="462"/>
      <c r="AC25" s="462"/>
      <c r="AD25" s="464"/>
      <c r="AE25" s="465"/>
    </row>
    <row r="26" spans="1:31" ht="14.4">
      <c r="A26" s="130"/>
      <c r="B26" s="298">
        <v>9255002</v>
      </c>
      <c r="C26" s="216" t="s">
        <v>606</v>
      </c>
      <c r="D26" s="217">
        <v>10</v>
      </c>
      <c r="E26" s="391"/>
      <c r="F26" s="262"/>
      <c r="G26" s="272">
        <v>222.02244999999999</v>
      </c>
      <c r="H26" s="141" t="str">
        <f t="shared" si="0"/>
        <v>CZK</v>
      </c>
      <c r="I26" s="409" t="s">
        <v>47</v>
      </c>
      <c r="J26" s="625" t="s">
        <v>1331</v>
      </c>
      <c r="L26" s="86" t="e">
        <f>VLOOKUP(B26,$B$11:B25,1,FALSE)</f>
        <v>#N/A</v>
      </c>
      <c r="M26" s="256">
        <f>G26*(1-FORM!$AE$28/100)</f>
        <v>222.02244999999999</v>
      </c>
      <c r="AA26" s="463"/>
      <c r="AB26" s="462"/>
      <c r="AC26" s="462"/>
      <c r="AD26" s="464"/>
      <c r="AE26" s="465"/>
    </row>
    <row r="27" spans="1:31" ht="14.4">
      <c r="A27" s="130"/>
      <c r="B27" s="298">
        <v>9255003</v>
      </c>
      <c r="C27" s="216" t="s">
        <v>607</v>
      </c>
      <c r="D27" s="217">
        <v>10</v>
      </c>
      <c r="E27" s="391"/>
      <c r="F27" s="262"/>
      <c r="G27" s="272">
        <v>222.02244999999999</v>
      </c>
      <c r="H27" s="141" t="str">
        <f t="shared" si="0"/>
        <v>CZK</v>
      </c>
      <c r="I27" s="409" t="s">
        <v>47</v>
      </c>
      <c r="J27" s="625" t="s">
        <v>1332</v>
      </c>
      <c r="L27" s="86" t="e">
        <f>VLOOKUP(B27,$B$11:B26,1,FALSE)</f>
        <v>#N/A</v>
      </c>
      <c r="M27" s="256">
        <f>G27*(1-FORM!$AE$28/100)</f>
        <v>222.02244999999999</v>
      </c>
      <c r="AA27" s="463"/>
      <c r="AB27" s="462"/>
      <c r="AC27" s="462"/>
      <c r="AD27" s="464"/>
      <c r="AE27" s="465"/>
    </row>
    <row r="28" spans="1:31" ht="14.4">
      <c r="A28" s="130"/>
      <c r="B28" s="298">
        <v>9255004</v>
      </c>
      <c r="C28" s="216" t="s">
        <v>608</v>
      </c>
      <c r="D28" s="217">
        <v>10</v>
      </c>
      <c r="E28" s="391"/>
      <c r="F28" s="262"/>
      <c r="G28" s="272">
        <v>225.89116000000001</v>
      </c>
      <c r="H28" s="141" t="str">
        <f t="shared" ref="H28:H52" si="1">IF(G28="","",$H$10)</f>
        <v>CZK</v>
      </c>
      <c r="I28" s="409" t="s">
        <v>47</v>
      </c>
      <c r="J28" s="625" t="s">
        <v>1333</v>
      </c>
      <c r="L28" s="86" t="e">
        <f>VLOOKUP(B28,$B$11:B27,1,FALSE)</f>
        <v>#N/A</v>
      </c>
      <c r="M28" s="256">
        <f>G28*(1-FORM!$AE$28/100)</f>
        <v>225.89116000000001</v>
      </c>
      <c r="AA28" s="463"/>
      <c r="AB28" s="462"/>
      <c r="AC28" s="462"/>
      <c r="AD28" s="464"/>
      <c r="AE28" s="465"/>
    </row>
    <row r="29" spans="1:31" ht="14.4">
      <c r="A29" s="130"/>
      <c r="B29" s="298">
        <v>9255005</v>
      </c>
      <c r="C29" s="216" t="s">
        <v>609</v>
      </c>
      <c r="D29" s="217">
        <v>10</v>
      </c>
      <c r="E29" s="391"/>
      <c r="F29" s="262"/>
      <c r="G29" s="272">
        <v>225.89116000000001</v>
      </c>
      <c r="H29" s="141" t="str">
        <f t="shared" si="1"/>
        <v>CZK</v>
      </c>
      <c r="I29" s="409" t="s">
        <v>47</v>
      </c>
      <c r="J29" s="625" t="s">
        <v>1334</v>
      </c>
      <c r="L29" s="86" t="e">
        <f>VLOOKUP(B29,$B$11:B28,1,FALSE)</f>
        <v>#N/A</v>
      </c>
      <c r="M29" s="256">
        <f>G29*(1-FORM!$AE$28/100)</f>
        <v>225.89116000000001</v>
      </c>
      <c r="AA29" s="463"/>
      <c r="AB29" s="462"/>
      <c r="AC29" s="462"/>
      <c r="AD29" s="464"/>
      <c r="AE29" s="465"/>
    </row>
    <row r="30" spans="1:31" ht="14.4">
      <c r="A30" s="130"/>
      <c r="B30" s="298">
        <v>9255006</v>
      </c>
      <c r="C30" s="216" t="s">
        <v>610</v>
      </c>
      <c r="D30" s="217">
        <v>10</v>
      </c>
      <c r="E30" s="391"/>
      <c r="F30" s="262"/>
      <c r="G30" s="272">
        <v>229.76492999999999</v>
      </c>
      <c r="H30" s="141" t="str">
        <f t="shared" si="1"/>
        <v>CZK</v>
      </c>
      <c r="I30" s="409" t="s">
        <v>47</v>
      </c>
      <c r="J30" s="625" t="s">
        <v>1549</v>
      </c>
      <c r="L30" s="86" t="e">
        <f>VLOOKUP(B30,$B$11:B29,1,FALSE)</f>
        <v>#N/A</v>
      </c>
      <c r="M30" s="256">
        <f>G30*(1-FORM!$AE$28/100)</f>
        <v>229.76492999999999</v>
      </c>
      <c r="AA30" s="463"/>
      <c r="AB30" s="462"/>
      <c r="AC30" s="462"/>
      <c r="AD30" s="464"/>
      <c r="AE30" s="465"/>
    </row>
    <row r="31" spans="1:31" ht="14.4">
      <c r="A31" s="130"/>
      <c r="B31" s="303">
        <v>9255007</v>
      </c>
      <c r="C31" s="304" t="s">
        <v>611</v>
      </c>
      <c r="D31" s="226">
        <v>10</v>
      </c>
      <c r="E31" s="396"/>
      <c r="F31" s="268"/>
      <c r="G31" s="272">
        <v>229.76492999999999</v>
      </c>
      <c r="H31" s="142" t="str">
        <f t="shared" si="1"/>
        <v>CZK</v>
      </c>
      <c r="I31" s="417" t="s">
        <v>47</v>
      </c>
      <c r="J31" s="626" t="s">
        <v>1550</v>
      </c>
      <c r="L31" s="86" t="e">
        <f>VLOOKUP(B31,$B$11:B30,1,FALSE)</f>
        <v>#N/A</v>
      </c>
      <c r="M31" s="256">
        <f>G31*(1-FORM!$AE$28/100)</f>
        <v>229.76492999999999</v>
      </c>
      <c r="AA31" s="463"/>
      <c r="AB31" s="462"/>
      <c r="AC31" s="462"/>
      <c r="AD31" s="464"/>
      <c r="AE31" s="465"/>
    </row>
    <row r="32" spans="1:31" ht="14.4">
      <c r="A32" s="137"/>
      <c r="B32" s="301">
        <v>9255080</v>
      </c>
      <c r="C32" s="222" t="s">
        <v>612</v>
      </c>
      <c r="D32" s="223">
        <v>10</v>
      </c>
      <c r="E32" s="395"/>
      <c r="F32" s="266"/>
      <c r="G32" s="272">
        <v>218.14608000000001</v>
      </c>
      <c r="H32" s="211" t="str">
        <f t="shared" si="1"/>
        <v>CZK</v>
      </c>
      <c r="I32" s="416" t="s">
        <v>47</v>
      </c>
      <c r="J32" s="627" t="s">
        <v>1401</v>
      </c>
      <c r="L32" s="86" t="e">
        <f>VLOOKUP(B32,$B$11:B31,1,FALSE)</f>
        <v>#N/A</v>
      </c>
      <c r="M32" s="256">
        <f>G32*(1-FORM!$AE$28/100)</f>
        <v>218.14608000000001</v>
      </c>
      <c r="AA32" s="463"/>
      <c r="AB32" s="462"/>
      <c r="AC32" s="462"/>
      <c r="AD32" s="464"/>
      <c r="AE32" s="465"/>
    </row>
    <row r="33" spans="1:31" ht="14.4">
      <c r="A33" s="137"/>
      <c r="B33" s="298">
        <v>9255081</v>
      </c>
      <c r="C33" s="216" t="s">
        <v>613</v>
      </c>
      <c r="D33" s="217">
        <v>10</v>
      </c>
      <c r="E33" s="391"/>
      <c r="F33" s="262"/>
      <c r="G33" s="272">
        <v>218.14608000000001</v>
      </c>
      <c r="H33" s="141" t="str">
        <f t="shared" si="1"/>
        <v>CZK</v>
      </c>
      <c r="I33" s="409" t="s">
        <v>47</v>
      </c>
      <c r="J33" s="625" t="s">
        <v>1402</v>
      </c>
      <c r="L33" s="86" t="e">
        <f>VLOOKUP(B33,$B$11:B32,1,FALSE)</f>
        <v>#N/A</v>
      </c>
      <c r="M33" s="256">
        <f>G33*(1-FORM!$AE$28/100)</f>
        <v>218.14608000000001</v>
      </c>
      <c r="AA33" s="463"/>
      <c r="AB33" s="462"/>
      <c r="AC33" s="462"/>
      <c r="AD33" s="464"/>
      <c r="AE33" s="465"/>
    </row>
    <row r="34" spans="1:31" ht="14.4">
      <c r="A34" s="137"/>
      <c r="B34" s="298">
        <v>9255082</v>
      </c>
      <c r="C34" s="216" t="s">
        <v>614</v>
      </c>
      <c r="D34" s="217">
        <v>10</v>
      </c>
      <c r="E34" s="391"/>
      <c r="F34" s="262"/>
      <c r="G34" s="272">
        <v>222.02244999999999</v>
      </c>
      <c r="H34" s="141" t="str">
        <f t="shared" si="1"/>
        <v>CZK</v>
      </c>
      <c r="I34" s="409" t="s">
        <v>47</v>
      </c>
      <c r="J34" s="625" t="s">
        <v>1403</v>
      </c>
      <c r="L34" s="86" t="e">
        <f>VLOOKUP(B34,$B$11:B33,1,FALSE)</f>
        <v>#N/A</v>
      </c>
      <c r="M34" s="256">
        <f>G34*(1-FORM!$AE$28/100)</f>
        <v>222.02244999999999</v>
      </c>
      <c r="AA34" s="463"/>
      <c r="AB34" s="462"/>
      <c r="AC34" s="462"/>
      <c r="AD34" s="464"/>
      <c r="AE34" s="465"/>
    </row>
    <row r="35" spans="1:31" ht="14.4">
      <c r="A35" s="137"/>
      <c r="B35" s="298">
        <v>9255083</v>
      </c>
      <c r="C35" s="216" t="s">
        <v>615</v>
      </c>
      <c r="D35" s="217">
        <v>10</v>
      </c>
      <c r="E35" s="391"/>
      <c r="F35" s="262"/>
      <c r="G35" s="272">
        <v>222.02244999999999</v>
      </c>
      <c r="H35" s="141" t="str">
        <f t="shared" si="1"/>
        <v>CZK</v>
      </c>
      <c r="I35" s="409" t="s">
        <v>47</v>
      </c>
      <c r="J35" s="625" t="s">
        <v>1404</v>
      </c>
      <c r="L35" s="86" t="e">
        <f>VLOOKUP(B35,$B$11:B34,1,FALSE)</f>
        <v>#N/A</v>
      </c>
      <c r="M35" s="256">
        <f>G35*(1-FORM!$AE$28/100)</f>
        <v>222.02244999999999</v>
      </c>
      <c r="AA35" s="463"/>
      <c r="AB35" s="462"/>
      <c r="AC35" s="462"/>
      <c r="AD35" s="464"/>
      <c r="AE35" s="465"/>
    </row>
    <row r="36" spans="1:31" ht="14.4">
      <c r="A36" s="137"/>
      <c r="B36" s="298">
        <v>9255084</v>
      </c>
      <c r="C36" s="216" t="s">
        <v>616</v>
      </c>
      <c r="D36" s="217">
        <v>10</v>
      </c>
      <c r="E36" s="391"/>
      <c r="F36" s="262"/>
      <c r="G36" s="272">
        <v>225.89116000000001</v>
      </c>
      <c r="H36" s="141" t="str">
        <f t="shared" si="1"/>
        <v>CZK</v>
      </c>
      <c r="I36" s="409" t="s">
        <v>47</v>
      </c>
      <c r="J36" s="625" t="s">
        <v>1405</v>
      </c>
      <c r="L36" s="86" t="e">
        <f>VLOOKUP(B36,$B$11:B35,1,FALSE)</f>
        <v>#N/A</v>
      </c>
      <c r="M36" s="256">
        <f>G36*(1-FORM!$AE$28/100)</f>
        <v>225.89116000000001</v>
      </c>
      <c r="AA36" s="463"/>
      <c r="AB36" s="462"/>
      <c r="AC36" s="462"/>
      <c r="AD36" s="464"/>
      <c r="AE36" s="465"/>
    </row>
    <row r="37" spans="1:31" ht="14.4">
      <c r="A37" s="137"/>
      <c r="B37" s="298">
        <v>9255085</v>
      </c>
      <c r="C37" s="216" t="s">
        <v>617</v>
      </c>
      <c r="D37" s="217">
        <v>10</v>
      </c>
      <c r="E37" s="391"/>
      <c r="F37" s="262"/>
      <c r="G37" s="272">
        <v>225.89116000000001</v>
      </c>
      <c r="H37" s="141" t="str">
        <f t="shared" si="1"/>
        <v>CZK</v>
      </c>
      <c r="I37" s="409" t="s">
        <v>47</v>
      </c>
      <c r="J37" s="625" t="s">
        <v>1406</v>
      </c>
      <c r="L37" s="86" t="e">
        <f>VLOOKUP(B37,$B$11:B36,1,FALSE)</f>
        <v>#N/A</v>
      </c>
      <c r="M37" s="256">
        <f>G37*(1-FORM!$AE$28/100)</f>
        <v>225.89116000000001</v>
      </c>
      <c r="AA37" s="463"/>
      <c r="AB37" s="462"/>
      <c r="AC37" s="462"/>
      <c r="AD37" s="464"/>
      <c r="AE37" s="465"/>
    </row>
    <row r="38" spans="1:31" ht="14.4">
      <c r="A38" s="137"/>
      <c r="B38" s="298">
        <v>9255086</v>
      </c>
      <c r="C38" s="216" t="s">
        <v>618</v>
      </c>
      <c r="D38" s="217">
        <v>10</v>
      </c>
      <c r="E38" s="391"/>
      <c r="F38" s="262"/>
      <c r="G38" s="272">
        <v>229.76492999999999</v>
      </c>
      <c r="H38" s="141" t="str">
        <f t="shared" si="1"/>
        <v>CZK</v>
      </c>
      <c r="I38" s="409" t="s">
        <v>47</v>
      </c>
      <c r="J38" s="625" t="s">
        <v>1407</v>
      </c>
      <c r="L38" s="86" t="e">
        <f>VLOOKUP(B38,$B$11:B37,1,FALSE)</f>
        <v>#N/A</v>
      </c>
      <c r="M38" s="256">
        <f>G38*(1-FORM!$AE$28/100)</f>
        <v>229.76492999999999</v>
      </c>
      <c r="AA38" s="463"/>
      <c r="AB38" s="462"/>
      <c r="AC38" s="462"/>
      <c r="AD38" s="464"/>
      <c r="AE38" s="465"/>
    </row>
    <row r="39" spans="1:31" ht="14.4">
      <c r="A39" s="137"/>
      <c r="B39" s="303">
        <v>9255087</v>
      </c>
      <c r="C39" s="304" t="s">
        <v>619</v>
      </c>
      <c r="D39" s="226">
        <v>10</v>
      </c>
      <c r="E39" s="396"/>
      <c r="F39" s="268"/>
      <c r="G39" s="272">
        <v>229.76492999999999</v>
      </c>
      <c r="H39" s="142" t="str">
        <f t="shared" si="1"/>
        <v>CZK</v>
      </c>
      <c r="I39" s="417" t="s">
        <v>47</v>
      </c>
      <c r="J39" s="626" t="s">
        <v>1408</v>
      </c>
      <c r="L39" s="86" t="e">
        <f>VLOOKUP(B39,$B$11:B38,1,FALSE)</f>
        <v>#N/A</v>
      </c>
      <c r="M39" s="256">
        <f>G39*(1-FORM!$AE$28/100)</f>
        <v>229.76492999999999</v>
      </c>
      <c r="AA39" s="463"/>
      <c r="AB39" s="462"/>
      <c r="AC39" s="462"/>
      <c r="AD39" s="464"/>
      <c r="AE39" s="465"/>
    </row>
    <row r="40" spans="1:31" ht="14.4">
      <c r="A40" s="139"/>
      <c r="B40" s="301">
        <v>9255160</v>
      </c>
      <c r="C40" s="222" t="s">
        <v>620</v>
      </c>
      <c r="D40" s="223">
        <v>10</v>
      </c>
      <c r="E40" s="395"/>
      <c r="F40" s="266"/>
      <c r="G40" s="272">
        <v>218.14608000000001</v>
      </c>
      <c r="H40" s="211" t="str">
        <f t="shared" si="1"/>
        <v>CZK</v>
      </c>
      <c r="I40" s="416" t="s">
        <v>47</v>
      </c>
      <c r="J40" s="627" t="s">
        <v>1475</v>
      </c>
      <c r="L40" s="86" t="e">
        <f>VLOOKUP(B40,$B$11:B39,1,FALSE)</f>
        <v>#N/A</v>
      </c>
      <c r="M40" s="256">
        <f>G40*(1-FORM!$AE$28/100)</f>
        <v>218.14608000000001</v>
      </c>
      <c r="AA40" s="463"/>
      <c r="AB40" s="462"/>
      <c r="AC40" s="462"/>
      <c r="AD40" s="464"/>
      <c r="AE40" s="465"/>
    </row>
    <row r="41" spans="1:31" ht="14.4">
      <c r="A41" s="139"/>
      <c r="B41" s="298">
        <v>9255161</v>
      </c>
      <c r="C41" s="216" t="s">
        <v>621</v>
      </c>
      <c r="D41" s="217">
        <v>10</v>
      </c>
      <c r="E41" s="391"/>
      <c r="F41" s="262"/>
      <c r="G41" s="272">
        <v>218.14608000000001</v>
      </c>
      <c r="H41" s="141" t="str">
        <f t="shared" si="1"/>
        <v>CZK</v>
      </c>
      <c r="I41" s="409" t="s">
        <v>47</v>
      </c>
      <c r="J41" s="625" t="s">
        <v>1476</v>
      </c>
      <c r="L41" s="86" t="e">
        <f>VLOOKUP(B41,$B$11:B40,1,FALSE)</f>
        <v>#N/A</v>
      </c>
      <c r="M41" s="256">
        <f>G41*(1-FORM!$AE$28/100)</f>
        <v>218.14608000000001</v>
      </c>
      <c r="AA41" s="463"/>
      <c r="AB41" s="462"/>
      <c r="AC41" s="462"/>
      <c r="AD41" s="464"/>
      <c r="AE41" s="465"/>
    </row>
    <row r="42" spans="1:31" ht="14.4">
      <c r="A42" s="139"/>
      <c r="B42" s="298">
        <v>9255162</v>
      </c>
      <c r="C42" s="216" t="s">
        <v>622</v>
      </c>
      <c r="D42" s="217">
        <v>10</v>
      </c>
      <c r="E42" s="391"/>
      <c r="F42" s="262"/>
      <c r="G42" s="272">
        <v>222.02244999999999</v>
      </c>
      <c r="H42" s="141" t="str">
        <f t="shared" si="1"/>
        <v>CZK</v>
      </c>
      <c r="I42" s="409" t="s">
        <v>47</v>
      </c>
      <c r="J42" s="625" t="s">
        <v>1477</v>
      </c>
      <c r="L42" s="86" t="e">
        <f>VLOOKUP(B42,$B$11:B41,1,FALSE)</f>
        <v>#N/A</v>
      </c>
      <c r="M42" s="256">
        <f>G42*(1-FORM!$AE$28/100)</f>
        <v>222.02244999999999</v>
      </c>
      <c r="AA42" s="463"/>
      <c r="AB42" s="462"/>
      <c r="AC42" s="462"/>
      <c r="AD42" s="464"/>
      <c r="AE42" s="465"/>
    </row>
    <row r="43" spans="1:31" ht="14.4">
      <c r="A43" s="139"/>
      <c r="B43" s="298">
        <v>9255163</v>
      </c>
      <c r="C43" s="216" t="s">
        <v>623</v>
      </c>
      <c r="D43" s="217">
        <v>10</v>
      </c>
      <c r="E43" s="391"/>
      <c r="F43" s="262"/>
      <c r="G43" s="272">
        <v>222.02244999999999</v>
      </c>
      <c r="H43" s="141" t="str">
        <f t="shared" si="1"/>
        <v>CZK</v>
      </c>
      <c r="I43" s="409" t="s">
        <v>47</v>
      </c>
      <c r="J43" s="625" t="s">
        <v>1478</v>
      </c>
      <c r="L43" s="86" t="e">
        <f>VLOOKUP(B43,$B$11:B42,1,FALSE)</f>
        <v>#N/A</v>
      </c>
      <c r="M43" s="256">
        <f>G43*(1-FORM!$AE$28/100)</f>
        <v>222.02244999999999</v>
      </c>
      <c r="AA43" s="463"/>
      <c r="AB43" s="462"/>
      <c r="AC43" s="462"/>
      <c r="AD43" s="464"/>
      <c r="AE43" s="465"/>
    </row>
    <row r="44" spans="1:31" ht="14.4">
      <c r="A44" s="139"/>
      <c r="B44" s="298">
        <v>9255164</v>
      </c>
      <c r="C44" s="216" t="s">
        <v>624</v>
      </c>
      <c r="D44" s="217">
        <v>10</v>
      </c>
      <c r="E44" s="391"/>
      <c r="F44" s="262"/>
      <c r="G44" s="272">
        <v>225.89116000000001</v>
      </c>
      <c r="H44" s="141" t="str">
        <f t="shared" si="1"/>
        <v>CZK</v>
      </c>
      <c r="I44" s="409" t="s">
        <v>47</v>
      </c>
      <c r="J44" s="625" t="s">
        <v>1479</v>
      </c>
      <c r="L44" s="86" t="e">
        <f>VLOOKUP(B44,$B$11:B43,1,FALSE)</f>
        <v>#N/A</v>
      </c>
      <c r="M44" s="256">
        <f>G44*(1-FORM!$AE$28/100)</f>
        <v>225.89116000000001</v>
      </c>
      <c r="AA44" s="463"/>
      <c r="AB44" s="462"/>
      <c r="AC44" s="462"/>
      <c r="AD44" s="464"/>
      <c r="AE44" s="465"/>
    </row>
    <row r="45" spans="1:31" ht="14.4">
      <c r="A45" s="139"/>
      <c r="B45" s="298">
        <v>9255165</v>
      </c>
      <c r="C45" s="216" t="s">
        <v>625</v>
      </c>
      <c r="D45" s="217">
        <v>10</v>
      </c>
      <c r="E45" s="391"/>
      <c r="F45" s="262"/>
      <c r="G45" s="272">
        <v>225.89116000000001</v>
      </c>
      <c r="H45" s="141" t="str">
        <f t="shared" si="1"/>
        <v>CZK</v>
      </c>
      <c r="I45" s="409" t="s">
        <v>47</v>
      </c>
      <c r="J45" s="625" t="s">
        <v>1480</v>
      </c>
      <c r="L45" s="86" t="e">
        <f>VLOOKUP(B45,$B$11:B44,1,FALSE)</f>
        <v>#N/A</v>
      </c>
      <c r="M45" s="256">
        <f>G45*(1-FORM!$AE$28/100)</f>
        <v>225.89116000000001</v>
      </c>
      <c r="AA45" s="463"/>
      <c r="AB45" s="462"/>
      <c r="AC45" s="462"/>
      <c r="AD45" s="464"/>
      <c r="AE45" s="465"/>
    </row>
    <row r="46" spans="1:31" ht="14.4">
      <c r="A46" s="139"/>
      <c r="B46" s="298">
        <v>9255166</v>
      </c>
      <c r="C46" s="216" t="s">
        <v>626</v>
      </c>
      <c r="D46" s="217">
        <v>10</v>
      </c>
      <c r="E46" s="391"/>
      <c r="F46" s="262"/>
      <c r="G46" s="272">
        <v>229.76492999999999</v>
      </c>
      <c r="H46" s="141" t="str">
        <f t="shared" si="1"/>
        <v>CZK</v>
      </c>
      <c r="I46" s="409" t="s">
        <v>47</v>
      </c>
      <c r="J46" s="625" t="s">
        <v>1481</v>
      </c>
      <c r="L46" s="86" t="e">
        <f>VLOOKUP(B46,$B$11:B45,1,FALSE)</f>
        <v>#N/A</v>
      </c>
      <c r="M46" s="256">
        <f>G46*(1-FORM!$AE$28/100)</f>
        <v>229.76492999999999</v>
      </c>
      <c r="AA46" s="463"/>
      <c r="AB46" s="462"/>
      <c r="AC46" s="462"/>
      <c r="AD46" s="464"/>
      <c r="AE46" s="465"/>
    </row>
    <row r="47" spans="1:31" ht="14.4">
      <c r="A47" s="139"/>
      <c r="B47" s="303">
        <v>9255167</v>
      </c>
      <c r="C47" s="304" t="s">
        <v>627</v>
      </c>
      <c r="D47" s="226">
        <v>10</v>
      </c>
      <c r="E47" s="396"/>
      <c r="F47" s="268"/>
      <c r="G47" s="272">
        <v>229.76492999999999</v>
      </c>
      <c r="H47" s="142" t="str">
        <f t="shared" si="1"/>
        <v>CZK</v>
      </c>
      <c r="I47" s="417" t="s">
        <v>47</v>
      </c>
      <c r="J47" s="626" t="s">
        <v>1482</v>
      </c>
      <c r="L47" s="86" t="e">
        <f>VLOOKUP(B47,$B$11:B46,1,FALSE)</f>
        <v>#N/A</v>
      </c>
      <c r="M47" s="256">
        <f>G47*(1-FORM!$AE$28/100)</f>
        <v>229.76492999999999</v>
      </c>
      <c r="AA47" s="463"/>
      <c r="AB47" s="462"/>
      <c r="AC47" s="462"/>
      <c r="AD47" s="464"/>
      <c r="AE47" s="465"/>
    </row>
    <row r="48" spans="1:31" ht="14.4">
      <c r="B48" s="301">
        <v>9255832</v>
      </c>
      <c r="C48" s="222" t="s">
        <v>628</v>
      </c>
      <c r="D48" s="223">
        <v>100</v>
      </c>
      <c r="E48" s="395"/>
      <c r="F48" s="266"/>
      <c r="G48" s="272">
        <v>16.912929999999999</v>
      </c>
      <c r="H48" s="211" t="str">
        <f t="shared" si="1"/>
        <v>CZK</v>
      </c>
      <c r="I48" s="416" t="s">
        <v>47</v>
      </c>
      <c r="J48" s="627" t="s">
        <v>1585</v>
      </c>
      <c r="L48" s="86" t="e">
        <f>VLOOKUP(B48,$B$11:B47,1,FALSE)</f>
        <v>#N/A</v>
      </c>
      <c r="M48" s="256">
        <f>G48*(1-FORM!$AE$28/100)</f>
        <v>16.912929999999999</v>
      </c>
      <c r="AA48" s="463"/>
      <c r="AB48" s="462"/>
      <c r="AC48" s="462"/>
      <c r="AD48" s="464"/>
      <c r="AE48" s="465"/>
    </row>
    <row r="49" spans="1:31" ht="14.4">
      <c r="B49" s="303">
        <v>9255833</v>
      </c>
      <c r="C49" s="304" t="s">
        <v>629</v>
      </c>
      <c r="D49" s="226">
        <v>100</v>
      </c>
      <c r="E49" s="396"/>
      <c r="F49" s="268"/>
      <c r="G49" s="272">
        <v>17.53717</v>
      </c>
      <c r="H49" s="142" t="str">
        <f t="shared" si="1"/>
        <v>CZK</v>
      </c>
      <c r="I49" s="417" t="s">
        <v>47</v>
      </c>
      <c r="J49" s="418" t="s">
        <v>1586</v>
      </c>
      <c r="L49" s="86" t="e">
        <f>VLOOKUP(B49,$B$11:B48,1,FALSE)</f>
        <v>#N/A</v>
      </c>
      <c r="M49" s="256">
        <f>G49*(1-FORM!$AE$28/100)</f>
        <v>17.53717</v>
      </c>
      <c r="AA49" s="463"/>
      <c r="AB49" s="462"/>
      <c r="AC49" s="462"/>
      <c r="AD49" s="464"/>
      <c r="AE49" s="465"/>
    </row>
    <row r="50" spans="1:31" ht="14.4">
      <c r="B50" s="302"/>
      <c r="C50" s="15"/>
      <c r="D50" s="221"/>
      <c r="E50" s="394"/>
      <c r="F50" s="265"/>
      <c r="G50" s="272"/>
      <c r="H50" s="136"/>
      <c r="I50" s="414" t="s">
        <v>47</v>
      </c>
      <c r="J50" s="415"/>
      <c r="M50" s="256"/>
      <c r="AA50" s="463"/>
      <c r="AB50" s="462"/>
      <c r="AC50" s="462"/>
      <c r="AD50" s="464"/>
      <c r="AE50" s="465"/>
    </row>
    <row r="51" spans="1:31" ht="14.4">
      <c r="A51" s="130"/>
      <c r="B51" s="424">
        <v>9353335</v>
      </c>
      <c r="C51" s="222" t="s">
        <v>1180</v>
      </c>
      <c r="D51" s="223">
        <v>1</v>
      </c>
      <c r="E51" s="395"/>
      <c r="F51" s="266"/>
      <c r="G51" s="272">
        <v>545.66444999999999</v>
      </c>
      <c r="H51" s="211" t="str">
        <f t="shared" si="1"/>
        <v>CZK</v>
      </c>
      <c r="I51" s="416" t="s">
        <v>47</v>
      </c>
      <c r="J51" s="625" t="s">
        <v>1880</v>
      </c>
      <c r="L51" s="86" t="e">
        <f>VLOOKUP(B51,$B$11:B49,1,FALSE)</f>
        <v>#N/A</v>
      </c>
      <c r="M51" s="256">
        <f>G51*(1-FORM!$AE$28/100)</f>
        <v>545.66444999999999</v>
      </c>
      <c r="AA51" s="463"/>
      <c r="AB51" s="462"/>
      <c r="AC51" s="462"/>
      <c r="AD51" s="464"/>
      <c r="AE51" s="465"/>
    </row>
    <row r="52" spans="1:31" ht="14.4">
      <c r="A52" s="130"/>
      <c r="B52" s="425">
        <v>9353336</v>
      </c>
      <c r="C52" s="216" t="s">
        <v>1181</v>
      </c>
      <c r="D52" s="217">
        <v>1</v>
      </c>
      <c r="E52" s="391"/>
      <c r="F52" s="262"/>
      <c r="G52" s="272">
        <v>550.21777999999995</v>
      </c>
      <c r="H52" s="141" t="str">
        <f t="shared" si="1"/>
        <v>CZK</v>
      </c>
      <c r="I52" s="409" t="s">
        <v>47</v>
      </c>
      <c r="J52" s="625" t="s">
        <v>1881</v>
      </c>
      <c r="L52" s="86" t="e">
        <f>VLOOKUP(B52,$B$11:B51,1,FALSE)</f>
        <v>#N/A</v>
      </c>
      <c r="M52" s="256">
        <f>G52*(1-FORM!$AE$28/100)</f>
        <v>550.21777999999995</v>
      </c>
      <c r="AA52" s="463"/>
      <c r="AB52" s="462"/>
      <c r="AC52" s="462"/>
      <c r="AD52" s="464"/>
      <c r="AE52" s="465"/>
    </row>
    <row r="53" spans="1:31" ht="14.4">
      <c r="A53" s="130"/>
      <c r="B53" s="425">
        <v>9353337</v>
      </c>
      <c r="C53" s="216" t="s">
        <v>1182</v>
      </c>
      <c r="D53" s="217">
        <v>1</v>
      </c>
      <c r="E53" s="391"/>
      <c r="F53" s="262"/>
      <c r="G53" s="272">
        <v>557.82863999999995</v>
      </c>
      <c r="H53" s="141" t="str">
        <f>IF(G53="","",$H$10)</f>
        <v>CZK</v>
      </c>
      <c r="I53" s="409" t="s">
        <v>47</v>
      </c>
      <c r="J53" s="625" t="s">
        <v>1882</v>
      </c>
      <c r="L53" s="86" t="e">
        <f>VLOOKUP(B53,$B$11:B52,1,FALSE)</f>
        <v>#N/A</v>
      </c>
      <c r="M53" s="256">
        <f>G53*(1-FORM!$AE$28/100)</f>
        <v>557.82863999999995</v>
      </c>
      <c r="AA53" s="463"/>
      <c r="AB53" s="462"/>
      <c r="AC53" s="462"/>
      <c r="AD53" s="464"/>
      <c r="AE53" s="465"/>
    </row>
    <row r="54" spans="1:31" ht="14.4">
      <c r="A54" s="130"/>
      <c r="B54" s="425">
        <v>9353338</v>
      </c>
      <c r="C54" s="216" t="s">
        <v>1183</v>
      </c>
      <c r="D54" s="217">
        <v>1</v>
      </c>
      <c r="E54" s="391"/>
      <c r="F54" s="262"/>
      <c r="G54" s="272">
        <v>565.42625999999996</v>
      </c>
      <c r="H54" s="141" t="str">
        <f>IF(G54="","",$H$10)</f>
        <v>CZK</v>
      </c>
      <c r="I54" s="409" t="s">
        <v>47</v>
      </c>
      <c r="J54" s="625" t="s">
        <v>1883</v>
      </c>
      <c r="L54" s="86" t="e">
        <f>VLOOKUP(B54,$B$11:B53,1,FALSE)</f>
        <v>#N/A</v>
      </c>
      <c r="M54" s="256">
        <f>G54*(1-FORM!$AE$28/100)</f>
        <v>565.42625999999996</v>
      </c>
      <c r="AA54" s="463"/>
      <c r="AB54" s="462"/>
      <c r="AC54" s="462"/>
      <c r="AD54" s="464"/>
      <c r="AE54" s="465"/>
    </row>
    <row r="55" spans="1:31" ht="14.4">
      <c r="A55" s="130"/>
      <c r="B55" s="425">
        <v>9353339</v>
      </c>
      <c r="C55" s="216" t="s">
        <v>1184</v>
      </c>
      <c r="D55" s="217">
        <v>1</v>
      </c>
      <c r="E55" s="391"/>
      <c r="F55" s="262"/>
      <c r="G55" s="272">
        <v>557.79244000000006</v>
      </c>
      <c r="H55" s="141" t="str">
        <f>IF(G55="","",$H$10)</f>
        <v>CZK</v>
      </c>
      <c r="I55" s="409" t="s">
        <v>47</v>
      </c>
      <c r="J55" s="625" t="s">
        <v>1884</v>
      </c>
      <c r="L55" s="86" t="e">
        <f>VLOOKUP(B55,$B$11:B54,1,FALSE)</f>
        <v>#N/A</v>
      </c>
      <c r="M55" s="256">
        <f>G55*(1-FORM!$AE$28/100)</f>
        <v>557.79244000000006</v>
      </c>
      <c r="AA55" s="463"/>
      <c r="AB55" s="462"/>
      <c r="AC55" s="462"/>
      <c r="AD55" s="464"/>
      <c r="AE55" s="465"/>
    </row>
    <row r="56" spans="1:31" ht="14.4">
      <c r="A56" s="130"/>
      <c r="B56" s="425">
        <v>9353340</v>
      </c>
      <c r="C56" s="216" t="s">
        <v>1185</v>
      </c>
      <c r="D56" s="217">
        <v>1</v>
      </c>
      <c r="E56" s="391"/>
      <c r="F56" s="262"/>
      <c r="G56" s="272">
        <v>565.19020999999998</v>
      </c>
      <c r="H56" s="141" t="str">
        <f t="shared" ref="H56:H62" si="2">IF(G56="","",$H$10)</f>
        <v>CZK</v>
      </c>
      <c r="I56" s="409" t="s">
        <v>47</v>
      </c>
      <c r="J56" s="625" t="s">
        <v>1885</v>
      </c>
      <c r="L56" s="86" t="e">
        <f>VLOOKUP(B56,$B$11:B55,1,FALSE)</f>
        <v>#N/A</v>
      </c>
      <c r="M56" s="256">
        <f>G56*(1-FORM!$AE$28/100)</f>
        <v>565.19020999999998</v>
      </c>
      <c r="AA56" s="463"/>
      <c r="AB56" s="462"/>
      <c r="AC56" s="462"/>
      <c r="AD56" s="464"/>
      <c r="AE56" s="465"/>
    </row>
    <row r="57" spans="1:31" ht="14.4">
      <c r="A57" s="130"/>
      <c r="B57" s="425">
        <v>9353341</v>
      </c>
      <c r="C57" s="216" t="s">
        <v>1186</v>
      </c>
      <c r="D57" s="217">
        <v>1</v>
      </c>
      <c r="E57" s="391"/>
      <c r="F57" s="262"/>
      <c r="G57" s="272">
        <v>588.23680999999999</v>
      </c>
      <c r="H57" s="141" t="str">
        <f t="shared" si="2"/>
        <v>CZK</v>
      </c>
      <c r="I57" s="409" t="s">
        <v>47</v>
      </c>
      <c r="J57" s="625" t="s">
        <v>1886</v>
      </c>
      <c r="L57" s="86" t="e">
        <f>VLOOKUP(B57,$B$11:B56,1,FALSE)</f>
        <v>#N/A</v>
      </c>
      <c r="M57" s="256">
        <f>G57*(1-FORM!$AE$28/100)</f>
        <v>588.23680999999999</v>
      </c>
      <c r="AA57" s="463"/>
      <c r="AB57" s="462"/>
      <c r="AC57" s="462"/>
      <c r="AD57" s="464"/>
      <c r="AE57" s="465"/>
    </row>
    <row r="58" spans="1:31" ht="14.4">
      <c r="A58" s="130"/>
      <c r="B58" s="425">
        <v>9353342</v>
      </c>
      <c r="C58" s="216" t="s">
        <v>1187</v>
      </c>
      <c r="D58" s="217">
        <v>1</v>
      </c>
      <c r="E58" s="391"/>
      <c r="F58" s="262"/>
      <c r="G58" s="272">
        <v>600.62784999999997</v>
      </c>
      <c r="H58" s="141" t="str">
        <f t="shared" si="2"/>
        <v>CZK</v>
      </c>
      <c r="I58" s="409" t="s">
        <v>47</v>
      </c>
      <c r="J58" s="625" t="s">
        <v>1887</v>
      </c>
      <c r="L58" s="86" t="e">
        <f>VLOOKUP(B58,$B$11:B57,1,FALSE)</f>
        <v>#N/A</v>
      </c>
      <c r="M58" s="256">
        <f>G58*(1-FORM!$AE$28/100)</f>
        <v>600.62784999999997</v>
      </c>
      <c r="AA58" s="463"/>
      <c r="AB58" s="462"/>
      <c r="AC58" s="462"/>
      <c r="AD58" s="464"/>
      <c r="AE58" s="465"/>
    </row>
    <row r="59" spans="1:31" ht="14.4">
      <c r="A59" s="130"/>
      <c r="B59" s="426">
        <v>9353343</v>
      </c>
      <c r="C59" s="304" t="s">
        <v>1188</v>
      </c>
      <c r="D59" s="226">
        <v>1</v>
      </c>
      <c r="E59" s="396"/>
      <c r="F59" s="268"/>
      <c r="G59" s="272">
        <v>618.65596000000005</v>
      </c>
      <c r="H59" s="142" t="str">
        <f t="shared" si="2"/>
        <v>CZK</v>
      </c>
      <c r="I59" s="417" t="s">
        <v>47</v>
      </c>
      <c r="J59" s="626" t="s">
        <v>1888</v>
      </c>
      <c r="L59" s="86" t="e">
        <f>VLOOKUP(B59,$B$11:B58,1,FALSE)</f>
        <v>#N/A</v>
      </c>
      <c r="M59" s="256">
        <f>G59*(1-FORM!$AE$28/100)</f>
        <v>618.65596000000005</v>
      </c>
      <c r="AA59" s="463"/>
      <c r="AB59" s="462"/>
      <c r="AC59" s="462"/>
      <c r="AD59" s="464"/>
      <c r="AE59" s="465"/>
    </row>
    <row r="60" spans="1:31" ht="14.4">
      <c r="A60" s="137"/>
      <c r="B60" s="424">
        <v>9353383</v>
      </c>
      <c r="C60" s="222" t="s">
        <v>1189</v>
      </c>
      <c r="D60" s="223">
        <v>1</v>
      </c>
      <c r="E60" s="395"/>
      <c r="F60" s="266"/>
      <c r="G60" s="272">
        <v>545.66444999999999</v>
      </c>
      <c r="H60" s="211" t="str">
        <f t="shared" si="2"/>
        <v>CZK</v>
      </c>
      <c r="I60" s="416" t="s">
        <v>47</v>
      </c>
      <c r="J60" s="627" t="s">
        <v>1918</v>
      </c>
      <c r="L60" s="86" t="e">
        <f>VLOOKUP(B60,$B$11:B59,1,FALSE)</f>
        <v>#N/A</v>
      </c>
      <c r="M60" s="256">
        <f>G60*(1-FORM!$AE$28/100)</f>
        <v>545.66444999999999</v>
      </c>
      <c r="AA60" s="463"/>
      <c r="AB60" s="462"/>
      <c r="AC60" s="462"/>
      <c r="AD60" s="464"/>
      <c r="AE60" s="465"/>
    </row>
    <row r="61" spans="1:31" ht="14.4">
      <c r="A61" s="137"/>
      <c r="B61" s="425">
        <v>9353384</v>
      </c>
      <c r="C61" s="216" t="s">
        <v>1190</v>
      </c>
      <c r="D61" s="217">
        <v>1</v>
      </c>
      <c r="E61" s="391"/>
      <c r="F61" s="262"/>
      <c r="G61" s="272">
        <v>550.21777999999995</v>
      </c>
      <c r="H61" s="141" t="str">
        <f t="shared" si="2"/>
        <v>CZK</v>
      </c>
      <c r="I61" s="409" t="s">
        <v>47</v>
      </c>
      <c r="J61" s="625" t="s">
        <v>1919</v>
      </c>
      <c r="L61" s="86" t="e">
        <f>VLOOKUP(B61,$B$11:B60,1,FALSE)</f>
        <v>#N/A</v>
      </c>
      <c r="M61" s="256">
        <f>G61*(1-FORM!$AE$28/100)</f>
        <v>550.21777999999995</v>
      </c>
      <c r="AA61" s="463"/>
      <c r="AB61" s="462"/>
      <c r="AC61" s="462"/>
      <c r="AD61" s="464"/>
      <c r="AE61" s="465"/>
    </row>
    <row r="62" spans="1:31" ht="14.4">
      <c r="A62" s="137"/>
      <c r="B62" s="425">
        <v>9353385</v>
      </c>
      <c r="C62" s="216" t="s">
        <v>1191</v>
      </c>
      <c r="D62" s="217">
        <v>1</v>
      </c>
      <c r="E62" s="391"/>
      <c r="F62" s="262"/>
      <c r="G62" s="272">
        <v>557.82863999999995</v>
      </c>
      <c r="H62" s="141" t="str">
        <f t="shared" si="2"/>
        <v>CZK</v>
      </c>
      <c r="I62" s="409" t="s">
        <v>47</v>
      </c>
      <c r="J62" s="625" t="s">
        <v>1920</v>
      </c>
      <c r="L62" s="86" t="e">
        <f>VLOOKUP(B62,$B$11:B61,1,FALSE)</f>
        <v>#N/A</v>
      </c>
      <c r="M62" s="256">
        <f>G62*(1-FORM!$AE$28/100)</f>
        <v>557.82863999999995</v>
      </c>
      <c r="AA62" s="463"/>
      <c r="AB62" s="462"/>
      <c r="AC62" s="462"/>
      <c r="AD62" s="464"/>
      <c r="AE62" s="465"/>
    </row>
    <row r="63" spans="1:31" ht="14.4">
      <c r="A63" s="137"/>
      <c r="B63" s="425">
        <v>9353386</v>
      </c>
      <c r="C63" s="216" t="s">
        <v>1192</v>
      </c>
      <c r="D63" s="217">
        <v>1</v>
      </c>
      <c r="E63" s="391"/>
      <c r="F63" s="262"/>
      <c r="G63" s="272">
        <v>565.42625999999996</v>
      </c>
      <c r="H63" s="141" t="str">
        <f t="shared" ref="H63:H75" si="3">IF(G63="","",$H$10)</f>
        <v>CZK</v>
      </c>
      <c r="I63" s="409" t="s">
        <v>47</v>
      </c>
      <c r="J63" s="625" t="s">
        <v>1921</v>
      </c>
      <c r="L63" s="86" t="e">
        <f>VLOOKUP(B63,$B$11:B62,1,FALSE)</f>
        <v>#N/A</v>
      </c>
      <c r="M63" s="256">
        <f>G63*(1-FORM!$AE$28/100)</f>
        <v>565.42625999999996</v>
      </c>
      <c r="AA63" s="463"/>
      <c r="AB63" s="462"/>
      <c r="AC63" s="462"/>
      <c r="AD63" s="464"/>
      <c r="AE63" s="465"/>
    </row>
    <row r="64" spans="1:31" ht="14.4">
      <c r="A64" s="137"/>
      <c r="B64" s="425">
        <v>9353387</v>
      </c>
      <c r="C64" s="216" t="s">
        <v>1193</v>
      </c>
      <c r="D64" s="217">
        <v>1</v>
      </c>
      <c r="E64" s="391"/>
      <c r="F64" s="262"/>
      <c r="G64" s="272">
        <v>557.79244000000006</v>
      </c>
      <c r="H64" s="141" t="str">
        <f t="shared" si="3"/>
        <v>CZK</v>
      </c>
      <c r="I64" s="409" t="s">
        <v>47</v>
      </c>
      <c r="J64" s="625" t="s">
        <v>1922</v>
      </c>
      <c r="L64" s="86" t="e">
        <f>VLOOKUP(B64,$B$11:B63,1,FALSE)</f>
        <v>#N/A</v>
      </c>
      <c r="M64" s="256">
        <f>G64*(1-FORM!$AE$28/100)</f>
        <v>557.79244000000006</v>
      </c>
      <c r="AA64" s="463"/>
      <c r="AB64" s="462"/>
      <c r="AC64" s="462"/>
      <c r="AD64" s="464"/>
      <c r="AE64" s="465"/>
    </row>
    <row r="65" spans="1:31" ht="14.4">
      <c r="A65" s="137"/>
      <c r="B65" s="425">
        <v>9353388</v>
      </c>
      <c r="C65" s="216" t="s">
        <v>1194</v>
      </c>
      <c r="D65" s="217">
        <v>1</v>
      </c>
      <c r="E65" s="391"/>
      <c r="F65" s="262"/>
      <c r="G65" s="272">
        <v>140.38505000000001</v>
      </c>
      <c r="H65" s="141" t="str">
        <f t="shared" si="3"/>
        <v>CZK</v>
      </c>
      <c r="I65" s="409" t="s">
        <v>47</v>
      </c>
      <c r="J65" s="625" t="s">
        <v>1995</v>
      </c>
      <c r="L65" s="86" t="e">
        <f>VLOOKUP(B65,$B$11:B64,1,FALSE)</f>
        <v>#N/A</v>
      </c>
      <c r="M65" s="256">
        <f>G65*(1-FORM!$AE$28/100)</f>
        <v>140.38505000000001</v>
      </c>
      <c r="AA65" s="463"/>
      <c r="AB65" s="462"/>
      <c r="AC65" s="462"/>
      <c r="AD65" s="464"/>
      <c r="AE65" s="465"/>
    </row>
    <row r="66" spans="1:31" ht="14.4">
      <c r="A66" s="137"/>
      <c r="B66" s="425">
        <v>9353389</v>
      </c>
      <c r="C66" s="216" t="s">
        <v>1195</v>
      </c>
      <c r="D66" s="217">
        <v>1</v>
      </c>
      <c r="E66" s="391"/>
      <c r="F66" s="262"/>
      <c r="G66" s="272">
        <v>588.23680999999999</v>
      </c>
      <c r="H66" s="141" t="str">
        <f t="shared" si="3"/>
        <v>CZK</v>
      </c>
      <c r="I66" s="409" t="s">
        <v>47</v>
      </c>
      <c r="J66" s="625" t="s">
        <v>1923</v>
      </c>
      <c r="L66" s="86" t="e">
        <f>VLOOKUP(B66,$B$11:B65,1,FALSE)</f>
        <v>#N/A</v>
      </c>
      <c r="M66" s="256">
        <f>G66*(1-FORM!$AE$28/100)</f>
        <v>588.23680999999999</v>
      </c>
      <c r="AA66" s="463"/>
      <c r="AB66" s="462"/>
      <c r="AC66" s="462"/>
      <c r="AD66" s="464"/>
      <c r="AE66" s="465"/>
    </row>
    <row r="67" spans="1:31" ht="14.4">
      <c r="A67" s="137"/>
      <c r="B67" s="425">
        <v>9353390</v>
      </c>
      <c r="C67" s="216" t="s">
        <v>1196</v>
      </c>
      <c r="D67" s="217">
        <v>1</v>
      </c>
      <c r="E67" s="391"/>
      <c r="F67" s="262"/>
      <c r="G67" s="272">
        <v>600.62784999999997</v>
      </c>
      <c r="H67" s="141" t="str">
        <f t="shared" si="3"/>
        <v>CZK</v>
      </c>
      <c r="I67" s="409" t="s">
        <v>47</v>
      </c>
      <c r="J67" s="625" t="s">
        <v>1924</v>
      </c>
      <c r="L67" s="86" t="e">
        <f>VLOOKUP(B67,$B$11:B66,1,FALSE)</f>
        <v>#N/A</v>
      </c>
      <c r="M67" s="256">
        <f>G67*(1-FORM!$AE$28/100)</f>
        <v>600.62784999999997</v>
      </c>
      <c r="AA67" s="463"/>
      <c r="AB67" s="462"/>
      <c r="AC67" s="462"/>
      <c r="AD67" s="464"/>
      <c r="AE67" s="465"/>
    </row>
    <row r="68" spans="1:31" ht="14.4">
      <c r="A68" s="137"/>
      <c r="B68" s="426">
        <v>9353391</v>
      </c>
      <c r="C68" s="304" t="s">
        <v>1197</v>
      </c>
      <c r="D68" s="226">
        <v>1</v>
      </c>
      <c r="E68" s="396"/>
      <c r="F68" s="268"/>
      <c r="G68" s="272">
        <v>618.65596000000005</v>
      </c>
      <c r="H68" s="142" t="str">
        <f t="shared" si="3"/>
        <v>CZK</v>
      </c>
      <c r="I68" s="417" t="s">
        <v>47</v>
      </c>
      <c r="J68" s="626" t="s">
        <v>1925</v>
      </c>
      <c r="L68" s="86" t="e">
        <f>VLOOKUP(B68,$B$11:B67,1,FALSE)</f>
        <v>#N/A</v>
      </c>
      <c r="M68" s="256">
        <f>G68*(1-FORM!$AE$28/100)</f>
        <v>618.65596000000005</v>
      </c>
      <c r="AA68" s="463"/>
      <c r="AB68" s="462"/>
      <c r="AC68" s="462"/>
      <c r="AD68" s="464"/>
      <c r="AE68" s="465"/>
    </row>
    <row r="69" spans="1:31" ht="14.4">
      <c r="A69" s="139"/>
      <c r="B69" s="424">
        <v>9353421</v>
      </c>
      <c r="C69" s="222" t="s">
        <v>1198</v>
      </c>
      <c r="D69" s="223">
        <v>1</v>
      </c>
      <c r="E69" s="395"/>
      <c r="F69" s="266"/>
      <c r="G69" s="272">
        <v>545.66444999999999</v>
      </c>
      <c r="H69" s="211" t="str">
        <f t="shared" si="3"/>
        <v>CZK</v>
      </c>
      <c r="I69" s="416" t="s">
        <v>47</v>
      </c>
      <c r="J69" s="627" t="s">
        <v>1955</v>
      </c>
      <c r="L69" s="86" t="e">
        <f>VLOOKUP(B69,$B$11:B68,1,FALSE)</f>
        <v>#N/A</v>
      </c>
      <c r="M69" s="256">
        <f>G69*(1-FORM!$AE$28/100)</f>
        <v>545.66444999999999</v>
      </c>
      <c r="AA69" s="463"/>
      <c r="AB69" s="462"/>
      <c r="AC69" s="462"/>
      <c r="AD69" s="464"/>
      <c r="AE69" s="465"/>
    </row>
    <row r="70" spans="1:31" ht="14.4">
      <c r="A70" s="139"/>
      <c r="B70" s="425">
        <v>9353422</v>
      </c>
      <c r="C70" s="216" t="s">
        <v>1199</v>
      </c>
      <c r="D70" s="217">
        <v>1</v>
      </c>
      <c r="E70" s="391"/>
      <c r="F70" s="262"/>
      <c r="G70" s="272">
        <v>550.21777999999995</v>
      </c>
      <c r="H70" s="141" t="str">
        <f t="shared" si="3"/>
        <v>CZK</v>
      </c>
      <c r="I70" s="409" t="s">
        <v>47</v>
      </c>
      <c r="J70" s="625" t="s">
        <v>1956</v>
      </c>
      <c r="L70" s="86" t="e">
        <f>VLOOKUP(B70,$B$11:B69,1,FALSE)</f>
        <v>#N/A</v>
      </c>
      <c r="M70" s="256">
        <f>G70*(1-FORM!$AE$28/100)</f>
        <v>550.21777999999995</v>
      </c>
      <c r="AA70" s="463"/>
      <c r="AB70" s="462"/>
      <c r="AC70" s="462"/>
      <c r="AD70" s="464"/>
      <c r="AE70" s="465"/>
    </row>
    <row r="71" spans="1:31" ht="14.4">
      <c r="A71" s="139"/>
      <c r="B71" s="425">
        <v>9353423</v>
      </c>
      <c r="C71" s="216" t="s">
        <v>1200</v>
      </c>
      <c r="D71" s="217">
        <v>1</v>
      </c>
      <c r="E71" s="391"/>
      <c r="F71" s="262"/>
      <c r="G71" s="272">
        <v>557.82863999999995</v>
      </c>
      <c r="H71" s="141" t="str">
        <f t="shared" si="3"/>
        <v>CZK</v>
      </c>
      <c r="I71" s="409" t="s">
        <v>47</v>
      </c>
      <c r="J71" s="625" t="s">
        <v>1957</v>
      </c>
      <c r="L71" s="86" t="e">
        <f>VLOOKUP(B71,$B$11:B70,1,FALSE)</f>
        <v>#N/A</v>
      </c>
      <c r="M71" s="256">
        <f>G71*(1-FORM!$AE$28/100)</f>
        <v>557.82863999999995</v>
      </c>
      <c r="AA71" s="463"/>
      <c r="AB71" s="462"/>
      <c r="AC71" s="462"/>
      <c r="AD71" s="464"/>
      <c r="AE71" s="465"/>
    </row>
    <row r="72" spans="1:31" ht="14.4">
      <c r="A72" s="139"/>
      <c r="B72" s="425">
        <v>9353424</v>
      </c>
      <c r="C72" s="216" t="s">
        <v>1201</v>
      </c>
      <c r="D72" s="217">
        <v>1</v>
      </c>
      <c r="E72" s="391"/>
      <c r="F72" s="262"/>
      <c r="G72" s="272">
        <v>565.42625999999996</v>
      </c>
      <c r="H72" s="141" t="str">
        <f t="shared" si="3"/>
        <v>CZK</v>
      </c>
      <c r="I72" s="409" t="s">
        <v>47</v>
      </c>
      <c r="J72" s="625" t="s">
        <v>1958</v>
      </c>
      <c r="L72" s="86" t="e">
        <f>VLOOKUP(B72,$B$11:B71,1,FALSE)</f>
        <v>#N/A</v>
      </c>
      <c r="M72" s="256">
        <f>G72*(1-FORM!$AE$28/100)</f>
        <v>565.42625999999996</v>
      </c>
      <c r="AA72" s="463"/>
      <c r="AB72" s="462"/>
      <c r="AC72" s="462"/>
      <c r="AD72" s="464"/>
      <c r="AE72" s="465"/>
    </row>
    <row r="73" spans="1:31" ht="14.4">
      <c r="A73" s="139"/>
      <c r="B73" s="425">
        <v>9353425</v>
      </c>
      <c r="C73" s="216" t="s">
        <v>1202</v>
      </c>
      <c r="D73" s="217">
        <v>1</v>
      </c>
      <c r="E73" s="391"/>
      <c r="F73" s="262"/>
      <c r="G73" s="272">
        <v>557.79244000000006</v>
      </c>
      <c r="H73" s="141" t="str">
        <f t="shared" si="3"/>
        <v>CZK</v>
      </c>
      <c r="I73" s="409" t="s">
        <v>47</v>
      </c>
      <c r="J73" s="625" t="s">
        <v>1959</v>
      </c>
      <c r="L73" s="86" t="e">
        <f>VLOOKUP(B73,$B$11:B72,1,FALSE)</f>
        <v>#N/A</v>
      </c>
      <c r="M73" s="256">
        <f>G73*(1-FORM!$AE$28/100)</f>
        <v>557.79244000000006</v>
      </c>
      <c r="AA73" s="463"/>
      <c r="AB73" s="462"/>
      <c r="AC73" s="462"/>
      <c r="AD73" s="464"/>
      <c r="AE73" s="465"/>
    </row>
    <row r="74" spans="1:31" ht="14.4">
      <c r="A74" s="139"/>
      <c r="B74" s="425">
        <v>9353426</v>
      </c>
      <c r="C74" s="216" t="s">
        <v>1203</v>
      </c>
      <c r="D74" s="217">
        <v>1</v>
      </c>
      <c r="E74" s="391"/>
      <c r="F74" s="262"/>
      <c r="G74" s="272">
        <v>565.19020999999998</v>
      </c>
      <c r="H74" s="141" t="str">
        <f t="shared" si="3"/>
        <v>CZK</v>
      </c>
      <c r="I74" s="409" t="s">
        <v>47</v>
      </c>
      <c r="J74" s="625" t="s">
        <v>1960</v>
      </c>
      <c r="L74" s="86" t="e">
        <f>VLOOKUP(B74,$B$11:B73,1,FALSE)</f>
        <v>#N/A</v>
      </c>
      <c r="M74" s="256">
        <f>G74*(1-FORM!$AE$28/100)</f>
        <v>565.19020999999998</v>
      </c>
      <c r="AA74" s="463"/>
      <c r="AB74" s="462"/>
      <c r="AC74" s="462"/>
      <c r="AD74" s="464"/>
      <c r="AE74" s="465"/>
    </row>
    <row r="75" spans="1:31" ht="14.4">
      <c r="A75" s="139"/>
      <c r="B75" s="425">
        <v>9353427</v>
      </c>
      <c r="C75" s="216" t="s">
        <v>630</v>
      </c>
      <c r="D75" s="217">
        <v>1</v>
      </c>
      <c r="E75" s="391"/>
      <c r="F75" s="262"/>
      <c r="G75" s="272">
        <v>588.23680999999999</v>
      </c>
      <c r="H75" s="141" t="str">
        <f t="shared" si="3"/>
        <v>CZK</v>
      </c>
      <c r="I75" s="409" t="s">
        <v>47</v>
      </c>
      <c r="J75" s="625" t="s">
        <v>1961</v>
      </c>
      <c r="L75" s="86" t="e">
        <f>VLOOKUP(B75,$B$11:B74,1,FALSE)</f>
        <v>#N/A</v>
      </c>
      <c r="M75" s="256">
        <f>G75*(1-FORM!$AE$28/100)</f>
        <v>588.23680999999999</v>
      </c>
      <c r="AA75" s="463"/>
      <c r="AB75" s="462"/>
      <c r="AC75" s="462"/>
      <c r="AD75" s="464"/>
      <c r="AE75" s="465"/>
    </row>
    <row r="76" spans="1:31" ht="14.4">
      <c r="A76" s="139"/>
      <c r="B76" s="425">
        <v>9353428</v>
      </c>
      <c r="C76" s="216" t="s">
        <v>631</v>
      </c>
      <c r="D76" s="217">
        <v>1</v>
      </c>
      <c r="E76" s="391"/>
      <c r="F76" s="262"/>
      <c r="G76" s="272">
        <v>600.62784999999997</v>
      </c>
      <c r="H76" s="141" t="str">
        <f>IF(G76="","",$H$10)</f>
        <v>CZK</v>
      </c>
      <c r="I76" s="409" t="s">
        <v>47</v>
      </c>
      <c r="J76" s="625" t="s">
        <v>1962</v>
      </c>
      <c r="L76" s="86" t="e">
        <f>VLOOKUP(B76,$B$11:B75,1,FALSE)</f>
        <v>#N/A</v>
      </c>
      <c r="M76" s="256">
        <f>G76*(1-FORM!$AE$28/100)</f>
        <v>600.62784999999997</v>
      </c>
      <c r="AA76" s="463"/>
      <c r="AB76" s="462"/>
      <c r="AC76" s="462"/>
      <c r="AD76" s="464"/>
      <c r="AE76" s="465"/>
    </row>
    <row r="77" spans="1:31" ht="14.4">
      <c r="A77" s="139"/>
      <c r="B77" s="426">
        <v>9353429</v>
      </c>
      <c r="C77" s="304" t="s">
        <v>632</v>
      </c>
      <c r="D77" s="226">
        <v>1</v>
      </c>
      <c r="E77" s="396"/>
      <c r="F77" s="268"/>
      <c r="G77" s="272">
        <v>618.65596000000005</v>
      </c>
      <c r="H77" s="142" t="str">
        <f t="shared" ref="H77:H84" si="4">IF(G77="","",$H$10)</f>
        <v>CZK</v>
      </c>
      <c r="I77" s="417" t="s">
        <v>47</v>
      </c>
      <c r="J77" s="626" t="s">
        <v>1963</v>
      </c>
      <c r="L77" s="86" t="e">
        <f>VLOOKUP(B77,$B$11:B76,1,FALSE)</f>
        <v>#N/A</v>
      </c>
      <c r="M77" s="256">
        <f>G77*(1-FORM!$AE$28/100)</f>
        <v>618.65596000000005</v>
      </c>
      <c r="AA77" s="463"/>
      <c r="AB77" s="462"/>
      <c r="AC77" s="462"/>
      <c r="AD77" s="464"/>
      <c r="AE77" s="465"/>
    </row>
    <row r="78" spans="1:31" ht="14.4">
      <c r="B78" s="302">
        <v>9257702</v>
      </c>
      <c r="C78" s="15" t="s">
        <v>633</v>
      </c>
      <c r="D78" s="221">
        <v>200</v>
      </c>
      <c r="E78" s="394"/>
      <c r="F78" s="265"/>
      <c r="G78" s="272">
        <v>15.54837</v>
      </c>
      <c r="H78" s="136" t="str">
        <f t="shared" si="4"/>
        <v>CZK</v>
      </c>
      <c r="I78" s="414" t="s">
        <v>47</v>
      </c>
      <c r="J78" s="628" t="s">
        <v>1733</v>
      </c>
      <c r="L78" s="86" t="e">
        <f>VLOOKUP(B78,$B$11:B77,1,FALSE)</f>
        <v>#N/A</v>
      </c>
      <c r="M78" s="256">
        <f>G78*(1-FORM!$AE$28/100)</f>
        <v>15.54837</v>
      </c>
      <c r="AA78" s="463"/>
      <c r="AB78" s="462"/>
      <c r="AC78" s="462"/>
      <c r="AD78" s="464"/>
      <c r="AE78" s="465"/>
    </row>
    <row r="79" spans="1:31" ht="14.4">
      <c r="A79" s="130"/>
      <c r="B79" s="301">
        <v>9255008</v>
      </c>
      <c r="C79" s="222" t="s">
        <v>634</v>
      </c>
      <c r="D79" s="223">
        <v>20</v>
      </c>
      <c r="E79" s="395"/>
      <c r="F79" s="266"/>
      <c r="G79" s="272">
        <v>208.07782</v>
      </c>
      <c r="H79" s="211" t="str">
        <f t="shared" si="4"/>
        <v>CZK</v>
      </c>
      <c r="I79" s="416" t="s">
        <v>47</v>
      </c>
      <c r="J79" s="627" t="s">
        <v>1335</v>
      </c>
      <c r="L79" s="86" t="e">
        <f>VLOOKUP(B79,$B$11:B78,1,FALSE)</f>
        <v>#N/A</v>
      </c>
      <c r="M79" s="256">
        <f>G79*(1-FORM!$AE$28/100)</f>
        <v>208.07782</v>
      </c>
      <c r="AA79" s="463"/>
      <c r="AB79" s="462"/>
      <c r="AC79" s="462"/>
      <c r="AD79" s="464"/>
      <c r="AE79" s="465"/>
    </row>
    <row r="80" spans="1:31" ht="14.4">
      <c r="A80" s="130"/>
      <c r="B80" s="298">
        <v>9255009</v>
      </c>
      <c r="C80" s="216" t="s">
        <v>635</v>
      </c>
      <c r="D80" s="217">
        <v>20</v>
      </c>
      <c r="E80" s="391"/>
      <c r="F80" s="262"/>
      <c r="G80" s="272">
        <v>208.07782</v>
      </c>
      <c r="H80" s="141" t="str">
        <f t="shared" si="4"/>
        <v>CZK</v>
      </c>
      <c r="I80" s="409" t="s">
        <v>47</v>
      </c>
      <c r="J80" s="625" t="s">
        <v>1336</v>
      </c>
      <c r="L80" s="86" t="e">
        <f>VLOOKUP(B80,$B$11:B79,1,FALSE)</f>
        <v>#N/A</v>
      </c>
      <c r="M80" s="256">
        <f>G80*(1-FORM!$AE$28/100)</f>
        <v>208.07782</v>
      </c>
      <c r="AA80" s="463"/>
      <c r="AB80" s="462"/>
      <c r="AC80" s="462"/>
      <c r="AD80" s="464"/>
      <c r="AE80" s="465"/>
    </row>
    <row r="81" spans="1:31" ht="14.4">
      <c r="A81" s="130"/>
      <c r="B81" s="298">
        <v>9255010</v>
      </c>
      <c r="C81" s="216" t="s">
        <v>636</v>
      </c>
      <c r="D81" s="217">
        <v>20</v>
      </c>
      <c r="E81" s="391"/>
      <c r="F81" s="262"/>
      <c r="G81" s="272">
        <v>210.40101000000001</v>
      </c>
      <c r="H81" s="141" t="str">
        <f t="shared" si="4"/>
        <v>CZK</v>
      </c>
      <c r="I81" s="409" t="s">
        <v>47</v>
      </c>
      <c r="J81" s="625" t="s">
        <v>1337</v>
      </c>
      <c r="L81" s="86" t="e">
        <f>VLOOKUP(B81,$B$11:B80,1,FALSE)</f>
        <v>#N/A</v>
      </c>
      <c r="M81" s="256">
        <f>G81*(1-FORM!$AE$28/100)</f>
        <v>210.40101000000001</v>
      </c>
      <c r="AA81" s="463"/>
      <c r="AB81" s="462"/>
      <c r="AC81" s="462"/>
      <c r="AD81" s="464"/>
      <c r="AE81" s="465"/>
    </row>
    <row r="82" spans="1:31" ht="14.4">
      <c r="A82" s="130"/>
      <c r="B82" s="298">
        <v>9255011</v>
      </c>
      <c r="C82" s="216" t="s">
        <v>637</v>
      </c>
      <c r="D82" s="217">
        <v>20</v>
      </c>
      <c r="E82" s="391"/>
      <c r="F82" s="262"/>
      <c r="G82" s="272">
        <v>210.40101000000001</v>
      </c>
      <c r="H82" s="141" t="str">
        <f t="shared" si="4"/>
        <v>CZK</v>
      </c>
      <c r="I82" s="409" t="s">
        <v>47</v>
      </c>
      <c r="J82" s="625" t="s">
        <v>1338</v>
      </c>
      <c r="L82" s="86" t="e">
        <f>VLOOKUP(B82,$B$11:B81,1,FALSE)</f>
        <v>#N/A</v>
      </c>
      <c r="M82" s="256">
        <f>G82*(1-FORM!$AE$28/100)</f>
        <v>210.40101000000001</v>
      </c>
      <c r="AA82" s="463"/>
      <c r="AB82" s="462"/>
      <c r="AC82" s="462"/>
      <c r="AD82" s="464"/>
      <c r="AE82" s="465"/>
    </row>
    <row r="83" spans="1:31" ht="14.4">
      <c r="A83" s="130"/>
      <c r="B83" s="298">
        <v>9255012</v>
      </c>
      <c r="C83" s="216" t="s">
        <v>638</v>
      </c>
      <c r="D83" s="217">
        <v>20</v>
      </c>
      <c r="E83" s="391"/>
      <c r="F83" s="262"/>
      <c r="G83" s="272">
        <v>214.27737999999999</v>
      </c>
      <c r="H83" s="141" t="str">
        <f>IF(G83="","",$H$10)</f>
        <v>CZK</v>
      </c>
      <c r="I83" s="409" t="s">
        <v>47</v>
      </c>
      <c r="J83" s="625" t="s">
        <v>1339</v>
      </c>
      <c r="L83" s="86" t="e">
        <f>VLOOKUP(B83,$B$11:B82,1,FALSE)</f>
        <v>#N/A</v>
      </c>
      <c r="M83" s="256">
        <f>G83*(1-FORM!$AE$28/100)</f>
        <v>214.27737999999999</v>
      </c>
      <c r="AA83" s="463"/>
      <c r="AB83" s="462"/>
      <c r="AC83" s="462"/>
      <c r="AD83" s="464"/>
      <c r="AE83" s="465"/>
    </row>
    <row r="84" spans="1:31" ht="14.4">
      <c r="A84" s="130"/>
      <c r="B84" s="298">
        <v>9255013</v>
      </c>
      <c r="C84" s="216" t="s">
        <v>639</v>
      </c>
      <c r="D84" s="217">
        <v>20</v>
      </c>
      <c r="E84" s="391"/>
      <c r="F84" s="262"/>
      <c r="G84" s="272">
        <v>214.27737999999999</v>
      </c>
      <c r="H84" s="141" t="str">
        <f t="shared" si="4"/>
        <v>CZK</v>
      </c>
      <c r="I84" s="409" t="s">
        <v>47</v>
      </c>
      <c r="J84" s="625" t="s">
        <v>1340</v>
      </c>
      <c r="L84" s="86" t="e">
        <f>VLOOKUP(B84,$B$11:B83,1,FALSE)</f>
        <v>#N/A</v>
      </c>
      <c r="M84" s="256">
        <f>G84*(1-FORM!$AE$28/100)</f>
        <v>214.27737999999999</v>
      </c>
      <c r="AA84" s="463"/>
      <c r="AB84" s="462"/>
      <c r="AC84" s="462"/>
      <c r="AD84" s="464"/>
      <c r="AE84" s="465"/>
    </row>
    <row r="85" spans="1:31" ht="14.4">
      <c r="A85" s="130"/>
      <c r="B85" s="298">
        <v>9255014</v>
      </c>
      <c r="C85" s="216" t="s">
        <v>640</v>
      </c>
      <c r="D85" s="217">
        <v>20</v>
      </c>
      <c r="E85" s="391"/>
      <c r="F85" s="262"/>
      <c r="G85" s="272">
        <v>218.14608000000001</v>
      </c>
      <c r="H85" s="141" t="str">
        <f>IF(G85="","",$H$10)</f>
        <v>CZK</v>
      </c>
      <c r="I85" s="409" t="s">
        <v>47</v>
      </c>
      <c r="J85" s="625" t="s">
        <v>1341</v>
      </c>
      <c r="L85" s="86" t="e">
        <f>VLOOKUP(B85,$B$11:B84,1,FALSE)</f>
        <v>#N/A</v>
      </c>
      <c r="M85" s="256">
        <f>G85*(1-FORM!$AE$28/100)</f>
        <v>218.14608000000001</v>
      </c>
      <c r="AA85" s="463"/>
      <c r="AB85" s="462"/>
      <c r="AC85" s="462"/>
      <c r="AD85" s="464"/>
      <c r="AE85" s="465"/>
    </row>
    <row r="86" spans="1:31" ht="14.4">
      <c r="A86" s="130"/>
      <c r="B86" s="298">
        <v>9255015</v>
      </c>
      <c r="C86" s="216" t="s">
        <v>641</v>
      </c>
      <c r="D86" s="217">
        <v>20</v>
      </c>
      <c r="E86" s="391"/>
      <c r="F86" s="262"/>
      <c r="G86" s="272">
        <v>218.14608000000001</v>
      </c>
      <c r="H86" s="141" t="str">
        <f>IF(G86="","",$H$10)</f>
        <v>CZK</v>
      </c>
      <c r="I86" s="409" t="s">
        <v>47</v>
      </c>
      <c r="J86" s="625" t="s">
        <v>1342</v>
      </c>
      <c r="L86" s="86" t="e">
        <f>VLOOKUP(B86,$B$11:B85,1,FALSE)</f>
        <v>#N/A</v>
      </c>
      <c r="M86" s="256">
        <f>G86*(1-FORM!$AE$28/100)</f>
        <v>218.14608000000001</v>
      </c>
      <c r="AA86" s="463"/>
      <c r="AB86" s="462"/>
      <c r="AC86" s="462"/>
      <c r="AD86" s="464"/>
      <c r="AE86" s="465"/>
    </row>
    <row r="87" spans="1:31" ht="14.4">
      <c r="A87" s="130"/>
      <c r="B87" s="298">
        <v>9255016</v>
      </c>
      <c r="C87" s="216" t="s">
        <v>642</v>
      </c>
      <c r="D87" s="217">
        <v>20</v>
      </c>
      <c r="E87" s="391"/>
      <c r="F87" s="262"/>
      <c r="G87" s="272">
        <v>222.02244999999999</v>
      </c>
      <c r="H87" s="141" t="str">
        <f>IF(G87="","",$H$10)</f>
        <v>CZK</v>
      </c>
      <c r="I87" s="409" t="s">
        <v>47</v>
      </c>
      <c r="J87" s="625" t="s">
        <v>1343</v>
      </c>
      <c r="L87" s="86" t="e">
        <f>VLOOKUP(B87,$B$11:B86,1,FALSE)</f>
        <v>#N/A</v>
      </c>
      <c r="M87" s="256">
        <f>G87*(1-FORM!$AE$28/100)</f>
        <v>222.02244999999999</v>
      </c>
      <c r="AA87" s="463"/>
      <c r="AB87" s="462"/>
      <c r="AC87" s="462"/>
      <c r="AD87" s="464"/>
      <c r="AE87" s="465"/>
    </row>
    <row r="88" spans="1:31" ht="14.4">
      <c r="A88" s="130"/>
      <c r="B88" s="298">
        <v>9255017</v>
      </c>
      <c r="C88" s="216" t="s">
        <v>643</v>
      </c>
      <c r="D88" s="217">
        <v>20</v>
      </c>
      <c r="E88" s="391"/>
      <c r="F88" s="262"/>
      <c r="G88" s="272">
        <v>222.02244999999999</v>
      </c>
      <c r="H88" s="141" t="str">
        <f>IF(G88="","",$H$10)</f>
        <v>CZK</v>
      </c>
      <c r="I88" s="409" t="s">
        <v>47</v>
      </c>
      <c r="J88" s="625" t="s">
        <v>1344</v>
      </c>
      <c r="L88" s="86" t="e">
        <f>VLOOKUP(B88,$B$11:B87,1,FALSE)</f>
        <v>#N/A</v>
      </c>
      <c r="M88" s="256">
        <f>G88*(1-FORM!$AE$28/100)</f>
        <v>222.02244999999999</v>
      </c>
      <c r="AA88" s="463"/>
      <c r="AB88" s="462"/>
      <c r="AC88" s="462"/>
      <c r="AD88" s="464"/>
      <c r="AE88" s="465"/>
    </row>
    <row r="89" spans="1:31" ht="14.4">
      <c r="A89" s="130"/>
      <c r="B89" s="298">
        <v>9255018</v>
      </c>
      <c r="C89" s="216" t="s">
        <v>644</v>
      </c>
      <c r="D89" s="217">
        <v>20</v>
      </c>
      <c r="E89" s="391"/>
      <c r="F89" s="262"/>
      <c r="G89" s="272">
        <v>219.88341</v>
      </c>
      <c r="H89" s="141" t="str">
        <f>IF(G89="","",$H$10)</f>
        <v>CZK</v>
      </c>
      <c r="I89" s="409" t="s">
        <v>47</v>
      </c>
      <c r="J89" s="625" t="s">
        <v>1345</v>
      </c>
      <c r="L89" s="86" t="e">
        <f>VLOOKUP(B89,$B$11:B88,1,FALSE)</f>
        <v>#N/A</v>
      </c>
      <c r="M89" s="256">
        <f>G89*(1-FORM!$AE$28/100)</f>
        <v>219.88341</v>
      </c>
      <c r="AA89" s="463"/>
      <c r="AB89" s="462"/>
      <c r="AC89" s="462"/>
      <c r="AD89" s="464"/>
      <c r="AE89" s="465"/>
    </row>
    <row r="90" spans="1:31" ht="14.4">
      <c r="A90" s="130"/>
      <c r="B90" s="298">
        <v>9255019</v>
      </c>
      <c r="C90" s="216" t="s">
        <v>645</v>
      </c>
      <c r="D90" s="217">
        <v>20</v>
      </c>
      <c r="E90" s="391"/>
      <c r="F90" s="262"/>
      <c r="G90" s="272">
        <v>219.88341</v>
      </c>
      <c r="H90" s="141" t="str">
        <f t="shared" ref="H90:H98" si="5">IF(G90="","",$H$10)</f>
        <v>CZK</v>
      </c>
      <c r="I90" s="409" t="s">
        <v>47</v>
      </c>
      <c r="J90" s="625" t="s">
        <v>1346</v>
      </c>
      <c r="L90" s="86" t="e">
        <f>VLOOKUP(B90,$B$11:B89,1,FALSE)</f>
        <v>#N/A</v>
      </c>
      <c r="M90" s="256">
        <f>G90*(1-FORM!$AE$28/100)</f>
        <v>219.88341</v>
      </c>
      <c r="AA90" s="463"/>
      <c r="AB90" s="462"/>
      <c r="AC90" s="462"/>
      <c r="AD90" s="464"/>
      <c r="AE90" s="465"/>
    </row>
    <row r="91" spans="1:31" ht="14.4">
      <c r="A91" s="130"/>
      <c r="B91" s="298">
        <v>9255020</v>
      </c>
      <c r="C91" s="216" t="s">
        <v>646</v>
      </c>
      <c r="D91" s="217">
        <v>20</v>
      </c>
      <c r="E91" s="391"/>
      <c r="F91" s="262"/>
      <c r="G91" s="272">
        <v>229.76492999999999</v>
      </c>
      <c r="H91" s="141" t="str">
        <f t="shared" si="5"/>
        <v>CZK</v>
      </c>
      <c r="I91" s="409" t="s">
        <v>47</v>
      </c>
      <c r="J91" s="625" t="s">
        <v>1347</v>
      </c>
      <c r="L91" s="86" t="e">
        <f>VLOOKUP(B91,$B$11:B90,1,FALSE)</f>
        <v>#N/A</v>
      </c>
      <c r="M91" s="256">
        <f>G91*(1-FORM!$AE$28/100)</f>
        <v>229.76492999999999</v>
      </c>
      <c r="AA91" s="463"/>
      <c r="AB91" s="462"/>
      <c r="AC91" s="462"/>
      <c r="AD91" s="464"/>
      <c r="AE91" s="465"/>
    </row>
    <row r="92" spans="1:31" ht="14.4">
      <c r="A92" s="130"/>
      <c r="B92" s="298">
        <v>9255021</v>
      </c>
      <c r="C92" s="216" t="s">
        <v>647</v>
      </c>
      <c r="D92" s="217">
        <v>20</v>
      </c>
      <c r="E92" s="391"/>
      <c r="F92" s="262"/>
      <c r="G92" s="272">
        <v>229.76492999999999</v>
      </c>
      <c r="H92" s="141" t="str">
        <f t="shared" si="5"/>
        <v>CZK</v>
      </c>
      <c r="I92" s="409" t="s">
        <v>47</v>
      </c>
      <c r="J92" s="625" t="s">
        <v>1348</v>
      </c>
      <c r="L92" s="86" t="e">
        <f>VLOOKUP(B92,$B$11:B91,1,FALSE)</f>
        <v>#N/A</v>
      </c>
      <c r="M92" s="256">
        <f>G92*(1-FORM!$AE$28/100)</f>
        <v>229.76492999999999</v>
      </c>
      <c r="AA92" s="463"/>
      <c r="AB92" s="462"/>
      <c r="AC92" s="462"/>
      <c r="AD92" s="464"/>
      <c r="AE92" s="465"/>
    </row>
    <row r="93" spans="1:31" ht="14.4">
      <c r="A93" s="130"/>
      <c r="B93" s="298">
        <v>9255022</v>
      </c>
      <c r="C93" s="216" t="s">
        <v>648</v>
      </c>
      <c r="D93" s="217">
        <v>20</v>
      </c>
      <c r="E93" s="391"/>
      <c r="F93" s="262"/>
      <c r="G93" s="272">
        <v>235.60476</v>
      </c>
      <c r="H93" s="141" t="str">
        <f t="shared" si="5"/>
        <v>CZK</v>
      </c>
      <c r="I93" s="409" t="s">
        <v>47</v>
      </c>
      <c r="J93" s="625" t="s">
        <v>1349</v>
      </c>
      <c r="L93" s="86" t="e">
        <f>VLOOKUP(B93,$B$11:B92,1,FALSE)</f>
        <v>#N/A</v>
      </c>
      <c r="M93" s="256">
        <f>G93*(1-FORM!$AE$28/100)</f>
        <v>235.60476</v>
      </c>
      <c r="AA93" s="463"/>
      <c r="AB93" s="462"/>
      <c r="AC93" s="462"/>
      <c r="AD93" s="464"/>
      <c r="AE93" s="465"/>
    </row>
    <row r="94" spans="1:31" ht="14.4">
      <c r="A94" s="130"/>
      <c r="B94" s="298">
        <v>9255023</v>
      </c>
      <c r="C94" s="216" t="s">
        <v>649</v>
      </c>
      <c r="D94" s="217">
        <v>20</v>
      </c>
      <c r="E94" s="391"/>
      <c r="F94" s="262"/>
      <c r="G94" s="272">
        <v>235.60476</v>
      </c>
      <c r="H94" s="141" t="str">
        <f t="shared" si="5"/>
        <v>CZK</v>
      </c>
      <c r="I94" s="409" t="s">
        <v>47</v>
      </c>
      <c r="J94" s="625" t="s">
        <v>1350</v>
      </c>
      <c r="L94" s="86" t="e">
        <f>VLOOKUP(B94,$B$11:B93,1,FALSE)</f>
        <v>#N/A</v>
      </c>
      <c r="M94" s="256">
        <f>G94*(1-FORM!$AE$28/100)</f>
        <v>235.60476</v>
      </c>
      <c r="AA94" s="463"/>
      <c r="AB94" s="462"/>
      <c r="AC94" s="462"/>
      <c r="AD94" s="464"/>
      <c r="AE94" s="465"/>
    </row>
    <row r="95" spans="1:31" ht="14.4">
      <c r="A95" s="130"/>
      <c r="B95" s="298">
        <v>9255024</v>
      </c>
      <c r="C95" s="216" t="s">
        <v>650</v>
      </c>
      <c r="D95" s="217">
        <v>20</v>
      </c>
      <c r="E95" s="391"/>
      <c r="F95" s="262"/>
      <c r="G95" s="272">
        <v>243.54496</v>
      </c>
      <c r="H95" s="141" t="str">
        <f t="shared" si="5"/>
        <v>CZK</v>
      </c>
      <c r="I95" s="409" t="s">
        <v>47</v>
      </c>
      <c r="J95" s="625" t="s">
        <v>1351</v>
      </c>
      <c r="L95" s="86" t="e">
        <f>VLOOKUP(B95,$B$11:B94,1,FALSE)</f>
        <v>#N/A</v>
      </c>
      <c r="M95" s="256">
        <f>G95*(1-FORM!$AE$28/100)</f>
        <v>243.54496</v>
      </c>
      <c r="AA95" s="463"/>
      <c r="AB95" s="462"/>
      <c r="AC95" s="462"/>
      <c r="AD95" s="464"/>
      <c r="AE95" s="465"/>
    </row>
    <row r="96" spans="1:31" ht="14.4">
      <c r="A96" s="130"/>
      <c r="B96" s="303">
        <v>9255025</v>
      </c>
      <c r="C96" s="304" t="s">
        <v>651</v>
      </c>
      <c r="D96" s="226">
        <v>20</v>
      </c>
      <c r="E96" s="396"/>
      <c r="F96" s="268"/>
      <c r="G96" s="272">
        <v>243.54496</v>
      </c>
      <c r="H96" s="142" t="str">
        <f t="shared" si="5"/>
        <v>CZK</v>
      </c>
      <c r="I96" s="417" t="s">
        <v>47</v>
      </c>
      <c r="J96" s="626" t="s">
        <v>1352</v>
      </c>
      <c r="L96" s="86" t="e">
        <f>VLOOKUP(B96,$B$11:B95,1,FALSE)</f>
        <v>#N/A</v>
      </c>
      <c r="M96" s="256">
        <f>G96*(1-FORM!$AE$28/100)</f>
        <v>243.54496</v>
      </c>
      <c r="AA96" s="463"/>
      <c r="AB96" s="462"/>
      <c r="AC96" s="462"/>
      <c r="AD96" s="464"/>
      <c r="AE96" s="465"/>
    </row>
    <row r="97" spans="1:31" ht="14.4">
      <c r="A97" s="137"/>
      <c r="B97" s="301">
        <v>9255088</v>
      </c>
      <c r="C97" s="222" t="s">
        <v>652</v>
      </c>
      <c r="D97" s="223">
        <v>20</v>
      </c>
      <c r="E97" s="395"/>
      <c r="F97" s="266"/>
      <c r="G97" s="272">
        <v>208.07782</v>
      </c>
      <c r="H97" s="211" t="str">
        <f t="shared" si="5"/>
        <v>CZK</v>
      </c>
      <c r="I97" s="416" t="s">
        <v>47</v>
      </c>
      <c r="J97" s="627" t="s">
        <v>1409</v>
      </c>
      <c r="L97" s="86" t="e">
        <f>VLOOKUP(B97,$B$11:B96,1,FALSE)</f>
        <v>#N/A</v>
      </c>
      <c r="M97" s="256">
        <f>G97*(1-FORM!$AE$28/100)</f>
        <v>208.07782</v>
      </c>
      <c r="AA97" s="463"/>
      <c r="AB97" s="462"/>
      <c r="AC97" s="462"/>
      <c r="AD97" s="464"/>
      <c r="AE97" s="465"/>
    </row>
    <row r="98" spans="1:31" ht="14.4">
      <c r="A98" s="137"/>
      <c r="B98" s="298">
        <v>9255089</v>
      </c>
      <c r="C98" s="216" t="s">
        <v>653</v>
      </c>
      <c r="D98" s="217">
        <v>20</v>
      </c>
      <c r="E98" s="391"/>
      <c r="F98" s="262"/>
      <c r="G98" s="272">
        <v>208.07782</v>
      </c>
      <c r="H98" s="141" t="str">
        <f t="shared" si="5"/>
        <v>CZK</v>
      </c>
      <c r="I98" s="409" t="s">
        <v>47</v>
      </c>
      <c r="J98" s="625" t="s">
        <v>1410</v>
      </c>
      <c r="L98" s="86" t="e">
        <f>VLOOKUP(B98,$B$11:B97,1,FALSE)</f>
        <v>#N/A</v>
      </c>
      <c r="M98" s="256">
        <f>G98*(1-FORM!$AE$28/100)</f>
        <v>208.07782</v>
      </c>
      <c r="AA98" s="463"/>
      <c r="AB98" s="462"/>
      <c r="AC98" s="462"/>
      <c r="AD98" s="464"/>
      <c r="AE98" s="465"/>
    </row>
    <row r="99" spans="1:31" ht="14.4">
      <c r="A99" s="137"/>
      <c r="B99" s="298">
        <v>9255090</v>
      </c>
      <c r="C99" s="216" t="s">
        <v>654</v>
      </c>
      <c r="D99" s="217">
        <v>20</v>
      </c>
      <c r="E99" s="391"/>
      <c r="F99" s="262"/>
      <c r="G99" s="272">
        <v>210.40101000000001</v>
      </c>
      <c r="H99" s="141" t="str">
        <f>IF(G99="","",$H$10)</f>
        <v>CZK</v>
      </c>
      <c r="I99" s="409" t="s">
        <v>47</v>
      </c>
      <c r="J99" s="625" t="s">
        <v>1411</v>
      </c>
      <c r="L99" s="86" t="e">
        <f>VLOOKUP(B99,$B$11:B98,1,FALSE)</f>
        <v>#N/A</v>
      </c>
      <c r="M99" s="256">
        <f>G99*(1-FORM!$AE$28/100)</f>
        <v>210.40101000000001</v>
      </c>
      <c r="AA99" s="463"/>
      <c r="AB99" s="462"/>
      <c r="AC99" s="462"/>
      <c r="AD99" s="464"/>
      <c r="AE99" s="465"/>
    </row>
    <row r="100" spans="1:31" ht="14.4">
      <c r="A100" s="137"/>
      <c r="B100" s="298">
        <v>9255091</v>
      </c>
      <c r="C100" s="216" t="s">
        <v>655</v>
      </c>
      <c r="D100" s="217">
        <v>20</v>
      </c>
      <c r="E100" s="391"/>
      <c r="F100" s="262"/>
      <c r="G100" s="272">
        <v>210.40101000000001</v>
      </c>
      <c r="H100" s="141" t="str">
        <f>IF(G100="","",$H$10)</f>
        <v>CZK</v>
      </c>
      <c r="I100" s="409" t="s">
        <v>47</v>
      </c>
      <c r="J100" s="625" t="s">
        <v>1412</v>
      </c>
      <c r="L100" s="86" t="e">
        <f>VLOOKUP(B100,$B$11:B99,1,FALSE)</f>
        <v>#N/A</v>
      </c>
      <c r="M100" s="256">
        <f>G100*(1-FORM!$AE$28/100)</f>
        <v>210.40101000000001</v>
      </c>
      <c r="AA100" s="463"/>
      <c r="AB100" s="462"/>
      <c r="AC100" s="462"/>
      <c r="AD100" s="464"/>
      <c r="AE100" s="465"/>
    </row>
    <row r="101" spans="1:31" ht="14.4">
      <c r="A101" s="137"/>
      <c r="B101" s="298">
        <v>9255092</v>
      </c>
      <c r="C101" s="216" t="s">
        <v>656</v>
      </c>
      <c r="D101" s="217">
        <v>20</v>
      </c>
      <c r="E101" s="391"/>
      <c r="F101" s="262"/>
      <c r="G101" s="272">
        <v>214.27737999999999</v>
      </c>
      <c r="H101" s="141" t="str">
        <f>IF(G101="","",$H$10)</f>
        <v>CZK</v>
      </c>
      <c r="I101" s="409" t="s">
        <v>47</v>
      </c>
      <c r="J101" s="625" t="s">
        <v>1413</v>
      </c>
      <c r="L101" s="86" t="e">
        <f>VLOOKUP(B101,$B$11:B100,1,FALSE)</f>
        <v>#N/A</v>
      </c>
      <c r="M101" s="256">
        <f>G101*(1-FORM!$AE$28/100)</f>
        <v>214.27737999999999</v>
      </c>
      <c r="AA101" s="463"/>
      <c r="AB101" s="462"/>
      <c r="AC101" s="462"/>
      <c r="AD101" s="464"/>
      <c r="AE101" s="465"/>
    </row>
    <row r="102" spans="1:31" ht="14.4">
      <c r="A102" s="137"/>
      <c r="B102" s="298">
        <v>9255093</v>
      </c>
      <c r="C102" s="216" t="s">
        <v>657</v>
      </c>
      <c r="D102" s="217">
        <v>20</v>
      </c>
      <c r="E102" s="391"/>
      <c r="F102" s="262"/>
      <c r="G102" s="272">
        <v>214.27737999999999</v>
      </c>
      <c r="H102" s="141" t="str">
        <f>IF(G102="","",$H$10)</f>
        <v>CZK</v>
      </c>
      <c r="I102" s="409" t="s">
        <v>47</v>
      </c>
      <c r="J102" s="625" t="s">
        <v>1414</v>
      </c>
      <c r="L102" s="86" t="e">
        <f>VLOOKUP(B102,$B$11:B101,1,FALSE)</f>
        <v>#N/A</v>
      </c>
      <c r="M102" s="256">
        <f>G102*(1-FORM!$AE$28/100)</f>
        <v>214.27737999999999</v>
      </c>
      <c r="AA102" s="463"/>
      <c r="AB102" s="462"/>
      <c r="AC102" s="462"/>
      <c r="AD102" s="464"/>
      <c r="AE102" s="465"/>
    </row>
    <row r="103" spans="1:31" ht="14.4">
      <c r="A103" s="137"/>
      <c r="B103" s="298">
        <v>9255094</v>
      </c>
      <c r="C103" s="216" t="s">
        <v>658</v>
      </c>
      <c r="D103" s="217">
        <v>20</v>
      </c>
      <c r="E103" s="391"/>
      <c r="F103" s="262"/>
      <c r="G103" s="272">
        <v>218.14608000000001</v>
      </c>
      <c r="H103" s="141" t="str">
        <f t="shared" ref="H103:H111" si="6">IF(G103="","",$H$10)</f>
        <v>CZK</v>
      </c>
      <c r="I103" s="409" t="s">
        <v>47</v>
      </c>
      <c r="J103" s="625" t="s">
        <v>1415</v>
      </c>
      <c r="L103" s="86" t="e">
        <f>VLOOKUP(B103,$B$11:B102,1,FALSE)</f>
        <v>#N/A</v>
      </c>
      <c r="M103" s="256">
        <f>G103*(1-FORM!$AE$28/100)</f>
        <v>218.14608000000001</v>
      </c>
      <c r="AA103" s="463"/>
      <c r="AB103" s="462"/>
      <c r="AC103" s="462"/>
      <c r="AD103" s="464"/>
      <c r="AE103" s="465"/>
    </row>
    <row r="104" spans="1:31" ht="14.4">
      <c r="A104" s="137"/>
      <c r="B104" s="298">
        <v>9255095</v>
      </c>
      <c r="C104" s="216" t="s">
        <v>659</v>
      </c>
      <c r="D104" s="217">
        <v>20</v>
      </c>
      <c r="E104" s="391"/>
      <c r="F104" s="262"/>
      <c r="G104" s="272">
        <v>218.14608000000001</v>
      </c>
      <c r="H104" s="141" t="str">
        <f t="shared" si="6"/>
        <v>CZK</v>
      </c>
      <c r="I104" s="409" t="s">
        <v>47</v>
      </c>
      <c r="J104" s="625" t="s">
        <v>1416</v>
      </c>
      <c r="L104" s="86" t="e">
        <f>VLOOKUP(B104,$B$11:B103,1,FALSE)</f>
        <v>#N/A</v>
      </c>
      <c r="M104" s="256">
        <f>G104*(1-FORM!$AE$28/100)</f>
        <v>218.14608000000001</v>
      </c>
      <c r="AA104" s="463"/>
      <c r="AB104" s="462"/>
      <c r="AC104" s="462"/>
      <c r="AD104" s="464"/>
      <c r="AE104" s="465"/>
    </row>
    <row r="105" spans="1:31" ht="14.4">
      <c r="A105" s="137"/>
      <c r="B105" s="298">
        <v>9255096</v>
      </c>
      <c r="C105" s="216" t="s">
        <v>660</v>
      </c>
      <c r="D105" s="217">
        <v>20</v>
      </c>
      <c r="E105" s="391"/>
      <c r="F105" s="262"/>
      <c r="G105" s="272">
        <v>222.02244999999999</v>
      </c>
      <c r="H105" s="141" t="str">
        <f t="shared" si="6"/>
        <v>CZK</v>
      </c>
      <c r="I105" s="409" t="s">
        <v>47</v>
      </c>
      <c r="J105" s="625" t="s">
        <v>1417</v>
      </c>
      <c r="L105" s="86" t="e">
        <f>VLOOKUP(B105,$B$11:B104,1,FALSE)</f>
        <v>#N/A</v>
      </c>
      <c r="M105" s="256">
        <f>G105*(1-FORM!$AE$28/100)</f>
        <v>222.02244999999999</v>
      </c>
      <c r="AA105" s="463"/>
      <c r="AB105" s="462"/>
      <c r="AC105" s="462"/>
      <c r="AD105" s="464"/>
      <c r="AE105" s="465"/>
    </row>
    <row r="106" spans="1:31" ht="14.4">
      <c r="A106" s="137"/>
      <c r="B106" s="298">
        <v>9255097</v>
      </c>
      <c r="C106" s="216" t="s">
        <v>661</v>
      </c>
      <c r="D106" s="217">
        <v>20</v>
      </c>
      <c r="E106" s="391"/>
      <c r="F106" s="262"/>
      <c r="G106" s="272">
        <v>222.02244999999999</v>
      </c>
      <c r="H106" s="141" t="str">
        <f t="shared" si="6"/>
        <v>CZK</v>
      </c>
      <c r="I106" s="409" t="s">
        <v>47</v>
      </c>
      <c r="J106" s="625" t="s">
        <v>1418</v>
      </c>
      <c r="L106" s="86" t="e">
        <f>VLOOKUP(B106,$B$11:B105,1,FALSE)</f>
        <v>#N/A</v>
      </c>
      <c r="M106" s="256">
        <f>G106*(1-FORM!$AE$28/100)</f>
        <v>222.02244999999999</v>
      </c>
      <c r="AA106" s="463"/>
      <c r="AB106" s="462"/>
      <c r="AC106" s="462"/>
      <c r="AD106" s="464"/>
      <c r="AE106" s="465"/>
    </row>
    <row r="107" spans="1:31" ht="14.4">
      <c r="A107" s="137"/>
      <c r="B107" s="298">
        <v>9255098</v>
      </c>
      <c r="C107" s="216" t="s">
        <v>662</v>
      </c>
      <c r="D107" s="217">
        <v>20</v>
      </c>
      <c r="E107" s="391"/>
      <c r="F107" s="262"/>
      <c r="G107" s="272">
        <v>219.88341</v>
      </c>
      <c r="H107" s="141" t="str">
        <f t="shared" si="6"/>
        <v>CZK</v>
      </c>
      <c r="I107" s="409" t="s">
        <v>47</v>
      </c>
      <c r="J107" s="625" t="s">
        <v>1419</v>
      </c>
      <c r="L107" s="86" t="e">
        <f>VLOOKUP(B107,$B$11:B106,1,FALSE)</f>
        <v>#N/A</v>
      </c>
      <c r="M107" s="256">
        <f>G107*(1-FORM!$AE$28/100)</f>
        <v>219.88341</v>
      </c>
      <c r="AA107" s="463"/>
      <c r="AB107" s="462"/>
      <c r="AC107" s="462"/>
      <c r="AD107" s="464"/>
      <c r="AE107" s="465"/>
    </row>
    <row r="108" spans="1:31" ht="14.4">
      <c r="A108" s="137"/>
      <c r="B108" s="298">
        <v>9255099</v>
      </c>
      <c r="C108" s="216" t="s">
        <v>663</v>
      </c>
      <c r="D108" s="217">
        <v>20</v>
      </c>
      <c r="E108" s="391"/>
      <c r="F108" s="262"/>
      <c r="G108" s="272">
        <v>219.88341</v>
      </c>
      <c r="H108" s="141" t="str">
        <f t="shared" si="6"/>
        <v>CZK</v>
      </c>
      <c r="I108" s="409" t="s">
        <v>47</v>
      </c>
      <c r="J108" s="625" t="s">
        <v>1420</v>
      </c>
      <c r="L108" s="86" t="e">
        <f>VLOOKUP(B108,$B$11:B107,1,FALSE)</f>
        <v>#N/A</v>
      </c>
      <c r="M108" s="256">
        <f>G108*(1-FORM!$AE$28/100)</f>
        <v>219.88341</v>
      </c>
      <c r="AA108" s="463"/>
      <c r="AB108" s="462"/>
      <c r="AC108" s="462"/>
      <c r="AD108" s="464"/>
      <c r="AE108" s="465"/>
    </row>
    <row r="109" spans="1:31" ht="14.4">
      <c r="A109" s="137"/>
      <c r="B109" s="298">
        <v>9255100</v>
      </c>
      <c r="C109" s="216" t="s">
        <v>664</v>
      </c>
      <c r="D109" s="217">
        <v>20</v>
      </c>
      <c r="E109" s="391"/>
      <c r="F109" s="262"/>
      <c r="G109" s="272">
        <v>229.76492999999999</v>
      </c>
      <c r="H109" s="141" t="str">
        <f t="shared" si="6"/>
        <v>CZK</v>
      </c>
      <c r="I109" s="409" t="s">
        <v>47</v>
      </c>
      <c r="J109" s="625" t="s">
        <v>1421</v>
      </c>
      <c r="L109" s="86" t="e">
        <f>VLOOKUP(B109,$B$11:B108,1,FALSE)</f>
        <v>#N/A</v>
      </c>
      <c r="M109" s="256">
        <f>G109*(1-FORM!$AE$28/100)</f>
        <v>229.76492999999999</v>
      </c>
      <c r="AA109" s="463"/>
      <c r="AB109" s="462"/>
      <c r="AC109" s="462"/>
      <c r="AD109" s="464"/>
      <c r="AE109" s="465"/>
    </row>
    <row r="110" spans="1:31" ht="14.4">
      <c r="A110" s="137"/>
      <c r="B110" s="298">
        <v>9255101</v>
      </c>
      <c r="C110" s="216" t="s">
        <v>665</v>
      </c>
      <c r="D110" s="217">
        <v>20</v>
      </c>
      <c r="E110" s="391"/>
      <c r="F110" s="262"/>
      <c r="G110" s="272">
        <v>229.76492999999999</v>
      </c>
      <c r="H110" s="141" t="str">
        <f t="shared" si="6"/>
        <v>CZK</v>
      </c>
      <c r="I110" s="409" t="s">
        <v>47</v>
      </c>
      <c r="J110" s="625" t="s">
        <v>1422</v>
      </c>
      <c r="L110" s="86" t="e">
        <f>VLOOKUP(B110,$B$11:B109,1,FALSE)</f>
        <v>#N/A</v>
      </c>
      <c r="M110" s="256">
        <f>G110*(1-FORM!$AE$28/100)</f>
        <v>229.76492999999999</v>
      </c>
      <c r="AA110" s="463"/>
      <c r="AB110" s="462"/>
      <c r="AC110" s="462"/>
      <c r="AD110" s="464"/>
      <c r="AE110" s="465"/>
    </row>
    <row r="111" spans="1:31" ht="14.4">
      <c r="A111" s="137"/>
      <c r="B111" s="298">
        <v>9255102</v>
      </c>
      <c r="C111" s="216" t="s">
        <v>666</v>
      </c>
      <c r="D111" s="217">
        <v>20</v>
      </c>
      <c r="E111" s="391"/>
      <c r="F111" s="262"/>
      <c r="G111" s="272">
        <v>235.60476</v>
      </c>
      <c r="H111" s="141" t="str">
        <f t="shared" si="6"/>
        <v>CZK</v>
      </c>
      <c r="I111" s="409" t="s">
        <v>47</v>
      </c>
      <c r="J111" s="625" t="s">
        <v>1423</v>
      </c>
      <c r="L111" s="86" t="e">
        <f>VLOOKUP(B111,$B$11:B110,1,FALSE)</f>
        <v>#N/A</v>
      </c>
      <c r="M111" s="256">
        <f>G111*(1-FORM!$AE$28/100)</f>
        <v>235.60476</v>
      </c>
      <c r="AA111" s="463"/>
      <c r="AB111" s="462"/>
      <c r="AC111" s="462"/>
      <c r="AD111" s="464"/>
      <c r="AE111" s="465"/>
    </row>
    <row r="112" spans="1:31" ht="14.4">
      <c r="A112" s="137"/>
      <c r="B112" s="298">
        <v>9255103</v>
      </c>
      <c r="C112" s="216" t="s">
        <v>667</v>
      </c>
      <c r="D112" s="217">
        <v>20</v>
      </c>
      <c r="E112" s="391"/>
      <c r="F112" s="262"/>
      <c r="G112" s="272">
        <v>235.60476</v>
      </c>
      <c r="H112" s="141" t="str">
        <f>IF(G112="","",$H$10)</f>
        <v>CZK</v>
      </c>
      <c r="I112" s="409" t="s">
        <v>47</v>
      </c>
      <c r="J112" s="625" t="s">
        <v>1424</v>
      </c>
      <c r="L112" s="86" t="e">
        <f>VLOOKUP(B112,$B$11:B111,1,FALSE)</f>
        <v>#N/A</v>
      </c>
      <c r="M112" s="256">
        <f>G112*(1-FORM!$AE$28/100)</f>
        <v>235.60476</v>
      </c>
      <c r="AA112" s="463"/>
      <c r="AB112" s="462"/>
      <c r="AC112" s="462"/>
      <c r="AD112" s="464"/>
      <c r="AE112" s="465"/>
    </row>
    <row r="113" spans="1:31" ht="14.4">
      <c r="A113" s="137"/>
      <c r="B113" s="298">
        <v>9255104</v>
      </c>
      <c r="C113" s="216" t="s">
        <v>668</v>
      </c>
      <c r="D113" s="217">
        <v>20</v>
      </c>
      <c r="E113" s="391"/>
      <c r="F113" s="262"/>
      <c r="G113" s="272">
        <v>243.54496</v>
      </c>
      <c r="H113" s="141" t="str">
        <f>IF(G113="","",$H$10)</f>
        <v>CZK</v>
      </c>
      <c r="I113" s="409" t="s">
        <v>47</v>
      </c>
      <c r="J113" s="625" t="s">
        <v>1425</v>
      </c>
      <c r="L113" s="86" t="e">
        <f>VLOOKUP(B113,$B$11:B112,1,FALSE)</f>
        <v>#N/A</v>
      </c>
      <c r="M113" s="256">
        <f>G113*(1-FORM!$AE$28/100)</f>
        <v>243.54496</v>
      </c>
      <c r="AA113" s="463"/>
      <c r="AB113" s="462"/>
      <c r="AC113" s="462"/>
      <c r="AD113" s="464"/>
      <c r="AE113" s="465"/>
    </row>
    <row r="114" spans="1:31" ht="14.4">
      <c r="A114" s="137"/>
      <c r="B114" s="303">
        <v>9255105</v>
      </c>
      <c r="C114" s="304" t="s">
        <v>669</v>
      </c>
      <c r="D114" s="226">
        <v>20</v>
      </c>
      <c r="E114" s="396"/>
      <c r="F114" s="268"/>
      <c r="G114" s="272">
        <v>243.54496</v>
      </c>
      <c r="H114" s="142" t="str">
        <f>IF(G114="","",$H$10)</f>
        <v>CZK</v>
      </c>
      <c r="I114" s="417" t="s">
        <v>47</v>
      </c>
      <c r="J114" s="626" t="s">
        <v>1426</v>
      </c>
      <c r="L114" s="86" t="e">
        <f>VLOOKUP(B114,$B$11:B113,1,FALSE)</f>
        <v>#N/A</v>
      </c>
      <c r="M114" s="256">
        <f>G114*(1-FORM!$AE$28/100)</f>
        <v>243.54496</v>
      </c>
      <c r="AA114" s="463"/>
      <c r="AB114" s="462"/>
      <c r="AC114" s="462"/>
      <c r="AD114" s="464"/>
      <c r="AE114" s="465"/>
    </row>
    <row r="115" spans="1:31" ht="14.4">
      <c r="A115" s="139"/>
      <c r="B115" s="301">
        <v>9255168</v>
      </c>
      <c r="C115" s="222" t="s">
        <v>670</v>
      </c>
      <c r="D115" s="223">
        <v>20</v>
      </c>
      <c r="E115" s="395"/>
      <c r="F115" s="266"/>
      <c r="G115" s="272">
        <v>208.07782</v>
      </c>
      <c r="H115" s="211" t="str">
        <f t="shared" ref="H115:H122" si="7">IF(G115="","",$H$10)</f>
        <v>CZK</v>
      </c>
      <c r="I115" s="416" t="s">
        <v>47</v>
      </c>
      <c r="J115" s="627" t="s">
        <v>1483</v>
      </c>
      <c r="L115" s="86" t="e">
        <f>VLOOKUP(B115,$B$11:B114,1,FALSE)</f>
        <v>#N/A</v>
      </c>
      <c r="M115" s="256">
        <f>G115*(1-FORM!$AE$28/100)</f>
        <v>208.07782</v>
      </c>
      <c r="AA115" s="463"/>
      <c r="AB115" s="462"/>
      <c r="AC115" s="462"/>
      <c r="AD115" s="464"/>
      <c r="AE115" s="465"/>
    </row>
    <row r="116" spans="1:31" ht="14.4">
      <c r="A116" s="139"/>
      <c r="B116" s="298">
        <v>9255169</v>
      </c>
      <c r="C116" s="216" t="s">
        <v>671</v>
      </c>
      <c r="D116" s="217">
        <v>20</v>
      </c>
      <c r="E116" s="391"/>
      <c r="F116" s="262"/>
      <c r="G116" s="272">
        <v>208.07782</v>
      </c>
      <c r="H116" s="141" t="str">
        <f t="shared" si="7"/>
        <v>CZK</v>
      </c>
      <c r="I116" s="409" t="s">
        <v>47</v>
      </c>
      <c r="J116" s="625" t="s">
        <v>1484</v>
      </c>
      <c r="L116" s="86" t="e">
        <f>VLOOKUP(B116,$B$11:B115,1,FALSE)</f>
        <v>#N/A</v>
      </c>
      <c r="M116" s="256">
        <f>G116*(1-FORM!$AE$28/100)</f>
        <v>208.07782</v>
      </c>
      <c r="AA116" s="463"/>
      <c r="AB116" s="462"/>
      <c r="AC116" s="462"/>
      <c r="AD116" s="464"/>
      <c r="AE116" s="465"/>
    </row>
    <row r="117" spans="1:31" ht="14.4">
      <c r="A117" s="139"/>
      <c r="B117" s="298">
        <v>9255170</v>
      </c>
      <c r="C117" s="216" t="s">
        <v>672</v>
      </c>
      <c r="D117" s="217">
        <v>20</v>
      </c>
      <c r="E117" s="391"/>
      <c r="F117" s="262"/>
      <c r="G117" s="272">
        <v>210.40101000000001</v>
      </c>
      <c r="H117" s="141" t="str">
        <f t="shared" si="7"/>
        <v>CZK</v>
      </c>
      <c r="I117" s="409" t="s">
        <v>47</v>
      </c>
      <c r="J117" s="625" t="s">
        <v>1485</v>
      </c>
      <c r="L117" s="86" t="e">
        <f>VLOOKUP(B117,$B$11:B116,1,FALSE)</f>
        <v>#N/A</v>
      </c>
      <c r="M117" s="256">
        <f>G117*(1-FORM!$AE$28/100)</f>
        <v>210.40101000000001</v>
      </c>
      <c r="AA117" s="463"/>
      <c r="AB117" s="462"/>
      <c r="AC117" s="462"/>
      <c r="AD117" s="464"/>
      <c r="AE117" s="465"/>
    </row>
    <row r="118" spans="1:31" ht="14.4">
      <c r="A118" s="139"/>
      <c r="B118" s="298">
        <v>9255171</v>
      </c>
      <c r="C118" s="216" t="s">
        <v>673</v>
      </c>
      <c r="D118" s="217">
        <v>20</v>
      </c>
      <c r="E118" s="391"/>
      <c r="F118" s="262"/>
      <c r="G118" s="272">
        <v>210.40101000000001</v>
      </c>
      <c r="H118" s="141" t="str">
        <f t="shared" si="7"/>
        <v>CZK</v>
      </c>
      <c r="I118" s="409" t="s">
        <v>47</v>
      </c>
      <c r="J118" s="625" t="s">
        <v>1486</v>
      </c>
      <c r="L118" s="86" t="e">
        <f>VLOOKUP(B118,$B$11:B117,1,FALSE)</f>
        <v>#N/A</v>
      </c>
      <c r="M118" s="256">
        <f>G118*(1-FORM!$AE$28/100)</f>
        <v>210.40101000000001</v>
      </c>
      <c r="AA118" s="463"/>
      <c r="AB118" s="462"/>
      <c r="AC118" s="462"/>
      <c r="AD118" s="464"/>
      <c r="AE118" s="465"/>
    </row>
    <row r="119" spans="1:31" ht="14.4">
      <c r="A119" s="139"/>
      <c r="B119" s="298">
        <v>9255172</v>
      </c>
      <c r="C119" s="216" t="s">
        <v>674</v>
      </c>
      <c r="D119" s="217">
        <v>20</v>
      </c>
      <c r="E119" s="391"/>
      <c r="F119" s="262"/>
      <c r="G119" s="272">
        <v>214.27737999999999</v>
      </c>
      <c r="H119" s="141" t="str">
        <f t="shared" si="7"/>
        <v>CZK</v>
      </c>
      <c r="I119" s="409" t="s">
        <v>47</v>
      </c>
      <c r="J119" s="625" t="s">
        <v>1487</v>
      </c>
      <c r="L119" s="86" t="e">
        <f>VLOOKUP(B119,$B$11:B118,1,FALSE)</f>
        <v>#N/A</v>
      </c>
      <c r="M119" s="256">
        <f>G119*(1-FORM!$AE$28/100)</f>
        <v>214.27737999999999</v>
      </c>
      <c r="AA119" s="463"/>
      <c r="AB119" s="462"/>
      <c r="AC119" s="462"/>
      <c r="AD119" s="464"/>
      <c r="AE119" s="465"/>
    </row>
    <row r="120" spans="1:31" ht="14.4">
      <c r="A120" s="139"/>
      <c r="B120" s="298">
        <v>9255173</v>
      </c>
      <c r="C120" s="216" t="s">
        <v>675</v>
      </c>
      <c r="D120" s="217">
        <v>20</v>
      </c>
      <c r="E120" s="391"/>
      <c r="F120" s="262"/>
      <c r="G120" s="272">
        <v>214.27737999999999</v>
      </c>
      <c r="H120" s="141" t="str">
        <f t="shared" si="7"/>
        <v>CZK</v>
      </c>
      <c r="I120" s="409" t="s">
        <v>47</v>
      </c>
      <c r="J120" s="625" t="s">
        <v>1488</v>
      </c>
      <c r="L120" s="86" t="e">
        <f>VLOOKUP(B120,$B$11:B119,1,FALSE)</f>
        <v>#N/A</v>
      </c>
      <c r="M120" s="256">
        <f>G120*(1-FORM!$AE$28/100)</f>
        <v>214.27737999999999</v>
      </c>
      <c r="AA120" s="463"/>
      <c r="AB120" s="462"/>
      <c r="AC120" s="462"/>
      <c r="AD120" s="464"/>
      <c r="AE120" s="465"/>
    </row>
    <row r="121" spans="1:31" ht="14.4">
      <c r="A121" s="139"/>
      <c r="B121" s="298">
        <v>9255174</v>
      </c>
      <c r="C121" s="216" t="s">
        <v>676</v>
      </c>
      <c r="D121" s="217">
        <v>20</v>
      </c>
      <c r="E121" s="391"/>
      <c r="F121" s="262"/>
      <c r="G121" s="272">
        <v>218.14608000000001</v>
      </c>
      <c r="H121" s="141" t="str">
        <f t="shared" si="7"/>
        <v>CZK</v>
      </c>
      <c r="I121" s="409" t="s">
        <v>47</v>
      </c>
      <c r="J121" s="625" t="s">
        <v>1489</v>
      </c>
      <c r="L121" s="86" t="e">
        <f>VLOOKUP(B121,$B$11:B120,1,FALSE)</f>
        <v>#N/A</v>
      </c>
      <c r="M121" s="256">
        <f>G121*(1-FORM!$AE$28/100)</f>
        <v>218.14608000000001</v>
      </c>
      <c r="AA121" s="463"/>
      <c r="AB121" s="462"/>
      <c r="AC121" s="462"/>
      <c r="AD121" s="464"/>
      <c r="AE121" s="465"/>
    </row>
    <row r="122" spans="1:31" ht="14.4">
      <c r="A122" s="139"/>
      <c r="B122" s="298">
        <v>9255175</v>
      </c>
      <c r="C122" s="216" t="s">
        <v>677</v>
      </c>
      <c r="D122" s="217">
        <v>20</v>
      </c>
      <c r="E122" s="391"/>
      <c r="F122" s="262"/>
      <c r="G122" s="272">
        <v>218.14608000000001</v>
      </c>
      <c r="H122" s="141" t="str">
        <f t="shared" si="7"/>
        <v>CZK</v>
      </c>
      <c r="I122" s="409" t="s">
        <v>47</v>
      </c>
      <c r="J122" s="625" t="s">
        <v>1490</v>
      </c>
      <c r="L122" s="86" t="e">
        <f>VLOOKUP(B122,$B$11:B121,1,FALSE)</f>
        <v>#N/A</v>
      </c>
      <c r="M122" s="256">
        <f>G122*(1-FORM!$AE$28/100)</f>
        <v>218.14608000000001</v>
      </c>
      <c r="AA122" s="463"/>
      <c r="AB122" s="462"/>
      <c r="AC122" s="462"/>
      <c r="AD122" s="464"/>
      <c r="AE122" s="465"/>
    </row>
    <row r="123" spans="1:31" ht="14.4">
      <c r="A123" s="139"/>
      <c r="B123" s="298">
        <v>9255176</v>
      </c>
      <c r="C123" s="216" t="s">
        <v>678</v>
      </c>
      <c r="D123" s="217">
        <v>20</v>
      </c>
      <c r="E123" s="391"/>
      <c r="F123" s="262"/>
      <c r="G123" s="272">
        <v>222.02244999999999</v>
      </c>
      <c r="H123" s="141" t="str">
        <f t="shared" ref="H123:H133" si="8">IF(G123="","",$H$10)</f>
        <v>CZK</v>
      </c>
      <c r="I123" s="409" t="s">
        <v>47</v>
      </c>
      <c r="J123" s="625" t="s">
        <v>1491</v>
      </c>
      <c r="L123" s="86" t="e">
        <f>VLOOKUP(B123,$B$11:B122,1,FALSE)</f>
        <v>#N/A</v>
      </c>
      <c r="M123" s="256">
        <f>G123*(1-FORM!$AE$28/100)</f>
        <v>222.02244999999999</v>
      </c>
      <c r="AA123" s="463"/>
      <c r="AB123" s="462"/>
      <c r="AC123" s="462"/>
      <c r="AD123" s="464"/>
      <c r="AE123" s="465"/>
    </row>
    <row r="124" spans="1:31" ht="14.4">
      <c r="A124" s="139"/>
      <c r="B124" s="298">
        <v>9255177</v>
      </c>
      <c r="C124" s="216" t="s">
        <v>679</v>
      </c>
      <c r="D124" s="217">
        <v>20</v>
      </c>
      <c r="E124" s="391"/>
      <c r="F124" s="262"/>
      <c r="G124" s="272">
        <v>222.02244999999999</v>
      </c>
      <c r="H124" s="141" t="str">
        <f t="shared" si="8"/>
        <v>CZK</v>
      </c>
      <c r="I124" s="409" t="s">
        <v>47</v>
      </c>
      <c r="J124" s="625" t="s">
        <v>1492</v>
      </c>
      <c r="L124" s="86" t="e">
        <f>VLOOKUP(B124,$B$11:B123,1,FALSE)</f>
        <v>#N/A</v>
      </c>
      <c r="M124" s="256">
        <f>G124*(1-FORM!$AE$28/100)</f>
        <v>222.02244999999999</v>
      </c>
      <c r="AA124" s="463"/>
      <c r="AB124" s="462"/>
      <c r="AC124" s="462"/>
      <c r="AD124" s="464"/>
      <c r="AE124" s="465"/>
    </row>
    <row r="125" spans="1:31" ht="14.4">
      <c r="A125" s="139"/>
      <c r="B125" s="298">
        <v>9255178</v>
      </c>
      <c r="C125" s="216" t="s">
        <v>680</v>
      </c>
      <c r="D125" s="217">
        <v>20</v>
      </c>
      <c r="E125" s="391"/>
      <c r="F125" s="262"/>
      <c r="G125" s="272">
        <v>219.88341</v>
      </c>
      <c r="H125" s="141" t="str">
        <f t="shared" si="8"/>
        <v>CZK</v>
      </c>
      <c r="I125" s="409" t="s">
        <v>47</v>
      </c>
      <c r="J125" s="625" t="s">
        <v>1493</v>
      </c>
      <c r="L125" s="86" t="e">
        <f>VLOOKUP(B125,$B$11:B124,1,FALSE)</f>
        <v>#N/A</v>
      </c>
      <c r="M125" s="256">
        <f>G125*(1-FORM!$AE$28/100)</f>
        <v>219.88341</v>
      </c>
      <c r="AA125" s="463"/>
      <c r="AB125" s="462"/>
      <c r="AC125" s="462"/>
      <c r="AD125" s="464"/>
      <c r="AE125" s="465"/>
    </row>
    <row r="126" spans="1:31" ht="14.4">
      <c r="A126" s="139"/>
      <c r="B126" s="298">
        <v>9255179</v>
      </c>
      <c r="C126" s="216" t="s">
        <v>681</v>
      </c>
      <c r="D126" s="217">
        <v>20</v>
      </c>
      <c r="E126" s="391"/>
      <c r="F126" s="262"/>
      <c r="G126" s="272">
        <v>219.88341</v>
      </c>
      <c r="H126" s="141" t="str">
        <f t="shared" si="8"/>
        <v>CZK</v>
      </c>
      <c r="I126" s="409" t="s">
        <v>47</v>
      </c>
      <c r="J126" s="625" t="s">
        <v>1494</v>
      </c>
      <c r="L126" s="86" t="e">
        <f>VLOOKUP(B126,$B$11:B125,1,FALSE)</f>
        <v>#N/A</v>
      </c>
      <c r="M126" s="256">
        <f>G126*(1-FORM!$AE$28/100)</f>
        <v>219.88341</v>
      </c>
      <c r="AA126" s="463"/>
      <c r="AB126" s="462"/>
      <c r="AC126" s="462"/>
      <c r="AD126" s="464"/>
      <c r="AE126" s="465"/>
    </row>
    <row r="127" spans="1:31" ht="14.4">
      <c r="A127" s="139"/>
      <c r="B127" s="298">
        <v>9255180</v>
      </c>
      <c r="C127" s="216" t="s">
        <v>682</v>
      </c>
      <c r="D127" s="217">
        <v>20</v>
      </c>
      <c r="E127" s="391"/>
      <c r="F127" s="262"/>
      <c r="G127" s="272">
        <v>229.76492999999999</v>
      </c>
      <c r="H127" s="141" t="str">
        <f t="shared" si="8"/>
        <v>CZK</v>
      </c>
      <c r="I127" s="409" t="s">
        <v>47</v>
      </c>
      <c r="J127" s="625" t="s">
        <v>1495</v>
      </c>
      <c r="L127" s="86" t="e">
        <f>VLOOKUP(B127,$B$11:B126,1,FALSE)</f>
        <v>#N/A</v>
      </c>
      <c r="M127" s="256">
        <f>G127*(1-FORM!$AE$28/100)</f>
        <v>229.76492999999999</v>
      </c>
      <c r="AA127" s="463"/>
      <c r="AB127" s="462"/>
      <c r="AC127" s="462"/>
      <c r="AD127" s="464"/>
      <c r="AE127" s="465"/>
    </row>
    <row r="128" spans="1:31" ht="14.4">
      <c r="A128" s="139"/>
      <c r="B128" s="298">
        <v>9255181</v>
      </c>
      <c r="C128" s="216" t="s">
        <v>683</v>
      </c>
      <c r="D128" s="217">
        <v>20</v>
      </c>
      <c r="E128" s="391"/>
      <c r="F128" s="262"/>
      <c r="G128" s="272">
        <v>229.76492999999999</v>
      </c>
      <c r="H128" s="141" t="str">
        <f t="shared" si="8"/>
        <v>CZK</v>
      </c>
      <c r="I128" s="409" t="s">
        <v>47</v>
      </c>
      <c r="J128" s="625" t="s">
        <v>1496</v>
      </c>
      <c r="L128" s="86" t="e">
        <f>VLOOKUP(B128,$B$11:B127,1,FALSE)</f>
        <v>#N/A</v>
      </c>
      <c r="M128" s="256">
        <f>G128*(1-FORM!$AE$28/100)</f>
        <v>229.76492999999999</v>
      </c>
      <c r="AA128" s="463"/>
      <c r="AB128" s="462"/>
      <c r="AC128" s="462"/>
      <c r="AD128" s="464"/>
      <c r="AE128" s="465"/>
    </row>
    <row r="129" spans="1:31" ht="14.4">
      <c r="A129" s="139"/>
      <c r="B129" s="298">
        <v>9255182</v>
      </c>
      <c r="C129" s="216" t="s">
        <v>684</v>
      </c>
      <c r="D129" s="217">
        <v>20</v>
      </c>
      <c r="E129" s="391"/>
      <c r="F129" s="262"/>
      <c r="G129" s="272">
        <v>235.60476</v>
      </c>
      <c r="H129" s="141" t="str">
        <f t="shared" si="8"/>
        <v>CZK</v>
      </c>
      <c r="I129" s="409" t="s">
        <v>47</v>
      </c>
      <c r="J129" s="625" t="s">
        <v>1497</v>
      </c>
      <c r="L129" s="86" t="e">
        <f>VLOOKUP(B129,$B$11:B128,1,FALSE)</f>
        <v>#N/A</v>
      </c>
      <c r="M129" s="256">
        <f>G129*(1-FORM!$AE$28/100)</f>
        <v>235.60476</v>
      </c>
      <c r="AA129" s="463"/>
      <c r="AB129" s="462"/>
      <c r="AC129" s="462"/>
      <c r="AD129" s="464"/>
      <c r="AE129" s="465"/>
    </row>
    <row r="130" spans="1:31" ht="14.4">
      <c r="A130" s="139"/>
      <c r="B130" s="298">
        <v>9255183</v>
      </c>
      <c r="C130" s="216" t="s">
        <v>685</v>
      </c>
      <c r="D130" s="217">
        <v>20</v>
      </c>
      <c r="E130" s="391"/>
      <c r="F130" s="262"/>
      <c r="G130" s="272">
        <v>235.60476</v>
      </c>
      <c r="H130" s="141" t="str">
        <f t="shared" si="8"/>
        <v>CZK</v>
      </c>
      <c r="I130" s="409" t="s">
        <v>47</v>
      </c>
      <c r="J130" s="625" t="s">
        <v>1498</v>
      </c>
      <c r="L130" s="86" t="e">
        <f>VLOOKUP(B130,$B$11:B129,1,FALSE)</f>
        <v>#N/A</v>
      </c>
      <c r="M130" s="256">
        <f>G130*(1-FORM!$AE$28/100)</f>
        <v>235.60476</v>
      </c>
      <c r="AA130" s="463"/>
      <c r="AB130" s="462"/>
      <c r="AC130" s="462"/>
      <c r="AD130" s="464"/>
      <c r="AE130" s="465"/>
    </row>
    <row r="131" spans="1:31" ht="14.4">
      <c r="A131" s="139"/>
      <c r="B131" s="298">
        <v>9255184</v>
      </c>
      <c r="C131" s="216" t="s">
        <v>686</v>
      </c>
      <c r="D131" s="217">
        <v>20</v>
      </c>
      <c r="E131" s="391"/>
      <c r="F131" s="262"/>
      <c r="G131" s="272">
        <v>243.54496</v>
      </c>
      <c r="H131" s="141" t="str">
        <f t="shared" si="8"/>
        <v>CZK</v>
      </c>
      <c r="I131" s="409" t="s">
        <v>47</v>
      </c>
      <c r="J131" s="625" t="s">
        <v>1499</v>
      </c>
      <c r="L131" s="86" t="e">
        <f>VLOOKUP(B131,$B$11:B130,1,FALSE)</f>
        <v>#N/A</v>
      </c>
      <c r="M131" s="256">
        <f>G131*(1-FORM!$AE$28/100)</f>
        <v>243.54496</v>
      </c>
      <c r="AA131" s="463"/>
      <c r="AB131" s="462"/>
      <c r="AC131" s="462"/>
      <c r="AD131" s="464"/>
      <c r="AE131" s="465"/>
    </row>
    <row r="132" spans="1:31" ht="14.4">
      <c r="A132" s="139"/>
      <c r="B132" s="303">
        <v>9255185</v>
      </c>
      <c r="C132" s="304" t="s">
        <v>687</v>
      </c>
      <c r="D132" s="226">
        <v>20</v>
      </c>
      <c r="E132" s="396"/>
      <c r="F132" s="268"/>
      <c r="G132" s="272">
        <v>243.54496</v>
      </c>
      <c r="H132" s="142" t="str">
        <f t="shared" si="8"/>
        <v>CZK</v>
      </c>
      <c r="I132" s="417" t="s">
        <v>47</v>
      </c>
      <c r="J132" s="626" t="s">
        <v>1500</v>
      </c>
      <c r="L132" s="86" t="e">
        <f>VLOOKUP(B132,$B$11:B131,1,FALSE)</f>
        <v>#N/A</v>
      </c>
      <c r="M132" s="256">
        <f>G132*(1-FORM!$AE$28/100)</f>
        <v>243.54496</v>
      </c>
      <c r="AA132" s="463"/>
      <c r="AB132" s="462"/>
      <c r="AC132" s="462"/>
      <c r="AD132" s="464"/>
      <c r="AE132" s="465"/>
    </row>
    <row r="133" spans="1:31" ht="14.4">
      <c r="A133" s="130"/>
      <c r="B133" s="424">
        <v>9347502</v>
      </c>
      <c r="C133" s="222" t="s">
        <v>1132</v>
      </c>
      <c r="D133" s="223">
        <v>200</v>
      </c>
      <c r="E133" s="395"/>
      <c r="F133" s="266"/>
      <c r="G133" s="272">
        <v>19.78839</v>
      </c>
      <c r="H133" s="211" t="str">
        <f t="shared" si="8"/>
        <v>CZK</v>
      </c>
      <c r="I133" s="416" t="s">
        <v>47</v>
      </c>
      <c r="J133" s="627" t="s">
        <v>1828</v>
      </c>
      <c r="L133" s="86" t="e">
        <f>VLOOKUP(B133,$B$11:B132,1,FALSE)</f>
        <v>#N/A</v>
      </c>
      <c r="M133" s="256">
        <f>G133*(1-FORM!$AE$28/100)</f>
        <v>19.78839</v>
      </c>
      <c r="AA133" s="463"/>
      <c r="AB133" s="462"/>
      <c r="AC133" s="462"/>
      <c r="AD133" s="464"/>
      <c r="AE133" s="465"/>
    </row>
    <row r="134" spans="1:31" ht="14.4">
      <c r="A134" s="130"/>
      <c r="B134" s="425">
        <v>9347503</v>
      </c>
      <c r="C134" s="216" t="s">
        <v>1133</v>
      </c>
      <c r="D134" s="217">
        <v>200</v>
      </c>
      <c r="E134" s="391"/>
      <c r="F134" s="262"/>
      <c r="G134" s="272">
        <v>20.006769999999999</v>
      </c>
      <c r="H134" s="141" t="str">
        <f t="shared" ref="H134:H147" si="9">IF(G134="","",$H$10)</f>
        <v>CZK</v>
      </c>
      <c r="I134" s="409" t="s">
        <v>47</v>
      </c>
      <c r="J134" s="625" t="s">
        <v>1829</v>
      </c>
      <c r="L134" s="86" t="e">
        <f>VLOOKUP(B134,$B$11:B133,1,FALSE)</f>
        <v>#N/A</v>
      </c>
      <c r="M134" s="256">
        <f>G134*(1-FORM!$AE$28/100)</f>
        <v>20.006769999999999</v>
      </c>
      <c r="AA134" s="463"/>
      <c r="AB134" s="462"/>
      <c r="AC134" s="462"/>
      <c r="AD134" s="464"/>
      <c r="AE134" s="465"/>
    </row>
    <row r="135" spans="1:31" ht="14.4">
      <c r="A135" s="130"/>
      <c r="B135" s="425">
        <v>9347504</v>
      </c>
      <c r="C135" s="216" t="s">
        <v>1134</v>
      </c>
      <c r="D135" s="217">
        <v>200</v>
      </c>
      <c r="E135" s="391"/>
      <c r="F135" s="262"/>
      <c r="G135" s="272">
        <v>20.37642</v>
      </c>
      <c r="H135" s="141" t="str">
        <f t="shared" si="9"/>
        <v>CZK</v>
      </c>
      <c r="I135" s="409" t="s">
        <v>47</v>
      </c>
      <c r="J135" s="625" t="s">
        <v>1830</v>
      </c>
      <c r="L135" s="86" t="e">
        <f>VLOOKUP(B135,$B$11:B134,1,FALSE)</f>
        <v>#N/A</v>
      </c>
      <c r="M135" s="256">
        <f>G135*(1-FORM!$AE$28/100)</f>
        <v>20.37642</v>
      </c>
      <c r="AA135" s="463"/>
      <c r="AB135" s="462"/>
      <c r="AC135" s="462"/>
      <c r="AD135" s="464"/>
      <c r="AE135" s="465"/>
    </row>
    <row r="136" spans="1:31" ht="14.4">
      <c r="A136" s="130"/>
      <c r="B136" s="425">
        <v>9347505</v>
      </c>
      <c r="C136" s="216" t="s">
        <v>1135</v>
      </c>
      <c r="D136" s="217">
        <v>200</v>
      </c>
      <c r="E136" s="391"/>
      <c r="F136" s="262"/>
      <c r="G136" s="272">
        <v>20.742249999999999</v>
      </c>
      <c r="H136" s="141" t="str">
        <f t="shared" si="9"/>
        <v>CZK</v>
      </c>
      <c r="I136" s="409" t="s">
        <v>47</v>
      </c>
      <c r="J136" s="625" t="s">
        <v>1831</v>
      </c>
      <c r="L136" s="86" t="e">
        <f>VLOOKUP(B136,$B$11:B135,1,FALSE)</f>
        <v>#N/A</v>
      </c>
      <c r="M136" s="256">
        <f>G136*(1-FORM!$AE$28/100)</f>
        <v>20.742249999999999</v>
      </c>
      <c r="AA136" s="463"/>
      <c r="AB136" s="462"/>
      <c r="AC136" s="462"/>
      <c r="AD136" s="464"/>
      <c r="AE136" s="465"/>
    </row>
    <row r="137" spans="1:31" ht="14.4">
      <c r="A137" s="130"/>
      <c r="B137" s="425">
        <v>9347506</v>
      </c>
      <c r="C137" s="216" t="s">
        <v>1136</v>
      </c>
      <c r="D137" s="217">
        <v>200</v>
      </c>
      <c r="E137" s="391"/>
      <c r="F137" s="262"/>
      <c r="G137" s="272">
        <v>21.111910000000002</v>
      </c>
      <c r="H137" s="141" t="str">
        <f t="shared" si="9"/>
        <v>CZK</v>
      </c>
      <c r="I137" s="409" t="s">
        <v>47</v>
      </c>
      <c r="J137" s="625" t="s">
        <v>1832</v>
      </c>
      <c r="L137" s="86" t="e">
        <f>VLOOKUP(B137,$B$11:B136,1,FALSE)</f>
        <v>#N/A</v>
      </c>
      <c r="M137" s="256">
        <f>G137*(1-FORM!$AE$28/100)</f>
        <v>21.111910000000002</v>
      </c>
      <c r="AA137" s="463"/>
      <c r="AB137" s="462"/>
      <c r="AC137" s="462"/>
      <c r="AD137" s="464"/>
      <c r="AE137" s="465"/>
    </row>
    <row r="138" spans="1:31" ht="14.4">
      <c r="A138" s="130"/>
      <c r="B138" s="425">
        <v>9347507</v>
      </c>
      <c r="C138" s="216" t="s">
        <v>1137</v>
      </c>
      <c r="D138" s="217">
        <v>200</v>
      </c>
      <c r="E138" s="391"/>
      <c r="F138" s="262"/>
      <c r="G138" s="272">
        <v>21.479700000000001</v>
      </c>
      <c r="H138" s="141" t="str">
        <f t="shared" si="9"/>
        <v>CZK</v>
      </c>
      <c r="I138" s="409" t="s">
        <v>47</v>
      </c>
      <c r="J138" s="625" t="s">
        <v>1833</v>
      </c>
      <c r="L138" s="86" t="e">
        <f>VLOOKUP(B138,$B$11:B137,1,FALSE)</f>
        <v>#N/A</v>
      </c>
      <c r="M138" s="256">
        <f>G138*(1-FORM!$AE$28/100)</f>
        <v>21.479700000000001</v>
      </c>
      <c r="AA138" s="463"/>
      <c r="AB138" s="462"/>
      <c r="AC138" s="462"/>
      <c r="AD138" s="464"/>
      <c r="AE138" s="465"/>
    </row>
    <row r="139" spans="1:31" ht="14.4">
      <c r="A139" s="130"/>
      <c r="B139" s="425">
        <v>9347508</v>
      </c>
      <c r="C139" s="216" t="s">
        <v>1138</v>
      </c>
      <c r="D139" s="217">
        <v>200</v>
      </c>
      <c r="E139" s="391"/>
      <c r="F139" s="262"/>
      <c r="G139" s="272">
        <v>21.84564</v>
      </c>
      <c r="H139" s="141" t="str">
        <f t="shared" si="9"/>
        <v>CZK</v>
      </c>
      <c r="I139" s="409" t="s">
        <v>47</v>
      </c>
      <c r="J139" s="625" t="s">
        <v>1834</v>
      </c>
      <c r="L139" s="86" t="e">
        <f>VLOOKUP(B139,$B$11:B138,1,FALSE)</f>
        <v>#N/A</v>
      </c>
      <c r="M139" s="256">
        <f>G139*(1-FORM!$AE$28/100)</f>
        <v>21.84564</v>
      </c>
      <c r="AA139" s="463"/>
      <c r="AB139" s="462"/>
      <c r="AC139" s="462"/>
      <c r="AD139" s="464"/>
      <c r="AE139" s="465"/>
    </row>
    <row r="140" spans="1:31" ht="14.4">
      <c r="A140" s="130"/>
      <c r="B140" s="425">
        <v>9347509</v>
      </c>
      <c r="C140" s="216" t="s">
        <v>1139</v>
      </c>
      <c r="D140" s="217">
        <v>200</v>
      </c>
      <c r="E140" s="391"/>
      <c r="F140" s="262"/>
      <c r="G140" s="272">
        <v>22.79205</v>
      </c>
      <c r="H140" s="141" t="str">
        <f t="shared" si="9"/>
        <v>CZK</v>
      </c>
      <c r="I140" s="409" t="s">
        <v>47</v>
      </c>
      <c r="J140" s="625" t="s">
        <v>1835</v>
      </c>
      <c r="L140" s="86" t="e">
        <f>VLOOKUP(B140,$B$11:B139,1,FALSE)</f>
        <v>#N/A</v>
      </c>
      <c r="M140" s="256">
        <f>G140*(1-FORM!$AE$28/100)</f>
        <v>22.79205</v>
      </c>
      <c r="AA140" s="463"/>
      <c r="AB140" s="462"/>
      <c r="AC140" s="462"/>
      <c r="AD140" s="464"/>
      <c r="AE140" s="465"/>
    </row>
    <row r="141" spans="1:31" ht="14.4">
      <c r="A141" s="130"/>
      <c r="B141" s="426">
        <v>9347510</v>
      </c>
      <c r="C141" s="304" t="s">
        <v>1140</v>
      </c>
      <c r="D141" s="226">
        <v>200</v>
      </c>
      <c r="E141" s="396"/>
      <c r="F141" s="268"/>
      <c r="G141" s="272">
        <v>24.580449999999999</v>
      </c>
      <c r="H141" s="142" t="str">
        <f t="shared" si="9"/>
        <v>CZK</v>
      </c>
      <c r="I141" s="417" t="s">
        <v>47</v>
      </c>
      <c r="J141" s="626" t="s">
        <v>1836</v>
      </c>
      <c r="L141" s="86" t="e">
        <f>VLOOKUP(B141,$B$11:B140,1,FALSE)</f>
        <v>#N/A</v>
      </c>
      <c r="M141" s="256">
        <f>G141*(1-FORM!$AE$28/100)</f>
        <v>24.580449999999999</v>
      </c>
      <c r="AA141" s="463"/>
      <c r="AB141" s="462"/>
      <c r="AC141" s="462"/>
      <c r="AD141" s="464"/>
      <c r="AE141" s="465"/>
    </row>
    <row r="142" spans="1:31" ht="14.4">
      <c r="A142" s="137"/>
      <c r="B142" s="424">
        <v>9347511</v>
      </c>
      <c r="C142" s="222" t="s">
        <v>1141</v>
      </c>
      <c r="D142" s="223">
        <v>200</v>
      </c>
      <c r="E142" s="395"/>
      <c r="F142" s="266"/>
      <c r="G142" s="272">
        <v>19.78839</v>
      </c>
      <c r="H142" s="211" t="str">
        <f t="shared" si="9"/>
        <v>CZK</v>
      </c>
      <c r="I142" s="416" t="s">
        <v>47</v>
      </c>
      <c r="J142" s="627" t="s">
        <v>1837</v>
      </c>
      <c r="L142" s="86" t="e">
        <f>VLOOKUP(B142,$B$11:B141,1,FALSE)</f>
        <v>#N/A</v>
      </c>
      <c r="M142" s="256">
        <f>G142*(1-FORM!$AE$28/100)</f>
        <v>19.78839</v>
      </c>
      <c r="AA142" s="463"/>
      <c r="AB142" s="462"/>
      <c r="AC142" s="462"/>
      <c r="AD142" s="464"/>
      <c r="AE142" s="465"/>
    </row>
    <row r="143" spans="1:31" ht="14.4">
      <c r="A143" s="137"/>
      <c r="B143" s="425">
        <v>9347512</v>
      </c>
      <c r="C143" s="216" t="s">
        <v>1142</v>
      </c>
      <c r="D143" s="217">
        <v>200</v>
      </c>
      <c r="E143" s="391"/>
      <c r="F143" s="262"/>
      <c r="G143" s="272">
        <v>20.006769999999999</v>
      </c>
      <c r="H143" s="141" t="str">
        <f t="shared" si="9"/>
        <v>CZK</v>
      </c>
      <c r="I143" s="409" t="s">
        <v>47</v>
      </c>
      <c r="J143" s="625" t="s">
        <v>1838</v>
      </c>
      <c r="L143" s="86" t="e">
        <f>VLOOKUP(B143,$B$11:B142,1,FALSE)</f>
        <v>#N/A</v>
      </c>
      <c r="M143" s="256">
        <f>G143*(1-FORM!$AE$28/100)</f>
        <v>20.006769999999999</v>
      </c>
      <c r="AA143" s="463"/>
      <c r="AB143" s="462"/>
      <c r="AC143" s="462"/>
      <c r="AD143" s="464"/>
      <c r="AE143" s="465"/>
    </row>
    <row r="144" spans="1:31" ht="14.4">
      <c r="A144" s="137"/>
      <c r="B144" s="425">
        <v>9347513</v>
      </c>
      <c r="C144" s="216" t="s">
        <v>1143</v>
      </c>
      <c r="D144" s="217">
        <v>200</v>
      </c>
      <c r="E144" s="391"/>
      <c r="F144" s="262"/>
      <c r="G144" s="272">
        <v>20.37642</v>
      </c>
      <c r="H144" s="141" t="str">
        <f t="shared" si="9"/>
        <v>CZK</v>
      </c>
      <c r="I144" s="409" t="s">
        <v>47</v>
      </c>
      <c r="J144" s="625" t="s">
        <v>1839</v>
      </c>
      <c r="L144" s="86" t="e">
        <f>VLOOKUP(B144,$B$11:B143,1,FALSE)</f>
        <v>#N/A</v>
      </c>
      <c r="M144" s="256">
        <f>G144*(1-FORM!$AE$28/100)</f>
        <v>20.37642</v>
      </c>
      <c r="AA144" s="463"/>
      <c r="AB144" s="462"/>
      <c r="AC144" s="462"/>
      <c r="AD144" s="464"/>
      <c r="AE144" s="465"/>
    </row>
    <row r="145" spans="1:31" ht="14.4">
      <c r="A145" s="137"/>
      <c r="B145" s="425">
        <v>9347514</v>
      </c>
      <c r="C145" s="216" t="s">
        <v>1144</v>
      </c>
      <c r="D145" s="217">
        <v>200</v>
      </c>
      <c r="E145" s="391"/>
      <c r="F145" s="262"/>
      <c r="G145" s="272">
        <v>20.742249999999999</v>
      </c>
      <c r="H145" s="141" t="str">
        <f t="shared" si="9"/>
        <v>CZK</v>
      </c>
      <c r="I145" s="409" t="s">
        <v>47</v>
      </c>
      <c r="J145" s="625" t="s">
        <v>1840</v>
      </c>
      <c r="L145" s="86" t="e">
        <f>VLOOKUP(B145,$B$11:B144,1,FALSE)</f>
        <v>#N/A</v>
      </c>
      <c r="M145" s="256">
        <f>G145*(1-FORM!$AE$28/100)</f>
        <v>20.742249999999999</v>
      </c>
      <c r="AA145" s="463"/>
      <c r="AB145" s="462"/>
      <c r="AC145" s="462"/>
      <c r="AD145" s="464"/>
      <c r="AE145" s="465"/>
    </row>
    <row r="146" spans="1:31" ht="14.4">
      <c r="A146" s="137"/>
      <c r="B146" s="425">
        <v>9347515</v>
      </c>
      <c r="C146" s="216" t="s">
        <v>1145</v>
      </c>
      <c r="D146" s="217">
        <v>200</v>
      </c>
      <c r="E146" s="391"/>
      <c r="F146" s="262"/>
      <c r="G146" s="272">
        <v>21.111910000000002</v>
      </c>
      <c r="H146" s="141" t="str">
        <f t="shared" si="9"/>
        <v>CZK</v>
      </c>
      <c r="I146" s="409" t="s">
        <v>47</v>
      </c>
      <c r="J146" s="625" t="s">
        <v>1841</v>
      </c>
      <c r="L146" s="86" t="e">
        <f>VLOOKUP(B146,$B$11:B145,1,FALSE)</f>
        <v>#N/A</v>
      </c>
      <c r="M146" s="256">
        <f>G146*(1-FORM!$AE$28/100)</f>
        <v>21.111910000000002</v>
      </c>
      <c r="AA146" s="463"/>
      <c r="AB146" s="462"/>
      <c r="AC146" s="462"/>
      <c r="AD146" s="464"/>
      <c r="AE146" s="465"/>
    </row>
    <row r="147" spans="1:31" ht="14.4">
      <c r="A147" s="137"/>
      <c r="B147" s="425">
        <v>9347516</v>
      </c>
      <c r="C147" s="216" t="s">
        <v>1146</v>
      </c>
      <c r="D147" s="217">
        <v>200</v>
      </c>
      <c r="E147" s="391"/>
      <c r="F147" s="262"/>
      <c r="G147" s="272">
        <v>21.479700000000001</v>
      </c>
      <c r="H147" s="141" t="str">
        <f t="shared" si="9"/>
        <v>CZK</v>
      </c>
      <c r="I147" s="409" t="s">
        <v>47</v>
      </c>
      <c r="J147" s="625" t="s">
        <v>1842</v>
      </c>
      <c r="L147" s="86" t="e">
        <f>VLOOKUP(B147,$B$11:B146,1,FALSE)</f>
        <v>#N/A</v>
      </c>
      <c r="M147" s="256">
        <f>G147*(1-FORM!$AE$28/100)</f>
        <v>21.479700000000001</v>
      </c>
      <c r="AA147" s="463"/>
      <c r="AB147" s="462"/>
      <c r="AC147" s="462"/>
      <c r="AD147" s="464"/>
      <c r="AE147" s="465"/>
    </row>
    <row r="148" spans="1:31" ht="14.4">
      <c r="A148" s="137"/>
      <c r="B148" s="425">
        <v>9347517</v>
      </c>
      <c r="C148" s="216" t="s">
        <v>1147</v>
      </c>
      <c r="D148" s="217">
        <v>200</v>
      </c>
      <c r="E148" s="391"/>
      <c r="F148" s="262"/>
      <c r="G148" s="272">
        <v>21.84564</v>
      </c>
      <c r="H148" s="141" t="str">
        <f t="shared" ref="H148:H158" si="10">IF(G148="","",$H$10)</f>
        <v>CZK</v>
      </c>
      <c r="I148" s="409" t="s">
        <v>47</v>
      </c>
      <c r="J148" s="625" t="s">
        <v>1843</v>
      </c>
      <c r="L148" s="86" t="e">
        <f>VLOOKUP(B148,$B$11:B147,1,FALSE)</f>
        <v>#N/A</v>
      </c>
      <c r="M148" s="256">
        <f>G148*(1-FORM!$AE$28/100)</f>
        <v>21.84564</v>
      </c>
      <c r="AA148" s="463"/>
      <c r="AB148" s="462"/>
      <c r="AC148" s="462"/>
      <c r="AD148" s="464"/>
      <c r="AE148" s="465"/>
    </row>
    <row r="149" spans="1:31" ht="14.4">
      <c r="A149" s="137"/>
      <c r="B149" s="425">
        <v>9347518</v>
      </c>
      <c r="C149" s="216" t="s">
        <v>1148</v>
      </c>
      <c r="D149" s="217">
        <v>200</v>
      </c>
      <c r="E149" s="391"/>
      <c r="F149" s="262"/>
      <c r="G149" s="272">
        <v>22.79205</v>
      </c>
      <c r="H149" s="141" t="str">
        <f t="shared" si="10"/>
        <v>CZK</v>
      </c>
      <c r="I149" s="409" t="s">
        <v>47</v>
      </c>
      <c r="J149" s="625" t="s">
        <v>1844</v>
      </c>
      <c r="L149" s="86" t="e">
        <f>VLOOKUP(B149,$B$11:B148,1,FALSE)</f>
        <v>#N/A</v>
      </c>
      <c r="M149" s="256">
        <f>G149*(1-FORM!$AE$28/100)</f>
        <v>22.79205</v>
      </c>
      <c r="AA149" s="463"/>
      <c r="AB149" s="462"/>
      <c r="AC149" s="462"/>
      <c r="AD149" s="464"/>
      <c r="AE149" s="465"/>
    </row>
    <row r="150" spans="1:31" ht="14.4">
      <c r="A150" s="137"/>
      <c r="B150" s="426">
        <v>9347519</v>
      </c>
      <c r="C150" s="304" t="s">
        <v>1149</v>
      </c>
      <c r="D150" s="226">
        <v>200</v>
      </c>
      <c r="E150" s="396"/>
      <c r="F150" s="268"/>
      <c r="G150" s="272">
        <v>24.580449999999999</v>
      </c>
      <c r="H150" s="142" t="str">
        <f t="shared" si="10"/>
        <v>CZK</v>
      </c>
      <c r="I150" s="417" t="s">
        <v>47</v>
      </c>
      <c r="J150" s="625" t="s">
        <v>1845</v>
      </c>
      <c r="L150" s="86" t="e">
        <f>VLOOKUP(B150,$B$11:B149,1,FALSE)</f>
        <v>#N/A</v>
      </c>
      <c r="M150" s="256">
        <f>G150*(1-FORM!$AE$28/100)</f>
        <v>24.580449999999999</v>
      </c>
      <c r="AA150" s="463"/>
      <c r="AB150" s="462"/>
      <c r="AC150" s="462"/>
      <c r="AD150" s="464"/>
      <c r="AE150" s="465"/>
    </row>
    <row r="151" spans="1:31" ht="14.4">
      <c r="A151" s="139"/>
      <c r="B151" s="424">
        <v>9347520</v>
      </c>
      <c r="C151" s="222" t="s">
        <v>1150</v>
      </c>
      <c r="D151" s="223">
        <v>200</v>
      </c>
      <c r="E151" s="395"/>
      <c r="F151" s="266"/>
      <c r="G151" s="272">
        <v>19.78839</v>
      </c>
      <c r="H151" s="211" t="str">
        <f t="shared" si="10"/>
        <v>CZK</v>
      </c>
      <c r="I151" s="416" t="s">
        <v>47</v>
      </c>
      <c r="J151" s="625" t="s">
        <v>1846</v>
      </c>
      <c r="L151" s="86" t="e">
        <f>VLOOKUP(B151,$B$11:B150,1,FALSE)</f>
        <v>#N/A</v>
      </c>
      <c r="M151" s="256">
        <f>G151*(1-FORM!$AE$28/100)</f>
        <v>19.78839</v>
      </c>
      <c r="AA151" s="463"/>
      <c r="AB151" s="462"/>
      <c r="AC151" s="462"/>
      <c r="AD151" s="464"/>
      <c r="AE151" s="465"/>
    </row>
    <row r="152" spans="1:31" ht="14.4">
      <c r="A152" s="139"/>
      <c r="B152" s="425">
        <v>9347521</v>
      </c>
      <c r="C152" s="216" t="s">
        <v>1151</v>
      </c>
      <c r="D152" s="217">
        <v>200</v>
      </c>
      <c r="E152" s="391"/>
      <c r="F152" s="262"/>
      <c r="G152" s="272">
        <v>20.006769999999999</v>
      </c>
      <c r="H152" s="141" t="str">
        <f t="shared" si="10"/>
        <v>CZK</v>
      </c>
      <c r="I152" s="409" t="s">
        <v>47</v>
      </c>
      <c r="J152" s="625" t="s">
        <v>1847</v>
      </c>
      <c r="L152" s="86" t="e">
        <f>VLOOKUP(B152,$B$11:B151,1,FALSE)</f>
        <v>#N/A</v>
      </c>
      <c r="M152" s="256">
        <f>G152*(1-FORM!$AE$28/100)</f>
        <v>20.006769999999999</v>
      </c>
      <c r="AA152" s="463"/>
      <c r="AB152" s="462"/>
      <c r="AC152" s="462"/>
      <c r="AD152" s="464"/>
      <c r="AE152" s="465"/>
    </row>
    <row r="153" spans="1:31" ht="14.4">
      <c r="A153" s="139"/>
      <c r="B153" s="425">
        <v>9347522</v>
      </c>
      <c r="C153" s="216" t="s">
        <v>1152</v>
      </c>
      <c r="D153" s="217">
        <v>200</v>
      </c>
      <c r="E153" s="391"/>
      <c r="F153" s="262"/>
      <c r="G153" s="272">
        <v>20.37642</v>
      </c>
      <c r="H153" s="141" t="str">
        <f t="shared" si="10"/>
        <v>CZK</v>
      </c>
      <c r="I153" s="409" t="s">
        <v>47</v>
      </c>
      <c r="J153" s="625" t="s">
        <v>1848</v>
      </c>
      <c r="L153" s="86" t="e">
        <f>VLOOKUP(B153,$B$11:B152,1,FALSE)</f>
        <v>#N/A</v>
      </c>
      <c r="M153" s="256">
        <f>G153*(1-FORM!$AE$28/100)</f>
        <v>20.37642</v>
      </c>
      <c r="AA153" s="463"/>
      <c r="AB153" s="462"/>
      <c r="AC153" s="462"/>
      <c r="AD153" s="464"/>
      <c r="AE153" s="465"/>
    </row>
    <row r="154" spans="1:31" ht="14.4">
      <c r="A154" s="139"/>
      <c r="B154" s="425">
        <v>9347523</v>
      </c>
      <c r="C154" s="216" t="s">
        <v>1153</v>
      </c>
      <c r="D154" s="217">
        <v>200</v>
      </c>
      <c r="E154" s="391"/>
      <c r="F154" s="262"/>
      <c r="G154" s="272">
        <v>20.742249999999999</v>
      </c>
      <c r="H154" s="141" t="str">
        <f t="shared" si="10"/>
        <v>CZK</v>
      </c>
      <c r="I154" s="409" t="s">
        <v>47</v>
      </c>
      <c r="J154" s="625" t="s">
        <v>1849</v>
      </c>
      <c r="L154" s="86" t="e">
        <f>VLOOKUP(B154,$B$11:B153,1,FALSE)</f>
        <v>#N/A</v>
      </c>
      <c r="M154" s="256">
        <f>G154*(1-FORM!$AE$28/100)</f>
        <v>20.742249999999999</v>
      </c>
      <c r="AA154" s="463"/>
      <c r="AB154" s="462"/>
      <c r="AC154" s="462"/>
      <c r="AD154" s="464"/>
      <c r="AE154" s="465"/>
    </row>
    <row r="155" spans="1:31" ht="14.4">
      <c r="A155" s="139"/>
      <c r="B155" s="425">
        <v>9347524</v>
      </c>
      <c r="C155" s="216" t="s">
        <v>1154</v>
      </c>
      <c r="D155" s="217">
        <v>200</v>
      </c>
      <c r="E155" s="391"/>
      <c r="F155" s="262"/>
      <c r="G155" s="272">
        <v>21.111910000000002</v>
      </c>
      <c r="H155" s="141" t="str">
        <f>IF(G155="","",$H$10)</f>
        <v>CZK</v>
      </c>
      <c r="I155" s="409" t="s">
        <v>47</v>
      </c>
      <c r="J155" s="625" t="s">
        <v>1850</v>
      </c>
      <c r="L155" s="86" t="e">
        <f>VLOOKUP(B155,$B$11:B154,1,FALSE)</f>
        <v>#N/A</v>
      </c>
      <c r="M155" s="256">
        <f>G155*(1-FORM!$AE$28/100)</f>
        <v>21.111910000000002</v>
      </c>
      <c r="AA155" s="463"/>
      <c r="AB155" s="462"/>
      <c r="AC155" s="462"/>
      <c r="AD155" s="464"/>
      <c r="AE155" s="465"/>
    </row>
    <row r="156" spans="1:31" ht="14.4">
      <c r="A156" s="139"/>
      <c r="B156" s="425">
        <v>9347525</v>
      </c>
      <c r="C156" s="216" t="s">
        <v>1155</v>
      </c>
      <c r="D156" s="217">
        <v>200</v>
      </c>
      <c r="E156" s="391"/>
      <c r="F156" s="262"/>
      <c r="G156" s="272">
        <v>21.479700000000001</v>
      </c>
      <c r="H156" s="141" t="str">
        <f t="shared" si="10"/>
        <v>CZK</v>
      </c>
      <c r="I156" s="409" t="s">
        <v>47</v>
      </c>
      <c r="J156" s="625" t="s">
        <v>1851</v>
      </c>
      <c r="L156" s="86" t="e">
        <f>VLOOKUP(B156,$B$11:B155,1,FALSE)</f>
        <v>#N/A</v>
      </c>
      <c r="M156" s="256">
        <f>G156*(1-FORM!$AE$28/100)</f>
        <v>21.479700000000001</v>
      </c>
      <c r="AA156" s="463"/>
      <c r="AB156" s="462"/>
      <c r="AC156" s="462"/>
      <c r="AD156" s="464"/>
      <c r="AE156" s="465"/>
    </row>
    <row r="157" spans="1:31" ht="14.4">
      <c r="A157" s="139"/>
      <c r="B157" s="425">
        <v>9347526</v>
      </c>
      <c r="C157" s="216" t="s">
        <v>1156</v>
      </c>
      <c r="D157" s="217">
        <v>200</v>
      </c>
      <c r="E157" s="391"/>
      <c r="F157" s="262"/>
      <c r="G157" s="272">
        <v>21.84564</v>
      </c>
      <c r="H157" s="141" t="str">
        <f t="shared" si="10"/>
        <v>CZK</v>
      </c>
      <c r="I157" s="409" t="s">
        <v>47</v>
      </c>
      <c r="J157" s="625" t="s">
        <v>1852</v>
      </c>
      <c r="L157" s="86" t="e">
        <f>VLOOKUP(B157,$B$11:B156,1,FALSE)</f>
        <v>#N/A</v>
      </c>
      <c r="M157" s="256">
        <f>G157*(1-FORM!$AE$28/100)</f>
        <v>21.84564</v>
      </c>
      <c r="AA157" s="463"/>
      <c r="AB157" s="462"/>
      <c r="AC157" s="462"/>
      <c r="AD157" s="464"/>
      <c r="AE157" s="465"/>
    </row>
    <row r="158" spans="1:31" ht="14.4">
      <c r="A158" s="139"/>
      <c r="B158" s="425">
        <v>9347527</v>
      </c>
      <c r="C158" s="216" t="s">
        <v>1157</v>
      </c>
      <c r="D158" s="217">
        <v>200</v>
      </c>
      <c r="E158" s="391"/>
      <c r="F158" s="262"/>
      <c r="G158" s="272">
        <v>22.79205</v>
      </c>
      <c r="H158" s="141" t="str">
        <f t="shared" si="10"/>
        <v>CZK</v>
      </c>
      <c r="I158" s="409" t="s">
        <v>47</v>
      </c>
      <c r="J158" s="625" t="s">
        <v>1853</v>
      </c>
      <c r="L158" s="86" t="e">
        <f>VLOOKUP(B158,$B$11:B157,1,FALSE)</f>
        <v>#N/A</v>
      </c>
      <c r="M158" s="256">
        <f>G158*(1-FORM!$AE$28/100)</f>
        <v>22.79205</v>
      </c>
      <c r="AA158" s="463"/>
      <c r="AB158" s="462"/>
      <c r="AC158" s="462"/>
      <c r="AD158" s="464"/>
      <c r="AE158" s="465"/>
    </row>
    <row r="159" spans="1:31" ht="14.4">
      <c r="A159" s="139"/>
      <c r="B159" s="426">
        <v>9347528</v>
      </c>
      <c r="C159" s="304" t="s">
        <v>1158</v>
      </c>
      <c r="D159" s="226">
        <v>200</v>
      </c>
      <c r="E159" s="396"/>
      <c r="F159" s="268"/>
      <c r="G159" s="272">
        <v>24.580449999999999</v>
      </c>
      <c r="H159" s="142" t="str">
        <f t="shared" ref="H159:H176" si="11">IF(G159="","",$H$10)</f>
        <v>CZK</v>
      </c>
      <c r="I159" s="417" t="s">
        <v>47</v>
      </c>
      <c r="J159" s="626" t="s">
        <v>1854</v>
      </c>
      <c r="L159" s="86" t="e">
        <f>VLOOKUP(B159,$B$11:B158,1,FALSE)</f>
        <v>#N/A</v>
      </c>
      <c r="M159" s="256">
        <f>G159*(1-FORM!$AE$28/100)</f>
        <v>24.580449999999999</v>
      </c>
      <c r="AA159" s="463"/>
      <c r="AB159" s="462"/>
      <c r="AC159" s="462"/>
      <c r="AD159" s="464"/>
      <c r="AE159" s="465"/>
    </row>
    <row r="160" spans="1:31" ht="14.4">
      <c r="B160" s="301">
        <v>9255835</v>
      </c>
      <c r="C160" s="222" t="s">
        <v>688</v>
      </c>
      <c r="D160" s="223">
        <v>200</v>
      </c>
      <c r="E160" s="395"/>
      <c r="F160" s="266"/>
      <c r="G160" s="272">
        <v>24.69378</v>
      </c>
      <c r="H160" s="211" t="str">
        <f t="shared" si="11"/>
        <v>CZK</v>
      </c>
      <c r="I160" s="416" t="s">
        <v>47</v>
      </c>
      <c r="J160" s="627" t="s">
        <v>1587</v>
      </c>
      <c r="L160" s="86" t="e">
        <f>VLOOKUP(B160,$B$11:B159,1,FALSE)</f>
        <v>#N/A</v>
      </c>
      <c r="M160" s="256">
        <f>G160*(1-FORM!$AE$28/100)</f>
        <v>24.69378</v>
      </c>
      <c r="AA160" s="463"/>
      <c r="AB160" s="462"/>
      <c r="AC160" s="462"/>
      <c r="AD160" s="464"/>
      <c r="AE160" s="465"/>
    </row>
    <row r="161" spans="1:31" ht="14.4">
      <c r="B161" s="303">
        <v>9255836</v>
      </c>
      <c r="C161" s="304" t="s">
        <v>689</v>
      </c>
      <c r="D161" s="226">
        <v>200</v>
      </c>
      <c r="E161" s="396"/>
      <c r="F161" s="268"/>
      <c r="G161" s="272">
        <v>25.299289999999999</v>
      </c>
      <c r="H161" s="142" t="str">
        <f t="shared" si="11"/>
        <v>CZK</v>
      </c>
      <c r="I161" s="417" t="s">
        <v>47</v>
      </c>
      <c r="J161" s="625" t="s">
        <v>1588</v>
      </c>
      <c r="L161" s="86" t="e">
        <f>VLOOKUP(B161,$B$11:B160,1,FALSE)</f>
        <v>#N/A</v>
      </c>
      <c r="M161" s="256">
        <f>G161*(1-FORM!$AE$28/100)</f>
        <v>25.299289999999999</v>
      </c>
      <c r="AA161" s="463"/>
      <c r="AB161" s="462"/>
      <c r="AC161" s="462"/>
      <c r="AD161" s="464"/>
      <c r="AE161" s="465"/>
    </row>
    <row r="162" spans="1:31" ht="14.4">
      <c r="B162" s="305"/>
      <c r="C162" s="15"/>
      <c r="D162" s="221"/>
      <c r="E162" s="397"/>
      <c r="F162" s="265"/>
      <c r="G162" s="272"/>
      <c r="H162" s="136"/>
      <c r="I162" s="414" t="s">
        <v>47</v>
      </c>
      <c r="J162" s="415"/>
      <c r="L162" s="86" t="e">
        <f>VLOOKUP(B162,$B$11:B161,1,FALSE)</f>
        <v>#N/A</v>
      </c>
      <c r="M162" s="256">
        <f>G162*(1-FORM!$AE$28/100)</f>
        <v>0</v>
      </c>
      <c r="AA162" s="463"/>
      <c r="AB162" s="462"/>
      <c r="AC162" s="462"/>
      <c r="AD162" s="464"/>
      <c r="AE162" s="465"/>
    </row>
    <row r="163" spans="1:31" ht="14.4">
      <c r="A163" s="130"/>
      <c r="B163" s="424">
        <v>9353344</v>
      </c>
      <c r="C163" s="222" t="s">
        <v>1204</v>
      </c>
      <c r="D163" s="223">
        <v>1</v>
      </c>
      <c r="E163" s="395"/>
      <c r="F163" s="266"/>
      <c r="G163" s="272">
        <v>645.97351000000003</v>
      </c>
      <c r="H163" s="211" t="str">
        <f t="shared" ref="H163" si="12">IF(G163="","",$H$10)</f>
        <v>CZK</v>
      </c>
      <c r="I163" s="416" t="s">
        <v>47</v>
      </c>
      <c r="J163" s="625" t="s">
        <v>1889</v>
      </c>
      <c r="L163" s="86" t="e">
        <f>VLOOKUP(B163,$B$11:B161,1,FALSE)</f>
        <v>#N/A</v>
      </c>
      <c r="M163" s="256">
        <f>G163*(1-FORM!$AE$28/100)</f>
        <v>645.97351000000003</v>
      </c>
      <c r="AA163" s="463"/>
      <c r="AB163" s="462"/>
      <c r="AC163" s="462"/>
      <c r="AD163" s="464"/>
      <c r="AE163" s="465"/>
    </row>
    <row r="164" spans="1:31" ht="14.4">
      <c r="A164" s="130"/>
      <c r="B164" s="424">
        <v>9353345</v>
      </c>
      <c r="C164" s="222" t="s">
        <v>1205</v>
      </c>
      <c r="D164" s="223">
        <v>1</v>
      </c>
      <c r="E164" s="395"/>
      <c r="F164" s="266"/>
      <c r="G164" s="272">
        <v>650.52683000000002</v>
      </c>
      <c r="H164" s="211" t="str">
        <f t="shared" si="11"/>
        <v>CZK</v>
      </c>
      <c r="I164" s="416" t="s">
        <v>47</v>
      </c>
      <c r="J164" s="625" t="s">
        <v>1890</v>
      </c>
      <c r="L164" s="86" t="e">
        <f>VLOOKUP(B164,$B$11:B162,1,FALSE)</f>
        <v>#N/A</v>
      </c>
      <c r="M164" s="256">
        <f>G164*(1-FORM!$AE$28/100)</f>
        <v>650.52683000000002</v>
      </c>
      <c r="AA164" s="463"/>
      <c r="AB164" s="462"/>
      <c r="AC164" s="462"/>
      <c r="AD164" s="464"/>
      <c r="AE164" s="465"/>
    </row>
    <row r="165" spans="1:31" ht="14.4">
      <c r="A165" s="130"/>
      <c r="B165" s="425">
        <v>9353346</v>
      </c>
      <c r="C165" s="216" t="s">
        <v>1206</v>
      </c>
      <c r="D165" s="217">
        <v>1</v>
      </c>
      <c r="E165" s="391"/>
      <c r="F165" s="262"/>
      <c r="G165" s="272">
        <v>659.97708</v>
      </c>
      <c r="H165" s="141" t="str">
        <f t="shared" si="11"/>
        <v>CZK</v>
      </c>
      <c r="I165" s="409" t="s">
        <v>47</v>
      </c>
      <c r="J165" s="625" t="s">
        <v>1891</v>
      </c>
      <c r="L165" s="86" t="e">
        <f>VLOOKUP(B165,$B$11:B164,1,FALSE)</f>
        <v>#N/A</v>
      </c>
      <c r="M165" s="256">
        <f>G165*(1-FORM!$AE$28/100)</f>
        <v>659.97708</v>
      </c>
      <c r="AA165" s="463"/>
      <c r="AB165" s="462"/>
      <c r="AC165" s="462"/>
      <c r="AD165" s="464"/>
      <c r="AE165" s="465"/>
    </row>
    <row r="166" spans="1:31" ht="14.4">
      <c r="A166" s="130"/>
      <c r="B166" s="425">
        <v>9353347</v>
      </c>
      <c r="C166" s="216" t="s">
        <v>1207</v>
      </c>
      <c r="D166" s="217">
        <v>1</v>
      </c>
      <c r="E166" s="391"/>
      <c r="F166" s="262"/>
      <c r="G166" s="272">
        <v>669.42296999999996</v>
      </c>
      <c r="H166" s="141" t="str">
        <f t="shared" si="11"/>
        <v>CZK</v>
      </c>
      <c r="I166" s="409" t="s">
        <v>47</v>
      </c>
      <c r="J166" s="625" t="s">
        <v>1892</v>
      </c>
      <c r="L166" s="86" t="e">
        <f>VLOOKUP(B166,$B$11:B165,1,FALSE)</f>
        <v>#N/A</v>
      </c>
      <c r="M166" s="256">
        <f>G166*(1-FORM!$AE$28/100)</f>
        <v>669.42296999999996</v>
      </c>
      <c r="AA166" s="463"/>
      <c r="AB166" s="462"/>
      <c r="AC166" s="462"/>
      <c r="AD166" s="464"/>
      <c r="AE166" s="465"/>
    </row>
    <row r="167" spans="1:31" ht="14.4">
      <c r="A167" s="130"/>
      <c r="B167" s="425">
        <v>9353348</v>
      </c>
      <c r="C167" s="216" t="s">
        <v>1208</v>
      </c>
      <c r="D167" s="217">
        <v>1</v>
      </c>
      <c r="E167" s="391"/>
      <c r="F167" s="262"/>
      <c r="G167" s="272">
        <v>660.82442000000003</v>
      </c>
      <c r="H167" s="141" t="str">
        <f t="shared" si="11"/>
        <v>CZK</v>
      </c>
      <c r="I167" s="409" t="s">
        <v>47</v>
      </c>
      <c r="J167" s="625" t="s">
        <v>1893</v>
      </c>
      <c r="L167" s="86" t="e">
        <f>VLOOKUP(B167,$B$11:B166,1,FALSE)</f>
        <v>#N/A</v>
      </c>
      <c r="M167" s="256">
        <f>G167*(1-FORM!$AE$28/100)</f>
        <v>660.82442000000003</v>
      </c>
      <c r="AA167" s="463"/>
      <c r="AB167" s="462"/>
      <c r="AC167" s="462"/>
      <c r="AD167" s="464"/>
      <c r="AE167" s="465"/>
    </row>
    <row r="168" spans="1:31" ht="14.4">
      <c r="A168" s="130"/>
      <c r="B168" s="425">
        <v>9353349</v>
      </c>
      <c r="C168" s="216" t="s">
        <v>1209</v>
      </c>
      <c r="D168" s="217">
        <v>1</v>
      </c>
      <c r="E168" s="391"/>
      <c r="F168" s="262"/>
      <c r="G168" s="272">
        <v>670.01910999999996</v>
      </c>
      <c r="H168" s="141" t="str">
        <f t="shared" si="11"/>
        <v>CZK</v>
      </c>
      <c r="I168" s="409" t="s">
        <v>47</v>
      </c>
      <c r="J168" s="625" t="s">
        <v>1894</v>
      </c>
      <c r="L168" s="86" t="e">
        <f>VLOOKUP(B168,$B$11:B167,1,FALSE)</f>
        <v>#N/A</v>
      </c>
      <c r="M168" s="256">
        <f>G168*(1-FORM!$AE$28/100)</f>
        <v>670.01910999999996</v>
      </c>
      <c r="AA168" s="463"/>
      <c r="AB168" s="462"/>
      <c r="AC168" s="462"/>
      <c r="AD168" s="464"/>
      <c r="AE168" s="465"/>
    </row>
    <row r="169" spans="1:31" ht="14.4">
      <c r="A169" s="130"/>
      <c r="B169" s="425">
        <v>9353350</v>
      </c>
      <c r="C169" s="216" t="s">
        <v>1210</v>
      </c>
      <c r="D169" s="217">
        <v>1</v>
      </c>
      <c r="E169" s="391"/>
      <c r="F169" s="262"/>
      <c r="G169" s="272">
        <v>697.76926000000003</v>
      </c>
      <c r="H169" s="141" t="str">
        <f t="shared" si="11"/>
        <v>CZK</v>
      </c>
      <c r="I169" s="409" t="s">
        <v>47</v>
      </c>
      <c r="J169" s="625" t="s">
        <v>1895</v>
      </c>
      <c r="L169" s="86" t="e">
        <f>VLOOKUP(B169,$B$11:B168,1,FALSE)</f>
        <v>#N/A</v>
      </c>
      <c r="M169" s="256">
        <f>G169*(1-FORM!$AE$28/100)</f>
        <v>697.76926000000003</v>
      </c>
      <c r="AA169" s="463"/>
      <c r="AB169" s="462"/>
      <c r="AC169" s="462"/>
      <c r="AD169" s="464"/>
      <c r="AE169" s="465"/>
    </row>
    <row r="170" spans="1:31" ht="14.4">
      <c r="A170" s="130"/>
      <c r="B170" s="439">
        <v>9353351</v>
      </c>
      <c r="C170" s="218" t="s">
        <v>1211</v>
      </c>
      <c r="D170" s="219">
        <v>1</v>
      </c>
      <c r="E170" s="392"/>
      <c r="F170" s="263"/>
      <c r="G170" s="272">
        <v>712.95127000000002</v>
      </c>
      <c r="H170" s="133" t="str">
        <f t="shared" si="11"/>
        <v>CZK</v>
      </c>
      <c r="I170" s="411" t="s">
        <v>47</v>
      </c>
      <c r="J170" s="625" t="s">
        <v>1896</v>
      </c>
      <c r="L170" s="86" t="e">
        <f>VLOOKUP(B170,$B$11:B169,1,FALSE)</f>
        <v>#N/A</v>
      </c>
      <c r="M170" s="256">
        <f>G170*(1-FORM!$AE$28/100)</f>
        <v>712.95127000000002</v>
      </c>
      <c r="AA170" s="463"/>
      <c r="AB170" s="462"/>
      <c r="AC170" s="462"/>
      <c r="AD170" s="464"/>
      <c r="AE170" s="465"/>
    </row>
    <row r="171" spans="1:31" ht="14.4">
      <c r="A171" s="130"/>
      <c r="B171" s="426">
        <v>9353352</v>
      </c>
      <c r="C171" s="304" t="s">
        <v>1212</v>
      </c>
      <c r="D171" s="226">
        <v>1</v>
      </c>
      <c r="E171" s="396"/>
      <c r="F171" s="268"/>
      <c r="G171" s="272">
        <v>730.98166000000003</v>
      </c>
      <c r="H171" s="142" t="str">
        <f t="shared" ref="H171:H172" si="13">IF(G171="","",$H$10)</f>
        <v>CZK</v>
      </c>
      <c r="I171" s="417" t="s">
        <v>47</v>
      </c>
      <c r="J171" s="626" t="s">
        <v>1897</v>
      </c>
      <c r="L171" s="86" t="e">
        <f>VLOOKUP(B171,$B$11:B170,1,FALSE)</f>
        <v>#N/A</v>
      </c>
      <c r="M171" s="256">
        <f>G171*(1-FORM!$AE$28/100)</f>
        <v>730.98166000000003</v>
      </c>
      <c r="AA171" s="463"/>
      <c r="AB171" s="462"/>
      <c r="AC171" s="462"/>
      <c r="AD171" s="464"/>
      <c r="AE171" s="465"/>
    </row>
    <row r="172" spans="1:31" ht="14.4">
      <c r="A172" s="137"/>
      <c r="B172" s="439">
        <v>9353392</v>
      </c>
      <c r="C172" s="218" t="s">
        <v>1213</v>
      </c>
      <c r="D172" s="219">
        <v>1</v>
      </c>
      <c r="E172" s="392"/>
      <c r="F172" s="263"/>
      <c r="G172" s="272">
        <v>645.97351000000003</v>
      </c>
      <c r="H172" s="133" t="str">
        <f t="shared" si="13"/>
        <v>CZK</v>
      </c>
      <c r="I172" s="411" t="s">
        <v>47</v>
      </c>
      <c r="J172" s="627" t="s">
        <v>1926</v>
      </c>
      <c r="L172" s="86" t="e">
        <f>VLOOKUP(B172,$B$11:B171,1,FALSE)</f>
        <v>#N/A</v>
      </c>
      <c r="M172" s="256">
        <f>G172*(1-FORM!$AE$28/100)</f>
        <v>645.97351000000003</v>
      </c>
      <c r="AA172" s="463"/>
      <c r="AB172" s="462"/>
      <c r="AC172" s="462"/>
      <c r="AD172" s="464"/>
      <c r="AE172" s="465"/>
    </row>
    <row r="173" spans="1:31" ht="14.4">
      <c r="A173" s="137"/>
      <c r="B173" s="439">
        <v>9353393</v>
      </c>
      <c r="C173" s="218" t="s">
        <v>1214</v>
      </c>
      <c r="D173" s="219">
        <v>1</v>
      </c>
      <c r="E173" s="392"/>
      <c r="F173" s="263"/>
      <c r="G173" s="272">
        <v>650.52683000000002</v>
      </c>
      <c r="H173" s="133" t="str">
        <f t="shared" si="11"/>
        <v>CZK</v>
      </c>
      <c r="I173" s="411" t="s">
        <v>47</v>
      </c>
      <c r="J173" s="625" t="s">
        <v>1927</v>
      </c>
      <c r="L173" s="86" t="e">
        <f>VLOOKUP(B173,$B$11:B170,1,FALSE)</f>
        <v>#N/A</v>
      </c>
      <c r="M173" s="256">
        <f>G173*(1-FORM!$AE$28/100)</f>
        <v>650.52683000000002</v>
      </c>
      <c r="AA173" s="463"/>
      <c r="AB173" s="462"/>
      <c r="AC173" s="462"/>
      <c r="AD173" s="464"/>
      <c r="AE173" s="465"/>
    </row>
    <row r="174" spans="1:31" ht="14.4">
      <c r="A174" s="137"/>
      <c r="B174" s="425">
        <v>9353394</v>
      </c>
      <c r="C174" s="216" t="s">
        <v>1215</v>
      </c>
      <c r="D174" s="217">
        <v>1</v>
      </c>
      <c r="E174" s="391"/>
      <c r="F174" s="262"/>
      <c r="G174" s="272">
        <v>659.97708</v>
      </c>
      <c r="H174" s="141" t="str">
        <f t="shared" si="11"/>
        <v>CZK</v>
      </c>
      <c r="I174" s="409" t="s">
        <v>47</v>
      </c>
      <c r="J174" s="625" t="s">
        <v>1928</v>
      </c>
      <c r="L174" s="86" t="e">
        <f>VLOOKUP(B174,$B$11:B173,1,FALSE)</f>
        <v>#N/A</v>
      </c>
      <c r="M174" s="256">
        <f>G174*(1-FORM!$AE$28/100)</f>
        <v>659.97708</v>
      </c>
      <c r="AA174" s="463"/>
      <c r="AB174" s="462"/>
      <c r="AC174" s="462"/>
      <c r="AD174" s="464"/>
      <c r="AE174" s="465"/>
    </row>
    <row r="175" spans="1:31" ht="14.4">
      <c r="A175" s="137"/>
      <c r="B175" s="425">
        <v>9353395</v>
      </c>
      <c r="C175" s="216" t="s">
        <v>1216</v>
      </c>
      <c r="D175" s="217">
        <v>1</v>
      </c>
      <c r="E175" s="391"/>
      <c r="F175" s="262"/>
      <c r="G175" s="272">
        <v>669.42296999999996</v>
      </c>
      <c r="H175" s="141" t="str">
        <f t="shared" si="11"/>
        <v>CZK</v>
      </c>
      <c r="I175" s="409" t="s">
        <v>47</v>
      </c>
      <c r="J175" s="625" t="s">
        <v>1929</v>
      </c>
      <c r="L175" s="86" t="e">
        <f>VLOOKUP(B175,$B$11:B174,1,FALSE)</f>
        <v>#N/A</v>
      </c>
      <c r="M175" s="256">
        <f>G175*(1-FORM!$AE$28/100)</f>
        <v>669.42296999999996</v>
      </c>
      <c r="AA175" s="463"/>
      <c r="AB175" s="462"/>
      <c r="AC175" s="462"/>
      <c r="AD175" s="464"/>
      <c r="AE175" s="465"/>
    </row>
    <row r="176" spans="1:31" ht="14.4">
      <c r="A176" s="137"/>
      <c r="B176" s="425">
        <v>9353396</v>
      </c>
      <c r="C176" s="216" t="s">
        <v>1217</v>
      </c>
      <c r="D176" s="217">
        <v>1</v>
      </c>
      <c r="E176" s="391"/>
      <c r="F176" s="262"/>
      <c r="G176" s="272">
        <v>660.82442000000003</v>
      </c>
      <c r="H176" s="141" t="str">
        <f t="shared" si="11"/>
        <v>CZK</v>
      </c>
      <c r="I176" s="409" t="s">
        <v>47</v>
      </c>
      <c r="J176" s="625" t="s">
        <v>1930</v>
      </c>
      <c r="L176" s="86" t="e">
        <f>VLOOKUP(B176,$B$11:B175,1,FALSE)</f>
        <v>#N/A</v>
      </c>
      <c r="M176" s="256">
        <f>G176*(1-FORM!$AE$28/100)</f>
        <v>660.82442000000003</v>
      </c>
      <c r="AA176" s="463"/>
      <c r="AB176" s="462"/>
      <c r="AC176" s="462"/>
      <c r="AD176" s="464"/>
      <c r="AE176" s="465"/>
    </row>
    <row r="177" spans="1:31" ht="14.4">
      <c r="A177" s="137"/>
      <c r="B177" s="425">
        <v>9353397</v>
      </c>
      <c r="C177" s="216" t="s">
        <v>1218</v>
      </c>
      <c r="D177" s="217">
        <v>1</v>
      </c>
      <c r="E177" s="391"/>
      <c r="F177" s="262"/>
      <c r="G177" s="272">
        <v>670.01910999999996</v>
      </c>
      <c r="H177" s="141" t="str">
        <f t="shared" ref="H177:H185" si="14">IF(G177="","",$H$10)</f>
        <v>CZK</v>
      </c>
      <c r="I177" s="409" t="s">
        <v>47</v>
      </c>
      <c r="J177" s="625" t="s">
        <v>1931</v>
      </c>
      <c r="L177" s="86" t="e">
        <f>VLOOKUP(B177,$B$11:B176,1,FALSE)</f>
        <v>#N/A</v>
      </c>
      <c r="M177" s="256">
        <f>G177*(1-FORM!$AE$28/100)</f>
        <v>670.01910999999996</v>
      </c>
      <c r="AA177" s="463"/>
      <c r="AB177" s="462"/>
      <c r="AC177" s="462"/>
      <c r="AD177" s="464"/>
      <c r="AE177" s="465"/>
    </row>
    <row r="178" spans="1:31" ht="14.4">
      <c r="A178" s="137"/>
      <c r="B178" s="425">
        <v>9353398</v>
      </c>
      <c r="C178" s="216" t="s">
        <v>1219</v>
      </c>
      <c r="D178" s="217">
        <v>1</v>
      </c>
      <c r="E178" s="391"/>
      <c r="F178" s="262"/>
      <c r="G178" s="272">
        <v>697.76926000000003</v>
      </c>
      <c r="H178" s="141" t="str">
        <f t="shared" si="14"/>
        <v>CZK</v>
      </c>
      <c r="I178" s="409" t="s">
        <v>47</v>
      </c>
      <c r="J178" s="625" t="s">
        <v>1932</v>
      </c>
      <c r="L178" s="86" t="e">
        <f>VLOOKUP(B178,$B$11:B177,1,FALSE)</f>
        <v>#N/A</v>
      </c>
      <c r="M178" s="256">
        <f>G178*(1-FORM!$AE$28/100)</f>
        <v>697.76926000000003</v>
      </c>
      <c r="AA178" s="463"/>
      <c r="AB178" s="462"/>
      <c r="AC178" s="462"/>
      <c r="AD178" s="464"/>
      <c r="AE178" s="465"/>
    </row>
    <row r="179" spans="1:31" ht="14.4">
      <c r="A179" s="137"/>
      <c r="B179" s="439">
        <v>9353399</v>
      </c>
      <c r="C179" s="218" t="s">
        <v>1220</v>
      </c>
      <c r="D179" s="219">
        <v>1</v>
      </c>
      <c r="E179" s="392"/>
      <c r="F179" s="263"/>
      <c r="G179" s="272">
        <v>712.95127000000002</v>
      </c>
      <c r="H179" s="133" t="str">
        <f t="shared" si="14"/>
        <v>CZK</v>
      </c>
      <c r="I179" s="411" t="s">
        <v>47</v>
      </c>
      <c r="J179" s="625" t="s">
        <v>1933</v>
      </c>
      <c r="L179" s="86" t="e">
        <f>VLOOKUP(B179,$B$11:B178,1,FALSE)</f>
        <v>#N/A</v>
      </c>
      <c r="M179" s="256">
        <f>G179*(1-FORM!$AE$28/100)</f>
        <v>712.95127000000002</v>
      </c>
      <c r="AA179" s="463"/>
      <c r="AB179" s="462"/>
      <c r="AC179" s="462"/>
      <c r="AD179" s="464"/>
      <c r="AE179" s="465"/>
    </row>
    <row r="180" spans="1:31" ht="14.4">
      <c r="A180" s="137"/>
      <c r="B180" s="426">
        <v>9353400</v>
      </c>
      <c r="C180" s="304" t="s">
        <v>1221</v>
      </c>
      <c r="D180" s="226">
        <v>1</v>
      </c>
      <c r="E180" s="396"/>
      <c r="F180" s="268"/>
      <c r="G180" s="272">
        <v>730.98166000000003</v>
      </c>
      <c r="H180" s="142" t="str">
        <f t="shared" ref="H180:H181" si="15">IF(G180="","",$H$10)</f>
        <v>CZK</v>
      </c>
      <c r="I180" s="417" t="s">
        <v>47</v>
      </c>
      <c r="J180" s="626" t="s">
        <v>1934</v>
      </c>
      <c r="L180" s="86" t="e">
        <f>VLOOKUP(B180,$B$11:B179,1,FALSE)</f>
        <v>#N/A</v>
      </c>
      <c r="M180" s="256">
        <f>G180*(1-FORM!$AE$28/100)</f>
        <v>730.98166000000003</v>
      </c>
      <c r="AA180" s="463"/>
      <c r="AB180" s="462"/>
      <c r="AC180" s="462"/>
      <c r="AD180" s="464"/>
      <c r="AE180" s="465"/>
    </row>
    <row r="181" spans="1:31" ht="14.4">
      <c r="A181" s="139"/>
      <c r="B181" s="439">
        <v>9353430</v>
      </c>
      <c r="C181" s="222" t="s">
        <v>1222</v>
      </c>
      <c r="D181" s="219">
        <v>1</v>
      </c>
      <c r="E181" s="392"/>
      <c r="F181" s="263"/>
      <c r="G181" s="272">
        <v>645.97351000000003</v>
      </c>
      <c r="H181" s="133" t="str">
        <f t="shared" si="15"/>
        <v>CZK</v>
      </c>
      <c r="I181" s="411" t="s">
        <v>47</v>
      </c>
      <c r="J181" s="627" t="s">
        <v>1964</v>
      </c>
      <c r="L181" s="86" t="e">
        <f>VLOOKUP(B181,$B$11:B180,1,FALSE)</f>
        <v>#N/A</v>
      </c>
      <c r="M181" s="256">
        <f>G181*(1-FORM!$AE$28/100)</f>
        <v>645.97351000000003</v>
      </c>
      <c r="AA181" s="463"/>
      <c r="AB181" s="462"/>
      <c r="AC181" s="462"/>
      <c r="AD181" s="464"/>
      <c r="AE181" s="465"/>
    </row>
    <row r="182" spans="1:31" ht="14.4">
      <c r="A182" s="139"/>
      <c r="B182" s="439">
        <v>9353431</v>
      </c>
      <c r="C182" s="218" t="s">
        <v>1223</v>
      </c>
      <c r="D182" s="219">
        <v>1</v>
      </c>
      <c r="E182" s="392"/>
      <c r="F182" s="263"/>
      <c r="G182" s="272">
        <v>650.52683000000002</v>
      </c>
      <c r="H182" s="133" t="str">
        <f t="shared" si="14"/>
        <v>CZK</v>
      </c>
      <c r="I182" s="411" t="s">
        <v>47</v>
      </c>
      <c r="J182" s="625" t="s">
        <v>1965</v>
      </c>
      <c r="L182" s="86" t="e">
        <f>VLOOKUP(B182,$B$11:B179,1,FALSE)</f>
        <v>#N/A</v>
      </c>
      <c r="M182" s="256">
        <f>G182*(1-FORM!$AE$28/100)</f>
        <v>650.52683000000002</v>
      </c>
      <c r="AA182" s="463"/>
      <c r="AB182" s="462"/>
      <c r="AC182" s="462"/>
      <c r="AD182" s="464"/>
      <c r="AE182" s="465"/>
    </row>
    <row r="183" spans="1:31" ht="14.4">
      <c r="A183" s="139"/>
      <c r="B183" s="425">
        <v>9353432</v>
      </c>
      <c r="C183" s="216" t="s">
        <v>1224</v>
      </c>
      <c r="D183" s="217">
        <v>1</v>
      </c>
      <c r="E183" s="391"/>
      <c r="F183" s="262"/>
      <c r="G183" s="272">
        <v>659.97708</v>
      </c>
      <c r="H183" s="141" t="str">
        <f t="shared" si="14"/>
        <v>CZK</v>
      </c>
      <c r="I183" s="409" t="s">
        <v>47</v>
      </c>
      <c r="J183" s="625" t="s">
        <v>1966</v>
      </c>
      <c r="L183" s="86" t="e">
        <f>VLOOKUP(B183,$B$11:B182,1,FALSE)</f>
        <v>#N/A</v>
      </c>
      <c r="M183" s="256">
        <f>G183*(1-FORM!$AE$28/100)</f>
        <v>659.97708</v>
      </c>
      <c r="AA183" s="463"/>
      <c r="AB183" s="462"/>
      <c r="AC183" s="462"/>
      <c r="AD183" s="464"/>
      <c r="AE183" s="465"/>
    </row>
    <row r="184" spans="1:31" ht="14.4">
      <c r="A184" s="139"/>
      <c r="B184" s="425">
        <v>9353433</v>
      </c>
      <c r="C184" s="216" t="s">
        <v>1225</v>
      </c>
      <c r="D184" s="217">
        <v>1</v>
      </c>
      <c r="E184" s="391"/>
      <c r="F184" s="262"/>
      <c r="G184" s="272">
        <v>669.42296999999996</v>
      </c>
      <c r="H184" s="141" t="str">
        <f t="shared" si="14"/>
        <v>CZK</v>
      </c>
      <c r="I184" s="409" t="s">
        <v>47</v>
      </c>
      <c r="J184" s="625" t="s">
        <v>1967</v>
      </c>
      <c r="L184" s="86" t="e">
        <f>VLOOKUP(B184,$B$11:B183,1,FALSE)</f>
        <v>#N/A</v>
      </c>
      <c r="M184" s="256">
        <f>G184*(1-FORM!$AE$28/100)</f>
        <v>669.42296999999996</v>
      </c>
      <c r="AA184" s="463"/>
      <c r="AB184" s="462"/>
      <c r="AC184" s="462"/>
      <c r="AD184" s="464"/>
      <c r="AE184" s="465"/>
    </row>
    <row r="185" spans="1:31" ht="14.4">
      <c r="A185" s="139"/>
      <c r="B185" s="425">
        <v>9353434</v>
      </c>
      <c r="C185" s="216" t="s">
        <v>1226</v>
      </c>
      <c r="D185" s="217">
        <v>1</v>
      </c>
      <c r="E185" s="391"/>
      <c r="F185" s="262"/>
      <c r="G185" s="272">
        <v>660.82442000000003</v>
      </c>
      <c r="H185" s="141" t="str">
        <f t="shared" si="14"/>
        <v>CZK</v>
      </c>
      <c r="I185" s="409" t="s">
        <v>47</v>
      </c>
      <c r="J185" s="625" t="s">
        <v>1968</v>
      </c>
      <c r="L185" s="86" t="e">
        <f>VLOOKUP(B185,$B$11:B184,1,FALSE)</f>
        <v>#N/A</v>
      </c>
      <c r="M185" s="256">
        <f>G185*(1-FORM!$AE$28/100)</f>
        <v>660.82442000000003</v>
      </c>
      <c r="AA185" s="463"/>
      <c r="AB185" s="462"/>
      <c r="AC185" s="462"/>
      <c r="AD185" s="464"/>
      <c r="AE185" s="465"/>
    </row>
    <row r="186" spans="1:31" ht="14.4">
      <c r="A186" s="139"/>
      <c r="B186" s="425">
        <v>9353435</v>
      </c>
      <c r="C186" s="216" t="s">
        <v>1227</v>
      </c>
      <c r="D186" s="217">
        <v>1</v>
      </c>
      <c r="E186" s="391"/>
      <c r="F186" s="262"/>
      <c r="G186" s="272">
        <v>670.01910999999996</v>
      </c>
      <c r="H186" s="141" t="str">
        <f t="shared" ref="H186:H197" si="16">IF(G186="","",$H$10)</f>
        <v>CZK</v>
      </c>
      <c r="I186" s="409" t="s">
        <v>47</v>
      </c>
      <c r="J186" s="625" t="s">
        <v>1969</v>
      </c>
      <c r="L186" s="86" t="e">
        <f>VLOOKUP(B186,$B$11:B185,1,FALSE)</f>
        <v>#N/A</v>
      </c>
      <c r="M186" s="256">
        <f>G186*(1-FORM!$AE$28/100)</f>
        <v>670.01910999999996</v>
      </c>
      <c r="AA186" s="463"/>
      <c r="AB186" s="462"/>
      <c r="AC186" s="462"/>
      <c r="AD186" s="464"/>
      <c r="AE186" s="465"/>
    </row>
    <row r="187" spans="1:31" ht="14.4">
      <c r="A187" s="139"/>
      <c r="B187" s="425">
        <v>9353436</v>
      </c>
      <c r="C187" s="216" t="s">
        <v>1228</v>
      </c>
      <c r="D187" s="217">
        <v>1</v>
      </c>
      <c r="E187" s="391"/>
      <c r="F187" s="262"/>
      <c r="G187" s="272">
        <v>697.76926000000003</v>
      </c>
      <c r="H187" s="141" t="str">
        <f t="shared" si="16"/>
        <v>CZK</v>
      </c>
      <c r="I187" s="409" t="s">
        <v>47</v>
      </c>
      <c r="J187" s="625" t="s">
        <v>1970</v>
      </c>
      <c r="L187" s="86" t="e">
        <f>VLOOKUP(B187,$B$11:B186,1,FALSE)</f>
        <v>#N/A</v>
      </c>
      <c r="M187" s="256">
        <f>G187*(1-FORM!$AE$28/100)</f>
        <v>697.76926000000003</v>
      </c>
      <c r="AA187" s="463"/>
      <c r="AB187" s="462"/>
      <c r="AC187" s="462"/>
      <c r="AD187" s="464"/>
      <c r="AE187" s="465"/>
    </row>
    <row r="188" spans="1:31" ht="14.4">
      <c r="A188" s="139"/>
      <c r="B188" s="439">
        <v>9353437</v>
      </c>
      <c r="C188" s="218" t="s">
        <v>1229</v>
      </c>
      <c r="D188" s="219">
        <v>1</v>
      </c>
      <c r="E188" s="392"/>
      <c r="F188" s="263"/>
      <c r="G188" s="272">
        <v>712.95127000000002</v>
      </c>
      <c r="H188" s="133" t="str">
        <f t="shared" si="16"/>
        <v>CZK</v>
      </c>
      <c r="I188" s="411" t="s">
        <v>47</v>
      </c>
      <c r="J188" s="625" t="s">
        <v>1971</v>
      </c>
      <c r="L188" s="86" t="e">
        <f>VLOOKUP(B188,$B$11:B187,1,FALSE)</f>
        <v>#N/A</v>
      </c>
      <c r="M188" s="256">
        <f>G188*(1-FORM!$AE$28/100)</f>
        <v>712.95127000000002</v>
      </c>
      <c r="AA188" s="463"/>
      <c r="AB188" s="462"/>
      <c r="AC188" s="462"/>
      <c r="AD188" s="464"/>
      <c r="AE188" s="465"/>
    </row>
    <row r="189" spans="1:31" ht="14.4">
      <c r="A189" s="139"/>
      <c r="B189" s="426">
        <v>9353438</v>
      </c>
      <c r="C189" s="304" t="s">
        <v>1230</v>
      </c>
      <c r="D189" s="226">
        <v>1</v>
      </c>
      <c r="E189" s="396"/>
      <c r="F189" s="268"/>
      <c r="G189" s="272">
        <v>730.98166000000003</v>
      </c>
      <c r="H189" s="142" t="str">
        <f t="shared" ref="H189:H191" si="17">IF(G189="","",$H$10)</f>
        <v>CZK</v>
      </c>
      <c r="I189" s="417" t="s">
        <v>47</v>
      </c>
      <c r="J189" s="626" t="s">
        <v>1972</v>
      </c>
      <c r="L189" s="86" t="e">
        <f>VLOOKUP(B189,$B$11:B188,1,FALSE)</f>
        <v>#N/A</v>
      </c>
      <c r="M189" s="256">
        <f>G189*(1-FORM!$AE$28/100)</f>
        <v>730.98166000000003</v>
      </c>
      <c r="AA189" s="463"/>
      <c r="AB189" s="462"/>
      <c r="AC189" s="462"/>
      <c r="AD189" s="464"/>
      <c r="AE189" s="465"/>
    </row>
    <row r="190" spans="1:31" ht="14.4">
      <c r="A190" s="130"/>
      <c r="B190" s="301">
        <v>9255026</v>
      </c>
      <c r="C190" s="222" t="s">
        <v>1304</v>
      </c>
      <c r="D190" s="223">
        <v>20</v>
      </c>
      <c r="E190" s="395"/>
      <c r="F190" s="266"/>
      <c r="G190" s="272"/>
      <c r="H190" s="211" t="str">
        <f t="shared" si="17"/>
        <v/>
      </c>
      <c r="I190" s="416" t="s">
        <v>47</v>
      </c>
      <c r="J190" s="467"/>
      <c r="L190" s="86" t="e">
        <f>VLOOKUP(B190,$B$11:B186,1,FALSE)</f>
        <v>#N/A</v>
      </c>
      <c r="M190" s="256">
        <f>G190*(1-FORM!$AE$28/100)</f>
        <v>0</v>
      </c>
      <c r="AA190" s="463"/>
      <c r="AB190" s="462"/>
      <c r="AC190" s="462"/>
      <c r="AD190" s="464"/>
      <c r="AE190" s="465"/>
    </row>
    <row r="191" spans="1:31" ht="14.4">
      <c r="A191" s="130"/>
      <c r="B191" s="298">
        <v>9255027</v>
      </c>
      <c r="C191" s="216" t="s">
        <v>1305</v>
      </c>
      <c r="D191" s="217">
        <v>20</v>
      </c>
      <c r="E191" s="391"/>
      <c r="F191" s="262"/>
      <c r="G191" s="272"/>
      <c r="H191" s="141" t="str">
        <f t="shared" si="17"/>
        <v/>
      </c>
      <c r="I191" s="409" t="s">
        <v>47</v>
      </c>
      <c r="J191" s="466"/>
      <c r="L191" s="86" t="e">
        <f>VLOOKUP(B191,$B$11:B190,1,FALSE)</f>
        <v>#N/A</v>
      </c>
      <c r="M191" s="256">
        <f>G191*(1-FORM!$AE$28/100)</f>
        <v>0</v>
      </c>
      <c r="AA191" s="463"/>
      <c r="AB191" s="462"/>
      <c r="AC191" s="462"/>
      <c r="AD191" s="464"/>
      <c r="AE191" s="465"/>
    </row>
    <row r="192" spans="1:31" ht="14.4">
      <c r="A192" s="130"/>
      <c r="B192" s="301">
        <v>9255028</v>
      </c>
      <c r="C192" s="222" t="s">
        <v>690</v>
      </c>
      <c r="D192" s="223">
        <v>20</v>
      </c>
      <c r="E192" s="395"/>
      <c r="F192" s="266"/>
      <c r="G192" s="272">
        <v>268.07722999999999</v>
      </c>
      <c r="H192" s="211" t="str">
        <f t="shared" si="16"/>
        <v>CZK</v>
      </c>
      <c r="I192" s="416" t="s">
        <v>47</v>
      </c>
      <c r="J192" s="625" t="s">
        <v>1353</v>
      </c>
      <c r="L192" s="86" t="e">
        <f>VLOOKUP(B192,$B$11:B188,1,FALSE)</f>
        <v>#N/A</v>
      </c>
      <c r="M192" s="256">
        <f>G192*(1-FORM!$AE$28/100)</f>
        <v>268.07722999999999</v>
      </c>
      <c r="AA192" s="463"/>
      <c r="AB192" s="462"/>
      <c r="AC192" s="462"/>
      <c r="AD192" s="464"/>
      <c r="AE192" s="465"/>
    </row>
    <row r="193" spans="1:31" ht="14.4">
      <c r="A193" s="130"/>
      <c r="B193" s="298">
        <v>9255029</v>
      </c>
      <c r="C193" s="216" t="s">
        <v>691</v>
      </c>
      <c r="D193" s="217">
        <v>20</v>
      </c>
      <c r="E193" s="391"/>
      <c r="F193" s="262"/>
      <c r="G193" s="272">
        <v>268.07722999999999</v>
      </c>
      <c r="H193" s="141" t="str">
        <f t="shared" si="16"/>
        <v>CZK</v>
      </c>
      <c r="I193" s="409" t="s">
        <v>47</v>
      </c>
      <c r="J193" s="625" t="s">
        <v>1354</v>
      </c>
      <c r="L193" s="86" t="e">
        <f>VLOOKUP(B193,$B$11:B192,1,FALSE)</f>
        <v>#N/A</v>
      </c>
      <c r="M193" s="256">
        <f>G193*(1-FORM!$AE$28/100)</f>
        <v>268.07722999999999</v>
      </c>
      <c r="AA193" s="463"/>
      <c r="AB193" s="462"/>
      <c r="AC193" s="462"/>
      <c r="AD193" s="464"/>
      <c r="AE193" s="465"/>
    </row>
    <row r="194" spans="1:31" ht="14.4">
      <c r="A194" s="130"/>
      <c r="B194" s="298">
        <v>9255030</v>
      </c>
      <c r="C194" s="216" t="s">
        <v>692</v>
      </c>
      <c r="D194" s="217">
        <v>20</v>
      </c>
      <c r="E194" s="391"/>
      <c r="F194" s="262"/>
      <c r="G194" s="272">
        <v>273.01260000000002</v>
      </c>
      <c r="H194" s="141" t="str">
        <f t="shared" si="16"/>
        <v>CZK</v>
      </c>
      <c r="I194" s="409" t="s">
        <v>47</v>
      </c>
      <c r="J194" s="625" t="s">
        <v>1355</v>
      </c>
      <c r="L194" s="86" t="e">
        <f>VLOOKUP(B194,$B$11:B193,1,FALSE)</f>
        <v>#N/A</v>
      </c>
      <c r="M194" s="256">
        <f>G194*(1-FORM!$AE$28/100)</f>
        <v>273.01260000000002</v>
      </c>
      <c r="AA194" s="463"/>
      <c r="AB194" s="462"/>
      <c r="AC194" s="462"/>
      <c r="AD194" s="464"/>
      <c r="AE194" s="465"/>
    </row>
    <row r="195" spans="1:31" ht="14.4">
      <c r="A195" s="130"/>
      <c r="B195" s="298">
        <v>9255031</v>
      </c>
      <c r="C195" s="216" t="s">
        <v>693</v>
      </c>
      <c r="D195" s="217">
        <v>20</v>
      </c>
      <c r="E195" s="391"/>
      <c r="F195" s="262"/>
      <c r="G195" s="272">
        <v>273.01260000000002</v>
      </c>
      <c r="H195" s="141" t="str">
        <f t="shared" si="16"/>
        <v>CZK</v>
      </c>
      <c r="I195" s="409" t="s">
        <v>47</v>
      </c>
      <c r="J195" s="625" t="s">
        <v>1356</v>
      </c>
      <c r="L195" s="86" t="e">
        <f>VLOOKUP(B195,$B$11:B194,1,FALSE)</f>
        <v>#N/A</v>
      </c>
      <c r="M195" s="256">
        <f>G195*(1-FORM!$AE$28/100)</f>
        <v>273.01260000000002</v>
      </c>
      <c r="AA195" s="463"/>
      <c r="AB195" s="462"/>
      <c r="AC195" s="462"/>
      <c r="AD195" s="464"/>
      <c r="AE195" s="465"/>
    </row>
    <row r="196" spans="1:31" ht="14.4">
      <c r="A196" s="130"/>
      <c r="B196" s="298">
        <v>9255032</v>
      </c>
      <c r="C196" s="216" t="s">
        <v>694</v>
      </c>
      <c r="D196" s="217">
        <v>20</v>
      </c>
      <c r="E196" s="391"/>
      <c r="F196" s="262"/>
      <c r="G196" s="272">
        <v>277.95048000000003</v>
      </c>
      <c r="H196" s="141" t="str">
        <f t="shared" si="16"/>
        <v>CZK</v>
      </c>
      <c r="I196" s="409" t="s">
        <v>47</v>
      </c>
      <c r="J196" s="625" t="s">
        <v>1357</v>
      </c>
      <c r="L196" s="86" t="e">
        <f>VLOOKUP(B196,$B$11:B195,1,FALSE)</f>
        <v>#N/A</v>
      </c>
      <c r="M196" s="256">
        <f>G196*(1-FORM!$AE$28/100)</f>
        <v>277.95048000000003</v>
      </c>
      <c r="AA196" s="463"/>
      <c r="AB196" s="462"/>
      <c r="AC196" s="462"/>
      <c r="AD196" s="464"/>
      <c r="AE196" s="465"/>
    </row>
    <row r="197" spans="1:31" ht="14.4">
      <c r="A197" s="130"/>
      <c r="B197" s="298">
        <v>9255033</v>
      </c>
      <c r="C197" s="216" t="s">
        <v>695</v>
      </c>
      <c r="D197" s="217">
        <v>20</v>
      </c>
      <c r="E197" s="391"/>
      <c r="F197" s="262"/>
      <c r="G197" s="272">
        <v>277.95048000000003</v>
      </c>
      <c r="H197" s="141" t="str">
        <f t="shared" si="16"/>
        <v>CZK</v>
      </c>
      <c r="I197" s="409" t="s">
        <v>47</v>
      </c>
      <c r="J197" s="625" t="s">
        <v>1358</v>
      </c>
      <c r="L197" s="86" t="e">
        <f>VLOOKUP(B197,$B$11:B196,1,FALSE)</f>
        <v>#N/A</v>
      </c>
      <c r="M197" s="256">
        <f>G197*(1-FORM!$AE$28/100)</f>
        <v>277.95048000000003</v>
      </c>
      <c r="AA197" s="463"/>
      <c r="AB197" s="462"/>
      <c r="AC197" s="462"/>
      <c r="AD197" s="464"/>
      <c r="AE197" s="465"/>
    </row>
    <row r="198" spans="1:31" ht="14.4">
      <c r="A198" s="130"/>
      <c r="B198" s="298">
        <v>9255034</v>
      </c>
      <c r="C198" s="216" t="s">
        <v>696</v>
      </c>
      <c r="D198" s="217">
        <v>20</v>
      </c>
      <c r="E198" s="391"/>
      <c r="F198" s="262"/>
      <c r="G198" s="272">
        <v>282.88328000000001</v>
      </c>
      <c r="H198" s="141" t="str">
        <f t="shared" ref="H198:H204" si="18">IF(G198="","",$H$10)</f>
        <v>CZK</v>
      </c>
      <c r="I198" s="409" t="s">
        <v>47</v>
      </c>
      <c r="J198" s="625" t="s">
        <v>1359</v>
      </c>
      <c r="L198" s="86" t="e">
        <f>VLOOKUP(B198,$B$11:B197,1,FALSE)</f>
        <v>#N/A</v>
      </c>
      <c r="M198" s="256">
        <f>G198*(1-FORM!$AE$28/100)</f>
        <v>282.88328000000001</v>
      </c>
      <c r="AA198" s="463"/>
      <c r="AB198" s="462"/>
      <c r="AC198" s="462"/>
      <c r="AD198" s="464"/>
      <c r="AE198" s="465"/>
    </row>
    <row r="199" spans="1:31" ht="14.4">
      <c r="A199" s="130"/>
      <c r="B199" s="298">
        <v>9255035</v>
      </c>
      <c r="C199" s="216" t="s">
        <v>697</v>
      </c>
      <c r="D199" s="217">
        <v>20</v>
      </c>
      <c r="E199" s="391"/>
      <c r="F199" s="262"/>
      <c r="G199" s="272">
        <v>282.88328000000001</v>
      </c>
      <c r="H199" s="141" t="str">
        <f t="shared" si="18"/>
        <v>CZK</v>
      </c>
      <c r="I199" s="409" t="s">
        <v>47</v>
      </c>
      <c r="J199" s="625" t="s">
        <v>1360</v>
      </c>
      <c r="L199" s="86" t="e">
        <f>VLOOKUP(B199,$B$11:B198,1,FALSE)</f>
        <v>#N/A</v>
      </c>
      <c r="M199" s="256">
        <f>G199*(1-FORM!$AE$28/100)</f>
        <v>282.88328000000001</v>
      </c>
      <c r="AA199" s="463"/>
      <c r="AB199" s="462"/>
      <c r="AC199" s="462"/>
      <c r="AD199" s="464"/>
      <c r="AE199" s="465"/>
    </row>
    <row r="200" spans="1:31" ht="14.4">
      <c r="A200" s="130"/>
      <c r="B200" s="298">
        <v>9255036</v>
      </c>
      <c r="C200" s="216" t="s">
        <v>698</v>
      </c>
      <c r="D200" s="217">
        <v>20</v>
      </c>
      <c r="E200" s="391"/>
      <c r="F200" s="262"/>
      <c r="G200" s="272">
        <v>280.16149000000001</v>
      </c>
      <c r="H200" s="141" t="str">
        <f t="shared" si="18"/>
        <v>CZK</v>
      </c>
      <c r="I200" s="409" t="s">
        <v>47</v>
      </c>
      <c r="J200" s="625" t="s">
        <v>1361</v>
      </c>
      <c r="L200" s="86" t="e">
        <f>VLOOKUP(B200,$B$11:B199,1,FALSE)</f>
        <v>#N/A</v>
      </c>
      <c r="M200" s="256">
        <f>G200*(1-FORM!$AE$28/100)</f>
        <v>280.16149000000001</v>
      </c>
      <c r="AA200" s="463"/>
      <c r="AB200" s="462"/>
      <c r="AC200" s="462"/>
      <c r="AD200" s="464"/>
      <c r="AE200" s="465"/>
    </row>
    <row r="201" spans="1:31" ht="14.4">
      <c r="A201" s="130"/>
      <c r="B201" s="298">
        <v>9255037</v>
      </c>
      <c r="C201" s="216" t="s">
        <v>699</v>
      </c>
      <c r="D201" s="217">
        <v>20</v>
      </c>
      <c r="E201" s="391"/>
      <c r="F201" s="262"/>
      <c r="G201" s="272">
        <v>280.16149000000001</v>
      </c>
      <c r="H201" s="141" t="str">
        <f t="shared" si="18"/>
        <v>CZK</v>
      </c>
      <c r="I201" s="409" t="s">
        <v>47</v>
      </c>
      <c r="J201" s="625" t="s">
        <v>1362</v>
      </c>
      <c r="L201" s="86" t="e">
        <f>VLOOKUP(B201,$B$11:B200,1,FALSE)</f>
        <v>#N/A</v>
      </c>
      <c r="M201" s="256">
        <f>G201*(1-FORM!$AE$28/100)</f>
        <v>280.16149000000001</v>
      </c>
      <c r="AA201" s="463"/>
      <c r="AB201" s="462"/>
      <c r="AC201" s="462"/>
      <c r="AD201" s="464"/>
      <c r="AE201" s="465"/>
    </row>
    <row r="202" spans="1:31" ht="14.4">
      <c r="A202" s="130"/>
      <c r="B202" s="298">
        <v>9255038</v>
      </c>
      <c r="C202" s="216" t="s">
        <v>700</v>
      </c>
      <c r="D202" s="217">
        <v>20</v>
      </c>
      <c r="E202" s="391"/>
      <c r="F202" s="262"/>
      <c r="G202" s="272">
        <v>292.74898000000002</v>
      </c>
      <c r="H202" s="141" t="str">
        <f t="shared" si="18"/>
        <v>CZK</v>
      </c>
      <c r="I202" s="409" t="s">
        <v>47</v>
      </c>
      <c r="J202" s="625" t="s">
        <v>1363</v>
      </c>
      <c r="L202" s="86" t="e">
        <f>VLOOKUP(B202,$B$11:B201,1,FALSE)</f>
        <v>#N/A</v>
      </c>
      <c r="M202" s="256">
        <f>G202*(1-FORM!$AE$28/100)</f>
        <v>292.74898000000002</v>
      </c>
      <c r="AA202" s="463"/>
      <c r="AB202" s="462"/>
      <c r="AC202" s="462"/>
      <c r="AD202" s="464"/>
      <c r="AE202" s="465"/>
    </row>
    <row r="203" spans="1:31" ht="14.4">
      <c r="A203" s="130"/>
      <c r="B203" s="298">
        <v>9255039</v>
      </c>
      <c r="C203" s="216" t="s">
        <v>701</v>
      </c>
      <c r="D203" s="217">
        <v>20</v>
      </c>
      <c r="E203" s="391"/>
      <c r="F203" s="262"/>
      <c r="G203" s="272">
        <v>292.74898000000002</v>
      </c>
      <c r="H203" s="141" t="str">
        <f t="shared" si="18"/>
        <v>CZK</v>
      </c>
      <c r="I203" s="409" t="s">
        <v>47</v>
      </c>
      <c r="J203" s="625" t="s">
        <v>1364</v>
      </c>
      <c r="L203" s="86" t="e">
        <f>VLOOKUP(B203,$B$11:B202,1,FALSE)</f>
        <v>#N/A</v>
      </c>
      <c r="M203" s="256">
        <f>G203*(1-FORM!$AE$28/100)</f>
        <v>292.74898000000002</v>
      </c>
      <c r="AA203" s="463"/>
      <c r="AB203" s="462"/>
      <c r="AC203" s="462"/>
      <c r="AD203" s="464"/>
      <c r="AE203" s="465"/>
    </row>
    <row r="204" spans="1:31" ht="14.4">
      <c r="A204" s="130"/>
      <c r="B204" s="298">
        <v>9255040</v>
      </c>
      <c r="C204" s="216" t="s">
        <v>702</v>
      </c>
      <c r="D204" s="217">
        <v>20</v>
      </c>
      <c r="E204" s="391"/>
      <c r="F204" s="262"/>
      <c r="G204" s="272">
        <v>300.18995999999999</v>
      </c>
      <c r="H204" s="141" t="str">
        <f t="shared" si="18"/>
        <v>CZK</v>
      </c>
      <c r="I204" s="409" t="s">
        <v>47</v>
      </c>
      <c r="J204" s="625" t="s">
        <v>1365</v>
      </c>
      <c r="L204" s="86" t="e">
        <f>VLOOKUP(B204,$B$11:B203,1,FALSE)</f>
        <v>#N/A</v>
      </c>
      <c r="M204" s="256">
        <f>G204*(1-FORM!$AE$28/100)</f>
        <v>300.18995999999999</v>
      </c>
      <c r="AA204" s="463"/>
      <c r="AB204" s="462"/>
      <c r="AC204" s="462"/>
      <c r="AD204" s="464"/>
      <c r="AE204" s="465"/>
    </row>
    <row r="205" spans="1:31" ht="14.4">
      <c r="A205" s="130"/>
      <c r="B205" s="447">
        <v>9255041</v>
      </c>
      <c r="C205" s="448" t="s">
        <v>703</v>
      </c>
      <c r="D205" s="449">
        <v>20</v>
      </c>
      <c r="E205" s="450"/>
      <c r="F205" s="451"/>
      <c r="G205" s="272">
        <v>300.18995999999999</v>
      </c>
      <c r="H205" s="452" t="str">
        <f t="shared" ref="H205:H215" si="19">IF(G205="","",$H$10)</f>
        <v>CZK</v>
      </c>
      <c r="I205" s="453" t="s">
        <v>47</v>
      </c>
      <c r="J205" s="625" t="s">
        <v>1366</v>
      </c>
      <c r="L205" s="86" t="e">
        <f>VLOOKUP(B205,$B$11:B204,1,FALSE)</f>
        <v>#N/A</v>
      </c>
      <c r="M205" s="256">
        <f>G205*(1-FORM!$AE$28/100)</f>
        <v>300.18995999999999</v>
      </c>
      <c r="AA205" s="463"/>
      <c r="AB205" s="462"/>
      <c r="AC205" s="462"/>
      <c r="AD205" s="464"/>
      <c r="AE205" s="465"/>
    </row>
    <row r="206" spans="1:31" ht="14.4">
      <c r="A206" s="130"/>
      <c r="B206" s="298">
        <v>9255042</v>
      </c>
      <c r="C206" s="216" t="s">
        <v>1306</v>
      </c>
      <c r="D206" s="217">
        <v>20</v>
      </c>
      <c r="E206" s="391"/>
      <c r="F206" s="262"/>
      <c r="G206" s="272">
        <v>308.13261999999997</v>
      </c>
      <c r="H206" s="141" t="str">
        <f t="shared" si="19"/>
        <v>CZK</v>
      </c>
      <c r="I206" s="409" t="s">
        <v>47</v>
      </c>
      <c r="J206" s="625" t="s">
        <v>1367</v>
      </c>
      <c r="L206" s="86" t="e">
        <f>VLOOKUP(B206,$B$11:B205,1,FALSE)</f>
        <v>#N/A</v>
      </c>
      <c r="M206" s="256">
        <f>G206*(1-FORM!$AE$28/100)</f>
        <v>308.13261999999997</v>
      </c>
      <c r="AA206" s="463"/>
      <c r="AB206" s="462"/>
      <c r="AC206" s="462"/>
      <c r="AD206" s="464"/>
      <c r="AE206" s="465"/>
    </row>
    <row r="207" spans="1:31" ht="14.4">
      <c r="A207" s="130"/>
      <c r="B207" s="303">
        <v>9255043</v>
      </c>
      <c r="C207" s="304" t="s">
        <v>1307</v>
      </c>
      <c r="D207" s="226">
        <v>20</v>
      </c>
      <c r="E207" s="396"/>
      <c r="F207" s="268"/>
      <c r="G207" s="272">
        <v>308.13261999999997</v>
      </c>
      <c r="H207" s="142" t="str">
        <f t="shared" ref="H207:H209" si="20">IF(G207="","",$H$10)</f>
        <v>CZK</v>
      </c>
      <c r="I207" s="417" t="s">
        <v>47</v>
      </c>
      <c r="J207" s="626" t="s">
        <v>1368</v>
      </c>
      <c r="L207" s="86" t="e">
        <f>VLOOKUP(B207,$B$11:B206,1,FALSE)</f>
        <v>#N/A</v>
      </c>
      <c r="M207" s="256">
        <f>G207*(1-FORM!$AE$28/100)</f>
        <v>308.13261999999997</v>
      </c>
      <c r="AA207" s="463"/>
      <c r="AB207" s="462"/>
      <c r="AC207" s="462"/>
      <c r="AD207" s="464"/>
      <c r="AE207" s="465"/>
    </row>
    <row r="208" spans="1:31" ht="14.4">
      <c r="A208" s="137"/>
      <c r="B208" s="301">
        <v>9255106</v>
      </c>
      <c r="C208" s="222" t="s">
        <v>1308</v>
      </c>
      <c r="D208" s="223">
        <v>20</v>
      </c>
      <c r="E208" s="395"/>
      <c r="F208" s="266"/>
      <c r="G208" s="272"/>
      <c r="H208" s="211" t="str">
        <f t="shared" si="20"/>
        <v/>
      </c>
      <c r="I208" s="416" t="s">
        <v>47</v>
      </c>
      <c r="J208" s="627"/>
      <c r="L208" s="86" t="e">
        <f>VLOOKUP(B208,$B$11:B203,1,FALSE)</f>
        <v>#N/A</v>
      </c>
      <c r="M208" s="256">
        <f>G208*(1-FORM!$AE$28/100)</f>
        <v>0</v>
      </c>
      <c r="AA208" s="463"/>
      <c r="AB208" s="462"/>
      <c r="AC208" s="462"/>
      <c r="AD208" s="464"/>
      <c r="AE208" s="465"/>
    </row>
    <row r="209" spans="1:31" ht="14.4">
      <c r="A209" s="137"/>
      <c r="B209" s="298">
        <v>9255107</v>
      </c>
      <c r="C209" s="216" t="s">
        <v>1309</v>
      </c>
      <c r="D209" s="217">
        <v>20</v>
      </c>
      <c r="E209" s="391"/>
      <c r="F209" s="262"/>
      <c r="G209" s="272"/>
      <c r="H209" s="141" t="str">
        <f t="shared" si="20"/>
        <v/>
      </c>
      <c r="I209" s="409" t="s">
        <v>47</v>
      </c>
      <c r="J209" s="625"/>
      <c r="L209" s="86" t="e">
        <f>VLOOKUP(B209,$B$11:B208,1,FALSE)</f>
        <v>#N/A</v>
      </c>
      <c r="M209" s="256">
        <f>G209*(1-FORM!$AE$28/100)</f>
        <v>0</v>
      </c>
      <c r="AA209" s="463"/>
      <c r="AB209" s="462"/>
      <c r="AC209" s="462"/>
      <c r="AD209" s="464"/>
      <c r="AE209" s="465"/>
    </row>
    <row r="210" spans="1:31" ht="14.4">
      <c r="A210" s="137"/>
      <c r="B210" s="301">
        <v>9255108</v>
      </c>
      <c r="C210" s="222" t="s">
        <v>704</v>
      </c>
      <c r="D210" s="223">
        <v>20</v>
      </c>
      <c r="E210" s="395"/>
      <c r="F210" s="266"/>
      <c r="G210" s="272">
        <v>268.07722999999999</v>
      </c>
      <c r="H210" s="211" t="str">
        <f t="shared" si="19"/>
        <v>CZK</v>
      </c>
      <c r="I210" s="416" t="s">
        <v>47</v>
      </c>
      <c r="J210" s="625" t="s">
        <v>1427</v>
      </c>
      <c r="L210" s="86" t="e">
        <f>VLOOKUP(B210,$B$11:B205,1,FALSE)</f>
        <v>#N/A</v>
      </c>
      <c r="M210" s="256">
        <f>G210*(1-FORM!$AE$28/100)</f>
        <v>268.07722999999999</v>
      </c>
      <c r="AA210" s="463"/>
      <c r="AB210" s="462"/>
      <c r="AC210" s="462"/>
      <c r="AD210" s="464"/>
      <c r="AE210" s="465"/>
    </row>
    <row r="211" spans="1:31" ht="14.4">
      <c r="A211" s="137"/>
      <c r="B211" s="298">
        <v>9255109</v>
      </c>
      <c r="C211" s="216" t="s">
        <v>705</v>
      </c>
      <c r="D211" s="217">
        <v>20</v>
      </c>
      <c r="E211" s="391"/>
      <c r="F211" s="262"/>
      <c r="G211" s="272">
        <v>268.07722999999999</v>
      </c>
      <c r="H211" s="141" t="str">
        <f t="shared" si="19"/>
        <v>CZK</v>
      </c>
      <c r="I211" s="409" t="s">
        <v>47</v>
      </c>
      <c r="J211" s="625" t="s">
        <v>1428</v>
      </c>
      <c r="L211" s="86" t="e">
        <f>VLOOKUP(B211,$B$11:B210,1,FALSE)</f>
        <v>#N/A</v>
      </c>
      <c r="M211" s="256">
        <f>G211*(1-FORM!$AE$28/100)</f>
        <v>268.07722999999999</v>
      </c>
      <c r="AA211" s="463"/>
      <c r="AB211" s="462"/>
      <c r="AC211" s="462"/>
      <c r="AD211" s="464"/>
      <c r="AE211" s="465"/>
    </row>
    <row r="212" spans="1:31" ht="14.4">
      <c r="A212" s="137"/>
      <c r="B212" s="298">
        <v>9255110</v>
      </c>
      <c r="C212" s="216" t="s">
        <v>706</v>
      </c>
      <c r="D212" s="217">
        <v>20</v>
      </c>
      <c r="E212" s="391"/>
      <c r="F212" s="262"/>
      <c r="G212" s="272">
        <v>273.01260000000002</v>
      </c>
      <c r="H212" s="141" t="str">
        <f t="shared" si="19"/>
        <v>CZK</v>
      </c>
      <c r="I212" s="409" t="s">
        <v>47</v>
      </c>
      <c r="J212" s="625" t="s">
        <v>1429</v>
      </c>
      <c r="L212" s="86" t="e">
        <f>VLOOKUP(B212,$B$11:B211,1,FALSE)</f>
        <v>#N/A</v>
      </c>
      <c r="M212" s="256">
        <f>G212*(1-FORM!$AE$28/100)</f>
        <v>273.01260000000002</v>
      </c>
      <c r="AA212" s="463"/>
      <c r="AB212" s="462"/>
      <c r="AC212" s="462"/>
      <c r="AD212" s="464"/>
      <c r="AE212" s="465"/>
    </row>
    <row r="213" spans="1:31" ht="14.4">
      <c r="A213" s="137"/>
      <c r="B213" s="298">
        <v>9255111</v>
      </c>
      <c r="C213" s="216" t="s">
        <v>707</v>
      </c>
      <c r="D213" s="217">
        <v>20</v>
      </c>
      <c r="E213" s="391"/>
      <c r="F213" s="262"/>
      <c r="G213" s="272">
        <v>273.01260000000002</v>
      </c>
      <c r="H213" s="141" t="str">
        <f t="shared" si="19"/>
        <v>CZK</v>
      </c>
      <c r="I213" s="409" t="s">
        <v>47</v>
      </c>
      <c r="J213" s="625" t="s">
        <v>1430</v>
      </c>
      <c r="L213" s="86" t="e">
        <f>VLOOKUP(B213,$B$11:B212,1,FALSE)</f>
        <v>#N/A</v>
      </c>
      <c r="M213" s="256">
        <f>G213*(1-FORM!$AE$28/100)</f>
        <v>273.01260000000002</v>
      </c>
      <c r="AA213" s="463"/>
      <c r="AB213" s="462"/>
      <c r="AC213" s="462"/>
      <c r="AD213" s="464"/>
      <c r="AE213" s="465"/>
    </row>
    <row r="214" spans="1:31" ht="14.4">
      <c r="A214" s="137"/>
      <c r="B214" s="298">
        <v>9255112</v>
      </c>
      <c r="C214" s="216" t="s">
        <v>708</v>
      </c>
      <c r="D214" s="217">
        <v>20</v>
      </c>
      <c r="E214" s="391"/>
      <c r="F214" s="262"/>
      <c r="G214" s="272">
        <v>277.95048000000003</v>
      </c>
      <c r="H214" s="141" t="str">
        <f t="shared" si="19"/>
        <v>CZK</v>
      </c>
      <c r="I214" s="409" t="s">
        <v>47</v>
      </c>
      <c r="J214" s="625" t="s">
        <v>1431</v>
      </c>
      <c r="L214" s="86" t="e">
        <f>VLOOKUP(B214,$B$11:B213,1,FALSE)</f>
        <v>#N/A</v>
      </c>
      <c r="M214" s="256">
        <f>G214*(1-FORM!$AE$28/100)</f>
        <v>277.95048000000003</v>
      </c>
      <c r="AA214" s="463"/>
      <c r="AB214" s="462"/>
      <c r="AC214" s="462"/>
      <c r="AD214" s="464"/>
      <c r="AE214" s="465"/>
    </row>
    <row r="215" spans="1:31" ht="14.4">
      <c r="A215" s="137"/>
      <c r="B215" s="298">
        <v>9255113</v>
      </c>
      <c r="C215" s="216" t="s">
        <v>709</v>
      </c>
      <c r="D215" s="217">
        <v>20</v>
      </c>
      <c r="E215" s="391"/>
      <c r="F215" s="262"/>
      <c r="G215" s="272">
        <v>277.95048000000003</v>
      </c>
      <c r="H215" s="141" t="str">
        <f t="shared" si="19"/>
        <v>CZK</v>
      </c>
      <c r="I215" s="409" t="s">
        <v>47</v>
      </c>
      <c r="J215" s="625" t="s">
        <v>1432</v>
      </c>
      <c r="L215" s="86" t="e">
        <f>VLOOKUP(B215,$B$11:B214,1,FALSE)</f>
        <v>#N/A</v>
      </c>
      <c r="M215" s="256">
        <f>G215*(1-FORM!$AE$28/100)</f>
        <v>277.95048000000003</v>
      </c>
      <c r="AA215" s="463"/>
      <c r="AB215" s="462"/>
      <c r="AC215" s="462"/>
      <c r="AD215" s="464"/>
      <c r="AE215" s="465"/>
    </row>
    <row r="216" spans="1:31" ht="14.4">
      <c r="A216" s="137"/>
      <c r="B216" s="298">
        <v>9255114</v>
      </c>
      <c r="C216" s="216" t="s">
        <v>710</v>
      </c>
      <c r="D216" s="217">
        <v>20</v>
      </c>
      <c r="E216" s="391"/>
      <c r="F216" s="262"/>
      <c r="G216" s="272">
        <v>282.88328000000001</v>
      </c>
      <c r="H216" s="141" t="str">
        <f>IF(G216="","",$H$10)</f>
        <v>CZK</v>
      </c>
      <c r="I216" s="409" t="s">
        <v>47</v>
      </c>
      <c r="J216" s="625" t="s">
        <v>1433</v>
      </c>
      <c r="L216" s="86" t="e">
        <f>VLOOKUP(B216,$B$11:B215,1,FALSE)</f>
        <v>#N/A</v>
      </c>
      <c r="M216" s="256">
        <f>G216*(1-FORM!$AE$28/100)</f>
        <v>282.88328000000001</v>
      </c>
      <c r="AA216" s="463"/>
      <c r="AB216" s="462"/>
      <c r="AC216" s="462"/>
      <c r="AD216" s="464"/>
      <c r="AE216" s="465"/>
    </row>
    <row r="217" spans="1:31" ht="14.4">
      <c r="A217" s="137"/>
      <c r="B217" s="298">
        <v>9255115</v>
      </c>
      <c r="C217" s="216" t="s">
        <v>711</v>
      </c>
      <c r="D217" s="217">
        <v>20</v>
      </c>
      <c r="E217" s="391"/>
      <c r="F217" s="262"/>
      <c r="G217" s="272">
        <v>282.88328000000001</v>
      </c>
      <c r="H217" s="141" t="str">
        <f>IF(G217="","",$H$10)</f>
        <v>CZK</v>
      </c>
      <c r="I217" s="409" t="s">
        <v>47</v>
      </c>
      <c r="J217" s="625" t="s">
        <v>1434</v>
      </c>
      <c r="L217" s="86" t="e">
        <f>VLOOKUP(B217,$B$11:B216,1,FALSE)</f>
        <v>#N/A</v>
      </c>
      <c r="M217" s="256">
        <f>G217*(1-FORM!$AE$28/100)</f>
        <v>282.88328000000001</v>
      </c>
      <c r="AA217" s="463"/>
      <c r="AB217" s="462"/>
      <c r="AC217" s="462"/>
      <c r="AD217" s="464"/>
      <c r="AE217" s="465"/>
    </row>
    <row r="218" spans="1:31" ht="14.4">
      <c r="A218" s="137"/>
      <c r="B218" s="298">
        <v>9255116</v>
      </c>
      <c r="C218" s="216" t="s">
        <v>712</v>
      </c>
      <c r="D218" s="217">
        <v>20</v>
      </c>
      <c r="E218" s="391"/>
      <c r="F218" s="262"/>
      <c r="G218" s="272">
        <v>280.16149000000001</v>
      </c>
      <c r="H218" s="141" t="str">
        <f>IF(G218="","",$H$10)</f>
        <v>CZK</v>
      </c>
      <c r="I218" s="409" t="s">
        <v>47</v>
      </c>
      <c r="J218" s="625" t="s">
        <v>1435</v>
      </c>
      <c r="L218" s="86" t="e">
        <f>VLOOKUP(B218,$B$11:B217,1,FALSE)</f>
        <v>#N/A</v>
      </c>
      <c r="M218" s="256">
        <f>G218*(1-FORM!$AE$28/100)</f>
        <v>280.16149000000001</v>
      </c>
      <c r="AA218" s="463"/>
      <c r="AB218" s="462"/>
      <c r="AC218" s="462"/>
      <c r="AD218" s="464"/>
      <c r="AE218" s="465"/>
    </row>
    <row r="219" spans="1:31" ht="14.4">
      <c r="A219" s="137"/>
      <c r="B219" s="298">
        <v>9255117</v>
      </c>
      <c r="C219" s="216" t="s">
        <v>713</v>
      </c>
      <c r="D219" s="217">
        <v>20</v>
      </c>
      <c r="E219" s="391"/>
      <c r="F219" s="262"/>
      <c r="G219" s="272">
        <v>280.16149000000001</v>
      </c>
      <c r="H219" s="141" t="str">
        <f>IF(G219="","",$H$10)</f>
        <v>CZK</v>
      </c>
      <c r="I219" s="409" t="s">
        <v>47</v>
      </c>
      <c r="J219" s="625" t="s">
        <v>1436</v>
      </c>
      <c r="L219" s="86" t="e">
        <f>VLOOKUP(B219,$B$11:B218,1,FALSE)</f>
        <v>#N/A</v>
      </c>
      <c r="M219" s="256">
        <f>G219*(1-FORM!$AE$28/100)</f>
        <v>280.16149000000001</v>
      </c>
      <c r="AA219" s="463"/>
      <c r="AB219" s="462"/>
      <c r="AC219" s="462"/>
      <c r="AD219" s="464"/>
      <c r="AE219" s="465"/>
    </row>
    <row r="220" spans="1:31" ht="14.4">
      <c r="A220" s="137"/>
      <c r="B220" s="298">
        <v>9255118</v>
      </c>
      <c r="C220" s="216" t="s">
        <v>714</v>
      </c>
      <c r="D220" s="217">
        <v>20</v>
      </c>
      <c r="E220" s="391"/>
      <c r="F220" s="262"/>
      <c r="G220" s="272">
        <v>292.74898000000002</v>
      </c>
      <c r="H220" s="141" t="str">
        <f t="shared" ref="H220:H256" si="21">IF(G220="","",$H$10)</f>
        <v>CZK</v>
      </c>
      <c r="I220" s="409" t="s">
        <v>47</v>
      </c>
      <c r="J220" s="625" t="s">
        <v>1437</v>
      </c>
      <c r="L220" s="86" t="e">
        <f>VLOOKUP(B220,$B$11:B219,1,FALSE)</f>
        <v>#N/A</v>
      </c>
      <c r="M220" s="256">
        <f>G220*(1-FORM!$AE$28/100)</f>
        <v>292.74898000000002</v>
      </c>
      <c r="AA220" s="463"/>
      <c r="AB220" s="462"/>
      <c r="AC220" s="462"/>
      <c r="AD220" s="464"/>
      <c r="AE220" s="465"/>
    </row>
    <row r="221" spans="1:31" ht="14.4">
      <c r="A221" s="137"/>
      <c r="B221" s="298">
        <v>9255119</v>
      </c>
      <c r="C221" s="216" t="s">
        <v>715</v>
      </c>
      <c r="D221" s="217">
        <v>20</v>
      </c>
      <c r="E221" s="391"/>
      <c r="F221" s="262"/>
      <c r="G221" s="272">
        <v>292.74898000000002</v>
      </c>
      <c r="H221" s="141" t="str">
        <f t="shared" si="21"/>
        <v>CZK</v>
      </c>
      <c r="I221" s="409" t="s">
        <v>47</v>
      </c>
      <c r="J221" s="625" t="s">
        <v>1438</v>
      </c>
      <c r="L221" s="86" t="e">
        <f>VLOOKUP(B221,$B$11:B220,1,FALSE)</f>
        <v>#N/A</v>
      </c>
      <c r="M221" s="256">
        <f>G221*(1-FORM!$AE$28/100)</f>
        <v>292.74898000000002</v>
      </c>
      <c r="AA221" s="463"/>
      <c r="AB221" s="462"/>
      <c r="AC221" s="462"/>
      <c r="AD221" s="464"/>
      <c r="AE221" s="465"/>
    </row>
    <row r="222" spans="1:31" ht="14.4">
      <c r="A222" s="137"/>
      <c r="B222" s="298">
        <v>9255120</v>
      </c>
      <c r="C222" s="216" t="s">
        <v>716</v>
      </c>
      <c r="D222" s="217">
        <v>20</v>
      </c>
      <c r="E222" s="391"/>
      <c r="F222" s="262"/>
      <c r="G222" s="272">
        <v>300.18995999999999</v>
      </c>
      <c r="H222" s="141" t="str">
        <f t="shared" si="21"/>
        <v>CZK</v>
      </c>
      <c r="I222" s="409" t="s">
        <v>47</v>
      </c>
      <c r="J222" s="625" t="s">
        <v>1439</v>
      </c>
      <c r="L222" s="86" t="e">
        <f>VLOOKUP(B222,$B$11:B221,1,FALSE)</f>
        <v>#N/A</v>
      </c>
      <c r="M222" s="256">
        <f>G222*(1-FORM!$AE$28/100)</f>
        <v>300.18995999999999</v>
      </c>
      <c r="AA222" s="463"/>
      <c r="AB222" s="462"/>
      <c r="AC222" s="462"/>
      <c r="AD222" s="464"/>
      <c r="AE222" s="465"/>
    </row>
    <row r="223" spans="1:31" ht="14.4">
      <c r="A223" s="137"/>
      <c r="B223" s="447">
        <v>9255121</v>
      </c>
      <c r="C223" s="448" t="s">
        <v>717</v>
      </c>
      <c r="D223" s="449">
        <v>20</v>
      </c>
      <c r="E223" s="450"/>
      <c r="F223" s="451"/>
      <c r="G223" s="272">
        <v>300.18995999999999</v>
      </c>
      <c r="H223" s="452" t="str">
        <f t="shared" si="21"/>
        <v>CZK</v>
      </c>
      <c r="I223" s="453" t="s">
        <v>47</v>
      </c>
      <c r="J223" s="625" t="s">
        <v>1440</v>
      </c>
      <c r="L223" s="86" t="e">
        <f>VLOOKUP(B223,$B$11:B222,1,FALSE)</f>
        <v>#N/A</v>
      </c>
      <c r="M223" s="256">
        <f>G223*(1-FORM!$AE$28/100)</f>
        <v>300.18995999999999</v>
      </c>
      <c r="AA223" s="463"/>
      <c r="AB223" s="462"/>
      <c r="AC223" s="462"/>
      <c r="AD223" s="464"/>
      <c r="AE223" s="465"/>
    </row>
    <row r="224" spans="1:31" ht="14.4">
      <c r="A224" s="137"/>
      <c r="B224" s="298">
        <v>9255122</v>
      </c>
      <c r="C224" s="216" t="s">
        <v>1310</v>
      </c>
      <c r="D224" s="217">
        <v>20</v>
      </c>
      <c r="E224" s="391"/>
      <c r="F224" s="262"/>
      <c r="G224" s="272">
        <v>308.13261999999997</v>
      </c>
      <c r="H224" s="141" t="str">
        <f t="shared" ref="H224:H227" si="22">IF(G224="","",$H$10)</f>
        <v>CZK</v>
      </c>
      <c r="I224" s="409" t="s">
        <v>47</v>
      </c>
      <c r="J224" s="625" t="s">
        <v>1441</v>
      </c>
      <c r="L224" s="86" t="e">
        <f>VLOOKUP(B224,$B$11:B223,1,FALSE)</f>
        <v>#N/A</v>
      </c>
      <c r="M224" s="256">
        <f>G224*(1-FORM!$AE$28/100)</f>
        <v>308.13261999999997</v>
      </c>
      <c r="AA224" s="463"/>
      <c r="AB224" s="462"/>
      <c r="AC224" s="462"/>
      <c r="AD224" s="464"/>
      <c r="AE224" s="465"/>
    </row>
    <row r="225" spans="1:31" ht="14.4">
      <c r="A225" s="137"/>
      <c r="B225" s="303">
        <v>9255123</v>
      </c>
      <c r="C225" s="304" t="s">
        <v>1311</v>
      </c>
      <c r="D225" s="226">
        <v>20</v>
      </c>
      <c r="E225" s="396"/>
      <c r="F225" s="268"/>
      <c r="G225" s="272">
        <v>308.13261999999997</v>
      </c>
      <c r="H225" s="142" t="str">
        <f t="shared" si="22"/>
        <v>CZK</v>
      </c>
      <c r="I225" s="417" t="s">
        <v>47</v>
      </c>
      <c r="J225" s="626" t="s">
        <v>1442</v>
      </c>
      <c r="L225" s="86" t="e">
        <f>VLOOKUP(B225,$B$11:B224,1,FALSE)</f>
        <v>#N/A</v>
      </c>
      <c r="M225" s="256">
        <f>G225*(1-FORM!$AE$28/100)</f>
        <v>308.13261999999997</v>
      </c>
      <c r="AA225" s="463"/>
      <c r="AB225" s="462"/>
      <c r="AC225" s="462"/>
      <c r="AD225" s="464"/>
      <c r="AE225" s="465"/>
    </row>
    <row r="226" spans="1:31" ht="14.4">
      <c r="A226" s="139"/>
      <c r="B226" s="301">
        <v>9255186</v>
      </c>
      <c r="C226" s="222" t="s">
        <v>1312</v>
      </c>
      <c r="D226" s="223">
        <v>20</v>
      </c>
      <c r="E226" s="395"/>
      <c r="F226" s="266"/>
      <c r="G226" s="272"/>
      <c r="H226" s="211" t="str">
        <f t="shared" si="22"/>
        <v/>
      </c>
      <c r="I226" s="416" t="s">
        <v>47</v>
      </c>
      <c r="J226" s="627"/>
      <c r="L226" s="86" t="e">
        <f>VLOOKUP(B226,$B$11:B221,1,FALSE)</f>
        <v>#N/A</v>
      </c>
      <c r="M226" s="256">
        <f>G226*(1-FORM!$AE$28/100)</f>
        <v>0</v>
      </c>
      <c r="AA226" s="463"/>
      <c r="AB226" s="462"/>
      <c r="AC226" s="462"/>
      <c r="AD226" s="464"/>
      <c r="AE226" s="465"/>
    </row>
    <row r="227" spans="1:31" ht="14.4">
      <c r="A227" s="139"/>
      <c r="B227" s="298">
        <v>9255187</v>
      </c>
      <c r="C227" s="216" t="s">
        <v>1313</v>
      </c>
      <c r="D227" s="217">
        <v>20</v>
      </c>
      <c r="E227" s="391"/>
      <c r="F227" s="262"/>
      <c r="G227" s="272"/>
      <c r="H227" s="141" t="str">
        <f t="shared" si="22"/>
        <v/>
      </c>
      <c r="I227" s="409" t="s">
        <v>47</v>
      </c>
      <c r="J227" s="625"/>
      <c r="L227" s="86" t="e">
        <f>VLOOKUP(B227,$B$11:B226,1,FALSE)</f>
        <v>#N/A</v>
      </c>
      <c r="M227" s="256">
        <f>G227*(1-FORM!$AE$28/100)</f>
        <v>0</v>
      </c>
      <c r="AA227" s="463"/>
      <c r="AB227" s="462"/>
      <c r="AC227" s="462"/>
      <c r="AD227" s="464"/>
      <c r="AE227" s="465"/>
    </row>
    <row r="228" spans="1:31" ht="14.4">
      <c r="A228" s="139"/>
      <c r="B228" s="301">
        <v>9255188</v>
      </c>
      <c r="C228" s="222" t="s">
        <v>718</v>
      </c>
      <c r="D228" s="223">
        <v>20</v>
      </c>
      <c r="E228" s="395"/>
      <c r="F228" s="266"/>
      <c r="G228" s="272">
        <v>268.07722999999999</v>
      </c>
      <c r="H228" s="211" t="str">
        <f t="shared" si="21"/>
        <v>CZK</v>
      </c>
      <c r="I228" s="416" t="s">
        <v>47</v>
      </c>
      <c r="J228" s="625" t="s">
        <v>1501</v>
      </c>
      <c r="L228" s="86" t="e">
        <f>VLOOKUP(B228,$B$11:B223,1,FALSE)</f>
        <v>#N/A</v>
      </c>
      <c r="M228" s="256">
        <f>G228*(1-FORM!$AE$28/100)</f>
        <v>268.07722999999999</v>
      </c>
      <c r="AA228" s="463"/>
      <c r="AB228" s="462"/>
      <c r="AC228" s="462"/>
      <c r="AD228" s="464"/>
      <c r="AE228" s="465"/>
    </row>
    <row r="229" spans="1:31" ht="14.4">
      <c r="A229" s="139"/>
      <c r="B229" s="298">
        <v>9255189</v>
      </c>
      <c r="C229" s="216" t="s">
        <v>719</v>
      </c>
      <c r="D229" s="217">
        <v>20</v>
      </c>
      <c r="E229" s="391"/>
      <c r="F229" s="262"/>
      <c r="G229" s="272">
        <v>268.07722999999999</v>
      </c>
      <c r="H229" s="141" t="str">
        <f t="shared" si="21"/>
        <v>CZK</v>
      </c>
      <c r="I229" s="409" t="s">
        <v>47</v>
      </c>
      <c r="J229" s="625" t="s">
        <v>1502</v>
      </c>
      <c r="L229" s="86" t="e">
        <f>VLOOKUP(B229,$B$11:B228,1,FALSE)</f>
        <v>#N/A</v>
      </c>
      <c r="M229" s="256">
        <f>G229*(1-FORM!$AE$28/100)</f>
        <v>268.07722999999999</v>
      </c>
      <c r="AA229" s="463"/>
      <c r="AB229" s="462"/>
      <c r="AC229" s="462"/>
      <c r="AD229" s="464"/>
      <c r="AE229" s="465"/>
    </row>
    <row r="230" spans="1:31" ht="14.4">
      <c r="A230" s="139"/>
      <c r="B230" s="298">
        <v>9255190</v>
      </c>
      <c r="C230" s="216" t="s">
        <v>720</v>
      </c>
      <c r="D230" s="217">
        <v>20</v>
      </c>
      <c r="E230" s="391"/>
      <c r="F230" s="262"/>
      <c r="G230" s="272">
        <v>273.01260000000002</v>
      </c>
      <c r="H230" s="141" t="str">
        <f t="shared" si="21"/>
        <v>CZK</v>
      </c>
      <c r="I230" s="409" t="s">
        <v>47</v>
      </c>
      <c r="J230" s="625" t="s">
        <v>1503</v>
      </c>
      <c r="L230" s="86" t="e">
        <f>VLOOKUP(B230,$B$11:B229,1,FALSE)</f>
        <v>#N/A</v>
      </c>
      <c r="M230" s="256">
        <f>G230*(1-FORM!$AE$28/100)</f>
        <v>273.01260000000002</v>
      </c>
      <c r="AA230" s="463"/>
      <c r="AB230" s="462"/>
      <c r="AC230" s="462"/>
      <c r="AD230" s="464"/>
      <c r="AE230" s="465"/>
    </row>
    <row r="231" spans="1:31" ht="14.4">
      <c r="A231" s="139"/>
      <c r="B231" s="298">
        <v>9255191</v>
      </c>
      <c r="C231" s="216" t="s">
        <v>721</v>
      </c>
      <c r="D231" s="217">
        <v>20</v>
      </c>
      <c r="E231" s="391"/>
      <c r="F231" s="262"/>
      <c r="G231" s="272">
        <v>273.01260000000002</v>
      </c>
      <c r="H231" s="141" t="str">
        <f t="shared" si="21"/>
        <v>CZK</v>
      </c>
      <c r="I231" s="409" t="s">
        <v>47</v>
      </c>
      <c r="J231" s="625" t="s">
        <v>1504</v>
      </c>
      <c r="L231" s="86" t="e">
        <f>VLOOKUP(B231,$B$11:B230,1,FALSE)</f>
        <v>#N/A</v>
      </c>
      <c r="M231" s="256">
        <f>G231*(1-FORM!$AE$28/100)</f>
        <v>273.01260000000002</v>
      </c>
      <c r="AA231" s="463"/>
      <c r="AB231" s="462"/>
      <c r="AC231" s="462"/>
      <c r="AD231" s="464"/>
      <c r="AE231" s="465"/>
    </row>
    <row r="232" spans="1:31" ht="14.4">
      <c r="A232" s="139"/>
      <c r="B232" s="298">
        <v>9255192</v>
      </c>
      <c r="C232" s="216" t="s">
        <v>722</v>
      </c>
      <c r="D232" s="217">
        <v>20</v>
      </c>
      <c r="E232" s="391"/>
      <c r="F232" s="262"/>
      <c r="G232" s="272">
        <v>277.95048000000003</v>
      </c>
      <c r="H232" s="141" t="str">
        <f t="shared" si="21"/>
        <v>CZK</v>
      </c>
      <c r="I232" s="409" t="s">
        <v>47</v>
      </c>
      <c r="J232" s="625" t="s">
        <v>1505</v>
      </c>
      <c r="L232" s="86" t="e">
        <f>VLOOKUP(B232,$B$11:B231,1,FALSE)</f>
        <v>#N/A</v>
      </c>
      <c r="M232" s="256">
        <f>G232*(1-FORM!$AE$28/100)</f>
        <v>277.95048000000003</v>
      </c>
      <c r="AA232" s="463"/>
      <c r="AB232" s="462"/>
      <c r="AC232" s="462"/>
      <c r="AD232" s="464"/>
      <c r="AE232" s="465"/>
    </row>
    <row r="233" spans="1:31" ht="14.4">
      <c r="A233" s="139"/>
      <c r="B233" s="298">
        <v>9255193</v>
      </c>
      <c r="C233" s="216" t="s">
        <v>723</v>
      </c>
      <c r="D233" s="217">
        <v>20</v>
      </c>
      <c r="E233" s="391"/>
      <c r="F233" s="262"/>
      <c r="G233" s="272">
        <v>277.95048000000003</v>
      </c>
      <c r="H233" s="141" t="str">
        <f t="shared" si="21"/>
        <v>CZK</v>
      </c>
      <c r="I233" s="409" t="s">
        <v>47</v>
      </c>
      <c r="J233" s="625" t="s">
        <v>1506</v>
      </c>
      <c r="L233" s="86" t="e">
        <f>VLOOKUP(B233,$B$11:B232,1,FALSE)</f>
        <v>#N/A</v>
      </c>
      <c r="M233" s="256">
        <f>G233*(1-FORM!$AE$28/100)</f>
        <v>277.95048000000003</v>
      </c>
      <c r="AA233" s="463"/>
      <c r="AB233" s="462"/>
      <c r="AC233" s="462"/>
      <c r="AD233" s="464"/>
      <c r="AE233" s="465"/>
    </row>
    <row r="234" spans="1:31" ht="14.4">
      <c r="A234" s="139"/>
      <c r="B234" s="298">
        <v>9255194</v>
      </c>
      <c r="C234" s="216" t="s">
        <v>724</v>
      </c>
      <c r="D234" s="217">
        <v>20</v>
      </c>
      <c r="E234" s="391"/>
      <c r="F234" s="262"/>
      <c r="G234" s="272">
        <v>282.88328000000001</v>
      </c>
      <c r="H234" s="141" t="str">
        <f t="shared" si="21"/>
        <v>CZK</v>
      </c>
      <c r="I234" s="409" t="s">
        <v>47</v>
      </c>
      <c r="J234" s="625" t="s">
        <v>1507</v>
      </c>
      <c r="L234" s="86" t="e">
        <f>VLOOKUP(B234,$B$11:B233,1,FALSE)</f>
        <v>#N/A</v>
      </c>
      <c r="M234" s="256">
        <f>G234*(1-FORM!$AE$28/100)</f>
        <v>282.88328000000001</v>
      </c>
      <c r="AA234" s="463"/>
      <c r="AB234" s="462"/>
      <c r="AC234" s="462"/>
      <c r="AD234" s="464"/>
      <c r="AE234" s="465"/>
    </row>
    <row r="235" spans="1:31" ht="14.4">
      <c r="A235" s="139"/>
      <c r="B235" s="298">
        <v>9255195</v>
      </c>
      <c r="C235" s="216" t="s">
        <v>725</v>
      </c>
      <c r="D235" s="217">
        <v>20</v>
      </c>
      <c r="E235" s="391"/>
      <c r="F235" s="262"/>
      <c r="G235" s="272">
        <v>282.88328000000001</v>
      </c>
      <c r="H235" s="141" t="str">
        <f t="shared" si="21"/>
        <v>CZK</v>
      </c>
      <c r="I235" s="409" t="s">
        <v>47</v>
      </c>
      <c r="J235" s="625" t="s">
        <v>1508</v>
      </c>
      <c r="L235" s="86" t="e">
        <f>VLOOKUP(B235,$B$11:B234,1,FALSE)</f>
        <v>#N/A</v>
      </c>
      <c r="M235" s="256">
        <f>G235*(1-FORM!$AE$28/100)</f>
        <v>282.88328000000001</v>
      </c>
      <c r="AA235" s="463"/>
      <c r="AB235" s="462"/>
      <c r="AC235" s="462"/>
      <c r="AD235" s="464"/>
      <c r="AE235" s="465"/>
    </row>
    <row r="236" spans="1:31" ht="14.4">
      <c r="A236" s="139"/>
      <c r="B236" s="298">
        <v>9255196</v>
      </c>
      <c r="C236" s="216" t="s">
        <v>726</v>
      </c>
      <c r="D236" s="217">
        <v>20</v>
      </c>
      <c r="E236" s="391"/>
      <c r="F236" s="262"/>
      <c r="G236" s="272">
        <v>280.16149000000001</v>
      </c>
      <c r="H236" s="141" t="str">
        <f t="shared" si="21"/>
        <v>CZK</v>
      </c>
      <c r="I236" s="409" t="s">
        <v>47</v>
      </c>
      <c r="J236" s="625" t="s">
        <v>1509</v>
      </c>
      <c r="L236" s="86" t="e">
        <f>VLOOKUP(B236,$B$11:B235,1,FALSE)</f>
        <v>#N/A</v>
      </c>
      <c r="M236" s="256">
        <f>G236*(1-FORM!$AE$28/100)</f>
        <v>280.16149000000001</v>
      </c>
      <c r="AA236" s="463"/>
      <c r="AB236" s="462"/>
      <c r="AC236" s="462"/>
      <c r="AD236" s="464"/>
      <c r="AE236" s="465"/>
    </row>
    <row r="237" spans="1:31" ht="14.4">
      <c r="A237" s="139"/>
      <c r="B237" s="298">
        <v>9255197</v>
      </c>
      <c r="C237" s="216" t="s">
        <v>727</v>
      </c>
      <c r="D237" s="217">
        <v>20</v>
      </c>
      <c r="E237" s="391"/>
      <c r="F237" s="262"/>
      <c r="G237" s="272">
        <v>280.16149000000001</v>
      </c>
      <c r="H237" s="141" t="str">
        <f t="shared" si="21"/>
        <v>CZK</v>
      </c>
      <c r="I237" s="409" t="s">
        <v>47</v>
      </c>
      <c r="J237" s="625" t="s">
        <v>1510</v>
      </c>
      <c r="L237" s="86" t="e">
        <f>VLOOKUP(B237,$B$11:B236,1,FALSE)</f>
        <v>#N/A</v>
      </c>
      <c r="M237" s="256">
        <f>G237*(1-FORM!$AE$28/100)</f>
        <v>280.16149000000001</v>
      </c>
      <c r="AA237" s="463"/>
      <c r="AB237" s="462"/>
      <c r="AC237" s="462"/>
      <c r="AD237" s="464"/>
      <c r="AE237" s="465"/>
    </row>
    <row r="238" spans="1:31" ht="14.4">
      <c r="A238" s="139"/>
      <c r="B238" s="298">
        <v>9255198</v>
      </c>
      <c r="C238" s="216" t="s">
        <v>728</v>
      </c>
      <c r="D238" s="217">
        <v>20</v>
      </c>
      <c r="E238" s="391"/>
      <c r="F238" s="262"/>
      <c r="G238" s="272">
        <v>292.74898000000002</v>
      </c>
      <c r="H238" s="141" t="str">
        <f t="shared" si="21"/>
        <v>CZK</v>
      </c>
      <c r="I238" s="409" t="s">
        <v>47</v>
      </c>
      <c r="J238" s="625" t="s">
        <v>1511</v>
      </c>
      <c r="L238" s="86" t="e">
        <f>VLOOKUP(B238,$B$11:B237,1,FALSE)</f>
        <v>#N/A</v>
      </c>
      <c r="M238" s="256">
        <f>G238*(1-FORM!$AE$28/100)</f>
        <v>292.74898000000002</v>
      </c>
      <c r="AA238" s="463"/>
      <c r="AB238" s="462"/>
      <c r="AC238" s="462"/>
      <c r="AD238" s="464"/>
      <c r="AE238" s="465"/>
    </row>
    <row r="239" spans="1:31" ht="14.4">
      <c r="A239" s="139"/>
      <c r="B239" s="298">
        <v>9255199</v>
      </c>
      <c r="C239" s="216" t="s">
        <v>729</v>
      </c>
      <c r="D239" s="217">
        <v>20</v>
      </c>
      <c r="E239" s="391"/>
      <c r="F239" s="262"/>
      <c r="G239" s="272">
        <v>292.74898000000002</v>
      </c>
      <c r="H239" s="141" t="str">
        <f t="shared" si="21"/>
        <v>CZK</v>
      </c>
      <c r="I239" s="409" t="s">
        <v>47</v>
      </c>
      <c r="J239" s="625" t="s">
        <v>1512</v>
      </c>
      <c r="L239" s="86" t="e">
        <f>VLOOKUP(B239,$B$11:B238,1,FALSE)</f>
        <v>#N/A</v>
      </c>
      <c r="M239" s="256">
        <f>G239*(1-FORM!$AE$28/100)</f>
        <v>292.74898000000002</v>
      </c>
      <c r="AA239" s="463"/>
      <c r="AB239" s="462"/>
      <c r="AC239" s="462"/>
      <c r="AD239" s="464"/>
      <c r="AE239" s="465"/>
    </row>
    <row r="240" spans="1:31" ht="14.4">
      <c r="A240" s="139"/>
      <c r="B240" s="298">
        <v>9255200</v>
      </c>
      <c r="C240" s="216" t="s">
        <v>730</v>
      </c>
      <c r="D240" s="217">
        <v>20</v>
      </c>
      <c r="E240" s="391"/>
      <c r="F240" s="262"/>
      <c r="G240" s="272">
        <v>300.18995999999999</v>
      </c>
      <c r="H240" s="141" t="str">
        <f t="shared" si="21"/>
        <v>CZK</v>
      </c>
      <c r="I240" s="409" t="s">
        <v>47</v>
      </c>
      <c r="J240" s="625" t="s">
        <v>1513</v>
      </c>
      <c r="L240" s="86" t="e">
        <f>VLOOKUP(B240,$B$11:B239,1,FALSE)</f>
        <v>#N/A</v>
      </c>
      <c r="M240" s="256">
        <f>G240*(1-FORM!$AE$28/100)</f>
        <v>300.18995999999999</v>
      </c>
      <c r="AA240" s="463"/>
      <c r="AB240" s="462"/>
      <c r="AC240" s="462"/>
      <c r="AD240" s="464"/>
      <c r="AE240" s="465"/>
    </row>
    <row r="241" spans="1:31" ht="14.4">
      <c r="A241" s="139"/>
      <c r="B241" s="447">
        <v>9255201</v>
      </c>
      <c r="C241" s="448" t="s">
        <v>731</v>
      </c>
      <c r="D241" s="449">
        <v>20</v>
      </c>
      <c r="E241" s="450"/>
      <c r="F241" s="451"/>
      <c r="G241" s="272">
        <v>300.18995999999999</v>
      </c>
      <c r="H241" s="452" t="str">
        <f t="shared" si="21"/>
        <v>CZK</v>
      </c>
      <c r="I241" s="453" t="s">
        <v>47</v>
      </c>
      <c r="J241" s="625" t="s">
        <v>1514</v>
      </c>
      <c r="L241" s="86" t="e">
        <f>VLOOKUP(B241,$B$11:B240,1,FALSE)</f>
        <v>#N/A</v>
      </c>
      <c r="M241" s="256">
        <f>G241*(1-FORM!$AE$28/100)</f>
        <v>300.18995999999999</v>
      </c>
      <c r="AA241" s="463"/>
      <c r="AB241" s="462"/>
      <c r="AC241" s="462"/>
      <c r="AD241" s="464"/>
      <c r="AE241" s="465"/>
    </row>
    <row r="242" spans="1:31" ht="14.4">
      <c r="A242" s="139"/>
      <c r="B242" s="298">
        <v>9255202</v>
      </c>
      <c r="C242" s="216" t="s">
        <v>1314</v>
      </c>
      <c r="D242" s="217">
        <v>20</v>
      </c>
      <c r="E242" s="391"/>
      <c r="F242" s="262"/>
      <c r="G242" s="272">
        <v>308.13261999999997</v>
      </c>
      <c r="H242" s="141" t="str">
        <f t="shared" ref="H242:H243" si="23">IF(G242="","",$H$10)</f>
        <v>CZK</v>
      </c>
      <c r="I242" s="409" t="s">
        <v>47</v>
      </c>
      <c r="J242" s="625" t="s">
        <v>1515</v>
      </c>
      <c r="L242" s="86" t="e">
        <f>VLOOKUP(B242,$B$11:B241,1,FALSE)</f>
        <v>#N/A</v>
      </c>
      <c r="M242" s="256">
        <f>G242*(1-FORM!$AE$28/100)</f>
        <v>308.13261999999997</v>
      </c>
      <c r="AA242" s="463"/>
      <c r="AB242" s="462"/>
      <c r="AC242" s="462"/>
      <c r="AD242" s="464"/>
      <c r="AE242" s="465"/>
    </row>
    <row r="243" spans="1:31" ht="14.4">
      <c r="A243" s="139"/>
      <c r="B243" s="303">
        <v>9255203</v>
      </c>
      <c r="C243" s="304" t="s">
        <v>1315</v>
      </c>
      <c r="D243" s="226">
        <v>20</v>
      </c>
      <c r="E243" s="396"/>
      <c r="F243" s="268"/>
      <c r="G243" s="272">
        <v>308.13261999999997</v>
      </c>
      <c r="H243" s="142" t="str">
        <f t="shared" si="23"/>
        <v>CZK</v>
      </c>
      <c r="I243" s="417" t="s">
        <v>47</v>
      </c>
      <c r="J243" s="626" t="s">
        <v>1516</v>
      </c>
      <c r="L243" s="86" t="e">
        <f>VLOOKUP(B243,$B$11:B242,1,FALSE)</f>
        <v>#N/A</v>
      </c>
      <c r="M243" s="256">
        <f>G243*(1-FORM!$AE$28/100)</f>
        <v>308.13261999999997</v>
      </c>
      <c r="AA243" s="463"/>
      <c r="AB243" s="462"/>
      <c r="AC243" s="462"/>
      <c r="AD243" s="464"/>
      <c r="AE243" s="465"/>
    </row>
    <row r="244" spans="1:31" ht="14.4">
      <c r="B244" s="301">
        <v>9257884</v>
      </c>
      <c r="C244" s="222" t="s">
        <v>732</v>
      </c>
      <c r="D244" s="223">
        <v>200</v>
      </c>
      <c r="E244" s="395"/>
      <c r="F244" s="266"/>
      <c r="G244" s="272">
        <v>32.920310000000001</v>
      </c>
      <c r="H244" s="211" t="str">
        <f t="shared" si="21"/>
        <v>CZK</v>
      </c>
      <c r="I244" s="416" t="s">
        <v>47</v>
      </c>
      <c r="J244" s="627" t="s">
        <v>1740</v>
      </c>
      <c r="L244" s="86" t="e">
        <f>VLOOKUP(B244,$B$11:B241,1,FALSE)</f>
        <v>#N/A</v>
      </c>
      <c r="M244" s="256">
        <f>G244*(1-FORM!$AE$28/100)</f>
        <v>32.920310000000001</v>
      </c>
      <c r="AA244" s="463"/>
      <c r="AB244" s="462"/>
      <c r="AC244" s="462"/>
      <c r="AD244" s="464"/>
      <c r="AE244" s="465"/>
    </row>
    <row r="245" spans="1:31" ht="14.4">
      <c r="B245" s="303">
        <v>9257885</v>
      </c>
      <c r="C245" s="304" t="s">
        <v>733</v>
      </c>
      <c r="D245" s="226">
        <v>200</v>
      </c>
      <c r="E245" s="396"/>
      <c r="F245" s="268"/>
      <c r="G245" s="272">
        <v>33.53387</v>
      </c>
      <c r="H245" s="142" t="str">
        <f t="shared" si="21"/>
        <v>CZK</v>
      </c>
      <c r="I245" s="417" t="s">
        <v>47</v>
      </c>
      <c r="J245" s="626" t="s">
        <v>1741</v>
      </c>
      <c r="L245" s="86" t="e">
        <f>VLOOKUP(B245,$B$11:B244,1,FALSE)</f>
        <v>#N/A</v>
      </c>
      <c r="M245" s="256">
        <f>G245*(1-FORM!$AE$28/100)</f>
        <v>33.53387</v>
      </c>
      <c r="AA245" s="463"/>
      <c r="AB245" s="462"/>
      <c r="AC245" s="462"/>
      <c r="AD245" s="464"/>
      <c r="AE245" s="465"/>
    </row>
    <row r="246" spans="1:31" ht="14.4">
      <c r="B246" s="303"/>
      <c r="C246" s="304"/>
      <c r="D246" s="226"/>
      <c r="E246" s="396"/>
      <c r="F246" s="268"/>
      <c r="G246" s="272"/>
      <c r="H246" s="142"/>
      <c r="I246" s="417" t="s">
        <v>47</v>
      </c>
      <c r="J246" s="413"/>
      <c r="L246" s="86" t="e">
        <f>VLOOKUP(B246,$B$11:B245,1,FALSE)</f>
        <v>#N/A</v>
      </c>
      <c r="M246" s="256">
        <f>G246*(1-FORM!$AE$28/100)</f>
        <v>0</v>
      </c>
      <c r="AA246" s="463"/>
      <c r="AB246" s="462"/>
      <c r="AC246" s="462"/>
      <c r="AD246" s="464"/>
      <c r="AE246" s="465"/>
    </row>
    <row r="247" spans="1:31" ht="14.4">
      <c r="A247" s="130"/>
      <c r="B247" s="424">
        <v>9353353</v>
      </c>
      <c r="C247" s="222" t="s">
        <v>1231</v>
      </c>
      <c r="D247" s="223">
        <v>1</v>
      </c>
      <c r="E247" s="395"/>
      <c r="F247" s="266"/>
      <c r="G247" s="272">
        <v>781.77286000000004</v>
      </c>
      <c r="H247" s="211" t="str">
        <f t="shared" si="21"/>
        <v>CZK</v>
      </c>
      <c r="I247" s="416" t="s">
        <v>47</v>
      </c>
      <c r="J247" s="625" t="s">
        <v>1898</v>
      </c>
      <c r="L247" s="86" t="e">
        <f>VLOOKUP(B247,$B$11:B246,1,FALSE)</f>
        <v>#N/A</v>
      </c>
      <c r="M247" s="256">
        <f>G247*(1-FORM!$AE$28/100)</f>
        <v>781.77286000000004</v>
      </c>
      <c r="AA247" s="463"/>
      <c r="AB247" s="462"/>
      <c r="AC247" s="462"/>
      <c r="AD247" s="464"/>
      <c r="AE247" s="465"/>
    </row>
    <row r="248" spans="1:31" ht="14.4">
      <c r="A248" s="130"/>
      <c r="B248" s="425">
        <v>9353354</v>
      </c>
      <c r="C248" s="216" t="s">
        <v>1232</v>
      </c>
      <c r="D248" s="217">
        <v>1</v>
      </c>
      <c r="E248" s="391"/>
      <c r="F248" s="262"/>
      <c r="G248" s="272">
        <v>788.96299999999997</v>
      </c>
      <c r="H248" s="141" t="str">
        <f t="shared" si="21"/>
        <v>CZK</v>
      </c>
      <c r="I248" s="409" t="s">
        <v>47</v>
      </c>
      <c r="J248" s="625" t="s">
        <v>1899</v>
      </c>
      <c r="L248" s="86" t="e">
        <f>VLOOKUP(B248,$B$11:B247,1,FALSE)</f>
        <v>#N/A</v>
      </c>
      <c r="M248" s="256">
        <f>G248*(1-FORM!$AE$28/100)</f>
        <v>788.96299999999997</v>
      </c>
      <c r="AA248" s="463"/>
      <c r="AB248" s="462"/>
      <c r="AC248" s="462"/>
      <c r="AD248" s="464"/>
      <c r="AE248" s="465"/>
    </row>
    <row r="249" spans="1:31" ht="14.4">
      <c r="A249" s="130"/>
      <c r="B249" s="425">
        <v>9353355</v>
      </c>
      <c r="C249" s="216" t="s">
        <v>1233</v>
      </c>
      <c r="D249" s="217">
        <v>1</v>
      </c>
      <c r="E249" s="391"/>
      <c r="F249" s="262"/>
      <c r="G249" s="272">
        <v>800.95977000000005</v>
      </c>
      <c r="H249" s="141" t="str">
        <f t="shared" si="21"/>
        <v>CZK</v>
      </c>
      <c r="I249" s="409" t="s">
        <v>47</v>
      </c>
      <c r="J249" s="625" t="s">
        <v>1900</v>
      </c>
      <c r="L249" s="86" t="e">
        <f>VLOOKUP(B249,$B$11:B248,1,FALSE)</f>
        <v>#N/A</v>
      </c>
      <c r="M249" s="256">
        <f>G249*(1-FORM!$AE$28/100)</f>
        <v>800.95977000000005</v>
      </c>
      <c r="AA249" s="463"/>
      <c r="AB249" s="462"/>
      <c r="AC249" s="462"/>
      <c r="AD249" s="464"/>
      <c r="AE249" s="465"/>
    </row>
    <row r="250" spans="1:31" ht="14.4">
      <c r="A250" s="130"/>
      <c r="B250" s="425">
        <v>9353356</v>
      </c>
      <c r="C250" s="216" t="s">
        <v>1234</v>
      </c>
      <c r="D250" s="217">
        <v>1</v>
      </c>
      <c r="E250" s="391"/>
      <c r="F250" s="262"/>
      <c r="G250" s="272">
        <v>812.95644000000004</v>
      </c>
      <c r="H250" s="141" t="str">
        <f>IF(G250="","",$H$10)</f>
        <v>CZK</v>
      </c>
      <c r="I250" s="409" t="s">
        <v>47</v>
      </c>
      <c r="J250" s="625" t="s">
        <v>1901</v>
      </c>
      <c r="L250" s="86" t="e">
        <f>VLOOKUP(B250,$B$11:B249,1,FALSE)</f>
        <v>#N/A</v>
      </c>
      <c r="M250" s="256">
        <f>G250*(1-FORM!$AE$28/100)</f>
        <v>812.95644000000004</v>
      </c>
      <c r="AA250" s="463"/>
      <c r="AB250" s="462"/>
      <c r="AC250" s="462"/>
      <c r="AD250" s="464"/>
      <c r="AE250" s="465"/>
    </row>
    <row r="251" spans="1:31" ht="14.4">
      <c r="A251" s="130"/>
      <c r="B251" s="425">
        <v>9353357</v>
      </c>
      <c r="C251" s="216" t="s">
        <v>1235</v>
      </c>
      <c r="D251" s="217">
        <v>1</v>
      </c>
      <c r="E251" s="391"/>
      <c r="F251" s="262"/>
      <c r="G251" s="272">
        <v>803.01720999999998</v>
      </c>
      <c r="H251" s="141" t="str">
        <f>IF(G251="","",$H$10)</f>
        <v>CZK</v>
      </c>
      <c r="I251" s="409" t="s">
        <v>47</v>
      </c>
      <c r="J251" s="625" t="s">
        <v>1902</v>
      </c>
      <c r="L251" s="86" t="e">
        <f>VLOOKUP(B251,$B$11:B250,1,FALSE)</f>
        <v>#N/A</v>
      </c>
      <c r="M251" s="256">
        <f>G251*(1-FORM!$AE$28/100)</f>
        <v>803.01720999999998</v>
      </c>
      <c r="AA251" s="463"/>
      <c r="AB251" s="462"/>
      <c r="AC251" s="462"/>
      <c r="AD251" s="464"/>
      <c r="AE251" s="465"/>
    </row>
    <row r="252" spans="1:31" ht="14.4">
      <c r="A252" s="130"/>
      <c r="B252" s="425">
        <v>9353358</v>
      </c>
      <c r="C252" s="216" t="s">
        <v>1236</v>
      </c>
      <c r="D252" s="217">
        <v>1</v>
      </c>
      <c r="E252" s="391"/>
      <c r="F252" s="262"/>
      <c r="G252" s="272">
        <v>814.69060000000002</v>
      </c>
      <c r="H252" s="141" t="str">
        <f>IF(G252="","",$H$10)</f>
        <v>CZK</v>
      </c>
      <c r="I252" s="409" t="s">
        <v>47</v>
      </c>
      <c r="J252" s="625" t="s">
        <v>1903</v>
      </c>
      <c r="L252" s="86" t="e">
        <f>VLOOKUP(B252,$B$11:B251,1,FALSE)</f>
        <v>#N/A</v>
      </c>
      <c r="M252" s="256">
        <f>G252*(1-FORM!$AE$28/100)</f>
        <v>814.69060000000002</v>
      </c>
      <c r="AA252" s="463"/>
      <c r="AB252" s="462"/>
      <c r="AC252" s="462"/>
      <c r="AD252" s="464"/>
      <c r="AE252" s="465"/>
    </row>
    <row r="253" spans="1:31" ht="14.4">
      <c r="A253" s="130"/>
      <c r="B253" s="425">
        <v>9353359</v>
      </c>
      <c r="C253" s="216" t="s">
        <v>1237</v>
      </c>
      <c r="D253" s="217">
        <v>1</v>
      </c>
      <c r="E253" s="391"/>
      <c r="F253" s="262"/>
      <c r="G253" s="272">
        <v>848.94223999999997</v>
      </c>
      <c r="H253" s="141" t="str">
        <f>IF(G253="","",$H$10)</f>
        <v>CZK</v>
      </c>
      <c r="I253" s="409" t="s">
        <v>47</v>
      </c>
      <c r="J253" s="625" t="s">
        <v>1904</v>
      </c>
      <c r="L253" s="86" t="e">
        <f>VLOOKUP(B253,$B$11:B252,1,FALSE)</f>
        <v>#N/A</v>
      </c>
      <c r="M253" s="256">
        <f>G253*(1-FORM!$AE$28/100)</f>
        <v>848.94223999999997</v>
      </c>
      <c r="AA253" s="463"/>
      <c r="AB253" s="462"/>
      <c r="AC253" s="462"/>
      <c r="AD253" s="464"/>
      <c r="AE253" s="465"/>
    </row>
    <row r="254" spans="1:31" ht="14.4">
      <c r="A254" s="130"/>
      <c r="B254" s="425">
        <v>9353360</v>
      </c>
      <c r="C254" s="216" t="s">
        <v>1238</v>
      </c>
      <c r="D254" s="217">
        <v>1</v>
      </c>
      <c r="E254" s="391"/>
      <c r="F254" s="262"/>
      <c r="G254" s="272">
        <v>867.96834999999999</v>
      </c>
      <c r="H254" s="141" t="str">
        <f>IF(G254="","",$H$10)</f>
        <v>CZK</v>
      </c>
      <c r="I254" s="409" t="s">
        <v>47</v>
      </c>
      <c r="J254" s="625" t="s">
        <v>1905</v>
      </c>
      <c r="L254" s="86" t="e">
        <f>VLOOKUP(B254,$B$11:B253,1,FALSE)</f>
        <v>#N/A</v>
      </c>
      <c r="M254" s="256">
        <f>G254*(1-FORM!$AE$28/100)</f>
        <v>867.96834999999999</v>
      </c>
      <c r="AA254" s="463"/>
      <c r="AB254" s="462"/>
      <c r="AC254" s="462"/>
      <c r="AD254" s="464"/>
      <c r="AE254" s="465"/>
    </row>
    <row r="255" spans="1:31" ht="14.4">
      <c r="A255" s="130"/>
      <c r="B255" s="426">
        <v>9353371</v>
      </c>
      <c r="C255" s="304" t="s">
        <v>1239</v>
      </c>
      <c r="D255" s="226">
        <v>1</v>
      </c>
      <c r="E255" s="396"/>
      <c r="F255" s="268"/>
      <c r="G255" s="272">
        <v>895.00838999999996</v>
      </c>
      <c r="H255" s="142" t="str">
        <f t="shared" si="21"/>
        <v>CZK</v>
      </c>
      <c r="I255" s="417" t="s">
        <v>47</v>
      </c>
      <c r="J255" s="626" t="s">
        <v>1906</v>
      </c>
      <c r="L255" s="86" t="e">
        <f>VLOOKUP(B255,$B$11:B254,1,FALSE)</f>
        <v>#N/A</v>
      </c>
      <c r="M255" s="256">
        <f>G255*(1-FORM!$AE$28/100)</f>
        <v>895.00838999999996</v>
      </c>
      <c r="AA255" s="463"/>
      <c r="AB255" s="462"/>
      <c r="AC255" s="462"/>
      <c r="AD255" s="464"/>
      <c r="AE255" s="465"/>
    </row>
    <row r="256" spans="1:31" ht="14.4">
      <c r="A256" s="137"/>
      <c r="B256" s="424">
        <v>9353401</v>
      </c>
      <c r="C256" s="222" t="s">
        <v>1240</v>
      </c>
      <c r="D256" s="223">
        <v>1</v>
      </c>
      <c r="E256" s="395"/>
      <c r="F256" s="266"/>
      <c r="G256" s="272">
        <v>781.77286000000004</v>
      </c>
      <c r="H256" s="211" t="str">
        <f t="shared" si="21"/>
        <v>CZK</v>
      </c>
      <c r="I256" s="416" t="s">
        <v>47</v>
      </c>
      <c r="J256" s="627" t="s">
        <v>1935</v>
      </c>
      <c r="L256" s="86" t="e">
        <f>VLOOKUP(B256,$B$11:B255,1,FALSE)</f>
        <v>#N/A</v>
      </c>
      <c r="M256" s="256">
        <f>G256*(1-FORM!$AE$28/100)</f>
        <v>781.77286000000004</v>
      </c>
      <c r="AA256" s="463"/>
      <c r="AB256" s="462"/>
      <c r="AC256" s="462"/>
      <c r="AD256" s="464"/>
      <c r="AE256" s="465"/>
    </row>
    <row r="257" spans="1:31" ht="14.4">
      <c r="A257" s="137"/>
      <c r="B257" s="425">
        <v>9353402</v>
      </c>
      <c r="C257" s="216" t="s">
        <v>1241</v>
      </c>
      <c r="D257" s="217">
        <v>1</v>
      </c>
      <c r="E257" s="391"/>
      <c r="F257" s="262"/>
      <c r="G257" s="272">
        <v>788.96299999999997</v>
      </c>
      <c r="H257" s="141" t="str">
        <f>IF(G257="","",$H$10)</f>
        <v>CZK</v>
      </c>
      <c r="I257" s="409" t="s">
        <v>47</v>
      </c>
      <c r="J257" s="625" t="s">
        <v>1936</v>
      </c>
      <c r="L257" s="86" t="e">
        <f>VLOOKUP(B257,$B$11:B256,1,FALSE)</f>
        <v>#N/A</v>
      </c>
      <c r="M257" s="256">
        <f>G257*(1-FORM!$AE$28/100)</f>
        <v>788.96299999999997</v>
      </c>
      <c r="AA257" s="463"/>
      <c r="AB257" s="462"/>
      <c r="AC257" s="462"/>
      <c r="AD257" s="464"/>
      <c r="AE257" s="465"/>
    </row>
    <row r="258" spans="1:31" ht="14.4">
      <c r="A258" s="137"/>
      <c r="B258" s="425">
        <v>9353403</v>
      </c>
      <c r="C258" s="216" t="s">
        <v>1242</v>
      </c>
      <c r="D258" s="217">
        <v>1</v>
      </c>
      <c r="E258" s="391"/>
      <c r="F258" s="262"/>
      <c r="G258" s="272">
        <v>800.95977000000005</v>
      </c>
      <c r="H258" s="141" t="str">
        <f>IF(G258="","",$H$10)</f>
        <v>CZK</v>
      </c>
      <c r="I258" s="409" t="s">
        <v>47</v>
      </c>
      <c r="J258" s="625" t="s">
        <v>1937</v>
      </c>
      <c r="L258" s="86" t="e">
        <f>VLOOKUP(B258,$B$11:B257,1,FALSE)</f>
        <v>#N/A</v>
      </c>
      <c r="M258" s="256">
        <f>G258*(1-FORM!$AE$28/100)</f>
        <v>800.95977000000005</v>
      </c>
      <c r="AA258" s="463"/>
      <c r="AB258" s="462"/>
      <c r="AC258" s="462"/>
      <c r="AD258" s="464"/>
      <c r="AE258" s="465"/>
    </row>
    <row r="259" spans="1:31" ht="14.4">
      <c r="A259" s="137"/>
      <c r="B259" s="425">
        <v>9353404</v>
      </c>
      <c r="C259" s="216" t="s">
        <v>1243</v>
      </c>
      <c r="D259" s="217">
        <v>1</v>
      </c>
      <c r="E259" s="391"/>
      <c r="F259" s="262"/>
      <c r="G259" s="272">
        <v>812.95644000000004</v>
      </c>
      <c r="H259" s="141" t="str">
        <f>IF(G259="","",$H$10)</f>
        <v>CZK</v>
      </c>
      <c r="I259" s="409" t="s">
        <v>47</v>
      </c>
      <c r="J259" s="625" t="s">
        <v>1938</v>
      </c>
      <c r="L259" s="86" t="e">
        <f>VLOOKUP(B259,$B$11:B258,1,FALSE)</f>
        <v>#N/A</v>
      </c>
      <c r="M259" s="256">
        <f>G259*(1-FORM!$AE$28/100)</f>
        <v>812.95644000000004</v>
      </c>
      <c r="AA259" s="463"/>
      <c r="AB259" s="462"/>
      <c r="AC259" s="462"/>
      <c r="AD259" s="464"/>
      <c r="AE259" s="465"/>
    </row>
    <row r="260" spans="1:31" ht="14.4">
      <c r="A260" s="137"/>
      <c r="B260" s="425">
        <v>9353405</v>
      </c>
      <c r="C260" s="216" t="s">
        <v>1244</v>
      </c>
      <c r="D260" s="217">
        <v>1</v>
      </c>
      <c r="E260" s="391"/>
      <c r="F260" s="262"/>
      <c r="G260" s="272">
        <v>803.01720999999998</v>
      </c>
      <c r="H260" s="141" t="str">
        <f t="shared" ref="H260:H269" si="24">IF(G260="","",$H$10)</f>
        <v>CZK</v>
      </c>
      <c r="I260" s="409" t="s">
        <v>47</v>
      </c>
      <c r="J260" s="625" t="s">
        <v>1939</v>
      </c>
      <c r="L260" s="86" t="e">
        <f>VLOOKUP(B260,$B$11:B259,1,FALSE)</f>
        <v>#N/A</v>
      </c>
      <c r="M260" s="256">
        <f>G260*(1-FORM!$AE$28/100)</f>
        <v>803.01720999999998</v>
      </c>
      <c r="AA260" s="463"/>
      <c r="AB260" s="462"/>
      <c r="AC260" s="462"/>
      <c r="AD260" s="464"/>
      <c r="AE260" s="465"/>
    </row>
    <row r="261" spans="1:31" ht="14.4">
      <c r="A261" s="137"/>
      <c r="B261" s="425">
        <v>9353406</v>
      </c>
      <c r="C261" s="216" t="s">
        <v>1245</v>
      </c>
      <c r="D261" s="217">
        <v>1</v>
      </c>
      <c r="E261" s="391"/>
      <c r="F261" s="262"/>
      <c r="G261" s="272">
        <v>814.69060000000002</v>
      </c>
      <c r="H261" s="141" t="str">
        <f t="shared" si="24"/>
        <v>CZK</v>
      </c>
      <c r="I261" s="409" t="s">
        <v>47</v>
      </c>
      <c r="J261" s="625" t="s">
        <v>1940</v>
      </c>
      <c r="L261" s="86" t="e">
        <f>VLOOKUP(B261,$B$11:B260,1,FALSE)</f>
        <v>#N/A</v>
      </c>
      <c r="M261" s="256">
        <f>G261*(1-FORM!$AE$28/100)</f>
        <v>814.69060000000002</v>
      </c>
      <c r="AA261" s="463"/>
      <c r="AB261" s="462"/>
      <c r="AC261" s="462"/>
      <c r="AD261" s="464"/>
      <c r="AE261" s="465"/>
    </row>
    <row r="262" spans="1:31" ht="14.4">
      <c r="A262" s="137"/>
      <c r="B262" s="425">
        <v>9353407</v>
      </c>
      <c r="C262" s="216" t="s">
        <v>1246</v>
      </c>
      <c r="D262" s="217">
        <v>1</v>
      </c>
      <c r="E262" s="391"/>
      <c r="F262" s="262"/>
      <c r="G262" s="272">
        <v>848.94223999999997</v>
      </c>
      <c r="H262" s="141" t="str">
        <f t="shared" si="24"/>
        <v>CZK</v>
      </c>
      <c r="I262" s="409" t="s">
        <v>47</v>
      </c>
      <c r="J262" s="625" t="s">
        <v>1941</v>
      </c>
      <c r="L262" s="86" t="e">
        <f>VLOOKUP(B262,$B$11:B261,1,FALSE)</f>
        <v>#N/A</v>
      </c>
      <c r="M262" s="256">
        <f>G262*(1-FORM!$AE$28/100)</f>
        <v>848.94223999999997</v>
      </c>
      <c r="AA262" s="463"/>
      <c r="AB262" s="462"/>
      <c r="AC262" s="462"/>
      <c r="AD262" s="464"/>
      <c r="AE262" s="465"/>
    </row>
    <row r="263" spans="1:31" ht="14.4">
      <c r="A263" s="137"/>
      <c r="B263" s="425">
        <v>9353408</v>
      </c>
      <c r="C263" s="216" t="s">
        <v>1247</v>
      </c>
      <c r="D263" s="217">
        <v>1</v>
      </c>
      <c r="E263" s="391"/>
      <c r="F263" s="262"/>
      <c r="G263" s="272">
        <v>867.96834999999999</v>
      </c>
      <c r="H263" s="141" t="str">
        <f t="shared" si="24"/>
        <v>CZK</v>
      </c>
      <c r="I263" s="409" t="s">
        <v>47</v>
      </c>
      <c r="J263" s="625" t="s">
        <v>1942</v>
      </c>
      <c r="L263" s="86" t="e">
        <f>VLOOKUP(B263,$B$11:B262,1,FALSE)</f>
        <v>#N/A</v>
      </c>
      <c r="M263" s="256">
        <f>G263*(1-FORM!$AE$28/100)</f>
        <v>867.96834999999999</v>
      </c>
      <c r="AA263" s="463"/>
      <c r="AB263" s="462"/>
      <c r="AC263" s="462"/>
      <c r="AD263" s="464"/>
      <c r="AE263" s="465"/>
    </row>
    <row r="264" spans="1:31" ht="14.4">
      <c r="A264" s="137"/>
      <c r="B264" s="426">
        <v>9353409</v>
      </c>
      <c r="C264" s="304" t="s">
        <v>1248</v>
      </c>
      <c r="D264" s="226">
        <v>1</v>
      </c>
      <c r="E264" s="396"/>
      <c r="F264" s="268"/>
      <c r="G264" s="272">
        <v>895.00838999999996</v>
      </c>
      <c r="H264" s="142" t="str">
        <f t="shared" si="24"/>
        <v>CZK</v>
      </c>
      <c r="I264" s="417" t="s">
        <v>47</v>
      </c>
      <c r="J264" s="626" t="s">
        <v>1943</v>
      </c>
      <c r="L264" s="86" t="e">
        <f>VLOOKUP(B264,$B$11:B263,1,FALSE)</f>
        <v>#N/A</v>
      </c>
      <c r="M264" s="256">
        <f>G264*(1-FORM!$AE$28/100)</f>
        <v>895.00838999999996</v>
      </c>
      <c r="AA264" s="463"/>
      <c r="AB264" s="462"/>
      <c r="AC264" s="462"/>
      <c r="AD264" s="464"/>
      <c r="AE264" s="465"/>
    </row>
    <row r="265" spans="1:31" ht="14.4">
      <c r="A265" s="139"/>
      <c r="B265" s="424">
        <v>9353439</v>
      </c>
      <c r="C265" s="222" t="s">
        <v>1249</v>
      </c>
      <c r="D265" s="223">
        <v>1</v>
      </c>
      <c r="E265" s="395"/>
      <c r="F265" s="266"/>
      <c r="G265" s="272">
        <v>781.77286000000004</v>
      </c>
      <c r="H265" s="211" t="str">
        <f t="shared" si="24"/>
        <v>CZK</v>
      </c>
      <c r="I265" s="416" t="s">
        <v>47</v>
      </c>
      <c r="J265" s="627" t="s">
        <v>1973</v>
      </c>
      <c r="L265" s="86" t="e">
        <f>VLOOKUP(B265,$B$11:B264,1,FALSE)</f>
        <v>#N/A</v>
      </c>
      <c r="M265" s="256">
        <f>G265*(1-FORM!$AE$28/100)</f>
        <v>781.77286000000004</v>
      </c>
      <c r="AA265" s="463"/>
      <c r="AB265" s="462"/>
      <c r="AC265" s="462"/>
      <c r="AD265" s="464"/>
      <c r="AE265" s="465"/>
    </row>
    <row r="266" spans="1:31" ht="14.4">
      <c r="A266" s="139"/>
      <c r="B266" s="425">
        <v>9353440</v>
      </c>
      <c r="C266" s="216" t="s">
        <v>1250</v>
      </c>
      <c r="D266" s="217">
        <v>1</v>
      </c>
      <c r="E266" s="391"/>
      <c r="F266" s="262"/>
      <c r="G266" s="272">
        <v>788.96299999999997</v>
      </c>
      <c r="H266" s="141" t="str">
        <f t="shared" si="24"/>
        <v>CZK</v>
      </c>
      <c r="I266" s="409" t="s">
        <v>47</v>
      </c>
      <c r="J266" s="625" t="s">
        <v>1974</v>
      </c>
      <c r="L266" s="86" t="e">
        <f>VLOOKUP(B266,$B$11:B265,1,FALSE)</f>
        <v>#N/A</v>
      </c>
      <c r="M266" s="256">
        <f>G266*(1-FORM!$AE$28/100)</f>
        <v>788.96299999999997</v>
      </c>
      <c r="AA266" s="463"/>
      <c r="AB266" s="462"/>
      <c r="AC266" s="462"/>
      <c r="AD266" s="464"/>
      <c r="AE266" s="465"/>
    </row>
    <row r="267" spans="1:31" ht="14.4">
      <c r="A267" s="139"/>
      <c r="B267" s="425">
        <v>9353441</v>
      </c>
      <c r="C267" s="216" t="s">
        <v>1251</v>
      </c>
      <c r="D267" s="217">
        <v>1</v>
      </c>
      <c r="E267" s="391"/>
      <c r="F267" s="262"/>
      <c r="G267" s="272">
        <v>800.95977000000005</v>
      </c>
      <c r="H267" s="141" t="str">
        <f t="shared" si="24"/>
        <v>CZK</v>
      </c>
      <c r="I267" s="409" t="s">
        <v>47</v>
      </c>
      <c r="J267" s="625" t="s">
        <v>1975</v>
      </c>
      <c r="L267" s="86" t="e">
        <f>VLOOKUP(B267,$B$11:B266,1,FALSE)</f>
        <v>#N/A</v>
      </c>
      <c r="M267" s="256">
        <f>G267*(1-FORM!$AE$28/100)</f>
        <v>800.95977000000005</v>
      </c>
      <c r="AA267" s="463"/>
      <c r="AB267" s="462"/>
      <c r="AC267" s="462"/>
      <c r="AD267" s="464"/>
      <c r="AE267" s="465"/>
    </row>
    <row r="268" spans="1:31" ht="14.4">
      <c r="A268" s="139"/>
      <c r="B268" s="425">
        <v>9353442</v>
      </c>
      <c r="C268" s="216" t="s">
        <v>1252</v>
      </c>
      <c r="D268" s="217">
        <v>1</v>
      </c>
      <c r="E268" s="391"/>
      <c r="F268" s="262"/>
      <c r="G268" s="272">
        <v>812.95644000000004</v>
      </c>
      <c r="H268" s="141" t="str">
        <f t="shared" si="24"/>
        <v>CZK</v>
      </c>
      <c r="I268" s="409" t="s">
        <v>47</v>
      </c>
      <c r="J268" s="625" t="s">
        <v>1976</v>
      </c>
      <c r="L268" s="86" t="e">
        <f>VLOOKUP(B268,$B$11:B267,1,FALSE)</f>
        <v>#N/A</v>
      </c>
      <c r="M268" s="256">
        <f>G268*(1-FORM!$AE$28/100)</f>
        <v>812.95644000000004</v>
      </c>
      <c r="AA268" s="463"/>
      <c r="AB268" s="462"/>
      <c r="AC268" s="462"/>
      <c r="AD268" s="464"/>
      <c r="AE268" s="465"/>
    </row>
    <row r="269" spans="1:31" ht="14.4">
      <c r="A269" s="139"/>
      <c r="B269" s="425">
        <v>9353443</v>
      </c>
      <c r="C269" s="216" t="s">
        <v>1253</v>
      </c>
      <c r="D269" s="217">
        <v>1</v>
      </c>
      <c r="E269" s="391"/>
      <c r="F269" s="262"/>
      <c r="G269" s="272">
        <v>803.01720999999998</v>
      </c>
      <c r="H269" s="141" t="str">
        <f t="shared" si="24"/>
        <v>CZK</v>
      </c>
      <c r="I269" s="409" t="s">
        <v>47</v>
      </c>
      <c r="J269" s="625" t="s">
        <v>1977</v>
      </c>
      <c r="L269" s="86" t="e">
        <f>VLOOKUP(B269,$B$11:B268,1,FALSE)</f>
        <v>#N/A</v>
      </c>
      <c r="M269" s="256">
        <f>G269*(1-FORM!$AE$28/100)</f>
        <v>803.01720999999998</v>
      </c>
      <c r="AA269" s="463"/>
      <c r="AB269" s="462"/>
      <c r="AC269" s="462"/>
      <c r="AD269" s="464"/>
      <c r="AE269" s="465"/>
    </row>
    <row r="270" spans="1:31" ht="14.4">
      <c r="A270" s="139"/>
      <c r="B270" s="425">
        <v>9353444</v>
      </c>
      <c r="C270" s="216" t="s">
        <v>1254</v>
      </c>
      <c r="D270" s="217">
        <v>1</v>
      </c>
      <c r="E270" s="391"/>
      <c r="F270" s="262"/>
      <c r="G270" s="272">
        <v>814.69060000000002</v>
      </c>
      <c r="H270" s="141" t="str">
        <f t="shared" ref="H270:H279" si="25">IF(G270="","",$H$10)</f>
        <v>CZK</v>
      </c>
      <c r="I270" s="409" t="s">
        <v>47</v>
      </c>
      <c r="J270" s="625" t="s">
        <v>1978</v>
      </c>
      <c r="L270" s="86" t="e">
        <f>VLOOKUP(B270,$B$11:B269,1,FALSE)</f>
        <v>#N/A</v>
      </c>
      <c r="M270" s="256">
        <f>G270*(1-FORM!$AE$28/100)</f>
        <v>814.69060000000002</v>
      </c>
      <c r="AA270" s="463"/>
      <c r="AB270" s="462"/>
      <c r="AC270" s="462"/>
      <c r="AD270" s="464"/>
      <c r="AE270" s="465"/>
    </row>
    <row r="271" spans="1:31" ht="14.4">
      <c r="A271" s="139"/>
      <c r="B271" s="425">
        <v>9353445</v>
      </c>
      <c r="C271" s="216" t="s">
        <v>1255</v>
      </c>
      <c r="D271" s="217">
        <v>1</v>
      </c>
      <c r="E271" s="391"/>
      <c r="F271" s="262"/>
      <c r="G271" s="272">
        <v>848.94223999999997</v>
      </c>
      <c r="H271" s="141" t="str">
        <f t="shared" si="25"/>
        <v>CZK</v>
      </c>
      <c r="I271" s="409" t="s">
        <v>47</v>
      </c>
      <c r="J271" s="625" t="s">
        <v>1979</v>
      </c>
      <c r="L271" s="86" t="e">
        <f>VLOOKUP(B271,$B$11:B270,1,FALSE)</f>
        <v>#N/A</v>
      </c>
      <c r="M271" s="256">
        <f>G271*(1-FORM!$AE$28/100)</f>
        <v>848.94223999999997</v>
      </c>
      <c r="AA271" s="463"/>
      <c r="AB271" s="462"/>
      <c r="AC271" s="462"/>
      <c r="AD271" s="464"/>
      <c r="AE271" s="465"/>
    </row>
    <row r="272" spans="1:31" ht="14.4">
      <c r="A272" s="139"/>
      <c r="B272" s="425">
        <v>9353446</v>
      </c>
      <c r="C272" s="216" t="s">
        <v>1256</v>
      </c>
      <c r="D272" s="217">
        <v>1</v>
      </c>
      <c r="E272" s="391"/>
      <c r="F272" s="262"/>
      <c r="G272" s="272">
        <v>867.96834999999999</v>
      </c>
      <c r="H272" s="141" t="str">
        <f t="shared" si="25"/>
        <v>CZK</v>
      </c>
      <c r="I272" s="409" t="s">
        <v>47</v>
      </c>
      <c r="J272" s="625" t="s">
        <v>1980</v>
      </c>
      <c r="L272" s="86" t="e">
        <f>VLOOKUP(B272,$B$11:B271,1,FALSE)</f>
        <v>#N/A</v>
      </c>
      <c r="M272" s="256">
        <f>G272*(1-FORM!$AE$28/100)</f>
        <v>867.96834999999999</v>
      </c>
      <c r="AA272" s="463"/>
      <c r="AB272" s="462"/>
      <c r="AC272" s="462"/>
      <c r="AD272" s="464"/>
      <c r="AE272" s="465"/>
    </row>
    <row r="273" spans="1:31" ht="14.4">
      <c r="A273" s="139"/>
      <c r="B273" s="426">
        <v>9353447</v>
      </c>
      <c r="C273" s="304" t="s">
        <v>1257</v>
      </c>
      <c r="D273" s="226">
        <v>1</v>
      </c>
      <c r="E273" s="396"/>
      <c r="F273" s="268"/>
      <c r="G273" s="272">
        <v>895.00838999999996</v>
      </c>
      <c r="H273" s="142" t="str">
        <f t="shared" si="25"/>
        <v>CZK</v>
      </c>
      <c r="I273" s="417" t="s">
        <v>47</v>
      </c>
      <c r="J273" s="626" t="s">
        <v>1981</v>
      </c>
      <c r="L273" s="86" t="e">
        <f>VLOOKUP(B273,$B$11:B272,1,FALSE)</f>
        <v>#N/A</v>
      </c>
      <c r="M273" s="256">
        <f>G273*(1-FORM!$AE$28/100)</f>
        <v>895.00838999999996</v>
      </c>
      <c r="AA273" s="463"/>
      <c r="AB273" s="462"/>
      <c r="AC273" s="462"/>
      <c r="AD273" s="464"/>
      <c r="AE273" s="465"/>
    </row>
    <row r="274" spans="1:31" ht="14.4">
      <c r="A274" s="130"/>
      <c r="B274" s="301">
        <v>9255044</v>
      </c>
      <c r="C274" s="222" t="s">
        <v>734</v>
      </c>
      <c r="D274" s="223">
        <v>10</v>
      </c>
      <c r="E274" s="395"/>
      <c r="F274" s="266"/>
      <c r="G274" s="272">
        <v>343.85318000000001</v>
      </c>
      <c r="H274" s="211" t="str">
        <f t="shared" si="25"/>
        <v>CZK</v>
      </c>
      <c r="I274" s="416" t="s">
        <v>47</v>
      </c>
      <c r="J274" s="627" t="s">
        <v>1369</v>
      </c>
      <c r="L274" s="86" t="e">
        <f>VLOOKUP(B274,$B$11:B273,1,FALSE)</f>
        <v>#N/A</v>
      </c>
      <c r="M274" s="256">
        <f>G274*(1-FORM!$AE$28/100)</f>
        <v>343.85318000000001</v>
      </c>
      <c r="AA274" s="463"/>
      <c r="AB274" s="462"/>
      <c r="AC274" s="462"/>
      <c r="AD274" s="464"/>
      <c r="AE274" s="465"/>
    </row>
    <row r="275" spans="1:31" ht="14.4">
      <c r="A275" s="130"/>
      <c r="B275" s="298">
        <v>9255045</v>
      </c>
      <c r="C275" s="216" t="s">
        <v>735</v>
      </c>
      <c r="D275" s="217">
        <v>10</v>
      </c>
      <c r="E275" s="391"/>
      <c r="F275" s="262"/>
      <c r="G275" s="272">
        <v>343.85318000000001</v>
      </c>
      <c r="H275" s="141" t="str">
        <f t="shared" si="25"/>
        <v>CZK</v>
      </c>
      <c r="I275" s="409" t="s">
        <v>47</v>
      </c>
      <c r="J275" s="625" t="s">
        <v>1370</v>
      </c>
      <c r="L275" s="86" t="e">
        <f>VLOOKUP(B275,$B$11:B274,1,FALSE)</f>
        <v>#N/A</v>
      </c>
      <c r="M275" s="256">
        <f>G275*(1-FORM!$AE$28/100)</f>
        <v>343.85318000000001</v>
      </c>
      <c r="AA275" s="463"/>
      <c r="AB275" s="462"/>
      <c r="AC275" s="462"/>
      <c r="AD275" s="464"/>
      <c r="AE275" s="465"/>
    </row>
    <row r="276" spans="1:31" ht="14.4">
      <c r="A276" s="130"/>
      <c r="B276" s="298">
        <v>9255046</v>
      </c>
      <c r="C276" s="216" t="s">
        <v>736</v>
      </c>
      <c r="D276" s="217">
        <v>10</v>
      </c>
      <c r="E276" s="391"/>
      <c r="F276" s="262"/>
      <c r="G276" s="272">
        <v>347.69150999999999</v>
      </c>
      <c r="H276" s="141" t="str">
        <f t="shared" si="25"/>
        <v>CZK</v>
      </c>
      <c r="I276" s="409" t="s">
        <v>47</v>
      </c>
      <c r="J276" s="625" t="s">
        <v>1371</v>
      </c>
      <c r="L276" s="86" t="e">
        <f>VLOOKUP(B276,$B$11:B275,1,FALSE)</f>
        <v>#N/A</v>
      </c>
      <c r="M276" s="256">
        <f>G276*(1-FORM!$AE$28/100)</f>
        <v>347.69150999999999</v>
      </c>
      <c r="AA276" s="463"/>
      <c r="AB276" s="462"/>
      <c r="AC276" s="462"/>
      <c r="AD276" s="464"/>
      <c r="AE276" s="465"/>
    </row>
    <row r="277" spans="1:31" ht="14.4">
      <c r="A277" s="130"/>
      <c r="B277" s="298">
        <v>9255047</v>
      </c>
      <c r="C277" s="216" t="s">
        <v>737</v>
      </c>
      <c r="D277" s="217">
        <v>10</v>
      </c>
      <c r="E277" s="391"/>
      <c r="F277" s="262"/>
      <c r="G277" s="272">
        <v>347.69150999999999</v>
      </c>
      <c r="H277" s="141" t="str">
        <f t="shared" si="25"/>
        <v>CZK</v>
      </c>
      <c r="I277" s="409" t="s">
        <v>47</v>
      </c>
      <c r="J277" s="625" t="s">
        <v>1372</v>
      </c>
      <c r="L277" s="86" t="e">
        <f>VLOOKUP(B277,$B$11:B276,1,FALSE)</f>
        <v>#N/A</v>
      </c>
      <c r="M277" s="256">
        <f>G277*(1-FORM!$AE$28/100)</f>
        <v>347.69150999999999</v>
      </c>
      <c r="AA277" s="463"/>
      <c r="AB277" s="462"/>
      <c r="AC277" s="462"/>
      <c r="AD277" s="464"/>
      <c r="AE277" s="465"/>
    </row>
    <row r="278" spans="1:31" ht="14.4">
      <c r="A278" s="130"/>
      <c r="B278" s="298">
        <v>9255048</v>
      </c>
      <c r="C278" s="216" t="s">
        <v>738</v>
      </c>
      <c r="D278" s="217">
        <v>10</v>
      </c>
      <c r="E278" s="391"/>
      <c r="F278" s="262"/>
      <c r="G278" s="272">
        <v>354.09370999999999</v>
      </c>
      <c r="H278" s="141" t="str">
        <f t="shared" si="25"/>
        <v>CZK</v>
      </c>
      <c r="I278" s="409" t="s">
        <v>47</v>
      </c>
      <c r="J278" s="625" t="s">
        <v>1373</v>
      </c>
      <c r="L278" s="86" t="e">
        <f>VLOOKUP(B278,$B$11:B277,1,FALSE)</f>
        <v>#N/A</v>
      </c>
      <c r="M278" s="256">
        <f>G278*(1-FORM!$AE$28/100)</f>
        <v>354.09370999999999</v>
      </c>
      <c r="AA278" s="463"/>
      <c r="AB278" s="462"/>
      <c r="AC278" s="462"/>
      <c r="AD278" s="464"/>
      <c r="AE278" s="465"/>
    </row>
    <row r="279" spans="1:31" ht="14.4">
      <c r="A279" s="130"/>
      <c r="B279" s="298">
        <v>9255049</v>
      </c>
      <c r="C279" s="216" t="s">
        <v>739</v>
      </c>
      <c r="D279" s="217">
        <v>10</v>
      </c>
      <c r="E279" s="391"/>
      <c r="F279" s="262"/>
      <c r="G279" s="272">
        <v>354.09370999999999</v>
      </c>
      <c r="H279" s="141" t="str">
        <f t="shared" si="25"/>
        <v>CZK</v>
      </c>
      <c r="I279" s="409" t="s">
        <v>47</v>
      </c>
      <c r="J279" s="625" t="s">
        <v>1374</v>
      </c>
      <c r="L279" s="86" t="e">
        <f>VLOOKUP(B279,$B$11:B278,1,FALSE)</f>
        <v>#N/A</v>
      </c>
      <c r="M279" s="256">
        <f>G279*(1-FORM!$AE$28/100)</f>
        <v>354.09370999999999</v>
      </c>
      <c r="AA279" s="463"/>
      <c r="AB279" s="462"/>
      <c r="AC279" s="462"/>
      <c r="AD279" s="464"/>
      <c r="AE279" s="465"/>
    </row>
    <row r="280" spans="1:31" ht="14.4">
      <c r="A280" s="130"/>
      <c r="B280" s="298">
        <v>9255050</v>
      </c>
      <c r="C280" s="216" t="s">
        <v>740</v>
      </c>
      <c r="D280" s="217">
        <v>10</v>
      </c>
      <c r="E280" s="391"/>
      <c r="F280" s="262"/>
      <c r="G280" s="272">
        <v>360.48838000000001</v>
      </c>
      <c r="H280" s="141" t="str">
        <f t="shared" ref="H280:H287" si="26">IF(G280="","",$H$10)</f>
        <v>CZK</v>
      </c>
      <c r="I280" s="409" t="s">
        <v>47</v>
      </c>
      <c r="J280" s="625" t="s">
        <v>1375</v>
      </c>
      <c r="L280" s="86" t="e">
        <f>VLOOKUP(B280,$B$11:B279,1,FALSE)</f>
        <v>#N/A</v>
      </c>
      <c r="M280" s="256">
        <f>G280*(1-FORM!$AE$28/100)</f>
        <v>360.48838000000001</v>
      </c>
      <c r="AA280" s="463"/>
      <c r="AB280" s="462"/>
      <c r="AC280" s="462"/>
      <c r="AD280" s="464"/>
      <c r="AE280" s="465"/>
    </row>
    <row r="281" spans="1:31" ht="14.4">
      <c r="A281" s="130"/>
      <c r="B281" s="298">
        <v>9255051</v>
      </c>
      <c r="C281" s="216" t="s">
        <v>741</v>
      </c>
      <c r="D281" s="217">
        <v>10</v>
      </c>
      <c r="E281" s="391"/>
      <c r="F281" s="262"/>
      <c r="G281" s="272">
        <v>360.48838000000001</v>
      </c>
      <c r="H281" s="141" t="str">
        <f t="shared" si="26"/>
        <v>CZK</v>
      </c>
      <c r="I281" s="409" t="s">
        <v>47</v>
      </c>
      <c r="J281" s="625" t="s">
        <v>1376</v>
      </c>
      <c r="L281" s="86" t="e">
        <f>VLOOKUP(B281,$B$11:B280,1,FALSE)</f>
        <v>#N/A</v>
      </c>
      <c r="M281" s="256">
        <f>G281*(1-FORM!$AE$28/100)</f>
        <v>360.48838000000001</v>
      </c>
      <c r="AA281" s="463"/>
      <c r="AB281" s="462"/>
      <c r="AC281" s="462"/>
      <c r="AD281" s="464"/>
      <c r="AE281" s="465"/>
    </row>
    <row r="282" spans="1:31" ht="14.4">
      <c r="A282" s="130"/>
      <c r="B282" s="298">
        <v>9255052</v>
      </c>
      <c r="C282" s="216" t="s">
        <v>742</v>
      </c>
      <c r="D282" s="217">
        <v>10</v>
      </c>
      <c r="E282" s="391"/>
      <c r="F282" s="262"/>
      <c r="G282" s="272">
        <v>357.13297</v>
      </c>
      <c r="H282" s="141" t="str">
        <f t="shared" si="26"/>
        <v>CZK</v>
      </c>
      <c r="I282" s="409" t="s">
        <v>47</v>
      </c>
      <c r="J282" s="625" t="s">
        <v>1377</v>
      </c>
      <c r="L282" s="86" t="e">
        <f>VLOOKUP(B282,$B$11:B281,1,FALSE)</f>
        <v>#N/A</v>
      </c>
      <c r="M282" s="256">
        <f>G282*(1-FORM!$AE$28/100)</f>
        <v>357.13297</v>
      </c>
      <c r="AA282" s="463"/>
      <c r="AB282" s="462"/>
      <c r="AC282" s="462"/>
      <c r="AD282" s="464"/>
      <c r="AE282" s="465"/>
    </row>
    <row r="283" spans="1:31" ht="14.4">
      <c r="A283" s="130"/>
      <c r="B283" s="298">
        <v>9255053</v>
      </c>
      <c r="C283" s="216" t="s">
        <v>743</v>
      </c>
      <c r="D283" s="217">
        <v>10</v>
      </c>
      <c r="E283" s="391"/>
      <c r="F283" s="262"/>
      <c r="G283" s="272">
        <v>357.13297</v>
      </c>
      <c r="H283" s="141" t="str">
        <f t="shared" si="26"/>
        <v>CZK</v>
      </c>
      <c r="I283" s="409" t="s">
        <v>47</v>
      </c>
      <c r="J283" s="625" t="s">
        <v>1378</v>
      </c>
      <c r="L283" s="86" t="e">
        <f>VLOOKUP(B283,$B$11:B282,1,FALSE)</f>
        <v>#N/A</v>
      </c>
      <c r="M283" s="256">
        <f>G283*(1-FORM!$AE$28/100)</f>
        <v>357.13297</v>
      </c>
      <c r="AA283" s="463"/>
      <c r="AB283" s="462"/>
      <c r="AC283" s="462"/>
      <c r="AD283" s="464"/>
      <c r="AE283" s="465"/>
    </row>
    <row r="284" spans="1:31" ht="14.4">
      <c r="A284" s="130"/>
      <c r="B284" s="298">
        <v>9255054</v>
      </c>
      <c r="C284" s="216" t="s">
        <v>744</v>
      </c>
      <c r="D284" s="217">
        <v>10</v>
      </c>
      <c r="E284" s="391"/>
      <c r="F284" s="262"/>
      <c r="G284" s="272">
        <v>363.36250999999999</v>
      </c>
      <c r="H284" s="141" t="str">
        <f t="shared" si="26"/>
        <v>CZK</v>
      </c>
      <c r="I284" s="409" t="s">
        <v>47</v>
      </c>
      <c r="J284" s="625" t="s">
        <v>1379</v>
      </c>
      <c r="L284" s="86" t="e">
        <f>VLOOKUP(B284,$B$11:B283,1,FALSE)</f>
        <v>#N/A</v>
      </c>
      <c r="M284" s="256">
        <f>G284*(1-FORM!$AE$28/100)</f>
        <v>363.36250999999999</v>
      </c>
      <c r="AA284" s="463"/>
      <c r="AB284" s="462"/>
      <c r="AC284" s="462"/>
      <c r="AD284" s="464"/>
      <c r="AE284" s="465"/>
    </row>
    <row r="285" spans="1:31" ht="14.4">
      <c r="A285" s="130"/>
      <c r="B285" s="298">
        <v>9255055</v>
      </c>
      <c r="C285" s="216" t="s">
        <v>745</v>
      </c>
      <c r="D285" s="217">
        <v>10</v>
      </c>
      <c r="E285" s="391"/>
      <c r="F285" s="262"/>
      <c r="G285" s="272">
        <v>363.36250999999999</v>
      </c>
      <c r="H285" s="141" t="str">
        <f t="shared" si="26"/>
        <v>CZK</v>
      </c>
      <c r="I285" s="409" t="s">
        <v>47</v>
      </c>
      <c r="J285" s="625" t="s">
        <v>1380</v>
      </c>
      <c r="L285" s="86" t="e">
        <f>VLOOKUP(B285,$B$11:B284,1,FALSE)</f>
        <v>#N/A</v>
      </c>
      <c r="M285" s="256">
        <f>G285*(1-FORM!$AE$28/100)</f>
        <v>363.36250999999999</v>
      </c>
      <c r="AA285" s="463"/>
      <c r="AB285" s="462"/>
      <c r="AC285" s="462"/>
      <c r="AD285" s="464"/>
      <c r="AE285" s="465"/>
    </row>
    <row r="286" spans="1:31" ht="14.4">
      <c r="A286" s="130"/>
      <c r="B286" s="298">
        <v>9255056</v>
      </c>
      <c r="C286" s="216" t="s">
        <v>746</v>
      </c>
      <c r="D286" s="217">
        <v>10</v>
      </c>
      <c r="E286" s="391"/>
      <c r="F286" s="262"/>
      <c r="G286" s="272">
        <v>379.68511999999998</v>
      </c>
      <c r="H286" s="141" t="str">
        <f t="shared" si="26"/>
        <v>CZK</v>
      </c>
      <c r="I286" s="409" t="s">
        <v>47</v>
      </c>
      <c r="J286" s="625" t="s">
        <v>1381</v>
      </c>
      <c r="L286" s="86" t="e">
        <f>VLOOKUP(B286,$B$11:B285,1,FALSE)</f>
        <v>#N/A</v>
      </c>
      <c r="M286" s="256">
        <f>G286*(1-FORM!$AE$28/100)</f>
        <v>379.68511999999998</v>
      </c>
      <c r="AA286" s="463"/>
      <c r="AB286" s="462"/>
      <c r="AC286" s="462"/>
      <c r="AD286" s="464"/>
      <c r="AE286" s="465"/>
    </row>
    <row r="287" spans="1:31" ht="14.4">
      <c r="A287" s="130"/>
      <c r="B287" s="298">
        <v>9255057</v>
      </c>
      <c r="C287" s="216" t="s">
        <v>747</v>
      </c>
      <c r="D287" s="217">
        <v>10</v>
      </c>
      <c r="E287" s="391"/>
      <c r="F287" s="262"/>
      <c r="G287" s="272">
        <v>379.68511999999998</v>
      </c>
      <c r="H287" s="141" t="str">
        <f t="shared" si="26"/>
        <v>CZK</v>
      </c>
      <c r="I287" s="409" t="s">
        <v>47</v>
      </c>
      <c r="J287" s="625" t="s">
        <v>1382</v>
      </c>
      <c r="L287" s="86" t="e">
        <f>VLOOKUP(B287,$B$11:B286,1,FALSE)</f>
        <v>#N/A</v>
      </c>
      <c r="M287" s="256">
        <f>G287*(1-FORM!$AE$28/100)</f>
        <v>379.68511999999998</v>
      </c>
      <c r="AA287" s="463"/>
      <c r="AB287" s="462"/>
      <c r="AC287" s="462"/>
      <c r="AD287" s="464"/>
      <c r="AE287" s="465"/>
    </row>
    <row r="288" spans="1:31" ht="14.4">
      <c r="A288" s="130"/>
      <c r="B288" s="298">
        <v>9255058</v>
      </c>
      <c r="C288" s="216" t="s">
        <v>748</v>
      </c>
      <c r="D288" s="217">
        <v>10</v>
      </c>
      <c r="E288" s="391"/>
      <c r="F288" s="262"/>
      <c r="G288" s="272">
        <v>389.34050000000002</v>
      </c>
      <c r="H288" s="141" t="str">
        <f t="shared" ref="H288:H303" si="27">IF(G288="","",$H$10)</f>
        <v>CZK</v>
      </c>
      <c r="I288" s="409" t="s">
        <v>47</v>
      </c>
      <c r="J288" s="625" t="s">
        <v>1383</v>
      </c>
      <c r="L288" s="86" t="e">
        <f>VLOOKUP(B288,$B$11:B287,1,FALSE)</f>
        <v>#N/A</v>
      </c>
      <c r="M288" s="256">
        <f>G288*(1-FORM!$AE$28/100)</f>
        <v>389.34050000000002</v>
      </c>
      <c r="AA288" s="463"/>
      <c r="AB288" s="462"/>
      <c r="AC288" s="462"/>
      <c r="AD288" s="464"/>
      <c r="AE288" s="465"/>
    </row>
    <row r="289" spans="1:31" ht="14.4">
      <c r="A289" s="130"/>
      <c r="B289" s="298">
        <v>9255059</v>
      </c>
      <c r="C289" s="216" t="s">
        <v>749</v>
      </c>
      <c r="D289" s="217">
        <v>10</v>
      </c>
      <c r="E289" s="391"/>
      <c r="F289" s="262"/>
      <c r="G289" s="272">
        <v>389.34050000000002</v>
      </c>
      <c r="H289" s="141" t="str">
        <f t="shared" si="27"/>
        <v>CZK</v>
      </c>
      <c r="I289" s="409" t="s">
        <v>47</v>
      </c>
      <c r="J289" s="625" t="s">
        <v>1384</v>
      </c>
      <c r="L289" s="86" t="e">
        <f>VLOOKUP(B289,$B$11:B288,1,FALSE)</f>
        <v>#N/A</v>
      </c>
      <c r="M289" s="256">
        <f>G289*(1-FORM!$AE$28/100)</f>
        <v>389.34050000000002</v>
      </c>
      <c r="AA289" s="463"/>
      <c r="AB289" s="462"/>
      <c r="AC289" s="462"/>
      <c r="AD289" s="464"/>
      <c r="AE289" s="465"/>
    </row>
    <row r="290" spans="1:31" ht="14.4">
      <c r="A290" s="130"/>
      <c r="B290" s="298">
        <v>9255060</v>
      </c>
      <c r="C290" s="216" t="s">
        <v>750</v>
      </c>
      <c r="D290" s="217">
        <v>10</v>
      </c>
      <c r="E290" s="391"/>
      <c r="F290" s="262"/>
      <c r="G290" s="272">
        <v>402.46422999999999</v>
      </c>
      <c r="H290" s="141" t="str">
        <f t="shared" si="27"/>
        <v>CZK</v>
      </c>
      <c r="I290" s="409" t="s">
        <v>47</v>
      </c>
      <c r="J290" s="625" t="s">
        <v>1385</v>
      </c>
      <c r="L290" s="86" t="e">
        <f>VLOOKUP(B290,$B$11:B289,1,FALSE)</f>
        <v>#N/A</v>
      </c>
      <c r="M290" s="256">
        <f>G290*(1-FORM!$AE$28/100)</f>
        <v>402.46422999999999</v>
      </c>
      <c r="AA290" s="463"/>
      <c r="AB290" s="462"/>
      <c r="AC290" s="462"/>
      <c r="AD290" s="464"/>
      <c r="AE290" s="465"/>
    </row>
    <row r="291" spans="1:31" ht="14.4">
      <c r="A291" s="130"/>
      <c r="B291" s="303">
        <v>9255061</v>
      </c>
      <c r="C291" s="304" t="s">
        <v>751</v>
      </c>
      <c r="D291" s="226">
        <v>10</v>
      </c>
      <c r="E291" s="396"/>
      <c r="F291" s="268"/>
      <c r="G291" s="272">
        <v>402.46422999999999</v>
      </c>
      <c r="H291" s="142" t="str">
        <f t="shared" si="27"/>
        <v>CZK</v>
      </c>
      <c r="I291" s="417" t="s">
        <v>47</v>
      </c>
      <c r="J291" s="626" t="s">
        <v>1386</v>
      </c>
      <c r="L291" s="86" t="e">
        <f>VLOOKUP(B291,$B$11:B290,1,FALSE)</f>
        <v>#N/A</v>
      </c>
      <c r="M291" s="256">
        <f>G291*(1-FORM!$AE$28/100)</f>
        <v>402.46422999999999</v>
      </c>
      <c r="AA291" s="463"/>
      <c r="AB291" s="462"/>
      <c r="AC291" s="462"/>
      <c r="AD291" s="464"/>
      <c r="AE291" s="465"/>
    </row>
    <row r="292" spans="1:31" ht="14.4">
      <c r="A292" s="137"/>
      <c r="B292" s="301">
        <v>9255124</v>
      </c>
      <c r="C292" s="222" t="s">
        <v>752</v>
      </c>
      <c r="D292" s="223">
        <v>10</v>
      </c>
      <c r="E292" s="395"/>
      <c r="F292" s="266"/>
      <c r="G292" s="272">
        <v>343.85318000000001</v>
      </c>
      <c r="H292" s="211" t="str">
        <f t="shared" si="27"/>
        <v>CZK</v>
      </c>
      <c r="I292" s="416" t="s">
        <v>47</v>
      </c>
      <c r="J292" s="627" t="s">
        <v>1443</v>
      </c>
      <c r="L292" s="86" t="e">
        <f>VLOOKUP(B292,$B$11:B291,1,FALSE)</f>
        <v>#N/A</v>
      </c>
      <c r="M292" s="256">
        <f>G292*(1-FORM!$AE$28/100)</f>
        <v>343.85318000000001</v>
      </c>
      <c r="AA292" s="463"/>
      <c r="AB292" s="462"/>
      <c r="AC292" s="462"/>
      <c r="AD292" s="464"/>
      <c r="AE292" s="465"/>
    </row>
    <row r="293" spans="1:31" ht="14.4">
      <c r="A293" s="137"/>
      <c r="B293" s="298">
        <v>9255125</v>
      </c>
      <c r="C293" s="216" t="s">
        <v>753</v>
      </c>
      <c r="D293" s="217">
        <v>10</v>
      </c>
      <c r="E293" s="391"/>
      <c r="F293" s="262"/>
      <c r="G293" s="272">
        <v>343.85318000000001</v>
      </c>
      <c r="H293" s="141" t="str">
        <f t="shared" si="27"/>
        <v>CZK</v>
      </c>
      <c r="I293" s="409" t="s">
        <v>47</v>
      </c>
      <c r="J293" s="625" t="s">
        <v>1444</v>
      </c>
      <c r="L293" s="86" t="e">
        <f>VLOOKUP(B293,$B$11:B292,1,FALSE)</f>
        <v>#N/A</v>
      </c>
      <c r="M293" s="256">
        <f>G293*(1-FORM!$AE$28/100)</f>
        <v>343.85318000000001</v>
      </c>
      <c r="AA293" s="463"/>
      <c r="AB293" s="462"/>
      <c r="AC293" s="462"/>
      <c r="AD293" s="464"/>
      <c r="AE293" s="465"/>
    </row>
    <row r="294" spans="1:31" ht="14.4">
      <c r="A294" s="137"/>
      <c r="B294" s="298">
        <v>9255126</v>
      </c>
      <c r="C294" s="216" t="s">
        <v>754</v>
      </c>
      <c r="D294" s="217">
        <v>10</v>
      </c>
      <c r="E294" s="391"/>
      <c r="F294" s="262"/>
      <c r="G294" s="272">
        <v>347.69150999999999</v>
      </c>
      <c r="H294" s="141" t="str">
        <f t="shared" si="27"/>
        <v>CZK</v>
      </c>
      <c r="I294" s="409" t="s">
        <v>47</v>
      </c>
      <c r="J294" s="625" t="s">
        <v>1445</v>
      </c>
      <c r="L294" s="86" t="e">
        <f>VLOOKUP(B294,$B$11:B293,1,FALSE)</f>
        <v>#N/A</v>
      </c>
      <c r="M294" s="256">
        <f>G294*(1-FORM!$AE$28/100)</f>
        <v>347.69150999999999</v>
      </c>
      <c r="AA294" s="463"/>
      <c r="AB294" s="462"/>
      <c r="AC294" s="462"/>
      <c r="AD294" s="464"/>
      <c r="AE294" s="465"/>
    </row>
    <row r="295" spans="1:31" ht="14.4">
      <c r="A295" s="137"/>
      <c r="B295" s="298">
        <v>9255127</v>
      </c>
      <c r="C295" s="216" t="s">
        <v>755</v>
      </c>
      <c r="D295" s="217">
        <v>10</v>
      </c>
      <c r="E295" s="391"/>
      <c r="F295" s="262"/>
      <c r="G295" s="272">
        <v>347.69150999999999</v>
      </c>
      <c r="H295" s="141" t="str">
        <f t="shared" si="27"/>
        <v>CZK</v>
      </c>
      <c r="I295" s="409" t="s">
        <v>47</v>
      </c>
      <c r="J295" s="625" t="s">
        <v>1446</v>
      </c>
      <c r="L295" s="86" t="e">
        <f>VLOOKUP(B295,$B$11:B294,1,FALSE)</f>
        <v>#N/A</v>
      </c>
      <c r="M295" s="256">
        <f>G295*(1-FORM!$AE$28/100)</f>
        <v>347.69150999999999</v>
      </c>
      <c r="AA295" s="463"/>
      <c r="AB295" s="462"/>
      <c r="AC295" s="462"/>
      <c r="AD295" s="464"/>
      <c r="AE295" s="465"/>
    </row>
    <row r="296" spans="1:31" ht="14.4">
      <c r="A296" s="137"/>
      <c r="B296" s="298">
        <v>9255128</v>
      </c>
      <c r="C296" s="216" t="s">
        <v>756</v>
      </c>
      <c r="D296" s="217">
        <v>10</v>
      </c>
      <c r="E296" s="391"/>
      <c r="F296" s="262"/>
      <c r="G296" s="272">
        <v>354.09370999999999</v>
      </c>
      <c r="H296" s="141" t="str">
        <f t="shared" si="27"/>
        <v>CZK</v>
      </c>
      <c r="I296" s="409" t="s">
        <v>47</v>
      </c>
      <c r="J296" s="625" t="s">
        <v>1447</v>
      </c>
      <c r="L296" s="86" t="e">
        <f>VLOOKUP(B296,$B$11:B295,1,FALSE)</f>
        <v>#N/A</v>
      </c>
      <c r="M296" s="256">
        <f>G296*(1-FORM!$AE$28/100)</f>
        <v>354.09370999999999</v>
      </c>
      <c r="AA296" s="463"/>
      <c r="AB296" s="462"/>
      <c r="AC296" s="462"/>
      <c r="AD296" s="464"/>
      <c r="AE296" s="465"/>
    </row>
    <row r="297" spans="1:31" ht="14.4">
      <c r="A297" s="137"/>
      <c r="B297" s="298">
        <v>9255129</v>
      </c>
      <c r="C297" s="216" t="s">
        <v>757</v>
      </c>
      <c r="D297" s="217">
        <v>10</v>
      </c>
      <c r="E297" s="391"/>
      <c r="F297" s="262"/>
      <c r="G297" s="272">
        <v>354.09370999999999</v>
      </c>
      <c r="H297" s="141" t="str">
        <f t="shared" si="27"/>
        <v>CZK</v>
      </c>
      <c r="I297" s="409" t="s">
        <v>47</v>
      </c>
      <c r="J297" s="625" t="s">
        <v>1448</v>
      </c>
      <c r="L297" s="86" t="e">
        <f>VLOOKUP(B297,$B$11:B296,1,FALSE)</f>
        <v>#N/A</v>
      </c>
      <c r="M297" s="256">
        <f>G297*(1-FORM!$AE$28/100)</f>
        <v>354.09370999999999</v>
      </c>
      <c r="AA297" s="463"/>
      <c r="AB297" s="462"/>
      <c r="AC297" s="462"/>
      <c r="AD297" s="464"/>
      <c r="AE297" s="465"/>
    </row>
    <row r="298" spans="1:31" ht="14.4">
      <c r="A298" s="137"/>
      <c r="B298" s="298">
        <v>9255130</v>
      </c>
      <c r="C298" s="216" t="s">
        <v>758</v>
      </c>
      <c r="D298" s="217">
        <v>10</v>
      </c>
      <c r="E298" s="391"/>
      <c r="F298" s="262"/>
      <c r="G298" s="272">
        <v>360.48838000000001</v>
      </c>
      <c r="H298" s="141" t="str">
        <f t="shared" si="27"/>
        <v>CZK</v>
      </c>
      <c r="I298" s="409" t="s">
        <v>47</v>
      </c>
      <c r="J298" s="625" t="s">
        <v>1449</v>
      </c>
      <c r="L298" s="86" t="e">
        <f>VLOOKUP(B298,$B$11:B297,1,FALSE)</f>
        <v>#N/A</v>
      </c>
      <c r="M298" s="256">
        <f>G298*(1-FORM!$AE$28/100)</f>
        <v>360.48838000000001</v>
      </c>
      <c r="AA298" s="463"/>
      <c r="AB298" s="462"/>
      <c r="AC298" s="462"/>
      <c r="AD298" s="464"/>
      <c r="AE298" s="465"/>
    </row>
    <row r="299" spans="1:31" ht="14.4">
      <c r="A299" s="137"/>
      <c r="B299" s="298">
        <v>9255131</v>
      </c>
      <c r="C299" s="216" t="s">
        <v>759</v>
      </c>
      <c r="D299" s="217">
        <v>10</v>
      </c>
      <c r="E299" s="391"/>
      <c r="F299" s="262"/>
      <c r="G299" s="272">
        <v>360.48838000000001</v>
      </c>
      <c r="H299" s="141" t="str">
        <f t="shared" si="27"/>
        <v>CZK</v>
      </c>
      <c r="I299" s="409" t="s">
        <v>47</v>
      </c>
      <c r="J299" s="625" t="s">
        <v>1450</v>
      </c>
      <c r="L299" s="86" t="e">
        <f>VLOOKUP(B299,$B$11:B298,1,FALSE)</f>
        <v>#N/A</v>
      </c>
      <c r="M299" s="256">
        <f>G299*(1-FORM!$AE$28/100)</f>
        <v>360.48838000000001</v>
      </c>
      <c r="AA299" s="463"/>
      <c r="AB299" s="462"/>
      <c r="AC299" s="462"/>
      <c r="AD299" s="464"/>
      <c r="AE299" s="465"/>
    </row>
    <row r="300" spans="1:31" ht="14.4">
      <c r="A300" s="137"/>
      <c r="B300" s="298">
        <v>9255132</v>
      </c>
      <c r="C300" s="216" t="s">
        <v>760</v>
      </c>
      <c r="D300" s="217">
        <v>10</v>
      </c>
      <c r="E300" s="391"/>
      <c r="F300" s="262"/>
      <c r="G300" s="272">
        <v>366.89069999999998</v>
      </c>
      <c r="H300" s="141" t="str">
        <f t="shared" si="27"/>
        <v>CZK</v>
      </c>
      <c r="I300" s="409" t="s">
        <v>47</v>
      </c>
      <c r="J300" s="625" t="s">
        <v>1451</v>
      </c>
      <c r="L300" s="86" t="e">
        <f>VLOOKUP(B300,$B$11:B299,1,FALSE)</f>
        <v>#N/A</v>
      </c>
      <c r="M300" s="256">
        <f>G300*(1-FORM!$AE$28/100)</f>
        <v>366.89069999999998</v>
      </c>
      <c r="AA300" s="463"/>
      <c r="AB300" s="462"/>
      <c r="AC300" s="462"/>
      <c r="AD300" s="464"/>
      <c r="AE300" s="465"/>
    </row>
    <row r="301" spans="1:31" ht="14.4">
      <c r="A301" s="137"/>
      <c r="B301" s="298">
        <v>9255133</v>
      </c>
      <c r="C301" s="216" t="s">
        <v>761</v>
      </c>
      <c r="D301" s="217">
        <v>10</v>
      </c>
      <c r="E301" s="391"/>
      <c r="F301" s="262"/>
      <c r="G301" s="272">
        <v>366.89069999999998</v>
      </c>
      <c r="H301" s="141" t="str">
        <f t="shared" si="27"/>
        <v>CZK</v>
      </c>
      <c r="I301" s="409" t="s">
        <v>47</v>
      </c>
      <c r="J301" s="625" t="s">
        <v>1452</v>
      </c>
      <c r="L301" s="86" t="e">
        <f>VLOOKUP(B301,$B$11:B300,1,FALSE)</f>
        <v>#N/A</v>
      </c>
      <c r="M301" s="256">
        <f>G301*(1-FORM!$AE$28/100)</f>
        <v>366.89069999999998</v>
      </c>
      <c r="AA301" s="463"/>
      <c r="AB301" s="462"/>
      <c r="AC301" s="462"/>
      <c r="AD301" s="464"/>
      <c r="AE301" s="465"/>
    </row>
    <row r="302" spans="1:31" ht="14.4">
      <c r="A302" s="137"/>
      <c r="B302" s="298">
        <v>9255134</v>
      </c>
      <c r="C302" s="216" t="s">
        <v>762</v>
      </c>
      <c r="D302" s="217">
        <v>10</v>
      </c>
      <c r="E302" s="391"/>
      <c r="F302" s="262"/>
      <c r="G302" s="272">
        <v>363.36250999999999</v>
      </c>
      <c r="H302" s="141" t="str">
        <f t="shared" si="27"/>
        <v>CZK</v>
      </c>
      <c r="I302" s="409" t="s">
        <v>47</v>
      </c>
      <c r="J302" s="625" t="s">
        <v>1453</v>
      </c>
      <c r="L302" s="86" t="e">
        <f>VLOOKUP(B302,$B$11:B301,1,FALSE)</f>
        <v>#N/A</v>
      </c>
      <c r="M302" s="256">
        <f>G302*(1-FORM!$AE$28/100)</f>
        <v>363.36250999999999</v>
      </c>
      <c r="AA302" s="463"/>
      <c r="AB302" s="462"/>
      <c r="AC302" s="462"/>
      <c r="AD302" s="464"/>
      <c r="AE302" s="465"/>
    </row>
    <row r="303" spans="1:31" ht="14.4">
      <c r="A303" s="137"/>
      <c r="B303" s="298">
        <v>9255135</v>
      </c>
      <c r="C303" s="216" t="s">
        <v>763</v>
      </c>
      <c r="D303" s="217">
        <v>10</v>
      </c>
      <c r="E303" s="391"/>
      <c r="F303" s="262"/>
      <c r="G303" s="272">
        <v>363.36250999999999</v>
      </c>
      <c r="H303" s="141" t="str">
        <f t="shared" si="27"/>
        <v>CZK</v>
      </c>
      <c r="I303" s="409" t="s">
        <v>47</v>
      </c>
      <c r="J303" s="625" t="s">
        <v>1454</v>
      </c>
      <c r="L303" s="86" t="e">
        <f>VLOOKUP(B303,$B$11:B302,1,FALSE)</f>
        <v>#N/A</v>
      </c>
      <c r="M303" s="256">
        <f>G303*(1-FORM!$AE$28/100)</f>
        <v>363.36250999999999</v>
      </c>
      <c r="AA303" s="463"/>
      <c r="AB303" s="462"/>
      <c r="AC303" s="462"/>
      <c r="AD303" s="464"/>
      <c r="AE303" s="465"/>
    </row>
    <row r="304" spans="1:31" ht="14.4">
      <c r="A304" s="137"/>
      <c r="B304" s="298">
        <v>9255136</v>
      </c>
      <c r="C304" s="216" t="s">
        <v>764</v>
      </c>
      <c r="D304" s="217">
        <v>10</v>
      </c>
      <c r="E304" s="391"/>
      <c r="F304" s="262"/>
      <c r="G304" s="272">
        <v>379.68511999999998</v>
      </c>
      <c r="H304" s="141" t="str">
        <f t="shared" ref="H304:H310" si="28">IF(G304="","",$H$10)</f>
        <v>CZK</v>
      </c>
      <c r="I304" s="409" t="s">
        <v>47</v>
      </c>
      <c r="J304" s="625" t="s">
        <v>1455</v>
      </c>
      <c r="L304" s="86" t="e">
        <f>VLOOKUP(B304,$B$11:B303,1,FALSE)</f>
        <v>#N/A</v>
      </c>
      <c r="M304" s="256">
        <f>G304*(1-FORM!$AE$28/100)</f>
        <v>379.68511999999998</v>
      </c>
      <c r="AA304" s="463"/>
      <c r="AB304" s="462"/>
      <c r="AC304" s="462"/>
      <c r="AD304" s="464"/>
      <c r="AE304" s="465"/>
    </row>
    <row r="305" spans="1:31" ht="14.4">
      <c r="A305" s="137"/>
      <c r="B305" s="298">
        <v>9255137</v>
      </c>
      <c r="C305" s="216" t="s">
        <v>765</v>
      </c>
      <c r="D305" s="217">
        <v>10</v>
      </c>
      <c r="E305" s="391"/>
      <c r="F305" s="262"/>
      <c r="G305" s="272">
        <v>379.68511999999998</v>
      </c>
      <c r="H305" s="141" t="str">
        <f t="shared" si="28"/>
        <v>CZK</v>
      </c>
      <c r="I305" s="409" t="s">
        <v>47</v>
      </c>
      <c r="J305" s="625" t="s">
        <v>1456</v>
      </c>
      <c r="L305" s="86" t="e">
        <f>VLOOKUP(B305,$B$11:B304,1,FALSE)</f>
        <v>#N/A</v>
      </c>
      <c r="M305" s="256">
        <f>G305*(1-FORM!$AE$28/100)</f>
        <v>379.68511999999998</v>
      </c>
      <c r="AA305" s="463"/>
      <c r="AB305" s="462"/>
      <c r="AC305" s="462"/>
      <c r="AD305" s="464"/>
      <c r="AE305" s="465"/>
    </row>
    <row r="306" spans="1:31" ht="14.4">
      <c r="A306" s="137"/>
      <c r="B306" s="298">
        <v>9255138</v>
      </c>
      <c r="C306" s="216" t="s">
        <v>766</v>
      </c>
      <c r="D306" s="217">
        <v>10</v>
      </c>
      <c r="E306" s="391"/>
      <c r="F306" s="262"/>
      <c r="G306" s="272">
        <v>389.34050000000002</v>
      </c>
      <c r="H306" s="141" t="str">
        <f t="shared" si="28"/>
        <v>CZK</v>
      </c>
      <c r="I306" s="409" t="s">
        <v>47</v>
      </c>
      <c r="J306" s="625" t="s">
        <v>1457</v>
      </c>
      <c r="L306" s="86" t="e">
        <f>VLOOKUP(B306,$B$11:B305,1,FALSE)</f>
        <v>#N/A</v>
      </c>
      <c r="M306" s="256">
        <f>G306*(1-FORM!$AE$28/100)</f>
        <v>389.34050000000002</v>
      </c>
      <c r="AA306" s="463"/>
      <c r="AB306" s="462"/>
      <c r="AC306" s="462"/>
      <c r="AD306" s="464"/>
      <c r="AE306" s="465"/>
    </row>
    <row r="307" spans="1:31" ht="14.4">
      <c r="A307" s="137"/>
      <c r="B307" s="298">
        <v>9255139</v>
      </c>
      <c r="C307" s="216" t="s">
        <v>767</v>
      </c>
      <c r="D307" s="217">
        <v>10</v>
      </c>
      <c r="E307" s="391"/>
      <c r="F307" s="262"/>
      <c r="G307" s="272">
        <v>389.34050000000002</v>
      </c>
      <c r="H307" s="141" t="str">
        <f t="shared" si="28"/>
        <v>CZK</v>
      </c>
      <c r="I307" s="409" t="s">
        <v>47</v>
      </c>
      <c r="J307" s="625" t="s">
        <v>1458</v>
      </c>
      <c r="L307" s="86" t="e">
        <f>VLOOKUP(B307,$B$11:B306,1,FALSE)</f>
        <v>#N/A</v>
      </c>
      <c r="M307" s="256">
        <f>G307*(1-FORM!$AE$28/100)</f>
        <v>389.34050000000002</v>
      </c>
      <c r="AA307" s="463"/>
      <c r="AB307" s="462"/>
      <c r="AC307" s="462"/>
      <c r="AD307" s="464"/>
      <c r="AE307" s="465"/>
    </row>
    <row r="308" spans="1:31" ht="14.4">
      <c r="A308" s="137"/>
      <c r="B308" s="298">
        <v>9255140</v>
      </c>
      <c r="C308" s="216" t="s">
        <v>768</v>
      </c>
      <c r="D308" s="217">
        <v>10</v>
      </c>
      <c r="E308" s="391"/>
      <c r="F308" s="262"/>
      <c r="G308" s="272">
        <v>402.46422999999999</v>
      </c>
      <c r="H308" s="141" t="str">
        <f t="shared" si="28"/>
        <v>CZK</v>
      </c>
      <c r="I308" s="409" t="s">
        <v>47</v>
      </c>
      <c r="J308" s="625" t="s">
        <v>1459</v>
      </c>
      <c r="L308" s="86" t="e">
        <f>VLOOKUP(B308,$B$11:B307,1,FALSE)</f>
        <v>#N/A</v>
      </c>
      <c r="M308" s="256">
        <f>G308*(1-FORM!$AE$28/100)</f>
        <v>402.46422999999999</v>
      </c>
      <c r="AA308" s="463"/>
      <c r="AB308" s="462"/>
      <c r="AC308" s="462"/>
      <c r="AD308" s="464"/>
      <c r="AE308" s="465"/>
    </row>
    <row r="309" spans="1:31" ht="14.4">
      <c r="A309" s="137"/>
      <c r="B309" s="303">
        <v>9255141</v>
      </c>
      <c r="C309" s="304" t="s">
        <v>769</v>
      </c>
      <c r="D309" s="226">
        <v>10</v>
      </c>
      <c r="E309" s="396"/>
      <c r="F309" s="268"/>
      <c r="G309" s="272">
        <v>402.46422999999999</v>
      </c>
      <c r="H309" s="142" t="str">
        <f t="shared" si="28"/>
        <v>CZK</v>
      </c>
      <c r="I309" s="417" t="s">
        <v>47</v>
      </c>
      <c r="J309" s="626" t="s">
        <v>1460</v>
      </c>
      <c r="L309" s="86" t="e">
        <f>VLOOKUP(B309,$B$11:B308,1,FALSE)</f>
        <v>#N/A</v>
      </c>
      <c r="M309" s="256">
        <f>G309*(1-FORM!$AE$28/100)</f>
        <v>402.46422999999999</v>
      </c>
      <c r="AA309" s="463"/>
      <c r="AB309" s="462"/>
      <c r="AC309" s="462"/>
      <c r="AD309" s="464"/>
      <c r="AE309" s="465"/>
    </row>
    <row r="310" spans="1:31" ht="14.4">
      <c r="A310" s="139"/>
      <c r="B310" s="301">
        <v>9255204</v>
      </c>
      <c r="C310" s="222" t="s">
        <v>770</v>
      </c>
      <c r="D310" s="223">
        <v>10</v>
      </c>
      <c r="E310" s="395"/>
      <c r="F310" s="266"/>
      <c r="G310" s="272">
        <v>343.85318000000001</v>
      </c>
      <c r="H310" s="211" t="str">
        <f t="shared" si="28"/>
        <v>CZK</v>
      </c>
      <c r="I310" s="416" t="s">
        <v>47</v>
      </c>
      <c r="J310" s="627" t="s">
        <v>1517</v>
      </c>
      <c r="L310" s="86" t="e">
        <f>VLOOKUP(B310,$B$11:B309,1,FALSE)</f>
        <v>#N/A</v>
      </c>
      <c r="M310" s="256">
        <f>G310*(1-FORM!$AE$28/100)</f>
        <v>343.85318000000001</v>
      </c>
      <c r="AA310" s="463"/>
      <c r="AB310" s="462"/>
      <c r="AC310" s="462"/>
      <c r="AD310" s="464"/>
      <c r="AE310" s="465"/>
    </row>
    <row r="311" spans="1:31" ht="14.4">
      <c r="A311" s="139"/>
      <c r="B311" s="298">
        <v>9255205</v>
      </c>
      <c r="C311" s="216" t="s">
        <v>771</v>
      </c>
      <c r="D311" s="217">
        <v>10</v>
      </c>
      <c r="E311" s="391"/>
      <c r="F311" s="262"/>
      <c r="G311" s="272">
        <v>343.85318000000001</v>
      </c>
      <c r="H311" s="141" t="str">
        <f t="shared" ref="H311:H316" si="29">IF(G311="","",$H$10)</f>
        <v>CZK</v>
      </c>
      <c r="I311" s="409" t="s">
        <v>47</v>
      </c>
      <c r="J311" s="625" t="s">
        <v>1518</v>
      </c>
      <c r="L311" s="86" t="e">
        <f>VLOOKUP(B311,$B$11:B310,1,FALSE)</f>
        <v>#N/A</v>
      </c>
      <c r="M311" s="256">
        <f>G311*(1-FORM!$AE$28/100)</f>
        <v>343.85318000000001</v>
      </c>
      <c r="AA311" s="463"/>
      <c r="AB311" s="462"/>
      <c r="AC311" s="462"/>
      <c r="AD311" s="464"/>
      <c r="AE311" s="465"/>
    </row>
    <row r="312" spans="1:31" ht="14.4">
      <c r="A312" s="139"/>
      <c r="B312" s="298">
        <v>9255206</v>
      </c>
      <c r="C312" s="216" t="s">
        <v>772</v>
      </c>
      <c r="D312" s="217">
        <v>10</v>
      </c>
      <c r="E312" s="391"/>
      <c r="F312" s="262"/>
      <c r="G312" s="272">
        <v>347.69150999999999</v>
      </c>
      <c r="H312" s="141" t="str">
        <f t="shared" si="29"/>
        <v>CZK</v>
      </c>
      <c r="I312" s="409" t="s">
        <v>47</v>
      </c>
      <c r="J312" s="625" t="s">
        <v>1519</v>
      </c>
      <c r="L312" s="86" t="e">
        <f>VLOOKUP(B312,$B$11:B311,1,FALSE)</f>
        <v>#N/A</v>
      </c>
      <c r="M312" s="256">
        <f>G312*(1-FORM!$AE$28/100)</f>
        <v>347.69150999999999</v>
      </c>
      <c r="AA312" s="463"/>
      <c r="AB312" s="462"/>
      <c r="AC312" s="462"/>
      <c r="AD312" s="464"/>
      <c r="AE312" s="465"/>
    </row>
    <row r="313" spans="1:31" ht="14.4">
      <c r="A313" s="139"/>
      <c r="B313" s="298">
        <v>9255207</v>
      </c>
      <c r="C313" s="216" t="s">
        <v>773</v>
      </c>
      <c r="D313" s="217">
        <v>10</v>
      </c>
      <c r="E313" s="391"/>
      <c r="F313" s="262"/>
      <c r="G313" s="272">
        <v>347.69150999999999</v>
      </c>
      <c r="H313" s="141" t="str">
        <f t="shared" si="29"/>
        <v>CZK</v>
      </c>
      <c r="I313" s="409" t="s">
        <v>47</v>
      </c>
      <c r="J313" s="625" t="s">
        <v>1520</v>
      </c>
      <c r="L313" s="86" t="e">
        <f>VLOOKUP(B313,$B$11:B312,1,FALSE)</f>
        <v>#N/A</v>
      </c>
      <c r="M313" s="256">
        <f>G313*(1-FORM!$AE$28/100)</f>
        <v>347.69150999999999</v>
      </c>
      <c r="AA313" s="463"/>
      <c r="AB313" s="462"/>
      <c r="AC313" s="462"/>
      <c r="AD313" s="464"/>
      <c r="AE313" s="465"/>
    </row>
    <row r="314" spans="1:31" ht="14.4">
      <c r="A314" s="139"/>
      <c r="B314" s="298">
        <v>9255208</v>
      </c>
      <c r="C314" s="216" t="s">
        <v>774</v>
      </c>
      <c r="D314" s="217">
        <v>10</v>
      </c>
      <c r="E314" s="391"/>
      <c r="F314" s="262"/>
      <c r="G314" s="272">
        <v>354.09370999999999</v>
      </c>
      <c r="H314" s="141" t="str">
        <f t="shared" si="29"/>
        <v>CZK</v>
      </c>
      <c r="I314" s="409" t="s">
        <v>47</v>
      </c>
      <c r="J314" s="625" t="s">
        <v>1521</v>
      </c>
      <c r="L314" s="86" t="e">
        <f>VLOOKUP(B314,$B$11:B313,1,FALSE)</f>
        <v>#N/A</v>
      </c>
      <c r="M314" s="256">
        <f>G314*(1-FORM!$AE$28/100)</f>
        <v>354.09370999999999</v>
      </c>
      <c r="AA314" s="463"/>
      <c r="AB314" s="462"/>
      <c r="AC314" s="462"/>
      <c r="AD314" s="464"/>
      <c r="AE314" s="465"/>
    </row>
    <row r="315" spans="1:31" ht="14.4">
      <c r="A315" s="139"/>
      <c r="B315" s="298">
        <v>9255209</v>
      </c>
      <c r="C315" s="216" t="s">
        <v>775</v>
      </c>
      <c r="D315" s="217">
        <v>10</v>
      </c>
      <c r="E315" s="391"/>
      <c r="F315" s="262"/>
      <c r="G315" s="272">
        <v>354.09370999999999</v>
      </c>
      <c r="H315" s="141" t="str">
        <f t="shared" si="29"/>
        <v>CZK</v>
      </c>
      <c r="I315" s="409" t="s">
        <v>47</v>
      </c>
      <c r="J315" s="625" t="s">
        <v>1522</v>
      </c>
      <c r="L315" s="86" t="e">
        <f>VLOOKUP(B315,$B$11:B314,1,FALSE)</f>
        <v>#N/A</v>
      </c>
      <c r="M315" s="256">
        <f>G315*(1-FORM!$AE$28/100)</f>
        <v>354.09370999999999</v>
      </c>
      <c r="AA315" s="463"/>
      <c r="AB315" s="462"/>
      <c r="AC315" s="462"/>
      <c r="AD315" s="464"/>
      <c r="AE315" s="465"/>
    </row>
    <row r="316" spans="1:31" ht="14.4">
      <c r="A316" s="139"/>
      <c r="B316" s="298">
        <v>9255210</v>
      </c>
      <c r="C316" s="216" t="s">
        <v>776</v>
      </c>
      <c r="D316" s="217">
        <v>10</v>
      </c>
      <c r="E316" s="391"/>
      <c r="F316" s="262"/>
      <c r="G316" s="272">
        <v>360.48838000000001</v>
      </c>
      <c r="H316" s="141" t="str">
        <f t="shared" si="29"/>
        <v>CZK</v>
      </c>
      <c r="I316" s="409" t="s">
        <v>47</v>
      </c>
      <c r="J316" s="625" t="s">
        <v>1523</v>
      </c>
      <c r="L316" s="86" t="e">
        <f>VLOOKUP(B316,$B$11:B315,1,FALSE)</f>
        <v>#N/A</v>
      </c>
      <c r="M316" s="256">
        <f>G316*(1-FORM!$AE$28/100)</f>
        <v>360.48838000000001</v>
      </c>
      <c r="AA316" s="463"/>
      <c r="AB316" s="462"/>
      <c r="AC316" s="462"/>
      <c r="AD316" s="464"/>
      <c r="AE316" s="465"/>
    </row>
    <row r="317" spans="1:31" ht="14.4">
      <c r="A317" s="139"/>
      <c r="B317" s="298">
        <v>9255211</v>
      </c>
      <c r="C317" s="216" t="s">
        <v>777</v>
      </c>
      <c r="D317" s="217">
        <v>10</v>
      </c>
      <c r="E317" s="391"/>
      <c r="F317" s="262"/>
      <c r="G317" s="272">
        <v>360.48838000000001</v>
      </c>
      <c r="H317" s="141" t="str">
        <f t="shared" ref="H317:H359" si="30">IF(G317="","",$H$10)</f>
        <v>CZK</v>
      </c>
      <c r="I317" s="409" t="s">
        <v>47</v>
      </c>
      <c r="J317" s="625" t="s">
        <v>1524</v>
      </c>
      <c r="L317" s="86" t="e">
        <f>VLOOKUP(B317,$B$11:B316,1,FALSE)</f>
        <v>#N/A</v>
      </c>
      <c r="M317" s="256">
        <f>G317*(1-FORM!$AE$28/100)</f>
        <v>360.48838000000001</v>
      </c>
      <c r="AA317" s="463"/>
      <c r="AB317" s="462"/>
      <c r="AC317" s="462"/>
      <c r="AD317" s="464"/>
      <c r="AE317" s="465"/>
    </row>
    <row r="318" spans="1:31" ht="14.4">
      <c r="A318" s="139"/>
      <c r="B318" s="298">
        <v>9255212</v>
      </c>
      <c r="C318" s="216" t="s">
        <v>778</v>
      </c>
      <c r="D318" s="217">
        <v>10</v>
      </c>
      <c r="E318" s="391"/>
      <c r="F318" s="262"/>
      <c r="G318" s="272">
        <v>357.13297</v>
      </c>
      <c r="H318" s="141" t="str">
        <f t="shared" si="30"/>
        <v>CZK</v>
      </c>
      <c r="I318" s="409" t="s">
        <v>47</v>
      </c>
      <c r="J318" s="625" t="s">
        <v>1525</v>
      </c>
      <c r="L318" s="86" t="e">
        <f>VLOOKUP(B318,$B$11:B317,1,FALSE)</f>
        <v>#N/A</v>
      </c>
      <c r="M318" s="256">
        <f>G318*(1-FORM!$AE$28/100)</f>
        <v>357.13297</v>
      </c>
      <c r="AA318" s="463"/>
      <c r="AB318" s="462"/>
      <c r="AC318" s="462"/>
      <c r="AD318" s="464"/>
      <c r="AE318" s="465"/>
    </row>
    <row r="319" spans="1:31" ht="14.4">
      <c r="A319" s="139"/>
      <c r="B319" s="298">
        <v>9255213</v>
      </c>
      <c r="C319" s="216" t="s">
        <v>779</v>
      </c>
      <c r="D319" s="217">
        <v>10</v>
      </c>
      <c r="E319" s="391"/>
      <c r="F319" s="262"/>
      <c r="G319" s="272">
        <v>357.13297</v>
      </c>
      <c r="H319" s="141" t="str">
        <f t="shared" si="30"/>
        <v>CZK</v>
      </c>
      <c r="I319" s="409" t="s">
        <v>47</v>
      </c>
      <c r="J319" s="625" t="s">
        <v>1526</v>
      </c>
      <c r="L319" s="86" t="e">
        <f>VLOOKUP(B319,$B$11:B318,1,FALSE)</f>
        <v>#N/A</v>
      </c>
      <c r="M319" s="256">
        <f>G319*(1-FORM!$AE$28/100)</f>
        <v>357.13297</v>
      </c>
      <c r="AA319" s="463"/>
      <c r="AB319" s="462"/>
      <c r="AC319" s="462"/>
      <c r="AD319" s="464"/>
      <c r="AE319" s="465"/>
    </row>
    <row r="320" spans="1:31" ht="14.4">
      <c r="A320" s="139"/>
      <c r="B320" s="298">
        <v>9255214</v>
      </c>
      <c r="C320" s="216" t="s">
        <v>780</v>
      </c>
      <c r="D320" s="217">
        <v>10</v>
      </c>
      <c r="E320" s="391"/>
      <c r="F320" s="262"/>
      <c r="G320" s="272">
        <v>363.36250999999999</v>
      </c>
      <c r="H320" s="141" t="str">
        <f t="shared" si="30"/>
        <v>CZK</v>
      </c>
      <c r="I320" s="409" t="s">
        <v>47</v>
      </c>
      <c r="J320" s="625" t="s">
        <v>1527</v>
      </c>
      <c r="L320" s="86" t="e">
        <f>VLOOKUP(B320,$B$11:B319,1,FALSE)</f>
        <v>#N/A</v>
      </c>
      <c r="M320" s="256">
        <f>G320*(1-FORM!$AE$28/100)</f>
        <v>363.36250999999999</v>
      </c>
      <c r="AA320" s="463"/>
      <c r="AB320" s="462"/>
      <c r="AC320" s="462"/>
      <c r="AD320" s="464"/>
      <c r="AE320" s="465"/>
    </row>
    <row r="321" spans="1:31" ht="14.4">
      <c r="A321" s="139"/>
      <c r="B321" s="298">
        <v>9255215</v>
      </c>
      <c r="C321" s="216" t="s">
        <v>781</v>
      </c>
      <c r="D321" s="217">
        <v>10</v>
      </c>
      <c r="E321" s="391"/>
      <c r="F321" s="262"/>
      <c r="G321" s="272">
        <v>363.36250999999999</v>
      </c>
      <c r="H321" s="141" t="str">
        <f t="shared" si="30"/>
        <v>CZK</v>
      </c>
      <c r="I321" s="409" t="s">
        <v>47</v>
      </c>
      <c r="J321" s="625" t="s">
        <v>1528</v>
      </c>
      <c r="L321" s="86" t="e">
        <f>VLOOKUP(B321,$B$11:B320,1,FALSE)</f>
        <v>#N/A</v>
      </c>
      <c r="M321" s="256">
        <f>G321*(1-FORM!$AE$28/100)</f>
        <v>363.36250999999999</v>
      </c>
      <c r="AA321" s="463"/>
      <c r="AB321" s="462"/>
      <c r="AC321" s="462"/>
      <c r="AD321" s="464"/>
      <c r="AE321" s="465"/>
    </row>
    <row r="322" spans="1:31" ht="14.4">
      <c r="A322" s="139"/>
      <c r="B322" s="298">
        <v>9255216</v>
      </c>
      <c r="C322" s="216" t="s">
        <v>782</v>
      </c>
      <c r="D322" s="217">
        <v>10</v>
      </c>
      <c r="E322" s="391"/>
      <c r="F322" s="262"/>
      <c r="G322" s="272">
        <v>379.68511999999998</v>
      </c>
      <c r="H322" s="141" t="str">
        <f t="shared" si="30"/>
        <v>CZK</v>
      </c>
      <c r="I322" s="409" t="s">
        <v>47</v>
      </c>
      <c r="J322" s="625" t="s">
        <v>1529</v>
      </c>
      <c r="L322" s="86" t="e">
        <f>VLOOKUP(B322,$B$11:B321,1,FALSE)</f>
        <v>#N/A</v>
      </c>
      <c r="M322" s="256">
        <f>G322*(1-FORM!$AE$28/100)</f>
        <v>379.68511999999998</v>
      </c>
      <c r="AA322" s="463"/>
      <c r="AB322" s="462"/>
      <c r="AC322" s="462"/>
      <c r="AD322" s="464"/>
      <c r="AE322" s="465"/>
    </row>
    <row r="323" spans="1:31" ht="14.4">
      <c r="A323" s="139"/>
      <c r="B323" s="298">
        <v>9255217</v>
      </c>
      <c r="C323" s="216" t="s">
        <v>783</v>
      </c>
      <c r="D323" s="217">
        <v>10</v>
      </c>
      <c r="E323" s="391"/>
      <c r="F323" s="262"/>
      <c r="G323" s="272">
        <v>379.68511999999998</v>
      </c>
      <c r="H323" s="141" t="str">
        <f t="shared" si="30"/>
        <v>CZK</v>
      </c>
      <c r="I323" s="409" t="s">
        <v>47</v>
      </c>
      <c r="J323" s="625" t="s">
        <v>1530</v>
      </c>
      <c r="L323" s="86" t="e">
        <f>VLOOKUP(B323,$B$11:B322,1,FALSE)</f>
        <v>#N/A</v>
      </c>
      <c r="M323" s="256">
        <f>G323*(1-FORM!$AE$28/100)</f>
        <v>379.68511999999998</v>
      </c>
      <c r="AA323" s="463"/>
      <c r="AB323" s="462"/>
      <c r="AC323" s="462"/>
      <c r="AD323" s="464"/>
      <c r="AE323" s="465"/>
    </row>
    <row r="324" spans="1:31" ht="14.4">
      <c r="A324" s="139"/>
      <c r="B324" s="298">
        <v>9255218</v>
      </c>
      <c r="C324" s="216" t="s">
        <v>784</v>
      </c>
      <c r="D324" s="217">
        <v>10</v>
      </c>
      <c r="E324" s="391"/>
      <c r="F324" s="262"/>
      <c r="G324" s="272">
        <v>389.34050000000002</v>
      </c>
      <c r="H324" s="141" t="str">
        <f t="shared" si="30"/>
        <v>CZK</v>
      </c>
      <c r="I324" s="409" t="s">
        <v>47</v>
      </c>
      <c r="J324" s="625" t="s">
        <v>1531</v>
      </c>
      <c r="L324" s="86" t="e">
        <f>VLOOKUP(B324,$B$11:B323,1,FALSE)</f>
        <v>#N/A</v>
      </c>
      <c r="M324" s="256">
        <f>G324*(1-FORM!$AE$28/100)</f>
        <v>389.34050000000002</v>
      </c>
      <c r="AA324" s="463"/>
      <c r="AB324" s="462"/>
      <c r="AC324" s="462"/>
      <c r="AD324" s="464"/>
      <c r="AE324" s="465"/>
    </row>
    <row r="325" spans="1:31" ht="14.4">
      <c r="A325" s="139"/>
      <c r="B325" s="298">
        <v>9255219</v>
      </c>
      <c r="C325" s="216" t="s">
        <v>785</v>
      </c>
      <c r="D325" s="217">
        <v>10</v>
      </c>
      <c r="E325" s="391"/>
      <c r="F325" s="262"/>
      <c r="G325" s="272">
        <v>389.34050000000002</v>
      </c>
      <c r="H325" s="141" t="str">
        <f t="shared" si="30"/>
        <v>CZK</v>
      </c>
      <c r="I325" s="409" t="s">
        <v>47</v>
      </c>
      <c r="J325" s="625" t="s">
        <v>1532</v>
      </c>
      <c r="L325" s="86" t="e">
        <f>VLOOKUP(B325,$B$11:B324,1,FALSE)</f>
        <v>#N/A</v>
      </c>
      <c r="M325" s="256">
        <f>G325*(1-FORM!$AE$28/100)</f>
        <v>389.34050000000002</v>
      </c>
      <c r="AA325" s="463"/>
      <c r="AB325" s="462"/>
      <c r="AC325" s="462"/>
      <c r="AD325" s="464"/>
      <c r="AE325" s="465"/>
    </row>
    <row r="326" spans="1:31" ht="14.4">
      <c r="A326" s="139"/>
      <c r="B326" s="298">
        <v>9255220</v>
      </c>
      <c r="C326" s="216" t="s">
        <v>786</v>
      </c>
      <c r="D326" s="217">
        <v>10</v>
      </c>
      <c r="E326" s="391"/>
      <c r="F326" s="262"/>
      <c r="G326" s="272">
        <v>402.46422999999999</v>
      </c>
      <c r="H326" s="141" t="str">
        <f t="shared" si="30"/>
        <v>CZK</v>
      </c>
      <c r="I326" s="409" t="s">
        <v>47</v>
      </c>
      <c r="J326" s="625" t="s">
        <v>1533</v>
      </c>
      <c r="L326" s="86" t="e">
        <f>VLOOKUP(B326,$B$11:B325,1,FALSE)</f>
        <v>#N/A</v>
      </c>
      <c r="M326" s="256">
        <f>G326*(1-FORM!$AE$28/100)</f>
        <v>402.46422999999999</v>
      </c>
      <c r="AA326" s="463"/>
      <c r="AB326" s="462"/>
      <c r="AC326" s="462"/>
      <c r="AD326" s="464"/>
      <c r="AE326" s="465"/>
    </row>
    <row r="327" spans="1:31" ht="14.4">
      <c r="A327" s="139"/>
      <c r="B327" s="303">
        <v>9255221</v>
      </c>
      <c r="C327" s="304" t="s">
        <v>787</v>
      </c>
      <c r="D327" s="226">
        <v>10</v>
      </c>
      <c r="E327" s="396"/>
      <c r="F327" s="268"/>
      <c r="G327" s="272">
        <v>402.46422999999999</v>
      </c>
      <c r="H327" s="142" t="str">
        <f t="shared" si="30"/>
        <v>CZK</v>
      </c>
      <c r="I327" s="417" t="s">
        <v>47</v>
      </c>
      <c r="J327" s="625" t="s">
        <v>1534</v>
      </c>
      <c r="L327" s="86" t="e">
        <f>VLOOKUP(B327,$B$11:B326,1,FALSE)</f>
        <v>#N/A</v>
      </c>
      <c r="M327" s="256">
        <f>G327*(1-FORM!$AE$28/100)</f>
        <v>402.46422999999999</v>
      </c>
      <c r="AA327" s="463"/>
      <c r="AB327" s="462"/>
      <c r="AC327" s="462"/>
      <c r="AD327" s="464"/>
      <c r="AE327" s="465"/>
    </row>
    <row r="328" spans="1:31" ht="14.4">
      <c r="B328" s="301">
        <v>9255838</v>
      </c>
      <c r="C328" s="222" t="s">
        <v>788</v>
      </c>
      <c r="D328" s="223">
        <v>200</v>
      </c>
      <c r="E328" s="395"/>
      <c r="F328" s="266"/>
      <c r="G328" s="272">
        <v>49.383429999999997</v>
      </c>
      <c r="H328" s="211" t="str">
        <f t="shared" si="30"/>
        <v>CZK</v>
      </c>
      <c r="I328" s="416" t="s">
        <v>47</v>
      </c>
      <c r="J328" s="625" t="s">
        <v>1589</v>
      </c>
      <c r="L328" s="86" t="e">
        <f>VLOOKUP(B328,$B$11:B327,1,FALSE)</f>
        <v>#N/A</v>
      </c>
      <c r="M328" s="256">
        <f>G328*(1-FORM!$AE$28/100)</f>
        <v>49.383429999999997</v>
      </c>
      <c r="AA328" s="463"/>
      <c r="AB328" s="462"/>
      <c r="AC328" s="462"/>
      <c r="AD328" s="464"/>
      <c r="AE328" s="465"/>
    </row>
    <row r="329" spans="1:31" ht="14.4">
      <c r="B329" s="303">
        <v>9255839</v>
      </c>
      <c r="C329" s="304" t="s">
        <v>789</v>
      </c>
      <c r="D329" s="226">
        <v>200</v>
      </c>
      <c r="E329" s="396"/>
      <c r="F329" s="268"/>
      <c r="G329" s="272">
        <v>49.991039999999998</v>
      </c>
      <c r="H329" s="142" t="str">
        <f t="shared" si="30"/>
        <v>CZK</v>
      </c>
      <c r="I329" s="417" t="s">
        <v>47</v>
      </c>
      <c r="J329" s="626" t="s">
        <v>1590</v>
      </c>
      <c r="L329" s="86" t="e">
        <f>VLOOKUP(B329,$B$11:B328,1,FALSE)</f>
        <v>#N/A</v>
      </c>
      <c r="M329" s="256">
        <f>G329*(1-FORM!$AE$28/100)</f>
        <v>49.991039999999998</v>
      </c>
      <c r="AA329" s="463"/>
      <c r="AB329" s="462"/>
      <c r="AC329" s="462"/>
      <c r="AD329" s="464"/>
      <c r="AE329" s="465"/>
    </row>
    <row r="330" spans="1:31" ht="14.4">
      <c r="B330" s="303"/>
      <c r="C330" s="304"/>
      <c r="D330" s="226"/>
      <c r="E330" s="396"/>
      <c r="F330" s="268"/>
      <c r="G330" s="272"/>
      <c r="H330" s="142"/>
      <c r="I330" s="417" t="s">
        <v>47</v>
      </c>
      <c r="J330" s="468"/>
      <c r="L330" s="86" t="e">
        <f>VLOOKUP(B330,$B$11:B329,1,FALSE)</f>
        <v>#N/A</v>
      </c>
      <c r="M330" s="256">
        <f>G330*(1-FORM!$AE$28/100)</f>
        <v>0</v>
      </c>
      <c r="AA330" s="463"/>
      <c r="AB330" s="462"/>
      <c r="AC330" s="462"/>
      <c r="AD330" s="464"/>
      <c r="AE330" s="465"/>
    </row>
    <row r="331" spans="1:31" ht="14.4">
      <c r="A331" s="130"/>
      <c r="B331" s="424">
        <v>9353372</v>
      </c>
      <c r="C331" s="222" t="s">
        <v>1258</v>
      </c>
      <c r="D331" s="223">
        <v>1</v>
      </c>
      <c r="E331" s="395"/>
      <c r="F331" s="266"/>
      <c r="G331" s="272">
        <v>1154.06167</v>
      </c>
      <c r="H331" s="211" t="str">
        <f t="shared" si="30"/>
        <v>CZK</v>
      </c>
      <c r="I331" s="416" t="s">
        <v>47</v>
      </c>
      <c r="J331" s="627" t="s">
        <v>1907</v>
      </c>
      <c r="L331" s="86" t="e">
        <f>VLOOKUP(B331,$B$11:B330,1,FALSE)</f>
        <v>#N/A</v>
      </c>
      <c r="M331" s="256">
        <f>G331*(1-FORM!$AE$28/100)</f>
        <v>1154.06167</v>
      </c>
      <c r="AA331" s="463"/>
      <c r="AB331" s="462"/>
      <c r="AC331" s="462"/>
      <c r="AD331" s="464"/>
      <c r="AE331" s="465"/>
    </row>
    <row r="332" spans="1:31" ht="14.4">
      <c r="A332" s="130"/>
      <c r="B332" s="425">
        <v>9353373</v>
      </c>
      <c r="C332" s="216" t="s">
        <v>1259</v>
      </c>
      <c r="D332" s="217">
        <v>1</v>
      </c>
      <c r="E332" s="391"/>
      <c r="F332" s="262"/>
      <c r="G332" s="272">
        <v>1172.4555</v>
      </c>
      <c r="H332" s="141" t="str">
        <f t="shared" si="30"/>
        <v>CZK</v>
      </c>
      <c r="I332" s="409" t="s">
        <v>47</v>
      </c>
      <c r="J332" s="625" t="s">
        <v>1908</v>
      </c>
      <c r="L332" s="86" t="e">
        <f>VLOOKUP(B332,$B$11:B331,1,FALSE)</f>
        <v>#N/A</v>
      </c>
      <c r="M332" s="256">
        <f>G332*(1-FORM!$AE$28/100)</f>
        <v>1172.4555</v>
      </c>
      <c r="AA332" s="463"/>
      <c r="AB332" s="462"/>
      <c r="AC332" s="462"/>
      <c r="AD332" s="464"/>
      <c r="AE332" s="465"/>
    </row>
    <row r="333" spans="1:31" ht="14.4">
      <c r="A333" s="130"/>
      <c r="B333" s="425">
        <v>9353374</v>
      </c>
      <c r="C333" s="216" t="s">
        <v>1260</v>
      </c>
      <c r="D333" s="217">
        <v>1</v>
      </c>
      <c r="E333" s="391"/>
      <c r="F333" s="262"/>
      <c r="G333" s="272">
        <v>1159.16713</v>
      </c>
      <c r="H333" s="141" t="str">
        <f t="shared" si="30"/>
        <v>CZK</v>
      </c>
      <c r="I333" s="409" t="s">
        <v>47</v>
      </c>
      <c r="J333" s="625" t="s">
        <v>1909</v>
      </c>
      <c r="L333" s="86" t="e">
        <f>VLOOKUP(B333,$B$11:B332,1,FALSE)</f>
        <v>#N/A</v>
      </c>
      <c r="M333" s="256">
        <f>G333*(1-FORM!$AE$28/100)</f>
        <v>1159.16713</v>
      </c>
      <c r="AA333" s="463"/>
      <c r="AB333" s="462"/>
      <c r="AC333" s="462"/>
      <c r="AD333" s="464"/>
      <c r="AE333" s="465"/>
    </row>
    <row r="334" spans="1:31" ht="14.4">
      <c r="A334" s="130"/>
      <c r="B334" s="425">
        <v>9353375</v>
      </c>
      <c r="C334" s="216" t="s">
        <v>1261</v>
      </c>
      <c r="D334" s="217">
        <v>1</v>
      </c>
      <c r="E334" s="391"/>
      <c r="F334" s="262"/>
      <c r="G334" s="272">
        <v>1177.06744</v>
      </c>
      <c r="H334" s="141" t="str">
        <f t="shared" si="30"/>
        <v>CZK</v>
      </c>
      <c r="I334" s="409" t="s">
        <v>47</v>
      </c>
      <c r="J334" s="625" t="s">
        <v>1910</v>
      </c>
      <c r="L334" s="86" t="e">
        <f>VLOOKUP(B334,$B$11:B333,1,FALSE)</f>
        <v>#N/A</v>
      </c>
      <c r="M334" s="256">
        <f>G334*(1-FORM!$AE$28/100)</f>
        <v>1177.06744</v>
      </c>
      <c r="AA334" s="463"/>
      <c r="AB334" s="462"/>
      <c r="AC334" s="462"/>
      <c r="AD334" s="464"/>
      <c r="AE334" s="465"/>
    </row>
    <row r="335" spans="1:31" ht="14.4">
      <c r="A335" s="130"/>
      <c r="B335" s="425">
        <v>9353376</v>
      </c>
      <c r="C335" s="216" t="s">
        <v>1262</v>
      </c>
      <c r="D335" s="217">
        <v>1</v>
      </c>
      <c r="E335" s="391"/>
      <c r="F335" s="262"/>
      <c r="G335" s="272">
        <v>1227.6127799999999</v>
      </c>
      <c r="H335" s="141" t="str">
        <f t="shared" si="30"/>
        <v>CZK</v>
      </c>
      <c r="I335" s="409" t="s">
        <v>47</v>
      </c>
      <c r="J335" s="625" t="s">
        <v>1911</v>
      </c>
      <c r="L335" s="86" t="e">
        <f>VLOOKUP(B335,$B$11:B334,1,FALSE)</f>
        <v>#N/A</v>
      </c>
      <c r="M335" s="256">
        <f>G335*(1-FORM!$AE$28/100)</f>
        <v>1227.6127799999999</v>
      </c>
      <c r="AA335" s="463"/>
      <c r="AB335" s="462"/>
      <c r="AC335" s="462"/>
      <c r="AD335" s="464"/>
      <c r="AE335" s="465"/>
    </row>
    <row r="336" spans="1:31" ht="14.4">
      <c r="A336" s="130"/>
      <c r="B336" s="425">
        <v>9353377</v>
      </c>
      <c r="C336" s="216" t="s">
        <v>1263</v>
      </c>
      <c r="D336" s="217">
        <v>1</v>
      </c>
      <c r="E336" s="391"/>
      <c r="F336" s="262"/>
      <c r="G336" s="272">
        <v>1255.0867800000001</v>
      </c>
      <c r="H336" s="141" t="str">
        <f t="shared" si="30"/>
        <v>CZK</v>
      </c>
      <c r="I336" s="409" t="s">
        <v>47</v>
      </c>
      <c r="J336" s="625" t="s">
        <v>1912</v>
      </c>
      <c r="L336" s="86" t="e">
        <f>VLOOKUP(B336,$B$11:B335,1,FALSE)</f>
        <v>#N/A</v>
      </c>
      <c r="M336" s="256">
        <f>G336*(1-FORM!$AE$28/100)</f>
        <v>1255.0867800000001</v>
      </c>
      <c r="AA336" s="463"/>
      <c r="AB336" s="462"/>
      <c r="AC336" s="462"/>
      <c r="AD336" s="464"/>
      <c r="AE336" s="465"/>
    </row>
    <row r="337" spans="1:31" ht="14.4">
      <c r="A337" s="130"/>
      <c r="B337" s="426">
        <v>9353378</v>
      </c>
      <c r="C337" s="304" t="s">
        <v>1264</v>
      </c>
      <c r="D337" s="226">
        <v>1</v>
      </c>
      <c r="E337" s="396"/>
      <c r="F337" s="268"/>
      <c r="G337" s="272">
        <v>1293.44064</v>
      </c>
      <c r="H337" s="142" t="str">
        <f t="shared" si="30"/>
        <v>CZK</v>
      </c>
      <c r="I337" s="417" t="s">
        <v>47</v>
      </c>
      <c r="J337" s="626" t="s">
        <v>1913</v>
      </c>
      <c r="L337" s="86" t="e">
        <f>VLOOKUP(B337,$B$11:B336,1,FALSE)</f>
        <v>#N/A</v>
      </c>
      <c r="M337" s="256">
        <f>G337*(1-FORM!$AE$28/100)</f>
        <v>1293.44064</v>
      </c>
      <c r="AA337" s="463"/>
      <c r="AB337" s="462"/>
      <c r="AC337" s="462"/>
      <c r="AD337" s="464"/>
      <c r="AE337" s="465"/>
    </row>
    <row r="338" spans="1:31" ht="14.4">
      <c r="A338" s="137"/>
      <c r="B338" s="424">
        <v>9353410</v>
      </c>
      <c r="C338" s="222" t="s">
        <v>1265</v>
      </c>
      <c r="D338" s="223">
        <v>1</v>
      </c>
      <c r="E338" s="395"/>
      <c r="F338" s="266"/>
      <c r="G338" s="272">
        <v>1154.06167</v>
      </c>
      <c r="H338" s="211" t="str">
        <f t="shared" si="30"/>
        <v>CZK</v>
      </c>
      <c r="I338" s="416" t="s">
        <v>47</v>
      </c>
      <c r="J338" s="627" t="s">
        <v>1944</v>
      </c>
      <c r="L338" s="86" t="e">
        <f>VLOOKUP(B338,$B$11:B337,1,FALSE)</f>
        <v>#N/A</v>
      </c>
      <c r="M338" s="256">
        <f>G338*(1-FORM!$AE$28/100)</f>
        <v>1154.06167</v>
      </c>
      <c r="AA338" s="463"/>
      <c r="AB338" s="462"/>
      <c r="AC338" s="462"/>
      <c r="AD338" s="464"/>
      <c r="AE338" s="465"/>
    </row>
    <row r="339" spans="1:31" ht="14.4">
      <c r="A339" s="137"/>
      <c r="B339" s="425">
        <v>9353411</v>
      </c>
      <c r="C339" s="216" t="s">
        <v>1266</v>
      </c>
      <c r="D339" s="217">
        <v>1</v>
      </c>
      <c r="E339" s="391"/>
      <c r="F339" s="262"/>
      <c r="G339" s="272">
        <v>1172.4555</v>
      </c>
      <c r="H339" s="141" t="str">
        <f t="shared" si="30"/>
        <v>CZK</v>
      </c>
      <c r="I339" s="409" t="s">
        <v>47</v>
      </c>
      <c r="J339" s="625" t="s">
        <v>1945</v>
      </c>
      <c r="L339" s="86" t="e">
        <f>VLOOKUP(B339,$B$11:B338,1,FALSE)</f>
        <v>#N/A</v>
      </c>
      <c r="M339" s="256">
        <f>G339*(1-FORM!$AE$28/100)</f>
        <v>1172.4555</v>
      </c>
      <c r="AA339" s="463"/>
      <c r="AB339" s="462"/>
      <c r="AC339" s="462"/>
      <c r="AD339" s="464"/>
      <c r="AE339" s="465"/>
    </row>
    <row r="340" spans="1:31" ht="14.4">
      <c r="A340" s="137"/>
      <c r="B340" s="425">
        <v>9353412</v>
      </c>
      <c r="C340" s="216" t="s">
        <v>1267</v>
      </c>
      <c r="D340" s="217">
        <v>1</v>
      </c>
      <c r="E340" s="391"/>
      <c r="F340" s="262"/>
      <c r="G340" s="272">
        <v>1159.16713</v>
      </c>
      <c r="H340" s="141" t="str">
        <f t="shared" si="30"/>
        <v>CZK</v>
      </c>
      <c r="I340" s="409" t="s">
        <v>47</v>
      </c>
      <c r="J340" s="625" t="s">
        <v>1946</v>
      </c>
      <c r="L340" s="86" t="e">
        <f>VLOOKUP(B340,$B$11:B339,1,FALSE)</f>
        <v>#N/A</v>
      </c>
      <c r="M340" s="256">
        <f>G340*(1-FORM!$AE$28/100)</f>
        <v>1159.16713</v>
      </c>
      <c r="AA340" s="463"/>
      <c r="AB340" s="462"/>
      <c r="AC340" s="462"/>
      <c r="AD340" s="464"/>
      <c r="AE340" s="465"/>
    </row>
    <row r="341" spans="1:31" ht="14.4">
      <c r="A341" s="137"/>
      <c r="B341" s="425">
        <v>9353413</v>
      </c>
      <c r="C341" s="216" t="s">
        <v>1268</v>
      </c>
      <c r="D341" s="217">
        <v>1</v>
      </c>
      <c r="E341" s="391"/>
      <c r="F341" s="262"/>
      <c r="G341" s="272">
        <v>1177.06744</v>
      </c>
      <c r="H341" s="141" t="str">
        <f t="shared" si="30"/>
        <v>CZK</v>
      </c>
      <c r="I341" s="409" t="s">
        <v>47</v>
      </c>
      <c r="J341" s="625" t="s">
        <v>1947</v>
      </c>
      <c r="L341" s="86" t="e">
        <f>VLOOKUP(B341,$B$11:B340,1,FALSE)</f>
        <v>#N/A</v>
      </c>
      <c r="M341" s="256">
        <f>G341*(1-FORM!$AE$28/100)</f>
        <v>1177.06744</v>
      </c>
      <c r="AA341" s="463"/>
      <c r="AB341" s="462"/>
      <c r="AC341" s="462"/>
      <c r="AD341" s="464"/>
      <c r="AE341" s="465"/>
    </row>
    <row r="342" spans="1:31" ht="14.4">
      <c r="A342" s="137"/>
      <c r="B342" s="425">
        <v>9353414</v>
      </c>
      <c r="C342" s="216" t="s">
        <v>1269</v>
      </c>
      <c r="D342" s="217">
        <v>1</v>
      </c>
      <c r="E342" s="391"/>
      <c r="F342" s="262"/>
      <c r="G342" s="272">
        <v>1227.6127799999999</v>
      </c>
      <c r="H342" s="141" t="str">
        <f t="shared" si="30"/>
        <v>CZK</v>
      </c>
      <c r="I342" s="409" t="s">
        <v>47</v>
      </c>
      <c r="J342" s="625" t="s">
        <v>1948</v>
      </c>
      <c r="L342" s="86" t="e">
        <f>VLOOKUP(B342,$B$11:B341,1,FALSE)</f>
        <v>#N/A</v>
      </c>
      <c r="M342" s="256">
        <f>G342*(1-FORM!$AE$28/100)</f>
        <v>1227.6127799999999</v>
      </c>
      <c r="AA342" s="463"/>
      <c r="AB342" s="462"/>
      <c r="AC342" s="462"/>
      <c r="AD342" s="464"/>
      <c r="AE342" s="465"/>
    </row>
    <row r="343" spans="1:31" ht="14.4">
      <c r="A343" s="137"/>
      <c r="B343" s="425">
        <v>9353415</v>
      </c>
      <c r="C343" s="216" t="s">
        <v>1270</v>
      </c>
      <c r="D343" s="217">
        <v>1</v>
      </c>
      <c r="E343" s="391"/>
      <c r="F343" s="262"/>
      <c r="G343" s="272">
        <v>1255.0867800000001</v>
      </c>
      <c r="H343" s="141" t="str">
        <f t="shared" si="30"/>
        <v>CZK</v>
      </c>
      <c r="I343" s="409" t="s">
        <v>47</v>
      </c>
      <c r="J343" s="625" t="s">
        <v>1949</v>
      </c>
      <c r="L343" s="86" t="e">
        <f>VLOOKUP(B343,$B$11:B342,1,FALSE)</f>
        <v>#N/A</v>
      </c>
      <c r="M343" s="256">
        <f>G343*(1-FORM!$AE$28/100)</f>
        <v>1255.0867800000001</v>
      </c>
      <c r="AA343" s="463"/>
      <c r="AB343" s="462"/>
      <c r="AC343" s="462"/>
      <c r="AD343" s="464"/>
      <c r="AE343" s="465"/>
    </row>
    <row r="344" spans="1:31" ht="14.4">
      <c r="A344" s="137"/>
      <c r="B344" s="426">
        <v>9353416</v>
      </c>
      <c r="C344" s="304" t="s">
        <v>1271</v>
      </c>
      <c r="D344" s="226">
        <v>1</v>
      </c>
      <c r="E344" s="396"/>
      <c r="F344" s="268"/>
      <c r="G344" s="272">
        <v>1293.44064</v>
      </c>
      <c r="H344" s="142" t="str">
        <f t="shared" si="30"/>
        <v>CZK</v>
      </c>
      <c r="I344" s="417" t="s">
        <v>47</v>
      </c>
      <c r="J344" s="626" t="s">
        <v>1950</v>
      </c>
      <c r="L344" s="86" t="e">
        <f>VLOOKUP(B344,$B$11:B343,1,FALSE)</f>
        <v>#N/A</v>
      </c>
      <c r="M344" s="256">
        <f>G344*(1-FORM!$AE$28/100)</f>
        <v>1293.44064</v>
      </c>
      <c r="AA344" s="463"/>
      <c r="AB344" s="462"/>
      <c r="AC344" s="462"/>
      <c r="AD344" s="464"/>
      <c r="AE344" s="465"/>
    </row>
    <row r="345" spans="1:31" ht="14.4">
      <c r="A345" s="139"/>
      <c r="B345" s="424">
        <v>9353448</v>
      </c>
      <c r="C345" s="222" t="s">
        <v>1272</v>
      </c>
      <c r="D345" s="223">
        <v>1</v>
      </c>
      <c r="E345" s="395"/>
      <c r="F345" s="266"/>
      <c r="G345" s="272">
        <v>1154.06167</v>
      </c>
      <c r="H345" s="211" t="str">
        <f t="shared" si="30"/>
        <v>CZK</v>
      </c>
      <c r="I345" s="416" t="s">
        <v>47</v>
      </c>
      <c r="J345" s="627" t="s">
        <v>1982</v>
      </c>
      <c r="L345" s="86" t="e">
        <f>VLOOKUP(B345,$B$11:B344,1,FALSE)</f>
        <v>#N/A</v>
      </c>
      <c r="M345" s="256">
        <f>G345*(1-FORM!$AE$28/100)</f>
        <v>1154.06167</v>
      </c>
      <c r="AA345" s="463"/>
      <c r="AB345" s="462"/>
      <c r="AC345" s="462"/>
      <c r="AD345" s="464"/>
      <c r="AE345" s="465"/>
    </row>
    <row r="346" spans="1:31" ht="14.4">
      <c r="A346" s="139"/>
      <c r="B346" s="425">
        <v>9353449</v>
      </c>
      <c r="C346" s="216" t="s">
        <v>1273</v>
      </c>
      <c r="D346" s="217">
        <v>1</v>
      </c>
      <c r="E346" s="391"/>
      <c r="F346" s="262"/>
      <c r="G346" s="272">
        <v>1172.4555</v>
      </c>
      <c r="H346" s="141" t="str">
        <f t="shared" si="30"/>
        <v>CZK</v>
      </c>
      <c r="I346" s="409" t="s">
        <v>47</v>
      </c>
      <c r="J346" s="625" t="s">
        <v>1983</v>
      </c>
      <c r="L346" s="86" t="e">
        <f>VLOOKUP(B346,$B$11:B345,1,FALSE)</f>
        <v>#N/A</v>
      </c>
      <c r="M346" s="256">
        <f>G346*(1-FORM!$AE$28/100)</f>
        <v>1172.4555</v>
      </c>
      <c r="AA346" s="463"/>
      <c r="AB346" s="462"/>
      <c r="AC346" s="462"/>
      <c r="AD346" s="464"/>
      <c r="AE346" s="465"/>
    </row>
    <row r="347" spans="1:31" ht="14.4">
      <c r="A347" s="139"/>
      <c r="B347" s="425">
        <v>9353450</v>
      </c>
      <c r="C347" s="216" t="s">
        <v>1274</v>
      </c>
      <c r="D347" s="217">
        <v>1</v>
      </c>
      <c r="E347" s="391"/>
      <c r="F347" s="262"/>
      <c r="G347" s="272">
        <v>1159.16713</v>
      </c>
      <c r="H347" s="141" t="str">
        <f t="shared" si="30"/>
        <v>CZK</v>
      </c>
      <c r="I347" s="409" t="s">
        <v>47</v>
      </c>
      <c r="J347" s="625" t="s">
        <v>1984</v>
      </c>
      <c r="L347" s="86" t="e">
        <f>VLOOKUP(B347,$B$11:B346,1,FALSE)</f>
        <v>#N/A</v>
      </c>
      <c r="M347" s="256">
        <f>G347*(1-FORM!$AE$28/100)</f>
        <v>1159.16713</v>
      </c>
      <c r="AA347" s="463"/>
      <c r="AB347" s="462"/>
      <c r="AC347" s="462"/>
      <c r="AD347" s="464"/>
      <c r="AE347" s="465"/>
    </row>
    <row r="348" spans="1:31" ht="14.4">
      <c r="A348" s="139"/>
      <c r="B348" s="425">
        <v>9353451</v>
      </c>
      <c r="C348" s="216" t="s">
        <v>1275</v>
      </c>
      <c r="D348" s="217">
        <v>1</v>
      </c>
      <c r="E348" s="391"/>
      <c r="F348" s="262"/>
      <c r="G348" s="272">
        <v>1177.06744</v>
      </c>
      <c r="H348" s="141" t="str">
        <f t="shared" si="30"/>
        <v>CZK</v>
      </c>
      <c r="I348" s="409" t="s">
        <v>47</v>
      </c>
      <c r="J348" s="625" t="s">
        <v>1985</v>
      </c>
      <c r="L348" s="86" t="e">
        <f>VLOOKUP(B348,$B$11:B347,1,FALSE)</f>
        <v>#N/A</v>
      </c>
      <c r="M348" s="256">
        <f>G348*(1-FORM!$AE$28/100)</f>
        <v>1177.06744</v>
      </c>
      <c r="AA348" s="463"/>
      <c r="AB348" s="462"/>
      <c r="AC348" s="462"/>
      <c r="AD348" s="464"/>
      <c r="AE348" s="465"/>
    </row>
    <row r="349" spans="1:31" ht="14.4">
      <c r="A349" s="139"/>
      <c r="B349" s="425">
        <v>9353452</v>
      </c>
      <c r="C349" s="216" t="s">
        <v>1276</v>
      </c>
      <c r="D349" s="217">
        <v>1</v>
      </c>
      <c r="E349" s="391"/>
      <c r="F349" s="262"/>
      <c r="G349" s="272">
        <v>1227.6127799999999</v>
      </c>
      <c r="H349" s="141" t="str">
        <f t="shared" si="30"/>
        <v>CZK</v>
      </c>
      <c r="I349" s="409" t="s">
        <v>47</v>
      </c>
      <c r="J349" s="625" t="s">
        <v>1986</v>
      </c>
      <c r="L349" s="86" t="e">
        <f>VLOOKUP(B349,$B$11:B348,1,FALSE)</f>
        <v>#N/A</v>
      </c>
      <c r="M349" s="256">
        <f>G349*(1-FORM!$AE$28/100)</f>
        <v>1227.6127799999999</v>
      </c>
      <c r="AA349" s="463"/>
      <c r="AB349" s="462"/>
      <c r="AC349" s="462"/>
      <c r="AD349" s="464"/>
      <c r="AE349" s="465"/>
    </row>
    <row r="350" spans="1:31" ht="14.4">
      <c r="A350" s="139"/>
      <c r="B350" s="425">
        <v>9353453</v>
      </c>
      <c r="C350" s="216" t="s">
        <v>1277</v>
      </c>
      <c r="D350" s="217">
        <v>1</v>
      </c>
      <c r="E350" s="391"/>
      <c r="F350" s="262"/>
      <c r="G350" s="272">
        <v>1255.0867800000001</v>
      </c>
      <c r="H350" s="141" t="str">
        <f t="shared" si="30"/>
        <v>CZK</v>
      </c>
      <c r="I350" s="409" t="s">
        <v>47</v>
      </c>
      <c r="J350" s="625" t="s">
        <v>1987</v>
      </c>
      <c r="L350" s="86" t="e">
        <f>VLOOKUP(B350,$B$11:B349,1,FALSE)</f>
        <v>#N/A</v>
      </c>
      <c r="M350" s="256">
        <f>G350*(1-FORM!$AE$28/100)</f>
        <v>1255.0867800000001</v>
      </c>
      <c r="AA350" s="463"/>
      <c r="AB350" s="462"/>
      <c r="AC350" s="462"/>
      <c r="AD350" s="464"/>
      <c r="AE350" s="465"/>
    </row>
    <row r="351" spans="1:31" ht="14.4">
      <c r="A351" s="139"/>
      <c r="B351" s="426">
        <v>9353454</v>
      </c>
      <c r="C351" s="304" t="s">
        <v>1278</v>
      </c>
      <c r="D351" s="226">
        <v>1</v>
      </c>
      <c r="E351" s="396"/>
      <c r="F351" s="268"/>
      <c r="G351" s="272">
        <v>1293.44064</v>
      </c>
      <c r="H351" s="142" t="str">
        <f t="shared" si="30"/>
        <v>CZK</v>
      </c>
      <c r="I351" s="417" t="s">
        <v>47</v>
      </c>
      <c r="J351" s="626" t="s">
        <v>1988</v>
      </c>
      <c r="L351" s="86" t="e">
        <f>VLOOKUP(B351,$B$11:B350,1,FALSE)</f>
        <v>#N/A</v>
      </c>
      <c r="M351" s="256">
        <f>G351*(1-FORM!$AE$28/100)</f>
        <v>1293.44064</v>
      </c>
      <c r="AA351" s="463"/>
      <c r="AB351" s="462"/>
      <c r="AC351" s="462"/>
      <c r="AD351" s="464"/>
      <c r="AE351" s="465"/>
    </row>
    <row r="352" spans="1:31" ht="14.4">
      <c r="A352" s="130"/>
      <c r="B352" s="298">
        <v>9255066</v>
      </c>
      <c r="C352" s="216" t="s">
        <v>790</v>
      </c>
      <c r="D352" s="217">
        <v>10</v>
      </c>
      <c r="E352" s="391"/>
      <c r="F352" s="262"/>
      <c r="G352" s="272">
        <v>557.43890999999996</v>
      </c>
      <c r="H352" s="141" t="str">
        <f>IF(G352="","",$H$10)</f>
        <v>CZK</v>
      </c>
      <c r="I352" s="409" t="s">
        <v>47</v>
      </c>
      <c r="J352" s="627" t="s">
        <v>1387</v>
      </c>
      <c r="L352" s="86" t="e">
        <f>VLOOKUP(B352,$B$11:B351,1,FALSE)</f>
        <v>#N/A</v>
      </c>
      <c r="M352" s="256">
        <f>G352*(1-FORM!$AE$28/100)</f>
        <v>557.43890999999996</v>
      </c>
      <c r="AA352" s="463"/>
      <c r="AB352" s="462"/>
      <c r="AC352" s="462"/>
      <c r="AD352" s="464"/>
      <c r="AE352" s="465"/>
    </row>
    <row r="353" spans="1:31" ht="14.4">
      <c r="A353" s="130"/>
      <c r="B353" s="298">
        <v>9255067</v>
      </c>
      <c r="C353" s="216" t="s">
        <v>791</v>
      </c>
      <c r="D353" s="217">
        <v>10</v>
      </c>
      <c r="E353" s="391"/>
      <c r="F353" s="262"/>
      <c r="G353" s="272">
        <v>557.43890999999996</v>
      </c>
      <c r="H353" s="141" t="str">
        <f>IF(G353="","",$H$10)</f>
        <v>CZK</v>
      </c>
      <c r="I353" s="409" t="s">
        <v>47</v>
      </c>
      <c r="J353" s="625" t="s">
        <v>1388</v>
      </c>
      <c r="L353" s="86" t="e">
        <f>VLOOKUP(B353,$B$11:B352,1,FALSE)</f>
        <v>#N/A</v>
      </c>
      <c r="M353" s="256">
        <f>G353*(1-FORM!$AE$28/100)</f>
        <v>557.43890999999996</v>
      </c>
      <c r="AA353" s="463"/>
      <c r="AB353" s="462"/>
      <c r="AC353" s="462"/>
      <c r="AD353" s="464"/>
      <c r="AE353" s="465"/>
    </row>
    <row r="354" spans="1:31" ht="14.4">
      <c r="A354" s="130"/>
      <c r="B354" s="298">
        <v>9255068</v>
      </c>
      <c r="C354" s="216" t="s">
        <v>792</v>
      </c>
      <c r="D354" s="217">
        <v>10</v>
      </c>
      <c r="E354" s="391"/>
      <c r="F354" s="262"/>
      <c r="G354" s="272">
        <v>567.51482999999996</v>
      </c>
      <c r="H354" s="141" t="str">
        <f>IF(G354="","",$H$10)</f>
        <v>CZK</v>
      </c>
      <c r="I354" s="409" t="s">
        <v>47</v>
      </c>
      <c r="J354" s="625" t="s">
        <v>1389</v>
      </c>
      <c r="L354" s="86" t="e">
        <f>VLOOKUP(B354,$B$11:B353,1,FALSE)</f>
        <v>#N/A</v>
      </c>
      <c r="M354" s="256">
        <f>G354*(1-FORM!$AE$28/100)</f>
        <v>567.51482999999996</v>
      </c>
      <c r="AA354" s="463"/>
      <c r="AB354" s="462"/>
      <c r="AC354" s="462"/>
      <c r="AD354" s="464"/>
      <c r="AE354" s="465"/>
    </row>
    <row r="355" spans="1:31" ht="14.4">
      <c r="A355" s="130"/>
      <c r="B355" s="298">
        <v>9255069</v>
      </c>
      <c r="C355" s="216" t="s">
        <v>793</v>
      </c>
      <c r="D355" s="217">
        <v>10</v>
      </c>
      <c r="E355" s="391"/>
      <c r="F355" s="262"/>
      <c r="G355" s="272">
        <v>567.51482999999996</v>
      </c>
      <c r="H355" s="141" t="str">
        <f t="shared" si="30"/>
        <v>CZK</v>
      </c>
      <c r="I355" s="409" t="s">
        <v>47</v>
      </c>
      <c r="J355" s="625" t="s">
        <v>1390</v>
      </c>
      <c r="L355" s="86" t="e">
        <f>VLOOKUP(B355,$B$11:B354,1,FALSE)</f>
        <v>#N/A</v>
      </c>
      <c r="M355" s="256">
        <f>G355*(1-FORM!$AE$28/100)</f>
        <v>567.51482999999996</v>
      </c>
      <c r="AA355" s="463"/>
      <c r="AB355" s="462"/>
      <c r="AC355" s="462"/>
      <c r="AD355" s="464"/>
      <c r="AE355" s="465"/>
    </row>
    <row r="356" spans="1:31" ht="14.4">
      <c r="A356" s="130"/>
      <c r="B356" s="298">
        <v>9255070</v>
      </c>
      <c r="C356" s="216" t="s">
        <v>794</v>
      </c>
      <c r="D356" s="217">
        <v>10</v>
      </c>
      <c r="E356" s="391"/>
      <c r="F356" s="262"/>
      <c r="G356" s="272">
        <v>577.59074999999996</v>
      </c>
      <c r="H356" s="141" t="str">
        <f t="shared" si="30"/>
        <v>CZK</v>
      </c>
      <c r="I356" s="409" t="s">
        <v>47</v>
      </c>
      <c r="J356" s="625" t="s">
        <v>1391</v>
      </c>
      <c r="L356" s="86" t="e">
        <f>VLOOKUP(B356,$B$11:B355,1,FALSE)</f>
        <v>#N/A</v>
      </c>
      <c r="M356" s="256">
        <f>G356*(1-FORM!$AE$28/100)</f>
        <v>577.59074999999996</v>
      </c>
      <c r="AA356" s="463"/>
      <c r="AB356" s="462"/>
      <c r="AC356" s="462"/>
      <c r="AD356" s="464"/>
      <c r="AE356" s="465"/>
    </row>
    <row r="357" spans="1:31" ht="14.4">
      <c r="A357" s="130"/>
      <c r="B357" s="298">
        <v>9255071</v>
      </c>
      <c r="C357" s="216" t="s">
        <v>795</v>
      </c>
      <c r="D357" s="217">
        <v>10</v>
      </c>
      <c r="E357" s="391"/>
      <c r="F357" s="262"/>
      <c r="G357" s="272">
        <v>577.59074999999996</v>
      </c>
      <c r="H357" s="141" t="str">
        <f t="shared" si="30"/>
        <v>CZK</v>
      </c>
      <c r="I357" s="409" t="s">
        <v>47</v>
      </c>
      <c r="J357" s="625" t="s">
        <v>1392</v>
      </c>
      <c r="L357" s="86" t="e">
        <f>VLOOKUP(B357,$B$11:B356,1,FALSE)</f>
        <v>#N/A</v>
      </c>
      <c r="M357" s="256">
        <f>G357*(1-FORM!$AE$28/100)</f>
        <v>577.59074999999996</v>
      </c>
      <c r="AA357" s="463"/>
      <c r="AB357" s="462"/>
      <c r="AC357" s="462"/>
      <c r="AD357" s="464"/>
      <c r="AE357" s="465"/>
    </row>
    <row r="358" spans="1:31" ht="14.4">
      <c r="A358" s="130"/>
      <c r="B358" s="298">
        <v>9255072</v>
      </c>
      <c r="C358" s="216" t="s">
        <v>796</v>
      </c>
      <c r="D358" s="217">
        <v>10</v>
      </c>
      <c r="E358" s="391"/>
      <c r="F358" s="262"/>
      <c r="G358" s="272">
        <v>572.03471999999999</v>
      </c>
      <c r="H358" s="141" t="str">
        <f t="shared" si="30"/>
        <v>CZK</v>
      </c>
      <c r="I358" s="409" t="s">
        <v>47</v>
      </c>
      <c r="J358" s="625" t="s">
        <v>1393</v>
      </c>
      <c r="L358" s="86" t="e">
        <f>VLOOKUP(B358,$B$11:B357,1,FALSE)</f>
        <v>#N/A</v>
      </c>
      <c r="M358" s="256">
        <f>G358*(1-FORM!$AE$28/100)</f>
        <v>572.03471999999999</v>
      </c>
      <c r="AA358" s="463"/>
      <c r="AB358" s="462"/>
      <c r="AC358" s="462"/>
      <c r="AD358" s="464"/>
      <c r="AE358" s="465"/>
    </row>
    <row r="359" spans="1:31" ht="14.4">
      <c r="A359" s="130"/>
      <c r="B359" s="298">
        <v>9255073</v>
      </c>
      <c r="C359" s="216" t="s">
        <v>797</v>
      </c>
      <c r="D359" s="217">
        <v>10</v>
      </c>
      <c r="E359" s="391"/>
      <c r="F359" s="262"/>
      <c r="G359" s="272">
        <v>572.03471999999999</v>
      </c>
      <c r="H359" s="141" t="str">
        <f t="shared" si="30"/>
        <v>CZK</v>
      </c>
      <c r="I359" s="409" t="s">
        <v>47</v>
      </c>
      <c r="J359" s="625" t="s">
        <v>1394</v>
      </c>
      <c r="L359" s="86" t="e">
        <f>VLOOKUP(B359,$B$11:B358,1,FALSE)</f>
        <v>#N/A</v>
      </c>
      <c r="M359" s="256">
        <f>G359*(1-FORM!$AE$28/100)</f>
        <v>572.03471999999999</v>
      </c>
      <c r="AA359" s="463"/>
      <c r="AB359" s="462"/>
      <c r="AC359" s="462"/>
      <c r="AD359" s="464"/>
      <c r="AE359" s="465"/>
    </row>
    <row r="360" spans="1:31" ht="14.4">
      <c r="A360" s="130"/>
      <c r="B360" s="298">
        <v>9255074</v>
      </c>
      <c r="C360" s="216" t="s">
        <v>798</v>
      </c>
      <c r="D360" s="217">
        <v>10</v>
      </c>
      <c r="E360" s="391"/>
      <c r="F360" s="262"/>
      <c r="G360" s="272">
        <v>597.74</v>
      </c>
      <c r="H360" s="141" t="str">
        <f t="shared" ref="H360:H378" si="31">IF(G360="","",$H$10)</f>
        <v>CZK</v>
      </c>
      <c r="I360" s="409" t="s">
        <v>47</v>
      </c>
      <c r="J360" s="625" t="s">
        <v>1395</v>
      </c>
      <c r="L360" s="86" t="e">
        <f>VLOOKUP(B360,$B$11:B359,1,FALSE)</f>
        <v>#N/A</v>
      </c>
      <c r="M360" s="256">
        <f>G360*(1-FORM!$AE$28/100)</f>
        <v>597.74</v>
      </c>
      <c r="AA360" s="463"/>
      <c r="AB360" s="462"/>
      <c r="AC360" s="462"/>
      <c r="AD360" s="464"/>
      <c r="AE360" s="465"/>
    </row>
    <row r="361" spans="1:31" ht="14.4">
      <c r="A361" s="130"/>
      <c r="B361" s="298">
        <v>9255075</v>
      </c>
      <c r="C361" s="216" t="s">
        <v>799</v>
      </c>
      <c r="D361" s="217">
        <v>10</v>
      </c>
      <c r="E361" s="391"/>
      <c r="F361" s="262"/>
      <c r="G361" s="272">
        <v>597.74</v>
      </c>
      <c r="H361" s="141" t="str">
        <f>IF(G361="","",$H$10)</f>
        <v>CZK</v>
      </c>
      <c r="I361" s="409" t="s">
        <v>47</v>
      </c>
      <c r="J361" s="625" t="s">
        <v>1396</v>
      </c>
      <c r="L361" s="86" t="e">
        <f>VLOOKUP(B361,$B$11:B360,1,FALSE)</f>
        <v>#N/A</v>
      </c>
      <c r="M361" s="256">
        <f>G361*(1-FORM!$AE$28/100)</f>
        <v>597.74</v>
      </c>
      <c r="AA361" s="463"/>
      <c r="AB361" s="462"/>
      <c r="AC361" s="462"/>
      <c r="AD361" s="464"/>
      <c r="AE361" s="465"/>
    </row>
    <row r="362" spans="1:31" ht="14.4">
      <c r="A362" s="130"/>
      <c r="B362" s="298">
        <v>9255076</v>
      </c>
      <c r="C362" s="216" t="s">
        <v>800</v>
      </c>
      <c r="D362" s="217">
        <v>10</v>
      </c>
      <c r="E362" s="391"/>
      <c r="F362" s="262"/>
      <c r="G362" s="272">
        <v>612.93876999999998</v>
      </c>
      <c r="H362" s="141" t="str">
        <f>IF(G362="","",$H$10)</f>
        <v>CZK</v>
      </c>
      <c r="I362" s="409" t="s">
        <v>47</v>
      </c>
      <c r="J362" s="625" t="s">
        <v>1397</v>
      </c>
      <c r="L362" s="86" t="e">
        <f>VLOOKUP(B362,$B$11:B361,1,FALSE)</f>
        <v>#N/A</v>
      </c>
      <c r="M362" s="256">
        <f>G362*(1-FORM!$AE$28/100)</f>
        <v>612.93876999999998</v>
      </c>
      <c r="AA362" s="463"/>
      <c r="AB362" s="462"/>
      <c r="AC362" s="462"/>
      <c r="AD362" s="464"/>
      <c r="AE362" s="465"/>
    </row>
    <row r="363" spans="1:31" ht="14.4">
      <c r="A363" s="130"/>
      <c r="B363" s="298">
        <v>9255077</v>
      </c>
      <c r="C363" s="216" t="s">
        <v>801</v>
      </c>
      <c r="D363" s="217">
        <v>10</v>
      </c>
      <c r="E363" s="391"/>
      <c r="F363" s="262"/>
      <c r="G363" s="272">
        <v>612.93876999999998</v>
      </c>
      <c r="H363" s="141" t="str">
        <f t="shared" si="31"/>
        <v>CZK</v>
      </c>
      <c r="I363" s="409" t="s">
        <v>47</v>
      </c>
      <c r="J363" s="625" t="s">
        <v>1398</v>
      </c>
      <c r="L363" s="86" t="e">
        <f>VLOOKUP(B363,$B$11:B362,1,FALSE)</f>
        <v>#N/A</v>
      </c>
      <c r="M363" s="256">
        <f>G363*(1-FORM!$AE$28/100)</f>
        <v>612.93876999999998</v>
      </c>
      <c r="AA363" s="463"/>
      <c r="AB363" s="462"/>
      <c r="AC363" s="462"/>
      <c r="AD363" s="464"/>
      <c r="AE363" s="465"/>
    </row>
    <row r="364" spans="1:31" ht="14.4">
      <c r="A364" s="130"/>
      <c r="B364" s="298">
        <v>9255078</v>
      </c>
      <c r="C364" s="216" t="s">
        <v>802</v>
      </c>
      <c r="D364" s="217">
        <v>10</v>
      </c>
      <c r="E364" s="391"/>
      <c r="F364" s="262"/>
      <c r="G364" s="272">
        <v>633.59735999999998</v>
      </c>
      <c r="H364" s="141" t="str">
        <f t="shared" si="31"/>
        <v>CZK</v>
      </c>
      <c r="I364" s="409" t="s">
        <v>47</v>
      </c>
      <c r="J364" s="625" t="s">
        <v>1399</v>
      </c>
      <c r="L364" s="86" t="e">
        <f>VLOOKUP(B364,$B$11:B363,1,FALSE)</f>
        <v>#N/A</v>
      </c>
      <c r="M364" s="256">
        <f>G364*(1-FORM!$AE$28/100)</f>
        <v>633.59735999999998</v>
      </c>
      <c r="AA364" s="463"/>
      <c r="AB364" s="462"/>
      <c r="AC364" s="462"/>
      <c r="AD364" s="464"/>
      <c r="AE364" s="465"/>
    </row>
    <row r="365" spans="1:31" ht="14.4">
      <c r="A365" s="130"/>
      <c r="B365" s="303">
        <v>9255079</v>
      </c>
      <c r="C365" s="304" t="s">
        <v>803</v>
      </c>
      <c r="D365" s="226">
        <v>10</v>
      </c>
      <c r="E365" s="396"/>
      <c r="F365" s="268"/>
      <c r="G365" s="272">
        <v>633.59735999999998</v>
      </c>
      <c r="H365" s="142" t="str">
        <f t="shared" si="31"/>
        <v>CZK</v>
      </c>
      <c r="I365" s="417" t="s">
        <v>47</v>
      </c>
      <c r="J365" s="626" t="s">
        <v>1400</v>
      </c>
      <c r="L365" s="86" t="e">
        <f>VLOOKUP(B365,$B$11:B364,1,FALSE)</f>
        <v>#N/A</v>
      </c>
      <c r="M365" s="256">
        <f>G365*(1-FORM!$AE$28/100)</f>
        <v>633.59735999999998</v>
      </c>
      <c r="AA365" s="463"/>
      <c r="AB365" s="462"/>
      <c r="AC365" s="462"/>
      <c r="AD365" s="464"/>
      <c r="AE365" s="465"/>
    </row>
    <row r="366" spans="1:31" ht="14.4">
      <c r="A366" s="137"/>
      <c r="B366" s="301">
        <v>9255146</v>
      </c>
      <c r="C366" s="222" t="s">
        <v>804</v>
      </c>
      <c r="D366" s="223">
        <v>10</v>
      </c>
      <c r="E366" s="395"/>
      <c r="F366" s="266"/>
      <c r="G366" s="272">
        <v>557.43890999999996</v>
      </c>
      <c r="H366" s="211" t="str">
        <f t="shared" si="31"/>
        <v>CZK</v>
      </c>
      <c r="I366" s="416" t="s">
        <v>47</v>
      </c>
      <c r="J366" s="627" t="s">
        <v>1461</v>
      </c>
      <c r="L366" s="86" t="e">
        <f>VLOOKUP(B366,$B$11:B365,1,FALSE)</f>
        <v>#N/A</v>
      </c>
      <c r="M366" s="256">
        <f>G366*(1-FORM!$AE$28/100)</f>
        <v>557.43890999999996</v>
      </c>
      <c r="AA366" s="463"/>
      <c r="AB366" s="462"/>
      <c r="AC366" s="462"/>
      <c r="AD366" s="464"/>
      <c r="AE366" s="465"/>
    </row>
    <row r="367" spans="1:31" ht="14.4">
      <c r="A367" s="137"/>
      <c r="B367" s="298">
        <v>9255147</v>
      </c>
      <c r="C367" s="216" t="s">
        <v>805</v>
      </c>
      <c r="D367" s="217">
        <v>10</v>
      </c>
      <c r="E367" s="391"/>
      <c r="F367" s="262"/>
      <c r="G367" s="272">
        <v>557.43890999999996</v>
      </c>
      <c r="H367" s="141" t="str">
        <f t="shared" si="31"/>
        <v>CZK</v>
      </c>
      <c r="I367" s="409" t="s">
        <v>47</v>
      </c>
      <c r="J367" s="625" t="s">
        <v>1462</v>
      </c>
      <c r="L367" s="86" t="e">
        <f>VLOOKUP(B367,$B$11:B366,1,FALSE)</f>
        <v>#N/A</v>
      </c>
      <c r="M367" s="256">
        <f>G367*(1-FORM!$AE$28/100)</f>
        <v>557.43890999999996</v>
      </c>
      <c r="AA367" s="463"/>
      <c r="AB367" s="462"/>
      <c r="AC367" s="462"/>
      <c r="AD367" s="464"/>
      <c r="AE367" s="465"/>
    </row>
    <row r="368" spans="1:31" ht="14.4">
      <c r="A368" s="137"/>
      <c r="B368" s="298">
        <v>9255148</v>
      </c>
      <c r="C368" s="216" t="s">
        <v>806</v>
      </c>
      <c r="D368" s="217">
        <v>10</v>
      </c>
      <c r="E368" s="391"/>
      <c r="F368" s="262"/>
      <c r="G368" s="272">
        <v>567.51482999999996</v>
      </c>
      <c r="H368" s="141" t="str">
        <f t="shared" si="31"/>
        <v>CZK</v>
      </c>
      <c r="I368" s="409" t="s">
        <v>47</v>
      </c>
      <c r="J368" s="625" t="s">
        <v>1463</v>
      </c>
      <c r="L368" s="86" t="e">
        <f>VLOOKUP(B368,$B$11:B367,1,FALSE)</f>
        <v>#N/A</v>
      </c>
      <c r="M368" s="256">
        <f>G368*(1-FORM!$AE$28/100)</f>
        <v>567.51482999999996</v>
      </c>
      <c r="AA368" s="463"/>
      <c r="AB368" s="462"/>
      <c r="AC368" s="462"/>
      <c r="AD368" s="464"/>
      <c r="AE368" s="465"/>
    </row>
    <row r="369" spans="1:31" ht="14.4">
      <c r="A369" s="137"/>
      <c r="B369" s="298">
        <v>9255149</v>
      </c>
      <c r="C369" s="216" t="s">
        <v>807</v>
      </c>
      <c r="D369" s="217">
        <v>10</v>
      </c>
      <c r="E369" s="391"/>
      <c r="F369" s="262"/>
      <c r="G369" s="272">
        <v>567.51482999999996</v>
      </c>
      <c r="H369" s="141" t="str">
        <f t="shared" si="31"/>
        <v>CZK</v>
      </c>
      <c r="I369" s="409" t="s">
        <v>47</v>
      </c>
      <c r="J369" s="625" t="s">
        <v>1464</v>
      </c>
      <c r="L369" s="86" t="e">
        <f>VLOOKUP(B369,$B$11:B368,1,FALSE)</f>
        <v>#N/A</v>
      </c>
      <c r="M369" s="256">
        <f>G369*(1-FORM!$AE$28/100)</f>
        <v>567.51482999999996</v>
      </c>
      <c r="AA369" s="463"/>
      <c r="AB369" s="462"/>
      <c r="AC369" s="462"/>
      <c r="AD369" s="464"/>
      <c r="AE369" s="465"/>
    </row>
    <row r="370" spans="1:31" ht="14.4">
      <c r="A370" s="137"/>
      <c r="B370" s="298">
        <v>9255150</v>
      </c>
      <c r="C370" s="216" t="s">
        <v>808</v>
      </c>
      <c r="D370" s="217">
        <v>10</v>
      </c>
      <c r="E370" s="391"/>
      <c r="F370" s="262"/>
      <c r="G370" s="272">
        <v>577.59074999999996</v>
      </c>
      <c r="H370" s="141" t="str">
        <f t="shared" si="31"/>
        <v>CZK</v>
      </c>
      <c r="I370" s="409" t="s">
        <v>47</v>
      </c>
      <c r="J370" s="625" t="s">
        <v>1465</v>
      </c>
      <c r="L370" s="86" t="e">
        <f>VLOOKUP(B370,$B$11:B369,1,FALSE)</f>
        <v>#N/A</v>
      </c>
      <c r="M370" s="256">
        <f>G370*(1-FORM!$AE$28/100)</f>
        <v>577.59074999999996</v>
      </c>
      <c r="AA370" s="463"/>
      <c r="AB370" s="462"/>
      <c r="AC370" s="462"/>
      <c r="AD370" s="464"/>
      <c r="AE370" s="465"/>
    </row>
    <row r="371" spans="1:31" ht="14.4">
      <c r="A371" s="137"/>
      <c r="B371" s="298">
        <v>9255151</v>
      </c>
      <c r="C371" s="216" t="s">
        <v>809</v>
      </c>
      <c r="D371" s="217">
        <v>10</v>
      </c>
      <c r="E371" s="391"/>
      <c r="F371" s="262"/>
      <c r="G371" s="272">
        <v>577.59074999999996</v>
      </c>
      <c r="H371" s="141" t="str">
        <f t="shared" si="31"/>
        <v>CZK</v>
      </c>
      <c r="I371" s="409" t="s">
        <v>47</v>
      </c>
      <c r="J371" s="625" t="s">
        <v>1466</v>
      </c>
      <c r="L371" s="86" t="e">
        <f>VLOOKUP(B371,$B$11:B370,1,FALSE)</f>
        <v>#N/A</v>
      </c>
      <c r="M371" s="256">
        <f>G371*(1-FORM!$AE$28/100)</f>
        <v>577.59074999999996</v>
      </c>
      <c r="AA371" s="463"/>
      <c r="AB371" s="462"/>
      <c r="AC371" s="462"/>
      <c r="AD371" s="464"/>
      <c r="AE371" s="465"/>
    </row>
    <row r="372" spans="1:31" ht="14.4">
      <c r="A372" s="137"/>
      <c r="B372" s="298">
        <v>9255152</v>
      </c>
      <c r="C372" s="216" t="s">
        <v>810</v>
      </c>
      <c r="D372" s="217">
        <v>10</v>
      </c>
      <c r="E372" s="391"/>
      <c r="F372" s="262"/>
      <c r="G372" s="272">
        <v>572.03471999999999</v>
      </c>
      <c r="H372" s="141" t="str">
        <f t="shared" si="31"/>
        <v>CZK</v>
      </c>
      <c r="I372" s="409" t="s">
        <v>47</v>
      </c>
      <c r="J372" s="625" t="s">
        <v>1467</v>
      </c>
      <c r="L372" s="86" t="e">
        <f>VLOOKUP(B372,$B$11:B371,1,FALSE)</f>
        <v>#N/A</v>
      </c>
      <c r="M372" s="256">
        <f>G372*(1-FORM!$AE$28/100)</f>
        <v>572.03471999999999</v>
      </c>
      <c r="AA372" s="463"/>
      <c r="AB372" s="462"/>
      <c r="AC372" s="462"/>
      <c r="AD372" s="464"/>
      <c r="AE372" s="465"/>
    </row>
    <row r="373" spans="1:31" ht="14.4">
      <c r="A373" s="137"/>
      <c r="B373" s="298">
        <v>9255153</v>
      </c>
      <c r="C373" s="216" t="s">
        <v>811</v>
      </c>
      <c r="D373" s="217">
        <v>10</v>
      </c>
      <c r="E373" s="391"/>
      <c r="F373" s="262"/>
      <c r="G373" s="272">
        <v>572.03471999999999</v>
      </c>
      <c r="H373" s="141" t="str">
        <f t="shared" si="31"/>
        <v>CZK</v>
      </c>
      <c r="I373" s="409" t="s">
        <v>47</v>
      </c>
      <c r="J373" s="625" t="s">
        <v>1468</v>
      </c>
      <c r="L373" s="86" t="e">
        <f>VLOOKUP(B373,$B$11:B372,1,FALSE)</f>
        <v>#N/A</v>
      </c>
      <c r="M373" s="256">
        <f>G373*(1-FORM!$AE$28/100)</f>
        <v>572.03471999999999</v>
      </c>
      <c r="AA373" s="463"/>
      <c r="AB373" s="462"/>
      <c r="AC373" s="462"/>
      <c r="AD373" s="464"/>
      <c r="AE373" s="465"/>
    </row>
    <row r="374" spans="1:31" ht="14.4">
      <c r="A374" s="137"/>
      <c r="B374" s="298">
        <v>9255154</v>
      </c>
      <c r="C374" s="216" t="s">
        <v>812</v>
      </c>
      <c r="D374" s="217">
        <v>10</v>
      </c>
      <c r="E374" s="391"/>
      <c r="F374" s="262"/>
      <c r="G374" s="272">
        <v>597.74</v>
      </c>
      <c r="H374" s="141" t="str">
        <f t="shared" si="31"/>
        <v>CZK</v>
      </c>
      <c r="I374" s="409" t="s">
        <v>47</v>
      </c>
      <c r="J374" s="625" t="s">
        <v>1469</v>
      </c>
      <c r="L374" s="86" t="e">
        <f>VLOOKUP(B374,$B$11:B373,1,FALSE)</f>
        <v>#N/A</v>
      </c>
      <c r="M374" s="256">
        <f>G374*(1-FORM!$AE$28/100)</f>
        <v>597.74</v>
      </c>
      <c r="AA374" s="463"/>
      <c r="AB374" s="462"/>
      <c r="AC374" s="462"/>
      <c r="AD374" s="464"/>
      <c r="AE374" s="465"/>
    </row>
    <row r="375" spans="1:31" ht="14.4">
      <c r="A375" s="137"/>
      <c r="B375" s="298">
        <v>9255155</v>
      </c>
      <c r="C375" s="216" t="s">
        <v>813</v>
      </c>
      <c r="D375" s="217">
        <v>10</v>
      </c>
      <c r="E375" s="391"/>
      <c r="F375" s="262"/>
      <c r="G375" s="272">
        <v>597.74</v>
      </c>
      <c r="H375" s="141" t="str">
        <f t="shared" si="31"/>
        <v>CZK</v>
      </c>
      <c r="I375" s="409" t="s">
        <v>47</v>
      </c>
      <c r="J375" s="625" t="s">
        <v>1470</v>
      </c>
      <c r="L375" s="86" t="e">
        <f>VLOOKUP(B375,$B$11:B374,1,FALSE)</f>
        <v>#N/A</v>
      </c>
      <c r="M375" s="256">
        <f>G375*(1-FORM!$AE$28/100)</f>
        <v>597.74</v>
      </c>
      <c r="AA375" s="463"/>
      <c r="AB375" s="462"/>
      <c r="AC375" s="462"/>
      <c r="AD375" s="464"/>
      <c r="AE375" s="465"/>
    </row>
    <row r="376" spans="1:31" ht="14.4">
      <c r="A376" s="137"/>
      <c r="B376" s="298">
        <v>9255156</v>
      </c>
      <c r="C376" s="216" t="s">
        <v>814</v>
      </c>
      <c r="D376" s="217">
        <v>10</v>
      </c>
      <c r="E376" s="391"/>
      <c r="F376" s="262"/>
      <c r="G376" s="272">
        <v>612.93876999999998</v>
      </c>
      <c r="H376" s="141" t="str">
        <f t="shared" si="31"/>
        <v>CZK</v>
      </c>
      <c r="I376" s="409" t="s">
        <v>47</v>
      </c>
      <c r="J376" s="625" t="s">
        <v>1471</v>
      </c>
      <c r="L376" s="86" t="e">
        <f>VLOOKUP(B376,$B$11:B375,1,FALSE)</f>
        <v>#N/A</v>
      </c>
      <c r="M376" s="256">
        <f>G376*(1-FORM!$AE$28/100)</f>
        <v>612.93876999999998</v>
      </c>
      <c r="AA376" s="463"/>
      <c r="AB376" s="462"/>
      <c r="AC376" s="462"/>
      <c r="AD376" s="464"/>
      <c r="AE376" s="465"/>
    </row>
    <row r="377" spans="1:31" ht="14.4">
      <c r="A377" s="137"/>
      <c r="B377" s="298">
        <v>9255157</v>
      </c>
      <c r="C377" s="216" t="s">
        <v>815</v>
      </c>
      <c r="D377" s="217">
        <v>10</v>
      </c>
      <c r="E377" s="391"/>
      <c r="F377" s="262"/>
      <c r="G377" s="272">
        <v>612.93876999999998</v>
      </c>
      <c r="H377" s="141" t="str">
        <f t="shared" si="31"/>
        <v>CZK</v>
      </c>
      <c r="I377" s="409" t="s">
        <v>47</v>
      </c>
      <c r="J377" s="625" t="s">
        <v>1472</v>
      </c>
      <c r="L377" s="86" t="e">
        <f>VLOOKUP(B377,$B$11:B376,1,FALSE)</f>
        <v>#N/A</v>
      </c>
      <c r="M377" s="256">
        <f>G377*(1-FORM!$AE$28/100)</f>
        <v>612.93876999999998</v>
      </c>
      <c r="AA377" s="463"/>
      <c r="AB377" s="462"/>
      <c r="AC377" s="462"/>
      <c r="AD377" s="464"/>
      <c r="AE377" s="465"/>
    </row>
    <row r="378" spans="1:31" ht="14.4">
      <c r="A378" s="137"/>
      <c r="B378" s="298">
        <v>9255158</v>
      </c>
      <c r="C378" s="216" t="s">
        <v>816</v>
      </c>
      <c r="D378" s="217">
        <v>10</v>
      </c>
      <c r="E378" s="391"/>
      <c r="F378" s="262"/>
      <c r="G378" s="272">
        <v>633.59735999999998</v>
      </c>
      <c r="H378" s="141" t="str">
        <f t="shared" si="31"/>
        <v>CZK</v>
      </c>
      <c r="I378" s="409" t="s">
        <v>47</v>
      </c>
      <c r="J378" s="625" t="s">
        <v>1473</v>
      </c>
      <c r="L378" s="86" t="e">
        <f>VLOOKUP(B378,$B$11:B377,1,FALSE)</f>
        <v>#N/A</v>
      </c>
      <c r="M378" s="256">
        <f>G378*(1-FORM!$AE$28/100)</f>
        <v>633.59735999999998</v>
      </c>
      <c r="AA378" s="463"/>
      <c r="AB378" s="462"/>
      <c r="AC378" s="462"/>
      <c r="AD378" s="464"/>
      <c r="AE378" s="465"/>
    </row>
    <row r="379" spans="1:31" ht="14.4">
      <c r="A379" s="137"/>
      <c r="B379" s="303">
        <v>9255159</v>
      </c>
      <c r="C379" s="304" t="s">
        <v>817</v>
      </c>
      <c r="D379" s="226">
        <v>10</v>
      </c>
      <c r="E379" s="396"/>
      <c r="F379" s="268"/>
      <c r="G379" s="272">
        <v>633.59735999999998</v>
      </c>
      <c r="H379" s="142" t="str">
        <f t="shared" ref="H379:H396" si="32">IF(G379="","",$H$10)</f>
        <v>CZK</v>
      </c>
      <c r="I379" s="417" t="s">
        <v>47</v>
      </c>
      <c r="J379" s="626" t="s">
        <v>1474</v>
      </c>
      <c r="L379" s="86" t="e">
        <f>VLOOKUP(B379,$B$11:B378,1,FALSE)</f>
        <v>#N/A</v>
      </c>
      <c r="M379" s="256">
        <f>G379*(1-FORM!$AE$28/100)</f>
        <v>633.59735999999998</v>
      </c>
      <c r="AA379" s="463"/>
      <c r="AB379" s="462"/>
      <c r="AC379" s="462"/>
      <c r="AD379" s="464"/>
      <c r="AE379" s="465"/>
    </row>
    <row r="380" spans="1:31" ht="14.4">
      <c r="A380" s="139"/>
      <c r="B380" s="301">
        <v>9255226</v>
      </c>
      <c r="C380" s="222" t="s">
        <v>818</v>
      </c>
      <c r="D380" s="223">
        <v>10</v>
      </c>
      <c r="E380" s="395"/>
      <c r="F380" s="266"/>
      <c r="G380" s="272">
        <v>557.43890999999996</v>
      </c>
      <c r="H380" s="211" t="str">
        <f t="shared" si="32"/>
        <v>CZK</v>
      </c>
      <c r="I380" s="416" t="s">
        <v>47</v>
      </c>
      <c r="J380" s="627" t="s">
        <v>1535</v>
      </c>
      <c r="L380" s="86" t="e">
        <f>VLOOKUP(B380,$B$11:B379,1,FALSE)</f>
        <v>#N/A</v>
      </c>
      <c r="M380" s="256">
        <f>G380*(1-FORM!$AE$28/100)</f>
        <v>557.43890999999996</v>
      </c>
      <c r="AA380" s="463"/>
      <c r="AB380" s="462"/>
      <c r="AC380" s="462"/>
      <c r="AD380" s="464"/>
      <c r="AE380" s="465"/>
    </row>
    <row r="381" spans="1:31" ht="14.4">
      <c r="A381" s="139"/>
      <c r="B381" s="298">
        <v>9255227</v>
      </c>
      <c r="C381" s="216" t="s">
        <v>819</v>
      </c>
      <c r="D381" s="217">
        <v>10</v>
      </c>
      <c r="E381" s="391"/>
      <c r="F381" s="262"/>
      <c r="G381" s="272">
        <v>557.43890999999996</v>
      </c>
      <c r="H381" s="141" t="str">
        <f t="shared" si="32"/>
        <v>CZK</v>
      </c>
      <c r="I381" s="409" t="s">
        <v>47</v>
      </c>
      <c r="J381" s="625" t="s">
        <v>1536</v>
      </c>
      <c r="L381" s="86" t="e">
        <f>VLOOKUP(B381,$B$11:B380,1,FALSE)</f>
        <v>#N/A</v>
      </c>
      <c r="M381" s="256">
        <f>G381*(1-FORM!$AE$28/100)</f>
        <v>557.43890999999996</v>
      </c>
      <c r="AA381" s="463"/>
      <c r="AB381" s="462"/>
      <c r="AC381" s="462"/>
      <c r="AD381" s="464"/>
      <c r="AE381" s="465"/>
    </row>
    <row r="382" spans="1:31" ht="14.4">
      <c r="A382" s="139"/>
      <c r="B382" s="298">
        <v>9255228</v>
      </c>
      <c r="C382" s="216" t="s">
        <v>820</v>
      </c>
      <c r="D382" s="217">
        <v>10</v>
      </c>
      <c r="E382" s="391"/>
      <c r="F382" s="262"/>
      <c r="G382" s="272">
        <v>567.51482999999996</v>
      </c>
      <c r="H382" s="141" t="str">
        <f t="shared" si="32"/>
        <v>CZK</v>
      </c>
      <c r="I382" s="409" t="s">
        <v>47</v>
      </c>
      <c r="J382" s="625" t="s">
        <v>1537</v>
      </c>
      <c r="L382" s="86" t="e">
        <f>VLOOKUP(B382,$B$11:B381,1,FALSE)</f>
        <v>#N/A</v>
      </c>
      <c r="M382" s="256">
        <f>G382*(1-FORM!$AE$28/100)</f>
        <v>567.51482999999996</v>
      </c>
      <c r="AA382" s="463"/>
      <c r="AB382" s="462"/>
      <c r="AC382" s="462"/>
      <c r="AD382" s="464"/>
      <c r="AE382" s="465"/>
    </row>
    <row r="383" spans="1:31" ht="14.4">
      <c r="A383" s="139"/>
      <c r="B383" s="298">
        <v>9255229</v>
      </c>
      <c r="C383" s="216" t="s">
        <v>821</v>
      </c>
      <c r="D383" s="217">
        <v>10</v>
      </c>
      <c r="E383" s="391"/>
      <c r="F383" s="262"/>
      <c r="G383" s="272">
        <v>567.51482999999996</v>
      </c>
      <c r="H383" s="141" t="str">
        <f t="shared" si="32"/>
        <v>CZK</v>
      </c>
      <c r="I383" s="409" t="s">
        <v>47</v>
      </c>
      <c r="J383" s="625" t="s">
        <v>1538</v>
      </c>
      <c r="L383" s="86" t="e">
        <f>VLOOKUP(B383,$B$11:B382,1,FALSE)</f>
        <v>#N/A</v>
      </c>
      <c r="M383" s="256">
        <f>G383*(1-FORM!$AE$28/100)</f>
        <v>567.51482999999996</v>
      </c>
      <c r="AA383" s="463"/>
      <c r="AB383" s="462"/>
      <c r="AC383" s="462"/>
      <c r="AD383" s="464"/>
      <c r="AE383" s="465"/>
    </row>
    <row r="384" spans="1:31" ht="14.4">
      <c r="A384" s="139"/>
      <c r="B384" s="298">
        <v>9255230</v>
      </c>
      <c r="C384" s="216" t="s">
        <v>822</v>
      </c>
      <c r="D384" s="217">
        <v>10</v>
      </c>
      <c r="E384" s="391"/>
      <c r="F384" s="262"/>
      <c r="G384" s="272">
        <v>577.59074999999996</v>
      </c>
      <c r="H384" s="141" t="str">
        <f t="shared" si="32"/>
        <v>CZK</v>
      </c>
      <c r="I384" s="409" t="s">
        <v>47</v>
      </c>
      <c r="J384" s="625" t="s">
        <v>1539</v>
      </c>
      <c r="L384" s="86" t="e">
        <f>VLOOKUP(B384,$B$11:B383,1,FALSE)</f>
        <v>#N/A</v>
      </c>
      <c r="M384" s="256">
        <f>G384*(1-FORM!$AE$28/100)</f>
        <v>577.59074999999996</v>
      </c>
      <c r="AA384" s="463"/>
      <c r="AB384" s="462"/>
      <c r="AC384" s="462"/>
      <c r="AD384" s="464"/>
      <c r="AE384" s="465"/>
    </row>
    <row r="385" spans="1:31" ht="14.4">
      <c r="A385" s="139"/>
      <c r="B385" s="298">
        <v>9255231</v>
      </c>
      <c r="C385" s="216" t="s">
        <v>823</v>
      </c>
      <c r="D385" s="217">
        <v>10</v>
      </c>
      <c r="E385" s="391"/>
      <c r="F385" s="262"/>
      <c r="G385" s="272">
        <v>577.59074999999996</v>
      </c>
      <c r="H385" s="141" t="str">
        <f t="shared" si="32"/>
        <v>CZK</v>
      </c>
      <c r="I385" s="409" t="s">
        <v>47</v>
      </c>
      <c r="J385" s="625" t="s">
        <v>1540</v>
      </c>
      <c r="L385" s="86" t="e">
        <f>VLOOKUP(B385,$B$11:B384,1,FALSE)</f>
        <v>#N/A</v>
      </c>
      <c r="M385" s="256">
        <f>G385*(1-FORM!$AE$28/100)</f>
        <v>577.59074999999996</v>
      </c>
      <c r="AA385" s="463"/>
      <c r="AB385" s="462"/>
      <c r="AC385" s="462"/>
      <c r="AD385" s="464"/>
      <c r="AE385" s="465"/>
    </row>
    <row r="386" spans="1:31" ht="14.4">
      <c r="A386" s="139"/>
      <c r="B386" s="298">
        <v>9255232</v>
      </c>
      <c r="C386" s="216" t="s">
        <v>824</v>
      </c>
      <c r="D386" s="217">
        <v>10</v>
      </c>
      <c r="E386" s="391"/>
      <c r="F386" s="262"/>
      <c r="G386" s="272">
        <v>572.03471999999999</v>
      </c>
      <c r="H386" s="141" t="str">
        <f t="shared" si="32"/>
        <v>CZK</v>
      </c>
      <c r="I386" s="409" t="s">
        <v>47</v>
      </c>
      <c r="J386" s="625" t="s">
        <v>1541</v>
      </c>
      <c r="L386" s="86" t="e">
        <f>VLOOKUP(B386,$B$11:B385,1,FALSE)</f>
        <v>#N/A</v>
      </c>
      <c r="M386" s="256">
        <f>G386*(1-FORM!$AE$28/100)</f>
        <v>572.03471999999999</v>
      </c>
      <c r="AA386" s="463"/>
      <c r="AB386" s="462"/>
      <c r="AC386" s="462"/>
      <c r="AD386" s="464"/>
      <c r="AE386" s="465"/>
    </row>
    <row r="387" spans="1:31" ht="14.4">
      <c r="A387" s="139"/>
      <c r="B387" s="298">
        <v>9255233</v>
      </c>
      <c r="C387" s="216" t="s">
        <v>825</v>
      </c>
      <c r="D387" s="217">
        <v>10</v>
      </c>
      <c r="E387" s="391"/>
      <c r="F387" s="262"/>
      <c r="G387" s="272">
        <v>572.03471999999999</v>
      </c>
      <c r="H387" s="141" t="str">
        <f t="shared" si="32"/>
        <v>CZK</v>
      </c>
      <c r="I387" s="409" t="s">
        <v>47</v>
      </c>
      <c r="J387" s="625" t="s">
        <v>1542</v>
      </c>
      <c r="L387" s="86" t="e">
        <f>VLOOKUP(B387,$B$11:B386,1,FALSE)</f>
        <v>#N/A</v>
      </c>
      <c r="M387" s="256">
        <f>G387*(1-FORM!$AE$28/100)</f>
        <v>572.03471999999999</v>
      </c>
      <c r="AA387" s="463"/>
      <c r="AB387" s="462"/>
      <c r="AC387" s="462"/>
      <c r="AD387" s="464"/>
      <c r="AE387" s="465"/>
    </row>
    <row r="388" spans="1:31" ht="14.4">
      <c r="A388" s="139"/>
      <c r="B388" s="298">
        <v>9255234</v>
      </c>
      <c r="C388" s="216" t="s">
        <v>826</v>
      </c>
      <c r="D388" s="217">
        <v>10</v>
      </c>
      <c r="E388" s="391"/>
      <c r="F388" s="262"/>
      <c r="G388" s="272">
        <v>597.74</v>
      </c>
      <c r="H388" s="141" t="str">
        <f t="shared" si="32"/>
        <v>CZK</v>
      </c>
      <c r="I388" s="409" t="s">
        <v>47</v>
      </c>
      <c r="J388" s="625" t="s">
        <v>1543</v>
      </c>
      <c r="L388" s="86" t="e">
        <f>VLOOKUP(B388,$B$11:B387,1,FALSE)</f>
        <v>#N/A</v>
      </c>
      <c r="M388" s="256">
        <f>G388*(1-FORM!$AE$28/100)</f>
        <v>597.74</v>
      </c>
      <c r="AA388" s="463"/>
      <c r="AB388" s="462"/>
      <c r="AC388" s="462"/>
      <c r="AD388" s="464"/>
      <c r="AE388" s="465"/>
    </row>
    <row r="389" spans="1:31" ht="14.4">
      <c r="A389" s="139"/>
      <c r="B389" s="298">
        <v>9255235</v>
      </c>
      <c r="C389" s="216" t="s">
        <v>827</v>
      </c>
      <c r="D389" s="217">
        <v>10</v>
      </c>
      <c r="E389" s="391"/>
      <c r="F389" s="262"/>
      <c r="G389" s="272">
        <v>597.74</v>
      </c>
      <c r="H389" s="141" t="str">
        <f t="shared" si="32"/>
        <v>CZK</v>
      </c>
      <c r="I389" s="409" t="s">
        <v>47</v>
      </c>
      <c r="J389" s="625" t="s">
        <v>1544</v>
      </c>
      <c r="L389" s="86" t="e">
        <f>VLOOKUP(B389,$B$11:B388,1,FALSE)</f>
        <v>#N/A</v>
      </c>
      <c r="M389" s="256">
        <f>G389*(1-FORM!$AE$28/100)</f>
        <v>597.74</v>
      </c>
      <c r="AA389" s="463"/>
      <c r="AB389" s="462"/>
      <c r="AC389" s="462"/>
      <c r="AD389" s="464"/>
      <c r="AE389" s="465"/>
    </row>
    <row r="390" spans="1:31" ht="14.4">
      <c r="A390" s="139"/>
      <c r="B390" s="298">
        <v>9255236</v>
      </c>
      <c r="C390" s="216" t="s">
        <v>828</v>
      </c>
      <c r="D390" s="217">
        <v>10</v>
      </c>
      <c r="E390" s="391"/>
      <c r="F390" s="262"/>
      <c r="G390" s="272">
        <v>612.93876999999998</v>
      </c>
      <c r="H390" s="141" t="str">
        <f t="shared" si="32"/>
        <v>CZK</v>
      </c>
      <c r="I390" s="409" t="s">
        <v>47</v>
      </c>
      <c r="J390" s="625" t="s">
        <v>1545</v>
      </c>
      <c r="L390" s="86" t="e">
        <f>VLOOKUP(B390,$B$11:B389,1,FALSE)</f>
        <v>#N/A</v>
      </c>
      <c r="M390" s="256">
        <f>G390*(1-FORM!$AE$28/100)</f>
        <v>612.93876999999998</v>
      </c>
      <c r="AA390" s="463"/>
      <c r="AB390" s="462"/>
      <c r="AC390" s="462"/>
      <c r="AD390" s="464"/>
      <c r="AE390" s="465"/>
    </row>
    <row r="391" spans="1:31" ht="14.4">
      <c r="A391" s="139"/>
      <c r="B391" s="298">
        <v>9255237</v>
      </c>
      <c r="C391" s="216" t="s">
        <v>829</v>
      </c>
      <c r="D391" s="217">
        <v>10</v>
      </c>
      <c r="E391" s="391"/>
      <c r="F391" s="262"/>
      <c r="G391" s="272">
        <v>612.93876999999998</v>
      </c>
      <c r="H391" s="141" t="str">
        <f t="shared" si="32"/>
        <v>CZK</v>
      </c>
      <c r="I391" s="409" t="s">
        <v>47</v>
      </c>
      <c r="J391" s="625" t="s">
        <v>1546</v>
      </c>
      <c r="L391" s="86" t="e">
        <f>VLOOKUP(B391,$B$11:B390,1,FALSE)</f>
        <v>#N/A</v>
      </c>
      <c r="M391" s="256">
        <f>G391*(1-FORM!$AE$28/100)</f>
        <v>612.93876999999998</v>
      </c>
      <c r="AA391" s="463"/>
      <c r="AB391" s="462"/>
      <c r="AC391" s="462"/>
      <c r="AD391" s="464"/>
      <c r="AE391" s="465"/>
    </row>
    <row r="392" spans="1:31" ht="14.4">
      <c r="A392" s="139"/>
      <c r="B392" s="298">
        <v>9255238</v>
      </c>
      <c r="C392" s="216" t="s">
        <v>830</v>
      </c>
      <c r="D392" s="217">
        <v>10</v>
      </c>
      <c r="E392" s="391"/>
      <c r="F392" s="262"/>
      <c r="G392" s="272">
        <v>633.59735999999998</v>
      </c>
      <c r="H392" s="141" t="str">
        <f t="shared" si="32"/>
        <v>CZK</v>
      </c>
      <c r="I392" s="409" t="s">
        <v>47</v>
      </c>
      <c r="J392" s="625" t="s">
        <v>1547</v>
      </c>
      <c r="L392" s="86" t="e">
        <f>VLOOKUP(B392,$B$11:B391,1,FALSE)</f>
        <v>#N/A</v>
      </c>
      <c r="M392" s="256">
        <f>G392*(1-FORM!$AE$28/100)</f>
        <v>633.59735999999998</v>
      </c>
      <c r="AA392" s="463"/>
      <c r="AB392" s="462"/>
      <c r="AC392" s="462"/>
      <c r="AD392" s="464"/>
      <c r="AE392" s="465"/>
    </row>
    <row r="393" spans="1:31" ht="14.4">
      <c r="A393" s="139"/>
      <c r="B393" s="303">
        <v>9255239</v>
      </c>
      <c r="C393" s="304" t="s">
        <v>831</v>
      </c>
      <c r="D393" s="226">
        <v>10</v>
      </c>
      <c r="E393" s="396"/>
      <c r="F393" s="268"/>
      <c r="G393" s="272">
        <v>633.59735999999998</v>
      </c>
      <c r="H393" s="142" t="str">
        <f t="shared" si="32"/>
        <v>CZK</v>
      </c>
      <c r="I393" s="417" t="s">
        <v>47</v>
      </c>
      <c r="J393" s="626" t="s">
        <v>1548</v>
      </c>
      <c r="L393" s="86" t="e">
        <f>VLOOKUP(B393,$B$11:B392,1,FALSE)</f>
        <v>#N/A</v>
      </c>
      <c r="M393" s="256">
        <f>G393*(1-FORM!$AE$28/100)</f>
        <v>633.59735999999998</v>
      </c>
      <c r="AA393" s="463"/>
      <c r="AB393" s="462"/>
      <c r="AC393" s="462"/>
      <c r="AD393" s="464"/>
      <c r="AE393" s="465"/>
    </row>
    <row r="394" spans="1:31" ht="14.4">
      <c r="B394" s="446">
        <v>9359507</v>
      </c>
      <c r="C394" s="357" t="s">
        <v>1302</v>
      </c>
      <c r="D394" s="358">
        <v>1</v>
      </c>
      <c r="E394" s="398"/>
      <c r="F394" s="359"/>
      <c r="G394" s="272">
        <v>28.618980000000001</v>
      </c>
      <c r="H394" s="444" t="str">
        <f t="shared" ref="H394:H395" si="33">IF(G394="","",$H$10)</f>
        <v>CZK</v>
      </c>
      <c r="I394" s="445" t="s">
        <v>47</v>
      </c>
      <c r="J394" s="627" t="s">
        <v>1996</v>
      </c>
      <c r="L394" s="86" t="e">
        <f>VLOOKUP(B394,$B$11:B391,1,FALSE)</f>
        <v>#N/A</v>
      </c>
      <c r="M394" s="256">
        <f>G394*(1-FORM!$AE$28/100)</f>
        <v>28.618980000000001</v>
      </c>
      <c r="AA394" s="463"/>
      <c r="AB394" s="462"/>
      <c r="AC394" s="462"/>
      <c r="AD394" s="464"/>
      <c r="AE394" s="465"/>
    </row>
    <row r="395" spans="1:31" ht="14.4">
      <c r="B395" s="439">
        <v>9359508</v>
      </c>
      <c r="C395" s="218" t="s">
        <v>1303</v>
      </c>
      <c r="D395" s="219">
        <v>1</v>
      </c>
      <c r="E395" s="392"/>
      <c r="F395" s="263"/>
      <c r="G395" s="272">
        <v>28.618980000000001</v>
      </c>
      <c r="H395" s="133" t="str">
        <f t="shared" si="33"/>
        <v>CZK</v>
      </c>
      <c r="I395" s="411" t="s">
        <v>47</v>
      </c>
      <c r="J395" s="625" t="s">
        <v>1997</v>
      </c>
      <c r="L395" s="86" t="e">
        <f>VLOOKUP(B395,$B$11:B394,1,FALSE)</f>
        <v>#N/A</v>
      </c>
      <c r="M395" s="256">
        <f>G395*(1-FORM!$AE$28/100)</f>
        <v>28.618980000000001</v>
      </c>
      <c r="AA395" s="463"/>
      <c r="AB395" s="462"/>
      <c r="AC395" s="462"/>
      <c r="AD395" s="464"/>
      <c r="AE395" s="465"/>
    </row>
    <row r="396" spans="1:31" ht="14.4">
      <c r="B396" s="299">
        <v>9257887</v>
      </c>
      <c r="C396" s="218" t="s">
        <v>832</v>
      </c>
      <c r="D396" s="219">
        <v>200</v>
      </c>
      <c r="E396" s="392"/>
      <c r="F396" s="263"/>
      <c r="G396" s="272">
        <v>10.61486</v>
      </c>
      <c r="H396" s="133" t="str">
        <f t="shared" si="32"/>
        <v>CZK</v>
      </c>
      <c r="I396" s="411" t="s">
        <v>47</v>
      </c>
      <c r="J396" s="625" t="s">
        <v>1742</v>
      </c>
      <c r="L396" s="86" t="e">
        <f>VLOOKUP(B396,$B$11:B393,1,FALSE)</f>
        <v>#N/A</v>
      </c>
      <c r="M396" s="256">
        <f>G396*(1-FORM!$AE$28/100)</f>
        <v>10.61486</v>
      </c>
      <c r="AA396" s="463"/>
      <c r="AB396" s="462"/>
      <c r="AC396" s="462"/>
      <c r="AD396" s="464"/>
      <c r="AE396" s="465"/>
    </row>
    <row r="397" spans="1:31" ht="14.4">
      <c r="B397" s="303">
        <v>9257888</v>
      </c>
      <c r="C397" s="304" t="s">
        <v>833</v>
      </c>
      <c r="D397" s="226">
        <v>200</v>
      </c>
      <c r="E397" s="396"/>
      <c r="F397" s="268"/>
      <c r="G397" s="272">
        <v>11.40666</v>
      </c>
      <c r="H397" s="142" t="str">
        <f t="shared" ref="H397:H410" si="34">IF(G397="","",$H$10)</f>
        <v>CZK</v>
      </c>
      <c r="I397" s="417" t="s">
        <v>47</v>
      </c>
      <c r="J397" s="626" t="s">
        <v>1743</v>
      </c>
      <c r="L397" s="86" t="e">
        <f>VLOOKUP(B397,$B$11:B396,1,FALSE)</f>
        <v>#N/A</v>
      </c>
      <c r="M397" s="256">
        <f>G397*(1-FORM!$AE$28/100)</f>
        <v>11.40666</v>
      </c>
      <c r="AA397" s="463"/>
      <c r="AB397" s="462"/>
      <c r="AC397" s="462"/>
      <c r="AD397" s="464"/>
      <c r="AE397" s="465"/>
    </row>
    <row r="398" spans="1:31" ht="14.4">
      <c r="B398" s="302"/>
      <c r="C398" s="15"/>
      <c r="D398" s="221"/>
      <c r="E398" s="394"/>
      <c r="F398" s="265"/>
      <c r="G398" s="272"/>
      <c r="H398" s="136"/>
      <c r="I398" s="414" t="s">
        <v>47</v>
      </c>
      <c r="J398" s="468"/>
      <c r="L398" s="86" t="e">
        <f>VLOOKUP(B398,$B$11:B397,1,FALSE)</f>
        <v>#N/A</v>
      </c>
      <c r="M398" s="256">
        <f>G398*(1-FORM!$AE$28/100)</f>
        <v>0</v>
      </c>
      <c r="AA398" s="463"/>
      <c r="AB398" s="462"/>
      <c r="AC398" s="462"/>
      <c r="AD398" s="464"/>
      <c r="AE398" s="465"/>
    </row>
    <row r="399" spans="1:31" ht="14.4">
      <c r="A399" s="130"/>
      <c r="B399" s="424">
        <v>9353283</v>
      </c>
      <c r="C399" s="222" t="s">
        <v>1279</v>
      </c>
      <c r="D399" s="223">
        <v>1</v>
      </c>
      <c r="E399" s="395"/>
      <c r="F399" s="266"/>
      <c r="G399" s="272">
        <v>840.18591000000004</v>
      </c>
      <c r="H399" s="211" t="str">
        <f t="shared" si="34"/>
        <v>CZK</v>
      </c>
      <c r="I399" s="416" t="s">
        <v>47</v>
      </c>
      <c r="J399" s="627" t="s">
        <v>1855</v>
      </c>
      <c r="L399" s="86" t="e">
        <f>VLOOKUP(B399,$B$11:B398,1,FALSE)</f>
        <v>#N/A</v>
      </c>
      <c r="M399" s="256">
        <f>G399*(1-FORM!$AE$28/100)</f>
        <v>840.18591000000004</v>
      </c>
      <c r="AA399" s="463"/>
      <c r="AB399" s="462"/>
      <c r="AC399" s="462"/>
      <c r="AD399" s="464"/>
      <c r="AE399" s="465"/>
    </row>
    <row r="400" spans="1:31" ht="14.4">
      <c r="A400" s="130"/>
      <c r="B400" s="425">
        <v>9353284</v>
      </c>
      <c r="C400" s="216" t="s">
        <v>1280</v>
      </c>
      <c r="D400" s="217">
        <v>1</v>
      </c>
      <c r="E400" s="391"/>
      <c r="F400" s="262"/>
      <c r="G400" s="272">
        <v>852.13201000000004</v>
      </c>
      <c r="H400" s="141" t="str">
        <f t="shared" si="34"/>
        <v>CZK</v>
      </c>
      <c r="I400" s="409" t="s">
        <v>47</v>
      </c>
      <c r="J400" s="625" t="s">
        <v>1856</v>
      </c>
      <c r="L400" s="86" t="e">
        <f>VLOOKUP(B400,$B$11:B399,1,FALSE)</f>
        <v>#N/A</v>
      </c>
      <c r="M400" s="256">
        <f>G400*(1-FORM!$AE$28/100)</f>
        <v>852.13201000000004</v>
      </c>
      <c r="AA400" s="463"/>
      <c r="AB400" s="462"/>
      <c r="AC400" s="462"/>
      <c r="AD400" s="464"/>
      <c r="AE400" s="465"/>
    </row>
    <row r="401" spans="1:31" ht="14.4">
      <c r="A401" s="130"/>
      <c r="B401" s="425">
        <v>9353285</v>
      </c>
      <c r="C401" s="216" t="s">
        <v>1281</v>
      </c>
      <c r="D401" s="217">
        <v>1</v>
      </c>
      <c r="E401" s="391"/>
      <c r="F401" s="262"/>
      <c r="G401" s="272">
        <v>841.09733000000006</v>
      </c>
      <c r="H401" s="141" t="str">
        <f t="shared" si="34"/>
        <v>CZK</v>
      </c>
      <c r="I401" s="409" t="s">
        <v>47</v>
      </c>
      <c r="J401" s="625" t="s">
        <v>1857</v>
      </c>
      <c r="L401" s="86" t="e">
        <f>VLOOKUP(B401,$B$11:B400,1,FALSE)</f>
        <v>#N/A</v>
      </c>
      <c r="M401" s="256">
        <f>G401*(1-FORM!$AE$28/100)</f>
        <v>841.09733000000006</v>
      </c>
      <c r="AA401" s="463"/>
      <c r="AB401" s="462"/>
      <c r="AC401" s="462"/>
      <c r="AD401" s="464"/>
      <c r="AE401" s="465"/>
    </row>
    <row r="402" spans="1:31" ht="14.4">
      <c r="A402" s="130"/>
      <c r="B402" s="425">
        <v>9353286</v>
      </c>
      <c r="C402" s="216" t="s">
        <v>1282</v>
      </c>
      <c r="D402" s="217">
        <v>1</v>
      </c>
      <c r="E402" s="391"/>
      <c r="F402" s="262"/>
      <c r="G402" s="272">
        <v>852.72563000000002</v>
      </c>
      <c r="H402" s="141" t="str">
        <f t="shared" si="34"/>
        <v>CZK</v>
      </c>
      <c r="I402" s="409" t="s">
        <v>47</v>
      </c>
      <c r="J402" s="625" t="s">
        <v>1858</v>
      </c>
      <c r="L402" s="86" t="e">
        <f>VLOOKUP(B402,$B$11:B401,1,FALSE)</f>
        <v>#N/A</v>
      </c>
      <c r="M402" s="256">
        <f>G402*(1-FORM!$AE$28/100)</f>
        <v>852.72563000000002</v>
      </c>
      <c r="AA402" s="463"/>
      <c r="AB402" s="462"/>
      <c r="AC402" s="462"/>
      <c r="AD402" s="464"/>
      <c r="AE402" s="465"/>
    </row>
    <row r="403" spans="1:31" ht="14.4">
      <c r="A403" s="130"/>
      <c r="B403" s="425">
        <v>9353287</v>
      </c>
      <c r="C403" s="216" t="s">
        <v>1283</v>
      </c>
      <c r="D403" s="217">
        <v>1</v>
      </c>
      <c r="E403" s="391"/>
      <c r="F403" s="262"/>
      <c r="G403" s="272">
        <v>887.97243000000003</v>
      </c>
      <c r="H403" s="141" t="str">
        <f t="shared" si="34"/>
        <v>CZK</v>
      </c>
      <c r="I403" s="409" t="s">
        <v>47</v>
      </c>
      <c r="J403" s="625" t="s">
        <v>1859</v>
      </c>
      <c r="L403" s="86" t="e">
        <f>VLOOKUP(B403,$B$11:B402,1,FALSE)</f>
        <v>#N/A</v>
      </c>
      <c r="M403" s="256">
        <f>G403*(1-FORM!$AE$28/100)</f>
        <v>887.97243000000003</v>
      </c>
      <c r="AA403" s="463"/>
      <c r="AB403" s="462"/>
      <c r="AC403" s="462"/>
      <c r="AD403" s="464"/>
      <c r="AE403" s="465"/>
    </row>
    <row r="404" spans="1:31" ht="14.4">
      <c r="A404" s="130"/>
      <c r="B404" s="425">
        <v>9353288</v>
      </c>
      <c r="C404" s="216" t="s">
        <v>1284</v>
      </c>
      <c r="D404" s="217">
        <v>1</v>
      </c>
      <c r="E404" s="391"/>
      <c r="F404" s="262"/>
      <c r="G404" s="272">
        <v>905.98955999999998</v>
      </c>
      <c r="H404" s="141" t="str">
        <f t="shared" si="34"/>
        <v>CZK</v>
      </c>
      <c r="I404" s="409" t="s">
        <v>47</v>
      </c>
      <c r="J404" s="625" t="s">
        <v>1860</v>
      </c>
      <c r="L404" s="86" t="e">
        <f>VLOOKUP(B404,$B$11:B403,1,FALSE)</f>
        <v>#N/A</v>
      </c>
      <c r="M404" s="256">
        <f>G404*(1-FORM!$AE$28/100)</f>
        <v>905.98955999999998</v>
      </c>
      <c r="AA404" s="463"/>
      <c r="AB404" s="462"/>
      <c r="AC404" s="462"/>
      <c r="AD404" s="464"/>
      <c r="AE404" s="465"/>
    </row>
    <row r="405" spans="1:31" ht="14.4">
      <c r="A405" s="130"/>
      <c r="B405" s="426">
        <v>9353289</v>
      </c>
      <c r="C405" s="304" t="s">
        <v>1285</v>
      </c>
      <c r="D405" s="226">
        <v>1</v>
      </c>
      <c r="E405" s="396"/>
      <c r="F405" s="268"/>
      <c r="G405" s="272">
        <v>930.49195999999995</v>
      </c>
      <c r="H405" s="142" t="str">
        <f t="shared" si="34"/>
        <v>CZK</v>
      </c>
      <c r="I405" s="417" t="s">
        <v>47</v>
      </c>
      <c r="J405" s="626" t="s">
        <v>1861</v>
      </c>
      <c r="L405" s="86" t="e">
        <f>VLOOKUP(B405,$B$11:B404,1,FALSE)</f>
        <v>#N/A</v>
      </c>
      <c r="M405" s="256">
        <f>G405*(1-FORM!$AE$28/100)</f>
        <v>930.49195999999995</v>
      </c>
      <c r="AA405" s="463"/>
      <c r="AB405" s="462"/>
      <c r="AC405" s="462"/>
      <c r="AD405" s="464"/>
      <c r="AE405" s="465"/>
    </row>
    <row r="406" spans="1:31" ht="14.4">
      <c r="A406" s="137"/>
      <c r="B406" s="424">
        <v>9353290</v>
      </c>
      <c r="C406" s="222" t="s">
        <v>1286</v>
      </c>
      <c r="D406" s="223">
        <v>1</v>
      </c>
      <c r="E406" s="395"/>
      <c r="F406" s="266"/>
      <c r="G406" s="272">
        <v>840.18591000000004</v>
      </c>
      <c r="H406" s="211" t="str">
        <f t="shared" si="34"/>
        <v>CZK</v>
      </c>
      <c r="I406" s="416" t="s">
        <v>47</v>
      </c>
      <c r="J406" s="627" t="s">
        <v>1862</v>
      </c>
      <c r="L406" s="86" t="e">
        <f>VLOOKUP(B406,$B$11:B405,1,FALSE)</f>
        <v>#N/A</v>
      </c>
      <c r="M406" s="256">
        <f>G406*(1-FORM!$AE$28/100)</f>
        <v>840.18591000000004</v>
      </c>
      <c r="AA406" s="463"/>
      <c r="AB406" s="462"/>
      <c r="AC406" s="462"/>
      <c r="AD406" s="464"/>
      <c r="AE406" s="465"/>
    </row>
    <row r="407" spans="1:31" ht="14.4">
      <c r="A407" s="137"/>
      <c r="B407" s="425">
        <v>9353291</v>
      </c>
      <c r="C407" s="216" t="s">
        <v>1287</v>
      </c>
      <c r="D407" s="217">
        <v>1</v>
      </c>
      <c r="E407" s="391"/>
      <c r="F407" s="262"/>
      <c r="G407" s="272">
        <v>852.13201000000004</v>
      </c>
      <c r="H407" s="141" t="str">
        <f t="shared" si="34"/>
        <v>CZK</v>
      </c>
      <c r="I407" s="409" t="s">
        <v>47</v>
      </c>
      <c r="J407" s="625" t="s">
        <v>1863</v>
      </c>
      <c r="L407" s="86" t="e">
        <f>VLOOKUP(B407,$B$11:B406,1,FALSE)</f>
        <v>#N/A</v>
      </c>
      <c r="M407" s="256">
        <f>G407*(1-FORM!$AE$28/100)</f>
        <v>852.13201000000004</v>
      </c>
      <c r="AA407" s="463"/>
      <c r="AB407" s="462"/>
      <c r="AC407" s="462"/>
      <c r="AD407" s="464"/>
      <c r="AE407" s="465"/>
    </row>
    <row r="408" spans="1:31" ht="14.4">
      <c r="A408" s="137"/>
      <c r="B408" s="425">
        <v>9353292</v>
      </c>
      <c r="C408" s="216" t="s">
        <v>1288</v>
      </c>
      <c r="D408" s="217">
        <v>1</v>
      </c>
      <c r="E408" s="391"/>
      <c r="F408" s="262"/>
      <c r="G408" s="272">
        <v>841.09733000000006</v>
      </c>
      <c r="H408" s="141" t="str">
        <f t="shared" si="34"/>
        <v>CZK</v>
      </c>
      <c r="I408" s="409" t="s">
        <v>47</v>
      </c>
      <c r="J408" s="625" t="s">
        <v>1864</v>
      </c>
      <c r="L408" s="86" t="e">
        <f>VLOOKUP(B408,$B$11:B407,1,FALSE)</f>
        <v>#N/A</v>
      </c>
      <c r="M408" s="256">
        <f>G408*(1-FORM!$AE$28/100)</f>
        <v>841.09733000000006</v>
      </c>
      <c r="AA408" s="463"/>
      <c r="AB408" s="462"/>
      <c r="AC408" s="462"/>
      <c r="AD408" s="464"/>
      <c r="AE408" s="465"/>
    </row>
    <row r="409" spans="1:31" ht="14.4">
      <c r="A409" s="137"/>
      <c r="B409" s="425">
        <v>9353293</v>
      </c>
      <c r="C409" s="216" t="s">
        <v>1289</v>
      </c>
      <c r="D409" s="217">
        <v>1</v>
      </c>
      <c r="E409" s="391"/>
      <c r="F409" s="262"/>
      <c r="G409" s="272">
        <v>852.72563000000002</v>
      </c>
      <c r="H409" s="141" t="str">
        <f t="shared" si="34"/>
        <v>CZK</v>
      </c>
      <c r="I409" s="409" t="s">
        <v>47</v>
      </c>
      <c r="J409" s="625" t="s">
        <v>1865</v>
      </c>
      <c r="L409" s="86" t="e">
        <f>VLOOKUP(B409,$B$11:B408,1,FALSE)</f>
        <v>#N/A</v>
      </c>
      <c r="M409" s="256">
        <f>G409*(1-FORM!$AE$28/100)</f>
        <v>852.72563000000002</v>
      </c>
      <c r="AA409" s="463"/>
      <c r="AB409" s="462"/>
      <c r="AC409" s="462"/>
      <c r="AD409" s="464"/>
      <c r="AE409" s="465"/>
    </row>
    <row r="410" spans="1:31" ht="14.4">
      <c r="A410" s="137"/>
      <c r="B410" s="425">
        <v>9353294</v>
      </c>
      <c r="C410" s="216" t="s">
        <v>1290</v>
      </c>
      <c r="D410" s="217">
        <v>1</v>
      </c>
      <c r="E410" s="391"/>
      <c r="F410" s="262"/>
      <c r="G410" s="272">
        <v>887.97243000000003</v>
      </c>
      <c r="H410" s="141" t="str">
        <f t="shared" si="34"/>
        <v>CZK</v>
      </c>
      <c r="I410" s="409" t="s">
        <v>47</v>
      </c>
      <c r="J410" s="625" t="s">
        <v>1866</v>
      </c>
      <c r="L410" s="86" t="e">
        <f>VLOOKUP(B410,$B$11:B409,1,FALSE)</f>
        <v>#N/A</v>
      </c>
      <c r="M410" s="256">
        <f>G410*(1-FORM!$AE$28/100)</f>
        <v>887.97243000000003</v>
      </c>
      <c r="AA410" s="463"/>
      <c r="AB410" s="462"/>
      <c r="AC410" s="462"/>
      <c r="AD410" s="464"/>
      <c r="AE410" s="465"/>
    </row>
    <row r="411" spans="1:31" ht="14.4">
      <c r="A411" s="137"/>
      <c r="B411" s="425">
        <v>9353295</v>
      </c>
      <c r="C411" s="216" t="s">
        <v>1291</v>
      </c>
      <c r="D411" s="217">
        <v>1</v>
      </c>
      <c r="E411" s="391"/>
      <c r="F411" s="262"/>
      <c r="G411" s="272">
        <v>905.98955999999998</v>
      </c>
      <c r="H411" s="141" t="str">
        <f>IF(G411="","",$H$10)</f>
        <v>CZK</v>
      </c>
      <c r="I411" s="409" t="s">
        <v>47</v>
      </c>
      <c r="J411" s="625" t="s">
        <v>1867</v>
      </c>
      <c r="L411" s="86" t="e">
        <f>VLOOKUP(B411,$B$11:B410,1,FALSE)</f>
        <v>#N/A</v>
      </c>
      <c r="M411" s="256">
        <f>G411*(1-FORM!$AE$28/100)</f>
        <v>905.98955999999998</v>
      </c>
      <c r="AA411" s="463"/>
      <c r="AB411" s="462"/>
      <c r="AC411" s="462"/>
      <c r="AD411" s="464"/>
      <c r="AE411" s="465"/>
    </row>
    <row r="412" spans="1:31" ht="14.4">
      <c r="A412" s="137"/>
      <c r="B412" s="426">
        <v>9353296</v>
      </c>
      <c r="C412" s="304" t="s">
        <v>1292</v>
      </c>
      <c r="D412" s="226">
        <v>1</v>
      </c>
      <c r="E412" s="396"/>
      <c r="F412" s="268"/>
      <c r="G412" s="272">
        <v>930.49195999999995</v>
      </c>
      <c r="H412" s="142" t="str">
        <f t="shared" ref="H412:H419" si="35">IF(G412="","",$H$10)</f>
        <v>CZK</v>
      </c>
      <c r="I412" s="417" t="s">
        <v>47</v>
      </c>
      <c r="J412" s="626" t="s">
        <v>1868</v>
      </c>
      <c r="L412" s="86" t="e">
        <f>VLOOKUP(B412,$B$11:B411,1,FALSE)</f>
        <v>#N/A</v>
      </c>
      <c r="M412" s="256">
        <f>G412*(1-FORM!$AE$28/100)</f>
        <v>930.49195999999995</v>
      </c>
      <c r="AA412" s="463"/>
      <c r="AB412" s="462"/>
      <c r="AC412" s="462"/>
      <c r="AD412" s="464"/>
      <c r="AE412" s="465"/>
    </row>
    <row r="413" spans="1:31" ht="14.4">
      <c r="A413" s="139"/>
      <c r="B413" s="424">
        <v>9353297</v>
      </c>
      <c r="C413" s="222" t="s">
        <v>1293</v>
      </c>
      <c r="D413" s="223">
        <v>1</v>
      </c>
      <c r="E413" s="395"/>
      <c r="F413" s="266"/>
      <c r="G413" s="272">
        <v>840.18591000000004</v>
      </c>
      <c r="H413" s="211" t="str">
        <f t="shared" si="35"/>
        <v>CZK</v>
      </c>
      <c r="I413" s="416" t="s">
        <v>47</v>
      </c>
      <c r="J413" s="627" t="s">
        <v>1869</v>
      </c>
      <c r="L413" s="86" t="e">
        <f>VLOOKUP(B413,$B$11:B412,1,FALSE)</f>
        <v>#N/A</v>
      </c>
      <c r="M413" s="256">
        <f>G413*(1-FORM!$AE$28/100)</f>
        <v>840.18591000000004</v>
      </c>
      <c r="AA413" s="463"/>
      <c r="AB413" s="462"/>
      <c r="AC413" s="462"/>
      <c r="AD413" s="464"/>
      <c r="AE413" s="465"/>
    </row>
    <row r="414" spans="1:31" ht="14.4">
      <c r="A414" s="139"/>
      <c r="B414" s="425">
        <v>9353298</v>
      </c>
      <c r="C414" s="216" t="s">
        <v>1294</v>
      </c>
      <c r="D414" s="217">
        <v>1</v>
      </c>
      <c r="E414" s="391"/>
      <c r="F414" s="262"/>
      <c r="G414" s="272">
        <v>852.13201000000004</v>
      </c>
      <c r="H414" s="141" t="str">
        <f t="shared" si="35"/>
        <v>CZK</v>
      </c>
      <c r="I414" s="409" t="s">
        <v>47</v>
      </c>
      <c r="J414" s="625" t="s">
        <v>1870</v>
      </c>
      <c r="L414" s="86" t="e">
        <f>VLOOKUP(B414,$B$11:B413,1,FALSE)</f>
        <v>#N/A</v>
      </c>
      <c r="M414" s="256">
        <f>G414*(1-FORM!$AE$28/100)</f>
        <v>852.13201000000004</v>
      </c>
      <c r="AA414" s="463"/>
      <c r="AB414" s="462"/>
      <c r="AC414" s="462"/>
      <c r="AD414" s="464"/>
      <c r="AE414" s="465"/>
    </row>
    <row r="415" spans="1:31" ht="14.4">
      <c r="A415" s="139"/>
      <c r="B415" s="425">
        <v>9353299</v>
      </c>
      <c r="C415" s="216" t="s">
        <v>1295</v>
      </c>
      <c r="D415" s="217">
        <v>1</v>
      </c>
      <c r="E415" s="391"/>
      <c r="F415" s="262"/>
      <c r="G415" s="272">
        <v>841.09733000000006</v>
      </c>
      <c r="H415" s="141" t="str">
        <f t="shared" si="35"/>
        <v>CZK</v>
      </c>
      <c r="I415" s="409" t="s">
        <v>47</v>
      </c>
      <c r="J415" s="625" t="s">
        <v>1871</v>
      </c>
      <c r="L415" s="86" t="e">
        <f>VLOOKUP(B415,$B$11:B414,1,FALSE)</f>
        <v>#N/A</v>
      </c>
      <c r="M415" s="256">
        <f>G415*(1-FORM!$AE$28/100)</f>
        <v>841.09733000000006</v>
      </c>
      <c r="AA415" s="463"/>
      <c r="AB415" s="462"/>
      <c r="AC415" s="462"/>
      <c r="AD415" s="464"/>
      <c r="AE415" s="465"/>
    </row>
    <row r="416" spans="1:31" ht="14.4">
      <c r="A416" s="139"/>
      <c r="B416" s="425">
        <v>9353300</v>
      </c>
      <c r="C416" s="216" t="s">
        <v>1296</v>
      </c>
      <c r="D416" s="217">
        <v>1</v>
      </c>
      <c r="E416" s="391"/>
      <c r="F416" s="262"/>
      <c r="G416" s="272">
        <v>852.72563000000002</v>
      </c>
      <c r="H416" s="141" t="str">
        <f t="shared" si="35"/>
        <v>CZK</v>
      </c>
      <c r="I416" s="409" t="s">
        <v>47</v>
      </c>
      <c r="J416" s="625" t="s">
        <v>1872</v>
      </c>
      <c r="L416" s="86" t="e">
        <f>VLOOKUP(B416,$B$11:B415,1,FALSE)</f>
        <v>#N/A</v>
      </c>
      <c r="M416" s="256">
        <f>G416*(1-FORM!$AE$28/100)</f>
        <v>852.72563000000002</v>
      </c>
      <c r="AA416" s="463"/>
      <c r="AB416" s="462"/>
      <c r="AC416" s="462"/>
      <c r="AD416" s="464"/>
      <c r="AE416" s="465"/>
    </row>
    <row r="417" spans="1:31" ht="14.4">
      <c r="A417" s="139"/>
      <c r="B417" s="425">
        <v>9353301</v>
      </c>
      <c r="C417" s="216" t="s">
        <v>1297</v>
      </c>
      <c r="D417" s="217">
        <v>1</v>
      </c>
      <c r="E417" s="391"/>
      <c r="F417" s="262"/>
      <c r="G417" s="272">
        <v>887.97243000000003</v>
      </c>
      <c r="H417" s="141" t="str">
        <f t="shared" si="35"/>
        <v>CZK</v>
      </c>
      <c r="I417" s="409" t="s">
        <v>47</v>
      </c>
      <c r="J417" s="625" t="s">
        <v>1873</v>
      </c>
      <c r="L417" s="86" t="e">
        <f>VLOOKUP(B417,$B$11:B416,1,FALSE)</f>
        <v>#N/A</v>
      </c>
      <c r="M417" s="256">
        <f>G417*(1-FORM!$AE$28/100)</f>
        <v>887.97243000000003</v>
      </c>
      <c r="AA417" s="463"/>
      <c r="AB417" s="462"/>
      <c r="AC417" s="462"/>
      <c r="AD417" s="464"/>
      <c r="AE417" s="465"/>
    </row>
    <row r="418" spans="1:31" ht="14.4">
      <c r="A418" s="139"/>
      <c r="B418" s="425">
        <v>9353302</v>
      </c>
      <c r="C418" s="216" t="s">
        <v>1298</v>
      </c>
      <c r="D418" s="217">
        <v>1</v>
      </c>
      <c r="E418" s="391"/>
      <c r="F418" s="262"/>
      <c r="G418" s="272">
        <v>905.98955999999998</v>
      </c>
      <c r="H418" s="141" t="str">
        <f t="shared" si="35"/>
        <v>CZK</v>
      </c>
      <c r="I418" s="409" t="s">
        <v>47</v>
      </c>
      <c r="J418" s="625" t="s">
        <v>1874</v>
      </c>
      <c r="L418" s="86" t="e">
        <f>VLOOKUP(B418,$B$11:B417,1,FALSE)</f>
        <v>#N/A</v>
      </c>
      <c r="M418" s="256">
        <f>G418*(1-FORM!$AE$28/100)</f>
        <v>905.98955999999998</v>
      </c>
      <c r="AA418" s="463"/>
      <c r="AB418" s="462"/>
      <c r="AC418" s="462"/>
      <c r="AD418" s="464"/>
      <c r="AE418" s="465"/>
    </row>
    <row r="419" spans="1:31" ht="14.4">
      <c r="A419" s="139"/>
      <c r="B419" s="426">
        <v>9353303</v>
      </c>
      <c r="C419" s="304" t="s">
        <v>1299</v>
      </c>
      <c r="D419" s="226">
        <v>1</v>
      </c>
      <c r="E419" s="396"/>
      <c r="F419" s="268"/>
      <c r="G419" s="272">
        <v>930.49195999999995</v>
      </c>
      <c r="H419" s="142" t="str">
        <f t="shared" si="35"/>
        <v>CZK</v>
      </c>
      <c r="I419" s="417" t="s">
        <v>47</v>
      </c>
      <c r="J419" s="626" t="s">
        <v>1875</v>
      </c>
      <c r="L419" s="86" t="e">
        <f>VLOOKUP(B419,$B$11:B418,1,FALSE)</f>
        <v>#N/A</v>
      </c>
      <c r="M419" s="256">
        <f>G419*(1-FORM!$AE$28/100)</f>
        <v>930.49195999999995</v>
      </c>
      <c r="AA419" s="463"/>
      <c r="AB419" s="462"/>
      <c r="AC419" s="462"/>
      <c r="AD419" s="464"/>
      <c r="AE419" s="465"/>
    </row>
    <row r="420" spans="1:31" ht="14.4">
      <c r="A420" s="130"/>
      <c r="B420" s="301">
        <v>9257131</v>
      </c>
      <c r="C420" s="222" t="s">
        <v>834</v>
      </c>
      <c r="D420" s="223">
        <v>10</v>
      </c>
      <c r="E420" s="395"/>
      <c r="F420" s="266"/>
      <c r="G420" s="272">
        <v>380.11588</v>
      </c>
      <c r="H420" s="211" t="str">
        <f>IF(G420="","",$H$10)</f>
        <v>CZK</v>
      </c>
      <c r="I420" s="416" t="s">
        <v>47</v>
      </c>
      <c r="J420" s="627" t="s">
        <v>1645</v>
      </c>
      <c r="L420" s="86" t="e">
        <f>VLOOKUP(B420,$B$11:B419,1,FALSE)</f>
        <v>#N/A</v>
      </c>
      <c r="M420" s="256">
        <f>G420*(1-FORM!$AE$28/100)</f>
        <v>380.11588</v>
      </c>
      <c r="AA420" s="463"/>
      <c r="AB420" s="462"/>
      <c r="AC420" s="462"/>
      <c r="AD420" s="464"/>
      <c r="AE420" s="465"/>
    </row>
    <row r="421" spans="1:31" ht="14.4">
      <c r="A421" s="130"/>
      <c r="B421" s="298">
        <v>9257132</v>
      </c>
      <c r="C421" s="216" t="s">
        <v>835</v>
      </c>
      <c r="D421" s="217">
        <v>10</v>
      </c>
      <c r="E421" s="391"/>
      <c r="F421" s="262"/>
      <c r="G421" s="272">
        <v>380.11588</v>
      </c>
      <c r="H421" s="141" t="str">
        <f>IF(G421="","",$H$10)</f>
        <v>CZK</v>
      </c>
      <c r="I421" s="409" t="s">
        <v>47</v>
      </c>
      <c r="J421" s="625" t="s">
        <v>1646</v>
      </c>
      <c r="L421" s="86" t="e">
        <f>VLOOKUP(B421,$B$11:B420,1,FALSE)</f>
        <v>#N/A</v>
      </c>
      <c r="M421" s="256">
        <f>G421*(1-FORM!$AE$28/100)</f>
        <v>380.11588</v>
      </c>
      <c r="AA421" s="463"/>
      <c r="AB421" s="462"/>
      <c r="AC421" s="462"/>
      <c r="AD421" s="464"/>
      <c r="AE421" s="465"/>
    </row>
    <row r="422" spans="1:31" ht="14.4">
      <c r="A422" s="130"/>
      <c r="B422" s="298">
        <v>9257133</v>
      </c>
      <c r="C422" s="216" t="s">
        <v>836</v>
      </c>
      <c r="D422" s="217">
        <v>10</v>
      </c>
      <c r="E422" s="391"/>
      <c r="F422" s="262"/>
      <c r="G422" s="272">
        <v>386.98174</v>
      </c>
      <c r="H422" s="141" t="str">
        <f t="shared" ref="H422:H448" si="36">IF(G422="","",$H$10)</f>
        <v>CZK</v>
      </c>
      <c r="I422" s="409" t="s">
        <v>47</v>
      </c>
      <c r="J422" s="625" t="s">
        <v>1647</v>
      </c>
      <c r="L422" s="86" t="e">
        <f>VLOOKUP(B422,$B$11:B421,1,FALSE)</f>
        <v>#N/A</v>
      </c>
      <c r="M422" s="256">
        <f>G422*(1-FORM!$AE$28/100)</f>
        <v>386.98174</v>
      </c>
      <c r="AA422" s="463"/>
      <c r="AB422" s="462"/>
      <c r="AC422" s="462"/>
      <c r="AD422" s="464"/>
      <c r="AE422" s="465"/>
    </row>
    <row r="423" spans="1:31" ht="14.4">
      <c r="A423" s="130"/>
      <c r="B423" s="298">
        <v>9257134</v>
      </c>
      <c r="C423" s="216" t="s">
        <v>837</v>
      </c>
      <c r="D423" s="217">
        <v>10</v>
      </c>
      <c r="E423" s="391"/>
      <c r="F423" s="262"/>
      <c r="G423" s="272">
        <v>386.98174</v>
      </c>
      <c r="H423" s="141" t="str">
        <f t="shared" si="36"/>
        <v>CZK</v>
      </c>
      <c r="I423" s="409" t="s">
        <v>47</v>
      </c>
      <c r="J423" s="625" t="s">
        <v>1648</v>
      </c>
      <c r="L423" s="86" t="e">
        <f>VLOOKUP(B423,$B$11:B422,1,FALSE)</f>
        <v>#N/A</v>
      </c>
      <c r="M423" s="256">
        <f>G423*(1-FORM!$AE$28/100)</f>
        <v>386.98174</v>
      </c>
      <c r="AA423" s="463"/>
      <c r="AB423" s="462"/>
      <c r="AC423" s="462"/>
      <c r="AD423" s="464"/>
      <c r="AE423" s="465"/>
    </row>
    <row r="424" spans="1:31" ht="14.4">
      <c r="A424" s="130"/>
      <c r="B424" s="298">
        <v>9257135</v>
      </c>
      <c r="C424" s="216" t="s">
        <v>838</v>
      </c>
      <c r="D424" s="217">
        <v>10</v>
      </c>
      <c r="E424" s="391"/>
      <c r="F424" s="262"/>
      <c r="G424" s="272">
        <v>393.85784000000001</v>
      </c>
      <c r="H424" s="141" t="str">
        <f t="shared" si="36"/>
        <v>CZK</v>
      </c>
      <c r="I424" s="409" t="s">
        <v>47</v>
      </c>
      <c r="J424" s="625" t="s">
        <v>1649</v>
      </c>
      <c r="L424" s="86" t="e">
        <f>VLOOKUP(B424,$B$11:B423,1,FALSE)</f>
        <v>#N/A</v>
      </c>
      <c r="M424" s="256">
        <f>G424*(1-FORM!$AE$28/100)</f>
        <v>393.85784000000001</v>
      </c>
      <c r="AA424" s="463"/>
      <c r="AB424" s="462"/>
      <c r="AC424" s="462"/>
      <c r="AD424" s="464"/>
      <c r="AE424" s="465"/>
    </row>
    <row r="425" spans="1:31" ht="14.4">
      <c r="A425" s="130"/>
      <c r="B425" s="298">
        <v>9257136</v>
      </c>
      <c r="C425" s="216" t="s">
        <v>839</v>
      </c>
      <c r="D425" s="217">
        <v>10</v>
      </c>
      <c r="E425" s="391"/>
      <c r="F425" s="262"/>
      <c r="G425" s="272">
        <v>393.85784000000001</v>
      </c>
      <c r="H425" s="141" t="str">
        <f t="shared" si="36"/>
        <v>CZK</v>
      </c>
      <c r="I425" s="409" t="s">
        <v>47</v>
      </c>
      <c r="J425" s="625" t="s">
        <v>1650</v>
      </c>
      <c r="L425" s="86" t="e">
        <f>VLOOKUP(B425,$B$11:B424,1,FALSE)</f>
        <v>#N/A</v>
      </c>
      <c r="M425" s="256">
        <f>G425*(1-FORM!$AE$28/100)</f>
        <v>393.85784000000001</v>
      </c>
      <c r="AA425" s="463"/>
      <c r="AB425" s="462"/>
      <c r="AC425" s="462"/>
      <c r="AD425" s="464"/>
      <c r="AE425" s="465"/>
    </row>
    <row r="426" spans="1:31" ht="14.4">
      <c r="A426" s="130"/>
      <c r="B426" s="298">
        <v>9257137</v>
      </c>
      <c r="C426" s="216" t="s">
        <v>840</v>
      </c>
      <c r="D426" s="217">
        <v>10</v>
      </c>
      <c r="E426" s="391"/>
      <c r="F426" s="262"/>
      <c r="G426" s="272">
        <v>390.06617</v>
      </c>
      <c r="H426" s="141" t="str">
        <f t="shared" si="36"/>
        <v>CZK</v>
      </c>
      <c r="I426" s="409" t="s">
        <v>47</v>
      </c>
      <c r="J426" s="625" t="s">
        <v>1651</v>
      </c>
      <c r="L426" s="86" t="e">
        <f>VLOOKUP(B426,$B$11:B425,1,FALSE)</f>
        <v>#N/A</v>
      </c>
      <c r="M426" s="256">
        <f>G426*(1-FORM!$AE$28/100)</f>
        <v>390.06617</v>
      </c>
      <c r="AA426" s="463"/>
      <c r="AB426" s="462"/>
      <c r="AC426" s="462"/>
      <c r="AD426" s="464"/>
      <c r="AE426" s="465"/>
    </row>
    <row r="427" spans="1:31" ht="14.4">
      <c r="A427" s="130"/>
      <c r="B427" s="298">
        <v>9257138</v>
      </c>
      <c r="C427" s="216" t="s">
        <v>841</v>
      </c>
      <c r="D427" s="217">
        <v>10</v>
      </c>
      <c r="E427" s="391"/>
      <c r="F427" s="262"/>
      <c r="G427" s="272">
        <v>390.06617</v>
      </c>
      <c r="H427" s="141" t="str">
        <f t="shared" si="36"/>
        <v>CZK</v>
      </c>
      <c r="I427" s="409" t="s">
        <v>47</v>
      </c>
      <c r="J427" s="625" t="s">
        <v>1652</v>
      </c>
      <c r="L427" s="86" t="e">
        <f>VLOOKUP(B427,$B$11:B426,1,FALSE)</f>
        <v>#N/A</v>
      </c>
      <c r="M427" s="256">
        <f>G427*(1-FORM!$AE$28/100)</f>
        <v>390.06617</v>
      </c>
      <c r="AA427" s="463"/>
      <c r="AB427" s="462"/>
      <c r="AC427" s="462"/>
      <c r="AD427" s="464"/>
      <c r="AE427" s="465"/>
    </row>
    <row r="428" spans="1:31" ht="14.4">
      <c r="A428" s="130"/>
      <c r="B428" s="298">
        <v>9257139</v>
      </c>
      <c r="C428" s="216" t="s">
        <v>842</v>
      </c>
      <c r="D428" s="217">
        <v>10</v>
      </c>
      <c r="E428" s="391"/>
      <c r="F428" s="262"/>
      <c r="G428" s="272">
        <v>407.58967999999999</v>
      </c>
      <c r="H428" s="141" t="str">
        <f>IF(G428="","",$H$10)</f>
        <v>CZK</v>
      </c>
      <c r="I428" s="409" t="s">
        <v>47</v>
      </c>
      <c r="J428" s="625" t="s">
        <v>1653</v>
      </c>
      <c r="L428" s="86" t="e">
        <f>VLOOKUP(B428,$B$11:B427,1,FALSE)</f>
        <v>#N/A</v>
      </c>
      <c r="M428" s="256">
        <f>G428*(1-FORM!$AE$28/100)</f>
        <v>407.58967999999999</v>
      </c>
      <c r="AA428" s="463"/>
      <c r="AB428" s="462"/>
      <c r="AC428" s="462"/>
      <c r="AD428" s="464"/>
      <c r="AE428" s="465"/>
    </row>
    <row r="429" spans="1:31" ht="14.4">
      <c r="A429" s="130"/>
      <c r="B429" s="298">
        <v>9257140</v>
      </c>
      <c r="C429" s="216" t="s">
        <v>843</v>
      </c>
      <c r="D429" s="217">
        <v>10</v>
      </c>
      <c r="E429" s="391"/>
      <c r="F429" s="262"/>
      <c r="G429" s="272">
        <v>407.58967999999999</v>
      </c>
      <c r="H429" s="141" t="str">
        <f>IF(G429="","",$H$10)</f>
        <v>CZK</v>
      </c>
      <c r="I429" s="409" t="s">
        <v>47</v>
      </c>
      <c r="J429" s="625" t="s">
        <v>1654</v>
      </c>
      <c r="L429" s="86" t="e">
        <f>VLOOKUP(B429,$B$11:B428,1,FALSE)</f>
        <v>#N/A</v>
      </c>
      <c r="M429" s="256">
        <f>G429*(1-FORM!$AE$28/100)</f>
        <v>407.58967999999999</v>
      </c>
      <c r="AA429" s="463"/>
      <c r="AB429" s="462"/>
      <c r="AC429" s="462"/>
      <c r="AD429" s="464"/>
      <c r="AE429" s="465"/>
    </row>
    <row r="430" spans="1:31" ht="14.4">
      <c r="A430" s="130"/>
      <c r="B430" s="298">
        <v>9257141</v>
      </c>
      <c r="C430" s="216" t="s">
        <v>844</v>
      </c>
      <c r="D430" s="217">
        <v>10</v>
      </c>
      <c r="E430" s="391"/>
      <c r="F430" s="262"/>
      <c r="G430" s="272">
        <v>417.95686000000001</v>
      </c>
      <c r="H430" s="141" t="str">
        <f t="shared" si="36"/>
        <v>CZK</v>
      </c>
      <c r="I430" s="409" t="s">
        <v>47</v>
      </c>
      <c r="J430" s="625" t="s">
        <v>1655</v>
      </c>
      <c r="L430" s="86" t="e">
        <f>VLOOKUP(B430,$B$11:B429,1,FALSE)</f>
        <v>#N/A</v>
      </c>
      <c r="M430" s="256">
        <f>G430*(1-FORM!$AE$28/100)</f>
        <v>417.95686000000001</v>
      </c>
      <c r="AA430" s="463"/>
      <c r="AB430" s="462"/>
      <c r="AC430" s="462"/>
      <c r="AD430" s="464"/>
      <c r="AE430" s="465"/>
    </row>
    <row r="431" spans="1:31" ht="14.4">
      <c r="A431" s="130"/>
      <c r="B431" s="298">
        <v>9257142</v>
      </c>
      <c r="C431" s="216" t="s">
        <v>845</v>
      </c>
      <c r="D431" s="217">
        <v>10</v>
      </c>
      <c r="E431" s="391"/>
      <c r="F431" s="262"/>
      <c r="G431" s="272">
        <v>417.95686000000001</v>
      </c>
      <c r="H431" s="141" t="str">
        <f t="shared" si="36"/>
        <v>CZK</v>
      </c>
      <c r="I431" s="409" t="s">
        <v>47</v>
      </c>
      <c r="J431" s="625" t="s">
        <v>1656</v>
      </c>
      <c r="L431" s="86" t="e">
        <f>VLOOKUP(B431,$B$11:B430,1,FALSE)</f>
        <v>#N/A</v>
      </c>
      <c r="M431" s="256">
        <f>G431*(1-FORM!$AE$28/100)</f>
        <v>417.95686000000001</v>
      </c>
      <c r="AA431" s="463"/>
      <c r="AB431" s="462"/>
      <c r="AC431" s="462"/>
      <c r="AD431" s="464"/>
      <c r="AE431" s="465"/>
    </row>
    <row r="432" spans="1:31" ht="14.4">
      <c r="A432" s="130"/>
      <c r="B432" s="298">
        <v>9257143</v>
      </c>
      <c r="C432" s="216" t="s">
        <v>846</v>
      </c>
      <c r="D432" s="217">
        <v>10</v>
      </c>
      <c r="E432" s="391"/>
      <c r="F432" s="262"/>
      <c r="G432" s="272">
        <v>432.04088000000002</v>
      </c>
      <c r="H432" s="141" t="str">
        <f t="shared" si="36"/>
        <v>CZK</v>
      </c>
      <c r="I432" s="409" t="s">
        <v>47</v>
      </c>
      <c r="J432" s="625" t="s">
        <v>1657</v>
      </c>
      <c r="L432" s="86" t="e">
        <f>VLOOKUP(B432,$B$11:B431,1,FALSE)</f>
        <v>#N/A</v>
      </c>
      <c r="M432" s="256">
        <f>G432*(1-FORM!$AE$28/100)</f>
        <v>432.04088000000002</v>
      </c>
      <c r="AA432" s="463"/>
      <c r="AB432" s="462"/>
      <c r="AC432" s="462"/>
      <c r="AD432" s="464"/>
      <c r="AE432" s="465"/>
    </row>
    <row r="433" spans="1:31" ht="14.4">
      <c r="A433" s="130"/>
      <c r="B433" s="303">
        <v>9257144</v>
      </c>
      <c r="C433" s="304" t="s">
        <v>847</v>
      </c>
      <c r="D433" s="226">
        <v>10</v>
      </c>
      <c r="E433" s="396"/>
      <c r="F433" s="268"/>
      <c r="G433" s="272">
        <v>432.04088000000002</v>
      </c>
      <c r="H433" s="142" t="str">
        <f t="shared" si="36"/>
        <v>CZK</v>
      </c>
      <c r="I433" s="417" t="s">
        <v>47</v>
      </c>
      <c r="J433" s="626" t="s">
        <v>1658</v>
      </c>
      <c r="L433" s="86" t="e">
        <f>VLOOKUP(B433,$B$11:B432,1,FALSE)</f>
        <v>#N/A</v>
      </c>
      <c r="M433" s="256">
        <f>G433*(1-FORM!$AE$28/100)</f>
        <v>432.04088000000002</v>
      </c>
      <c r="AA433" s="463"/>
      <c r="AB433" s="462"/>
      <c r="AC433" s="462"/>
      <c r="AD433" s="464"/>
      <c r="AE433" s="465"/>
    </row>
    <row r="434" spans="1:31" ht="14.4">
      <c r="A434" s="137"/>
      <c r="B434" s="301">
        <v>9257145</v>
      </c>
      <c r="C434" s="222" t="s">
        <v>848</v>
      </c>
      <c r="D434" s="223">
        <v>10</v>
      </c>
      <c r="E434" s="395"/>
      <c r="F434" s="266"/>
      <c r="G434" s="272">
        <v>380.11588</v>
      </c>
      <c r="H434" s="211" t="str">
        <f t="shared" si="36"/>
        <v>CZK</v>
      </c>
      <c r="I434" s="416" t="s">
        <v>47</v>
      </c>
      <c r="J434" s="627" t="s">
        <v>1659</v>
      </c>
      <c r="L434" s="86" t="e">
        <f>VLOOKUP(B434,$B$11:B433,1,FALSE)</f>
        <v>#N/A</v>
      </c>
      <c r="M434" s="256">
        <f>G434*(1-FORM!$AE$28/100)</f>
        <v>380.11588</v>
      </c>
      <c r="AA434" s="463"/>
      <c r="AB434" s="462"/>
      <c r="AC434" s="462"/>
      <c r="AD434" s="464"/>
      <c r="AE434" s="465"/>
    </row>
    <row r="435" spans="1:31" ht="14.4">
      <c r="A435" s="137"/>
      <c r="B435" s="298">
        <v>9257146</v>
      </c>
      <c r="C435" s="216" t="s">
        <v>849</v>
      </c>
      <c r="D435" s="217">
        <v>10</v>
      </c>
      <c r="E435" s="391"/>
      <c r="F435" s="262"/>
      <c r="G435" s="272">
        <v>380.11588</v>
      </c>
      <c r="H435" s="141" t="str">
        <f t="shared" si="36"/>
        <v>CZK</v>
      </c>
      <c r="I435" s="409" t="s">
        <v>47</v>
      </c>
      <c r="J435" s="625" t="s">
        <v>1660</v>
      </c>
      <c r="L435" s="86" t="e">
        <f>VLOOKUP(B435,$B$11:B434,1,FALSE)</f>
        <v>#N/A</v>
      </c>
      <c r="M435" s="256">
        <f>G435*(1-FORM!$AE$28/100)</f>
        <v>380.11588</v>
      </c>
      <c r="AA435" s="463"/>
      <c r="AB435" s="462"/>
      <c r="AC435" s="462"/>
      <c r="AD435" s="464"/>
      <c r="AE435" s="465"/>
    </row>
    <row r="436" spans="1:31" ht="14.4">
      <c r="A436" s="137"/>
      <c r="B436" s="298">
        <v>9257147</v>
      </c>
      <c r="C436" s="216" t="s">
        <v>850</v>
      </c>
      <c r="D436" s="217">
        <v>10</v>
      </c>
      <c r="E436" s="391"/>
      <c r="F436" s="262"/>
      <c r="G436" s="272">
        <v>386.98174</v>
      </c>
      <c r="H436" s="141" t="str">
        <f t="shared" si="36"/>
        <v>CZK</v>
      </c>
      <c r="I436" s="409" t="s">
        <v>47</v>
      </c>
      <c r="J436" s="625" t="s">
        <v>1661</v>
      </c>
      <c r="L436" s="86" t="e">
        <f>VLOOKUP(B436,$B$11:B435,1,FALSE)</f>
        <v>#N/A</v>
      </c>
      <c r="M436" s="256">
        <f>G436*(1-FORM!$AE$28/100)</f>
        <v>386.98174</v>
      </c>
      <c r="AA436" s="463"/>
      <c r="AB436" s="462"/>
      <c r="AC436" s="462"/>
      <c r="AD436" s="464"/>
      <c r="AE436" s="465"/>
    </row>
    <row r="437" spans="1:31" ht="14.4">
      <c r="A437" s="137"/>
      <c r="B437" s="298">
        <v>9257148</v>
      </c>
      <c r="C437" s="216" t="s">
        <v>851</v>
      </c>
      <c r="D437" s="217">
        <v>10</v>
      </c>
      <c r="E437" s="391"/>
      <c r="F437" s="262"/>
      <c r="G437" s="272">
        <v>386.98174</v>
      </c>
      <c r="H437" s="141" t="str">
        <f t="shared" si="36"/>
        <v>CZK</v>
      </c>
      <c r="I437" s="409" t="s">
        <v>47</v>
      </c>
      <c r="J437" s="625" t="s">
        <v>1662</v>
      </c>
      <c r="L437" s="86" t="e">
        <f>VLOOKUP(B437,$B$11:B436,1,FALSE)</f>
        <v>#N/A</v>
      </c>
      <c r="M437" s="256">
        <f>G437*(1-FORM!$AE$28/100)</f>
        <v>386.98174</v>
      </c>
      <c r="AA437" s="463"/>
      <c r="AB437" s="462"/>
      <c r="AC437" s="462"/>
      <c r="AD437" s="464"/>
      <c r="AE437" s="465"/>
    </row>
    <row r="438" spans="1:31" ht="14.4">
      <c r="A438" s="137"/>
      <c r="B438" s="298">
        <v>9257149</v>
      </c>
      <c r="C438" s="216" t="s">
        <v>852</v>
      </c>
      <c r="D438" s="217">
        <v>10</v>
      </c>
      <c r="E438" s="391"/>
      <c r="F438" s="262"/>
      <c r="G438" s="272">
        <v>393.85784000000001</v>
      </c>
      <c r="H438" s="141" t="str">
        <f t="shared" si="36"/>
        <v>CZK</v>
      </c>
      <c r="I438" s="409" t="s">
        <v>47</v>
      </c>
      <c r="J438" s="625" t="s">
        <v>1663</v>
      </c>
      <c r="L438" s="86" t="e">
        <f>VLOOKUP(B438,$B$11:B437,1,FALSE)</f>
        <v>#N/A</v>
      </c>
      <c r="M438" s="256">
        <f>G438*(1-FORM!$AE$28/100)</f>
        <v>393.85784000000001</v>
      </c>
      <c r="AA438" s="463"/>
      <c r="AB438" s="462"/>
      <c r="AC438" s="462"/>
      <c r="AD438" s="464"/>
      <c r="AE438" s="465"/>
    </row>
    <row r="439" spans="1:31" ht="14.4">
      <c r="A439" s="137"/>
      <c r="B439" s="298">
        <v>9257150</v>
      </c>
      <c r="C439" s="216" t="s">
        <v>853</v>
      </c>
      <c r="D439" s="217">
        <v>10</v>
      </c>
      <c r="E439" s="391"/>
      <c r="F439" s="262"/>
      <c r="G439" s="272">
        <v>393.85784000000001</v>
      </c>
      <c r="H439" s="141" t="str">
        <f t="shared" si="36"/>
        <v>CZK</v>
      </c>
      <c r="I439" s="409" t="s">
        <v>47</v>
      </c>
      <c r="J439" s="625" t="s">
        <v>1664</v>
      </c>
      <c r="L439" s="86" t="e">
        <f>VLOOKUP(B439,$B$11:B438,1,FALSE)</f>
        <v>#N/A</v>
      </c>
      <c r="M439" s="256">
        <f>G439*(1-FORM!$AE$28/100)</f>
        <v>393.85784000000001</v>
      </c>
      <c r="AA439" s="463"/>
      <c r="AB439" s="462"/>
      <c r="AC439" s="462"/>
      <c r="AD439" s="464"/>
      <c r="AE439" s="465"/>
    </row>
    <row r="440" spans="1:31" ht="14.4">
      <c r="A440" s="137"/>
      <c r="B440" s="298">
        <v>9257151</v>
      </c>
      <c r="C440" s="216" t="s">
        <v>854</v>
      </c>
      <c r="D440" s="217">
        <v>10</v>
      </c>
      <c r="E440" s="391"/>
      <c r="F440" s="262"/>
      <c r="G440" s="272">
        <v>390.06617</v>
      </c>
      <c r="H440" s="141" t="str">
        <f t="shared" si="36"/>
        <v>CZK</v>
      </c>
      <c r="I440" s="409" t="s">
        <v>47</v>
      </c>
      <c r="J440" s="625" t="s">
        <v>1665</v>
      </c>
      <c r="L440" s="86" t="e">
        <f>VLOOKUP(B440,$B$11:B439,1,FALSE)</f>
        <v>#N/A</v>
      </c>
      <c r="M440" s="256">
        <f>G440*(1-FORM!$AE$28/100)</f>
        <v>390.06617</v>
      </c>
      <c r="AA440" s="463"/>
      <c r="AB440" s="462"/>
      <c r="AC440" s="462"/>
      <c r="AD440" s="464"/>
      <c r="AE440" s="465"/>
    </row>
    <row r="441" spans="1:31" ht="14.4">
      <c r="A441" s="137"/>
      <c r="B441" s="298">
        <v>9257152</v>
      </c>
      <c r="C441" s="216" t="s">
        <v>855</v>
      </c>
      <c r="D441" s="217">
        <v>10</v>
      </c>
      <c r="E441" s="391"/>
      <c r="F441" s="262"/>
      <c r="G441" s="272">
        <v>390.06617</v>
      </c>
      <c r="H441" s="141" t="str">
        <f t="shared" si="36"/>
        <v>CZK</v>
      </c>
      <c r="I441" s="409" t="s">
        <v>47</v>
      </c>
      <c r="J441" s="625" t="s">
        <v>1666</v>
      </c>
      <c r="L441" s="86" t="e">
        <f>VLOOKUP(B441,$B$11:B440,1,FALSE)</f>
        <v>#N/A</v>
      </c>
      <c r="M441" s="256">
        <f>G441*(1-FORM!$AE$28/100)</f>
        <v>390.06617</v>
      </c>
      <c r="AA441" s="463"/>
      <c r="AB441" s="462"/>
      <c r="AC441" s="462"/>
      <c r="AD441" s="464"/>
      <c r="AE441" s="465"/>
    </row>
    <row r="442" spans="1:31" ht="14.4">
      <c r="A442" s="137"/>
      <c r="B442" s="298">
        <v>9257153</v>
      </c>
      <c r="C442" s="216" t="s">
        <v>856</v>
      </c>
      <c r="D442" s="217">
        <v>10</v>
      </c>
      <c r="E442" s="391"/>
      <c r="F442" s="262"/>
      <c r="G442" s="272">
        <v>407.58967999999999</v>
      </c>
      <c r="H442" s="141" t="str">
        <f t="shared" si="36"/>
        <v>CZK</v>
      </c>
      <c r="I442" s="409" t="s">
        <v>47</v>
      </c>
      <c r="J442" s="625" t="s">
        <v>1667</v>
      </c>
      <c r="L442" s="86" t="e">
        <f>VLOOKUP(B442,$B$11:B441,1,FALSE)</f>
        <v>#N/A</v>
      </c>
      <c r="M442" s="256">
        <f>G442*(1-FORM!$AE$28/100)</f>
        <v>407.58967999999999</v>
      </c>
      <c r="AA442" s="463"/>
      <c r="AB442" s="462"/>
      <c r="AC442" s="462"/>
      <c r="AD442" s="464"/>
      <c r="AE442" s="465"/>
    </row>
    <row r="443" spans="1:31" ht="14.4">
      <c r="A443" s="137"/>
      <c r="B443" s="298">
        <v>9257154</v>
      </c>
      <c r="C443" s="216" t="s">
        <v>857</v>
      </c>
      <c r="D443" s="217">
        <v>10</v>
      </c>
      <c r="E443" s="391"/>
      <c r="F443" s="262"/>
      <c r="G443" s="272">
        <v>407.58967999999999</v>
      </c>
      <c r="H443" s="141" t="str">
        <f t="shared" si="36"/>
        <v>CZK</v>
      </c>
      <c r="I443" s="409" t="s">
        <v>47</v>
      </c>
      <c r="J443" s="625" t="s">
        <v>1668</v>
      </c>
      <c r="L443" s="86" t="e">
        <f>VLOOKUP(B443,$B$11:B442,1,FALSE)</f>
        <v>#N/A</v>
      </c>
      <c r="M443" s="256">
        <f>G443*(1-FORM!$AE$28/100)</f>
        <v>407.58967999999999</v>
      </c>
      <c r="AA443" s="463"/>
      <c r="AB443" s="462"/>
      <c r="AC443" s="462"/>
      <c r="AD443" s="464"/>
      <c r="AE443" s="465"/>
    </row>
    <row r="444" spans="1:31" ht="14.4">
      <c r="A444" s="137"/>
      <c r="B444" s="298">
        <v>9257155</v>
      </c>
      <c r="C444" s="216" t="s">
        <v>858</v>
      </c>
      <c r="D444" s="217">
        <v>10</v>
      </c>
      <c r="E444" s="391"/>
      <c r="F444" s="262"/>
      <c r="G444" s="272">
        <v>417.95686000000001</v>
      </c>
      <c r="H444" s="141" t="str">
        <f t="shared" si="36"/>
        <v>CZK</v>
      </c>
      <c r="I444" s="409" t="s">
        <v>47</v>
      </c>
      <c r="J444" s="625" t="s">
        <v>1669</v>
      </c>
      <c r="L444" s="86" t="e">
        <f>VLOOKUP(B444,$B$11:B443,1,FALSE)</f>
        <v>#N/A</v>
      </c>
      <c r="M444" s="256">
        <f>G444*(1-FORM!$AE$28/100)</f>
        <v>417.95686000000001</v>
      </c>
      <c r="AA444" s="463"/>
      <c r="AB444" s="462"/>
      <c r="AC444" s="462"/>
      <c r="AD444" s="464"/>
      <c r="AE444" s="465"/>
    </row>
    <row r="445" spans="1:31" ht="14.4">
      <c r="A445" s="137"/>
      <c r="B445" s="298">
        <v>9257156</v>
      </c>
      <c r="C445" s="216" t="s">
        <v>859</v>
      </c>
      <c r="D445" s="217">
        <v>10</v>
      </c>
      <c r="E445" s="391"/>
      <c r="F445" s="262"/>
      <c r="G445" s="272">
        <v>417.95686000000001</v>
      </c>
      <c r="H445" s="141" t="str">
        <f t="shared" si="36"/>
        <v>CZK</v>
      </c>
      <c r="I445" s="409" t="s">
        <v>47</v>
      </c>
      <c r="J445" s="625" t="s">
        <v>1670</v>
      </c>
      <c r="L445" s="86" t="e">
        <f>VLOOKUP(B445,$B$11:B444,1,FALSE)</f>
        <v>#N/A</v>
      </c>
      <c r="M445" s="256">
        <f>G445*(1-FORM!$AE$28/100)</f>
        <v>417.95686000000001</v>
      </c>
      <c r="AA445" s="463"/>
      <c r="AB445" s="462"/>
      <c r="AC445" s="462"/>
      <c r="AD445" s="464"/>
      <c r="AE445" s="465"/>
    </row>
    <row r="446" spans="1:31" ht="14.4">
      <c r="A446" s="137"/>
      <c r="B446" s="298">
        <v>9257157</v>
      </c>
      <c r="C446" s="216" t="s">
        <v>860</v>
      </c>
      <c r="D446" s="217">
        <v>10</v>
      </c>
      <c r="E446" s="391"/>
      <c r="F446" s="262"/>
      <c r="G446" s="272">
        <v>432.04088000000002</v>
      </c>
      <c r="H446" s="141" t="str">
        <f t="shared" si="36"/>
        <v>CZK</v>
      </c>
      <c r="I446" s="409" t="s">
        <v>47</v>
      </c>
      <c r="J446" s="625" t="s">
        <v>1671</v>
      </c>
      <c r="L446" s="86" t="e">
        <f>VLOOKUP(B446,$B$11:B445,1,FALSE)</f>
        <v>#N/A</v>
      </c>
      <c r="M446" s="256">
        <f>G446*(1-FORM!$AE$28/100)</f>
        <v>432.04088000000002</v>
      </c>
      <c r="AA446" s="463"/>
      <c r="AB446" s="462"/>
      <c r="AC446" s="462"/>
      <c r="AD446" s="464"/>
      <c r="AE446" s="465"/>
    </row>
    <row r="447" spans="1:31" ht="14.4">
      <c r="A447" s="137"/>
      <c r="B447" s="303">
        <v>9257158</v>
      </c>
      <c r="C447" s="304" t="s">
        <v>861</v>
      </c>
      <c r="D447" s="226">
        <v>10</v>
      </c>
      <c r="E447" s="396"/>
      <c r="F447" s="268"/>
      <c r="G447" s="272">
        <v>432.04088000000002</v>
      </c>
      <c r="H447" s="142" t="str">
        <f t="shared" si="36"/>
        <v>CZK</v>
      </c>
      <c r="I447" s="417" t="s">
        <v>47</v>
      </c>
      <c r="J447" s="626" t="s">
        <v>1672</v>
      </c>
      <c r="L447" s="86" t="e">
        <f>VLOOKUP(B447,$B$11:B446,1,FALSE)</f>
        <v>#N/A</v>
      </c>
      <c r="M447" s="256">
        <f>G447*(1-FORM!$AE$28/100)</f>
        <v>432.04088000000002</v>
      </c>
      <c r="AA447" s="463"/>
      <c r="AB447" s="462"/>
      <c r="AC447" s="462"/>
      <c r="AD447" s="464"/>
      <c r="AE447" s="465"/>
    </row>
    <row r="448" spans="1:31" ht="14.4">
      <c r="A448" s="139"/>
      <c r="B448" s="301">
        <v>9257159</v>
      </c>
      <c r="C448" s="222" t="s">
        <v>862</v>
      </c>
      <c r="D448" s="223">
        <v>10</v>
      </c>
      <c r="E448" s="395"/>
      <c r="F448" s="266"/>
      <c r="G448" s="272">
        <v>380.11588</v>
      </c>
      <c r="H448" s="211" t="str">
        <f t="shared" si="36"/>
        <v>CZK</v>
      </c>
      <c r="I448" s="416" t="s">
        <v>47</v>
      </c>
      <c r="J448" s="627" t="s">
        <v>1673</v>
      </c>
      <c r="L448" s="86" t="e">
        <f>VLOOKUP(B448,$B$11:B447,1,FALSE)</f>
        <v>#N/A</v>
      </c>
      <c r="M448" s="256">
        <f>G448*(1-FORM!$AE$28/100)</f>
        <v>380.11588</v>
      </c>
      <c r="AA448" s="463"/>
      <c r="AB448" s="462"/>
      <c r="AC448" s="462"/>
      <c r="AD448" s="464"/>
      <c r="AE448" s="465"/>
    </row>
    <row r="449" spans="1:31" ht="14.4">
      <c r="A449" s="139"/>
      <c r="B449" s="298">
        <v>9257160</v>
      </c>
      <c r="C449" s="216" t="s">
        <v>863</v>
      </c>
      <c r="D449" s="217">
        <v>10</v>
      </c>
      <c r="E449" s="391"/>
      <c r="F449" s="262"/>
      <c r="G449" s="272">
        <v>380.11588</v>
      </c>
      <c r="H449" s="141" t="str">
        <f t="shared" ref="H449:H463" si="37">IF(G449="","",$H$10)</f>
        <v>CZK</v>
      </c>
      <c r="I449" s="409" t="s">
        <v>47</v>
      </c>
      <c r="J449" s="625" t="s">
        <v>1674</v>
      </c>
      <c r="L449" s="86" t="e">
        <f>VLOOKUP(B449,$B$11:B448,1,FALSE)</f>
        <v>#N/A</v>
      </c>
      <c r="M449" s="256">
        <f>G449*(1-FORM!$AE$28/100)</f>
        <v>380.11588</v>
      </c>
      <c r="AA449" s="463"/>
      <c r="AB449" s="462"/>
      <c r="AC449" s="462"/>
      <c r="AD449" s="464"/>
      <c r="AE449" s="465"/>
    </row>
    <row r="450" spans="1:31" ht="14.4">
      <c r="A450" s="139"/>
      <c r="B450" s="298">
        <v>9257161</v>
      </c>
      <c r="C450" s="216" t="s">
        <v>864</v>
      </c>
      <c r="D450" s="217">
        <v>10</v>
      </c>
      <c r="E450" s="391"/>
      <c r="F450" s="262"/>
      <c r="G450" s="272">
        <v>386.98174</v>
      </c>
      <c r="H450" s="141" t="str">
        <f t="shared" si="37"/>
        <v>CZK</v>
      </c>
      <c r="I450" s="409" t="s">
        <v>47</v>
      </c>
      <c r="J450" s="625" t="s">
        <v>1675</v>
      </c>
      <c r="L450" s="86" t="e">
        <f>VLOOKUP(B450,$B$11:B449,1,FALSE)</f>
        <v>#N/A</v>
      </c>
      <c r="M450" s="256">
        <f>G450*(1-FORM!$AE$28/100)</f>
        <v>386.98174</v>
      </c>
      <c r="AA450" s="463"/>
      <c r="AB450" s="462"/>
      <c r="AC450" s="462"/>
      <c r="AD450" s="464"/>
      <c r="AE450" s="465"/>
    </row>
    <row r="451" spans="1:31" ht="14.4">
      <c r="A451" s="139"/>
      <c r="B451" s="298">
        <v>9257162</v>
      </c>
      <c r="C451" s="216" t="s">
        <v>865</v>
      </c>
      <c r="D451" s="217">
        <v>10</v>
      </c>
      <c r="E451" s="391"/>
      <c r="F451" s="262"/>
      <c r="G451" s="272">
        <v>386.98174</v>
      </c>
      <c r="H451" s="141" t="str">
        <f t="shared" si="37"/>
        <v>CZK</v>
      </c>
      <c r="I451" s="409" t="s">
        <v>47</v>
      </c>
      <c r="J451" s="625" t="s">
        <v>1676</v>
      </c>
      <c r="L451" s="86" t="e">
        <f>VLOOKUP(B451,$B$11:B450,1,FALSE)</f>
        <v>#N/A</v>
      </c>
      <c r="M451" s="256">
        <f>G451*(1-FORM!$AE$28/100)</f>
        <v>386.98174</v>
      </c>
      <c r="AA451" s="463"/>
      <c r="AB451" s="462"/>
      <c r="AC451" s="462"/>
      <c r="AD451" s="464"/>
      <c r="AE451" s="465"/>
    </row>
    <row r="452" spans="1:31" ht="14.4">
      <c r="A452" s="139"/>
      <c r="B452" s="298">
        <v>9257163</v>
      </c>
      <c r="C452" s="216" t="s">
        <v>866</v>
      </c>
      <c r="D452" s="217">
        <v>10</v>
      </c>
      <c r="E452" s="391"/>
      <c r="F452" s="262"/>
      <c r="G452" s="272">
        <v>393.85784000000001</v>
      </c>
      <c r="H452" s="141" t="str">
        <f t="shared" si="37"/>
        <v>CZK</v>
      </c>
      <c r="I452" s="409" t="s">
        <v>47</v>
      </c>
      <c r="J452" s="625" t="s">
        <v>1677</v>
      </c>
      <c r="L452" s="86" t="e">
        <f>VLOOKUP(B452,$B$11:B451,1,FALSE)</f>
        <v>#N/A</v>
      </c>
      <c r="M452" s="256">
        <f>G452*(1-FORM!$AE$28/100)</f>
        <v>393.85784000000001</v>
      </c>
      <c r="AA452" s="463"/>
      <c r="AB452" s="462"/>
      <c r="AC452" s="462"/>
      <c r="AD452" s="464"/>
      <c r="AE452" s="465"/>
    </row>
    <row r="453" spans="1:31" ht="14.4">
      <c r="A453" s="139"/>
      <c r="B453" s="298">
        <v>9257164</v>
      </c>
      <c r="C453" s="216" t="s">
        <v>867</v>
      </c>
      <c r="D453" s="217">
        <v>10</v>
      </c>
      <c r="E453" s="391"/>
      <c r="F453" s="262"/>
      <c r="G453" s="272">
        <v>393.85784000000001</v>
      </c>
      <c r="H453" s="141" t="str">
        <f t="shared" si="37"/>
        <v>CZK</v>
      </c>
      <c r="I453" s="409" t="s">
        <v>47</v>
      </c>
      <c r="J453" s="625" t="s">
        <v>1678</v>
      </c>
      <c r="L453" s="86" t="e">
        <f>VLOOKUP(B453,$B$11:B452,1,FALSE)</f>
        <v>#N/A</v>
      </c>
      <c r="M453" s="256">
        <f>G453*(1-FORM!$AE$28/100)</f>
        <v>393.85784000000001</v>
      </c>
      <c r="AA453" s="463"/>
      <c r="AB453" s="462"/>
      <c r="AC453" s="462"/>
      <c r="AD453" s="464"/>
      <c r="AE453" s="465"/>
    </row>
    <row r="454" spans="1:31" ht="14.4">
      <c r="A454" s="139"/>
      <c r="B454" s="298">
        <v>9257165</v>
      </c>
      <c r="C454" s="216" t="s">
        <v>868</v>
      </c>
      <c r="D454" s="217">
        <v>10</v>
      </c>
      <c r="E454" s="391"/>
      <c r="F454" s="262"/>
      <c r="G454" s="272">
        <v>390.06617</v>
      </c>
      <c r="H454" s="141" t="str">
        <f t="shared" si="37"/>
        <v>CZK</v>
      </c>
      <c r="I454" s="409" t="s">
        <v>47</v>
      </c>
      <c r="J454" s="625" t="s">
        <v>1679</v>
      </c>
      <c r="L454" s="86" t="e">
        <f>VLOOKUP(B454,$B$11:B453,1,FALSE)</f>
        <v>#N/A</v>
      </c>
      <c r="M454" s="256">
        <f>G454*(1-FORM!$AE$28/100)</f>
        <v>390.06617</v>
      </c>
      <c r="AA454" s="463"/>
      <c r="AB454" s="462"/>
      <c r="AC454" s="462"/>
      <c r="AD454" s="464"/>
      <c r="AE454" s="465"/>
    </row>
    <row r="455" spans="1:31" ht="14.4">
      <c r="A455" s="139"/>
      <c r="B455" s="298">
        <v>9257166</v>
      </c>
      <c r="C455" s="216" t="s">
        <v>869</v>
      </c>
      <c r="D455" s="217">
        <v>10</v>
      </c>
      <c r="E455" s="391"/>
      <c r="F455" s="262"/>
      <c r="G455" s="272">
        <v>390.06617</v>
      </c>
      <c r="H455" s="141" t="str">
        <f t="shared" si="37"/>
        <v>CZK</v>
      </c>
      <c r="I455" s="409" t="s">
        <v>47</v>
      </c>
      <c r="J455" s="625" t="s">
        <v>1680</v>
      </c>
      <c r="L455" s="86" t="e">
        <f>VLOOKUP(B455,$B$11:B454,1,FALSE)</f>
        <v>#N/A</v>
      </c>
      <c r="M455" s="256">
        <f>G455*(1-FORM!$AE$28/100)</f>
        <v>390.06617</v>
      </c>
      <c r="AA455" s="463"/>
      <c r="AB455" s="462"/>
      <c r="AC455" s="462"/>
      <c r="AD455" s="464"/>
      <c r="AE455" s="465"/>
    </row>
    <row r="456" spans="1:31" ht="14.4">
      <c r="A456" s="139"/>
      <c r="B456" s="298">
        <v>9257167</v>
      </c>
      <c r="C456" s="216" t="s">
        <v>870</v>
      </c>
      <c r="D456" s="217">
        <v>10</v>
      </c>
      <c r="E456" s="391"/>
      <c r="F456" s="262"/>
      <c r="G456" s="272">
        <v>407.58967999999999</v>
      </c>
      <c r="H456" s="141" t="str">
        <f t="shared" si="37"/>
        <v>CZK</v>
      </c>
      <c r="I456" s="409" t="s">
        <v>47</v>
      </c>
      <c r="J456" s="625" t="s">
        <v>1681</v>
      </c>
      <c r="L456" s="86" t="e">
        <f>VLOOKUP(B456,$B$11:B455,1,FALSE)</f>
        <v>#N/A</v>
      </c>
      <c r="M456" s="256">
        <f>G456*(1-FORM!$AE$28/100)</f>
        <v>407.58967999999999</v>
      </c>
      <c r="AA456" s="463"/>
      <c r="AB456" s="462"/>
      <c r="AC456" s="462"/>
      <c r="AD456" s="464"/>
      <c r="AE456" s="465"/>
    </row>
    <row r="457" spans="1:31" ht="14.4">
      <c r="A457" s="139"/>
      <c r="B457" s="298">
        <v>9257168</v>
      </c>
      <c r="C457" s="216" t="s">
        <v>871</v>
      </c>
      <c r="D457" s="217">
        <v>10</v>
      </c>
      <c r="E457" s="391"/>
      <c r="F457" s="262"/>
      <c r="G457" s="272">
        <v>407.58967999999999</v>
      </c>
      <c r="H457" s="141" t="str">
        <f t="shared" si="37"/>
        <v>CZK</v>
      </c>
      <c r="I457" s="409" t="s">
        <v>47</v>
      </c>
      <c r="J457" s="625" t="s">
        <v>1682</v>
      </c>
      <c r="L457" s="86" t="e">
        <f>VLOOKUP(B457,$B$11:B456,1,FALSE)</f>
        <v>#N/A</v>
      </c>
      <c r="M457" s="256">
        <f>G457*(1-FORM!$AE$28/100)</f>
        <v>407.58967999999999</v>
      </c>
      <c r="AA457" s="463"/>
      <c r="AB457" s="462"/>
      <c r="AC457" s="462"/>
      <c r="AD457" s="464"/>
      <c r="AE457" s="465"/>
    </row>
    <row r="458" spans="1:31" ht="14.4">
      <c r="A458" s="139"/>
      <c r="B458" s="298">
        <v>9257169</v>
      </c>
      <c r="C458" s="216" t="s">
        <v>872</v>
      </c>
      <c r="D458" s="217">
        <v>10</v>
      </c>
      <c r="E458" s="391"/>
      <c r="F458" s="262"/>
      <c r="G458" s="272">
        <v>417.95686000000001</v>
      </c>
      <c r="H458" s="141" t="str">
        <f t="shared" si="37"/>
        <v>CZK</v>
      </c>
      <c r="I458" s="409" t="s">
        <v>47</v>
      </c>
      <c r="J458" s="625" t="s">
        <v>1683</v>
      </c>
      <c r="L458" s="86" t="e">
        <f>VLOOKUP(B458,$B$11:B457,1,FALSE)</f>
        <v>#N/A</v>
      </c>
      <c r="M458" s="256">
        <f>G458*(1-FORM!$AE$28/100)</f>
        <v>417.95686000000001</v>
      </c>
      <c r="AA458" s="463"/>
      <c r="AB458" s="462"/>
      <c r="AC458" s="462"/>
      <c r="AD458" s="464"/>
      <c r="AE458" s="465"/>
    </row>
    <row r="459" spans="1:31" ht="14.4">
      <c r="A459" s="139"/>
      <c r="B459" s="298">
        <v>9257170</v>
      </c>
      <c r="C459" s="216" t="s">
        <v>873</v>
      </c>
      <c r="D459" s="217">
        <v>10</v>
      </c>
      <c r="E459" s="391"/>
      <c r="F459" s="262"/>
      <c r="G459" s="272">
        <v>417.95686000000001</v>
      </c>
      <c r="H459" s="141" t="str">
        <f t="shared" si="37"/>
        <v>CZK</v>
      </c>
      <c r="I459" s="409" t="s">
        <v>47</v>
      </c>
      <c r="J459" s="625" t="s">
        <v>1684</v>
      </c>
      <c r="L459" s="86" t="e">
        <f>VLOOKUP(B459,$B$11:B458,1,FALSE)</f>
        <v>#N/A</v>
      </c>
      <c r="M459" s="256">
        <f>G459*(1-FORM!$AE$28/100)</f>
        <v>417.95686000000001</v>
      </c>
      <c r="AA459" s="463"/>
      <c r="AB459" s="462"/>
      <c r="AC459" s="462"/>
      <c r="AD459" s="464"/>
      <c r="AE459" s="465"/>
    </row>
    <row r="460" spans="1:31" ht="14.4">
      <c r="A460" s="139"/>
      <c r="B460" s="298">
        <v>9257171</v>
      </c>
      <c r="C460" s="216" t="s">
        <v>874</v>
      </c>
      <c r="D460" s="217">
        <v>10</v>
      </c>
      <c r="E460" s="391"/>
      <c r="F460" s="262"/>
      <c r="G460" s="272">
        <v>432.04088000000002</v>
      </c>
      <c r="H460" s="141" t="str">
        <f t="shared" si="37"/>
        <v>CZK</v>
      </c>
      <c r="I460" s="409" t="s">
        <v>47</v>
      </c>
      <c r="J460" s="625" t="s">
        <v>1685</v>
      </c>
      <c r="L460" s="86" t="e">
        <f>VLOOKUP(B460,$B$11:B459,1,FALSE)</f>
        <v>#N/A</v>
      </c>
      <c r="M460" s="256">
        <f>G460*(1-FORM!$AE$28/100)</f>
        <v>432.04088000000002</v>
      </c>
      <c r="AA460" s="463"/>
      <c r="AB460" s="462"/>
      <c r="AC460" s="462"/>
      <c r="AD460" s="464"/>
      <c r="AE460" s="465"/>
    </row>
    <row r="461" spans="1:31" ht="14.4">
      <c r="A461" s="139"/>
      <c r="B461" s="303">
        <v>9257172</v>
      </c>
      <c r="C461" s="304" t="s">
        <v>875</v>
      </c>
      <c r="D461" s="226">
        <v>10</v>
      </c>
      <c r="E461" s="396"/>
      <c r="F461" s="268"/>
      <c r="G461" s="272">
        <v>432.04088000000002</v>
      </c>
      <c r="H461" s="142" t="str">
        <f t="shared" si="37"/>
        <v>CZK</v>
      </c>
      <c r="I461" s="417" t="s">
        <v>47</v>
      </c>
      <c r="J461" s="625" t="s">
        <v>1686</v>
      </c>
      <c r="L461" s="86" t="e">
        <f>VLOOKUP(B461,$B$11:B460,1,FALSE)</f>
        <v>#N/A</v>
      </c>
      <c r="M461" s="256">
        <f>G461*(1-FORM!$AE$28/100)</f>
        <v>432.04088000000002</v>
      </c>
      <c r="AA461" s="463"/>
      <c r="AB461" s="462"/>
      <c r="AC461" s="462"/>
      <c r="AD461" s="464"/>
      <c r="AE461" s="465"/>
    </row>
    <row r="462" spans="1:31" ht="14.4">
      <c r="B462" s="301">
        <v>9257257</v>
      </c>
      <c r="C462" s="222" t="s">
        <v>876</v>
      </c>
      <c r="D462" s="223">
        <v>100</v>
      </c>
      <c r="E462" s="395"/>
      <c r="F462" s="266"/>
      <c r="G462" s="272">
        <v>50.732700000000001</v>
      </c>
      <c r="H462" s="211" t="str">
        <f t="shared" si="37"/>
        <v>CZK</v>
      </c>
      <c r="I462" s="416" t="s">
        <v>47</v>
      </c>
      <c r="J462" s="625" t="s">
        <v>1687</v>
      </c>
      <c r="L462" s="86" t="e">
        <f>VLOOKUP(B462,$B$11:B461,1,FALSE)</f>
        <v>#N/A</v>
      </c>
      <c r="M462" s="256">
        <f>G462*(1-FORM!$AE$28/100)</f>
        <v>50.732700000000001</v>
      </c>
      <c r="AA462" s="463"/>
      <c r="AB462" s="462"/>
      <c r="AC462" s="462"/>
      <c r="AD462" s="464"/>
      <c r="AE462" s="465"/>
    </row>
    <row r="463" spans="1:31" ht="14.4">
      <c r="B463" s="298">
        <v>9257258</v>
      </c>
      <c r="C463" s="216" t="s">
        <v>877</v>
      </c>
      <c r="D463" s="217">
        <v>100</v>
      </c>
      <c r="E463" s="391"/>
      <c r="F463" s="262"/>
      <c r="G463" s="272">
        <v>51.356920000000002</v>
      </c>
      <c r="H463" s="141" t="str">
        <f t="shared" si="37"/>
        <v>CZK</v>
      </c>
      <c r="I463" s="409" t="s">
        <v>47</v>
      </c>
      <c r="J463" s="625" t="s">
        <v>1688</v>
      </c>
      <c r="L463" s="86" t="e">
        <f>VLOOKUP(B463,$B$11:B462,1,FALSE)</f>
        <v>#N/A</v>
      </c>
      <c r="M463" s="256">
        <f>G463*(1-FORM!$AE$28/100)</f>
        <v>51.356920000000002</v>
      </c>
      <c r="AA463" s="463"/>
      <c r="AB463" s="462"/>
      <c r="AC463" s="462"/>
      <c r="AD463" s="464"/>
      <c r="AE463" s="465"/>
    </row>
    <row r="464" spans="1:31" ht="14.4">
      <c r="B464" s="303">
        <v>9268677</v>
      </c>
      <c r="C464" s="304" t="s">
        <v>878</v>
      </c>
      <c r="D464" s="226">
        <v>1</v>
      </c>
      <c r="E464" s="396"/>
      <c r="F464" s="268"/>
      <c r="G464" s="272">
        <v>32.733449999999998</v>
      </c>
      <c r="H464" s="142" t="str">
        <f t="shared" ref="H464:H477" si="38">IF(G464="","",$H$10)</f>
        <v>CZK</v>
      </c>
      <c r="I464" s="417" t="s">
        <v>47</v>
      </c>
      <c r="J464" s="626" t="s">
        <v>1752</v>
      </c>
      <c r="L464" s="86" t="e">
        <f>VLOOKUP(B464,$B$11:B463,1,FALSE)</f>
        <v>#N/A</v>
      </c>
      <c r="M464" s="256">
        <f>G464*(1-FORM!$AE$28/100)</f>
        <v>32.733449999999998</v>
      </c>
      <c r="AA464" s="463"/>
      <c r="AB464" s="462"/>
      <c r="AC464" s="462"/>
      <c r="AD464" s="464"/>
      <c r="AE464" s="465"/>
    </row>
    <row r="465" spans="1:31" ht="14.4">
      <c r="B465" s="303"/>
      <c r="C465" s="304"/>
      <c r="D465" s="226"/>
      <c r="E465" s="396"/>
      <c r="F465" s="268"/>
      <c r="G465" s="272"/>
      <c r="H465" s="142"/>
      <c r="I465" s="417" t="s">
        <v>47</v>
      </c>
      <c r="J465" s="468"/>
      <c r="L465" s="86" t="e">
        <f>VLOOKUP(B465,$B$11:B464,1,FALSE)</f>
        <v>#N/A</v>
      </c>
      <c r="M465" s="256">
        <f>G465*(1-FORM!$AE$28/100)</f>
        <v>0</v>
      </c>
      <c r="AA465" s="463"/>
      <c r="AB465" s="462"/>
      <c r="AC465" s="462"/>
      <c r="AD465" s="464"/>
      <c r="AE465" s="465"/>
    </row>
    <row r="466" spans="1:31" ht="14.4">
      <c r="A466" s="130"/>
      <c r="B466" s="301">
        <v>9257269</v>
      </c>
      <c r="C466" s="222" t="s">
        <v>879</v>
      </c>
      <c r="D466" s="223">
        <v>1</v>
      </c>
      <c r="E466" s="395"/>
      <c r="F466" s="266"/>
      <c r="G466" s="272">
        <v>1483.13021</v>
      </c>
      <c r="H466" s="211" t="str">
        <f t="shared" si="38"/>
        <v>CZK</v>
      </c>
      <c r="I466" s="416" t="s">
        <v>47</v>
      </c>
      <c r="J466" s="627" t="s">
        <v>1689</v>
      </c>
      <c r="L466" s="86" t="e">
        <f>VLOOKUP(B466,$B$11:B465,1,FALSE)</f>
        <v>#N/A</v>
      </c>
      <c r="M466" s="256">
        <f>G466*(1-FORM!$AE$28/100)</f>
        <v>1483.13021</v>
      </c>
      <c r="AA466" s="463"/>
      <c r="AB466" s="462"/>
      <c r="AC466" s="462"/>
      <c r="AD466" s="464"/>
      <c r="AE466" s="465"/>
    </row>
    <row r="467" spans="1:31" ht="14.4">
      <c r="A467" s="130"/>
      <c r="B467" s="298">
        <v>9257270</v>
      </c>
      <c r="C467" s="216" t="s">
        <v>880</v>
      </c>
      <c r="D467" s="217">
        <v>1</v>
      </c>
      <c r="E467" s="391"/>
      <c r="F467" s="262"/>
      <c r="G467" s="272">
        <v>1774.2111399999999</v>
      </c>
      <c r="H467" s="141" t="str">
        <f t="shared" si="38"/>
        <v>CZK</v>
      </c>
      <c r="I467" s="409" t="s">
        <v>47</v>
      </c>
      <c r="J467" s="625" t="s">
        <v>1690</v>
      </c>
      <c r="L467" s="86" t="e">
        <f>VLOOKUP(B467,$B$11:B466,1,FALSE)</f>
        <v>#N/A</v>
      </c>
      <c r="M467" s="256">
        <f>G467*(1-FORM!$AE$28/100)</f>
        <v>1774.2111399999999</v>
      </c>
      <c r="AA467" s="463"/>
      <c r="AB467" s="462"/>
      <c r="AC467" s="462"/>
      <c r="AD467" s="464"/>
      <c r="AE467" s="465"/>
    </row>
    <row r="468" spans="1:31" ht="14.4">
      <c r="A468" s="130"/>
      <c r="B468" s="303">
        <v>9257271</v>
      </c>
      <c r="C468" s="304" t="s">
        <v>881</v>
      </c>
      <c r="D468" s="226">
        <v>1</v>
      </c>
      <c r="E468" s="396"/>
      <c r="F468" s="268"/>
      <c r="G468" s="272">
        <v>2217.7650899999999</v>
      </c>
      <c r="H468" s="142" t="str">
        <f t="shared" si="38"/>
        <v>CZK</v>
      </c>
      <c r="I468" s="417" t="s">
        <v>47</v>
      </c>
      <c r="J468" s="625" t="s">
        <v>1691</v>
      </c>
      <c r="L468" s="86" t="e">
        <f>VLOOKUP(B468,$B$11:B467,1,FALSE)</f>
        <v>#N/A</v>
      </c>
      <c r="M468" s="256">
        <f>G468*(1-FORM!$AE$28/100)</f>
        <v>2217.7650899999999</v>
      </c>
      <c r="AA468" s="463"/>
      <c r="AB468" s="462"/>
      <c r="AC468" s="462"/>
      <c r="AD468" s="464"/>
      <c r="AE468" s="465"/>
    </row>
    <row r="469" spans="1:31" ht="14.4">
      <c r="A469" s="137"/>
      <c r="B469" s="301">
        <v>9257273</v>
      </c>
      <c r="C469" s="222" t="s">
        <v>882</v>
      </c>
      <c r="D469" s="223">
        <v>1</v>
      </c>
      <c r="E469" s="395"/>
      <c r="F469" s="266"/>
      <c r="G469" s="272">
        <v>1483.13021</v>
      </c>
      <c r="H469" s="211" t="str">
        <f t="shared" si="38"/>
        <v>CZK</v>
      </c>
      <c r="I469" s="416" t="s">
        <v>47</v>
      </c>
      <c r="J469" s="625" t="s">
        <v>1692</v>
      </c>
      <c r="L469" s="86" t="e">
        <f>VLOOKUP(B469,$B$11:B468,1,FALSE)</f>
        <v>#N/A</v>
      </c>
      <c r="M469" s="256">
        <f>G469*(1-FORM!$AE$28/100)</f>
        <v>1483.13021</v>
      </c>
      <c r="AA469" s="463"/>
      <c r="AB469" s="462"/>
      <c r="AC469" s="462"/>
      <c r="AD469" s="464"/>
      <c r="AE469" s="465"/>
    </row>
    <row r="470" spans="1:31" ht="14.4">
      <c r="A470" s="137"/>
      <c r="B470" s="298">
        <v>9257274</v>
      </c>
      <c r="C470" s="216" t="s">
        <v>883</v>
      </c>
      <c r="D470" s="217">
        <v>1</v>
      </c>
      <c r="E470" s="391"/>
      <c r="F470" s="262"/>
      <c r="G470" s="272">
        <v>1774.2111399999999</v>
      </c>
      <c r="H470" s="141" t="str">
        <f t="shared" si="38"/>
        <v>CZK</v>
      </c>
      <c r="I470" s="409" t="s">
        <v>47</v>
      </c>
      <c r="J470" s="625" t="s">
        <v>1693</v>
      </c>
      <c r="L470" s="86" t="e">
        <f>VLOOKUP(B470,$B$11:B469,1,FALSE)</f>
        <v>#N/A</v>
      </c>
      <c r="M470" s="256">
        <f>G470*(1-FORM!$AE$28/100)</f>
        <v>1774.2111399999999</v>
      </c>
      <c r="AA470" s="463"/>
      <c r="AB470" s="462"/>
      <c r="AC470" s="462"/>
      <c r="AD470" s="464"/>
      <c r="AE470" s="465"/>
    </row>
    <row r="471" spans="1:31" ht="14.4">
      <c r="A471" s="137"/>
      <c r="B471" s="303">
        <v>9257275</v>
      </c>
      <c r="C471" s="304" t="s">
        <v>884</v>
      </c>
      <c r="D471" s="226">
        <v>1</v>
      </c>
      <c r="E471" s="396"/>
      <c r="F471" s="268"/>
      <c r="G471" s="272">
        <v>2217.7650899999999</v>
      </c>
      <c r="H471" s="142" t="str">
        <f t="shared" si="38"/>
        <v>CZK</v>
      </c>
      <c r="I471" s="417" t="s">
        <v>47</v>
      </c>
      <c r="J471" s="626" t="s">
        <v>1694</v>
      </c>
      <c r="L471" s="86" t="e">
        <f>VLOOKUP(B471,$B$11:B470,1,FALSE)</f>
        <v>#N/A</v>
      </c>
      <c r="M471" s="256">
        <f>G471*(1-FORM!$AE$28/100)</f>
        <v>2217.7650899999999</v>
      </c>
      <c r="AA471" s="463"/>
      <c r="AB471" s="462"/>
      <c r="AC471" s="462"/>
      <c r="AD471" s="464"/>
      <c r="AE471" s="465"/>
    </row>
    <row r="472" spans="1:31" ht="14.4">
      <c r="A472" s="139"/>
      <c r="B472" s="301">
        <v>9257277</v>
      </c>
      <c r="C472" s="222" t="s">
        <v>885</v>
      </c>
      <c r="D472" s="223">
        <v>1</v>
      </c>
      <c r="E472" s="395"/>
      <c r="F472" s="266"/>
      <c r="G472" s="272">
        <v>1483.13021</v>
      </c>
      <c r="H472" s="211" t="str">
        <f t="shared" si="38"/>
        <v>CZK</v>
      </c>
      <c r="I472" s="416" t="s">
        <v>47</v>
      </c>
      <c r="J472" s="627" t="s">
        <v>1695</v>
      </c>
      <c r="L472" s="86" t="e">
        <f>VLOOKUP(B472,$B$11:B471,1,FALSE)</f>
        <v>#N/A</v>
      </c>
      <c r="M472" s="256">
        <f>G472*(1-FORM!$AE$28/100)</f>
        <v>1483.13021</v>
      </c>
      <c r="AA472" s="463"/>
      <c r="AB472" s="462"/>
      <c r="AC472" s="462"/>
      <c r="AD472" s="464"/>
      <c r="AE472" s="465"/>
    </row>
    <row r="473" spans="1:31" ht="14.4">
      <c r="A473" s="139"/>
      <c r="B473" s="298">
        <v>9257278</v>
      </c>
      <c r="C473" s="216" t="s">
        <v>886</v>
      </c>
      <c r="D473" s="217">
        <v>1</v>
      </c>
      <c r="E473" s="391"/>
      <c r="F473" s="262"/>
      <c r="G473" s="272">
        <v>1774.2111399999999</v>
      </c>
      <c r="H473" s="141" t="str">
        <f t="shared" si="38"/>
        <v>CZK</v>
      </c>
      <c r="I473" s="409" t="s">
        <v>47</v>
      </c>
      <c r="J473" s="625" t="s">
        <v>1696</v>
      </c>
      <c r="L473" s="86" t="e">
        <f>VLOOKUP(B473,$B$11:B472,1,FALSE)</f>
        <v>#N/A</v>
      </c>
      <c r="M473" s="256">
        <f>G473*(1-FORM!$AE$28/100)</f>
        <v>1774.2111399999999</v>
      </c>
      <c r="AA473" s="463"/>
      <c r="AB473" s="462"/>
      <c r="AC473" s="462"/>
      <c r="AD473" s="464"/>
      <c r="AE473" s="465"/>
    </row>
    <row r="474" spans="1:31" ht="14.4">
      <c r="A474" s="139"/>
      <c r="B474" s="303">
        <v>9257279</v>
      </c>
      <c r="C474" s="304" t="s">
        <v>887</v>
      </c>
      <c r="D474" s="226">
        <v>1</v>
      </c>
      <c r="E474" s="396"/>
      <c r="F474" s="268"/>
      <c r="G474" s="272">
        <v>2217.7650899999999</v>
      </c>
      <c r="H474" s="142" t="str">
        <f t="shared" si="38"/>
        <v>CZK</v>
      </c>
      <c r="I474" s="417" t="s">
        <v>47</v>
      </c>
      <c r="J474" s="626" t="s">
        <v>1697</v>
      </c>
      <c r="L474" s="86" t="e">
        <f>VLOOKUP(B474,$B$11:B473,1,FALSE)</f>
        <v>#N/A</v>
      </c>
      <c r="M474" s="256">
        <f>G474*(1-FORM!$AE$28/100)</f>
        <v>2217.7650899999999</v>
      </c>
      <c r="AA474" s="463"/>
      <c r="AB474" s="462"/>
      <c r="AC474" s="462"/>
      <c r="AD474" s="464"/>
      <c r="AE474" s="465"/>
    </row>
    <row r="475" spans="1:31" ht="14.4">
      <c r="A475" s="130"/>
      <c r="B475" s="301">
        <v>9257611</v>
      </c>
      <c r="C475" s="222" t="s">
        <v>888</v>
      </c>
      <c r="D475" s="223">
        <v>1</v>
      </c>
      <c r="E475" s="395"/>
      <c r="F475" s="266"/>
      <c r="G475" s="272">
        <v>97.260310000000004</v>
      </c>
      <c r="H475" s="211" t="str">
        <f t="shared" si="38"/>
        <v>CZK</v>
      </c>
      <c r="I475" s="416" t="s">
        <v>47</v>
      </c>
      <c r="J475" s="627" t="s">
        <v>1698</v>
      </c>
      <c r="L475" s="86" t="e">
        <f>VLOOKUP(B475,$B$11:B474,1,FALSE)</f>
        <v>#N/A</v>
      </c>
      <c r="M475" s="256">
        <f>G475*(1-FORM!$AE$28/100)</f>
        <v>97.260310000000004</v>
      </c>
      <c r="AA475" s="463"/>
      <c r="AB475" s="462"/>
      <c r="AC475" s="462"/>
      <c r="AD475" s="464"/>
      <c r="AE475" s="465"/>
    </row>
    <row r="476" spans="1:31" ht="14.4">
      <c r="A476" s="130"/>
      <c r="B476" s="298">
        <v>9257612</v>
      </c>
      <c r="C476" s="216" t="s">
        <v>889</v>
      </c>
      <c r="D476" s="217">
        <v>1</v>
      </c>
      <c r="E476" s="391"/>
      <c r="F476" s="262"/>
      <c r="G476" s="272">
        <v>123.13359</v>
      </c>
      <c r="H476" s="141" t="str">
        <f t="shared" si="38"/>
        <v>CZK</v>
      </c>
      <c r="I476" s="409" t="s">
        <v>47</v>
      </c>
      <c r="J476" s="625" t="s">
        <v>1699</v>
      </c>
      <c r="L476" s="86" t="e">
        <f>VLOOKUP(B476,$B$11:B475,1,FALSE)</f>
        <v>#N/A</v>
      </c>
      <c r="M476" s="256">
        <f>G476*(1-FORM!$AE$28/100)</f>
        <v>123.13359</v>
      </c>
      <c r="AA476" s="463"/>
      <c r="AB476" s="462"/>
      <c r="AC476" s="462"/>
      <c r="AD476" s="464"/>
      <c r="AE476" s="465"/>
    </row>
    <row r="477" spans="1:31" ht="14.4">
      <c r="A477" s="130"/>
      <c r="B477" s="303">
        <v>9257613</v>
      </c>
      <c r="C477" s="304" t="s">
        <v>890</v>
      </c>
      <c r="D477" s="226">
        <v>1</v>
      </c>
      <c r="E477" s="396"/>
      <c r="F477" s="268"/>
      <c r="G477" s="272">
        <v>169.30695</v>
      </c>
      <c r="H477" s="142" t="str">
        <f t="shared" si="38"/>
        <v>CZK</v>
      </c>
      <c r="I477" s="417" t="s">
        <v>47</v>
      </c>
      <c r="J477" s="626" t="s">
        <v>1700</v>
      </c>
      <c r="L477" s="86" t="e">
        <f>VLOOKUP(B477,$B$11:B476,1,FALSE)</f>
        <v>#N/A</v>
      </c>
      <c r="M477" s="256">
        <f>G477*(1-FORM!$AE$28/100)</f>
        <v>169.30695</v>
      </c>
      <c r="AA477" s="463"/>
      <c r="AB477" s="462"/>
      <c r="AC477" s="462"/>
      <c r="AD477" s="464"/>
      <c r="AE477" s="465"/>
    </row>
    <row r="478" spans="1:31" ht="14.4">
      <c r="A478" s="137"/>
      <c r="B478" s="301">
        <v>9257615</v>
      </c>
      <c r="C478" s="222" t="s">
        <v>891</v>
      </c>
      <c r="D478" s="223">
        <v>1</v>
      </c>
      <c r="E478" s="395"/>
      <c r="F478" s="266"/>
      <c r="G478" s="272">
        <v>97.260310000000004</v>
      </c>
      <c r="H478" s="211" t="str">
        <f>IF(G478="","",$H$10)</f>
        <v>CZK</v>
      </c>
      <c r="I478" s="416" t="s">
        <v>47</v>
      </c>
      <c r="J478" s="627" t="s">
        <v>1701</v>
      </c>
      <c r="L478" s="86" t="e">
        <f>VLOOKUP(B478,$B$11:B477,1,FALSE)</f>
        <v>#N/A</v>
      </c>
      <c r="M478" s="256">
        <f>G478*(1-FORM!$AE$28/100)</f>
        <v>97.260310000000004</v>
      </c>
      <c r="AA478" s="463"/>
      <c r="AB478" s="462"/>
      <c r="AC478" s="462"/>
      <c r="AD478" s="464"/>
      <c r="AE478" s="465"/>
    </row>
    <row r="479" spans="1:31" ht="14.4">
      <c r="A479" s="137"/>
      <c r="B479" s="298">
        <v>9257616</v>
      </c>
      <c r="C479" s="216" t="s">
        <v>892</v>
      </c>
      <c r="D479" s="217">
        <v>1</v>
      </c>
      <c r="E479" s="391"/>
      <c r="F479" s="262"/>
      <c r="G479" s="272">
        <v>123.13359</v>
      </c>
      <c r="H479" s="141" t="str">
        <f>IF(G479="","",$H$10)</f>
        <v>CZK</v>
      </c>
      <c r="I479" s="409" t="s">
        <v>47</v>
      </c>
      <c r="J479" s="625" t="s">
        <v>1702</v>
      </c>
      <c r="L479" s="86" t="e">
        <f>VLOOKUP(B479,$B$11:B478,1,FALSE)</f>
        <v>#N/A</v>
      </c>
      <c r="M479" s="256">
        <f>G479*(1-FORM!$AE$28/100)</f>
        <v>123.13359</v>
      </c>
      <c r="AA479" s="463"/>
      <c r="AB479" s="462"/>
      <c r="AC479" s="462"/>
      <c r="AD479" s="464"/>
      <c r="AE479" s="465"/>
    </row>
    <row r="480" spans="1:31" ht="14.4">
      <c r="A480" s="137"/>
      <c r="B480" s="303">
        <v>9257617</v>
      </c>
      <c r="C480" s="304" t="s">
        <v>893</v>
      </c>
      <c r="D480" s="226">
        <v>1</v>
      </c>
      <c r="E480" s="396"/>
      <c r="F480" s="268"/>
      <c r="G480" s="272">
        <v>169.30695</v>
      </c>
      <c r="H480" s="142" t="str">
        <f t="shared" ref="H480:H487" si="39">IF(G480="","",$H$10)</f>
        <v>CZK</v>
      </c>
      <c r="I480" s="417" t="s">
        <v>47</v>
      </c>
      <c r="J480" s="626" t="s">
        <v>1703</v>
      </c>
      <c r="L480" s="86" t="e">
        <f>VLOOKUP(B480,$B$11:B479,1,FALSE)</f>
        <v>#N/A</v>
      </c>
      <c r="M480" s="256">
        <f>G480*(1-FORM!$AE$28/100)</f>
        <v>169.30695</v>
      </c>
      <c r="AA480" s="463"/>
      <c r="AB480" s="462"/>
      <c r="AC480" s="462"/>
      <c r="AD480" s="464"/>
      <c r="AE480" s="465"/>
    </row>
    <row r="481" spans="1:31" ht="14.4">
      <c r="A481" s="139"/>
      <c r="B481" s="301">
        <v>9257619</v>
      </c>
      <c r="C481" s="222" t="s">
        <v>894</v>
      </c>
      <c r="D481" s="223">
        <v>1</v>
      </c>
      <c r="E481" s="395"/>
      <c r="F481" s="266"/>
      <c r="G481" s="272">
        <v>97.260310000000004</v>
      </c>
      <c r="H481" s="211" t="str">
        <f t="shared" si="39"/>
        <v>CZK</v>
      </c>
      <c r="I481" s="416" t="s">
        <v>47</v>
      </c>
      <c r="J481" s="627" t="s">
        <v>1704</v>
      </c>
      <c r="L481" s="86" t="e">
        <f>VLOOKUP(B481,$B$11:B480,1,FALSE)</f>
        <v>#N/A</v>
      </c>
      <c r="M481" s="256">
        <f>G481*(1-FORM!$AE$28/100)</f>
        <v>97.260310000000004</v>
      </c>
      <c r="AA481" s="463"/>
      <c r="AB481" s="462"/>
      <c r="AC481" s="462"/>
      <c r="AD481" s="464"/>
      <c r="AE481" s="465"/>
    </row>
    <row r="482" spans="1:31" ht="14.4">
      <c r="A482" s="139"/>
      <c r="B482" s="298">
        <v>9257620</v>
      </c>
      <c r="C482" s="216" t="s">
        <v>895</v>
      </c>
      <c r="D482" s="217">
        <v>1</v>
      </c>
      <c r="E482" s="391"/>
      <c r="F482" s="262"/>
      <c r="G482" s="272">
        <v>123.13359</v>
      </c>
      <c r="H482" s="141" t="str">
        <f t="shared" si="39"/>
        <v>CZK</v>
      </c>
      <c r="I482" s="409" t="s">
        <v>47</v>
      </c>
      <c r="J482" s="625" t="s">
        <v>1705</v>
      </c>
      <c r="L482" s="86" t="e">
        <f>VLOOKUP(B482,$B$11:B481,1,FALSE)</f>
        <v>#N/A</v>
      </c>
      <c r="M482" s="256">
        <f>G482*(1-FORM!$AE$28/100)</f>
        <v>123.13359</v>
      </c>
      <c r="AA482" s="463"/>
      <c r="AB482" s="462"/>
      <c r="AC482" s="462"/>
      <c r="AD482" s="464"/>
      <c r="AE482" s="465"/>
    </row>
    <row r="483" spans="1:31" ht="14.4">
      <c r="A483" s="139"/>
      <c r="B483" s="303">
        <v>9257621</v>
      </c>
      <c r="C483" s="304" t="s">
        <v>896</v>
      </c>
      <c r="D483" s="226">
        <v>1</v>
      </c>
      <c r="E483" s="396"/>
      <c r="F483" s="268"/>
      <c r="G483" s="272">
        <v>169.30695</v>
      </c>
      <c r="H483" s="142" t="str">
        <f t="shared" si="39"/>
        <v>CZK</v>
      </c>
      <c r="I483" s="417" t="s">
        <v>47</v>
      </c>
      <c r="J483" s="626" t="s">
        <v>1706</v>
      </c>
      <c r="L483" s="86" t="e">
        <f>VLOOKUP(B483,$B$11:B482,1,FALSE)</f>
        <v>#N/A</v>
      </c>
      <c r="M483" s="256">
        <f>G483*(1-FORM!$AE$28/100)</f>
        <v>169.30695</v>
      </c>
      <c r="AA483" s="463"/>
      <c r="AB483" s="462"/>
      <c r="AC483" s="462"/>
      <c r="AD483" s="464"/>
      <c r="AE483" s="465"/>
    </row>
    <row r="484" spans="1:31" ht="14.4">
      <c r="A484" s="130"/>
      <c r="B484" s="301">
        <v>9257623</v>
      </c>
      <c r="C484" s="222" t="s">
        <v>897</v>
      </c>
      <c r="D484" s="223">
        <v>1</v>
      </c>
      <c r="E484" s="395"/>
      <c r="F484" s="266"/>
      <c r="G484" s="272">
        <v>150.04737</v>
      </c>
      <c r="H484" s="211" t="str">
        <f t="shared" si="39"/>
        <v>CZK</v>
      </c>
      <c r="I484" s="416" t="s">
        <v>47</v>
      </c>
      <c r="J484" s="627" t="s">
        <v>1707</v>
      </c>
      <c r="L484" s="86" t="e">
        <f>VLOOKUP(B484,$B$11:B483,1,FALSE)</f>
        <v>#N/A</v>
      </c>
      <c r="M484" s="256">
        <f>G484*(1-FORM!$AE$28/100)</f>
        <v>150.04737</v>
      </c>
      <c r="AA484" s="463"/>
      <c r="AB484" s="462"/>
      <c r="AC484" s="462"/>
      <c r="AD484" s="464"/>
      <c r="AE484" s="465"/>
    </row>
    <row r="485" spans="1:31" ht="14.4">
      <c r="A485" s="137"/>
      <c r="B485" s="298">
        <v>9257625</v>
      </c>
      <c r="C485" s="216" t="s">
        <v>898</v>
      </c>
      <c r="D485" s="217">
        <v>1</v>
      </c>
      <c r="E485" s="391"/>
      <c r="F485" s="262"/>
      <c r="G485" s="272">
        <v>150.04737</v>
      </c>
      <c r="H485" s="141" t="str">
        <f t="shared" si="39"/>
        <v>CZK</v>
      </c>
      <c r="I485" s="409" t="s">
        <v>47</v>
      </c>
      <c r="J485" s="625" t="s">
        <v>1708</v>
      </c>
      <c r="L485" s="86" t="e">
        <f>VLOOKUP(B485,$B$11:B484,1,FALSE)</f>
        <v>#N/A</v>
      </c>
      <c r="M485" s="256">
        <f>G485*(1-FORM!$AE$28/100)</f>
        <v>150.04737</v>
      </c>
      <c r="AA485" s="463"/>
      <c r="AB485" s="462"/>
      <c r="AC485" s="462"/>
      <c r="AD485" s="464"/>
      <c r="AE485" s="465"/>
    </row>
    <row r="486" spans="1:31" ht="14.4">
      <c r="A486" s="139"/>
      <c r="B486" s="303">
        <v>9257627</v>
      </c>
      <c r="C486" s="304" t="s">
        <v>899</v>
      </c>
      <c r="D486" s="226">
        <v>1</v>
      </c>
      <c r="E486" s="396"/>
      <c r="F486" s="268"/>
      <c r="G486" s="272">
        <v>150.04737</v>
      </c>
      <c r="H486" s="142" t="str">
        <f t="shared" si="39"/>
        <v>CZK</v>
      </c>
      <c r="I486" s="417" t="s">
        <v>47</v>
      </c>
      <c r="J486" s="626" t="s">
        <v>1709</v>
      </c>
      <c r="L486" s="86" t="e">
        <f>VLOOKUP(B486,$B$11:B485,1,FALSE)</f>
        <v>#N/A</v>
      </c>
      <c r="M486" s="256">
        <f>G486*(1-FORM!$AE$28/100)</f>
        <v>150.04737</v>
      </c>
      <c r="AA486" s="463"/>
      <c r="AB486" s="462"/>
      <c r="AC486" s="462"/>
      <c r="AD486" s="464"/>
      <c r="AE486" s="465"/>
    </row>
    <row r="487" spans="1:31" ht="14.4">
      <c r="B487" s="303">
        <v>9257641</v>
      </c>
      <c r="C487" s="304" t="s">
        <v>900</v>
      </c>
      <c r="D487" s="226">
        <v>100</v>
      </c>
      <c r="E487" s="396"/>
      <c r="F487" s="268"/>
      <c r="G487" s="272">
        <v>10.840870000000001</v>
      </c>
      <c r="H487" s="142" t="str">
        <f t="shared" si="39"/>
        <v>CZK</v>
      </c>
      <c r="I487" s="417" t="s">
        <v>47</v>
      </c>
      <c r="J487" s="628" t="s">
        <v>1719</v>
      </c>
      <c r="L487" s="86" t="e">
        <f>VLOOKUP(B487,$B$11:B486,1,FALSE)</f>
        <v>#N/A</v>
      </c>
      <c r="M487" s="256">
        <f>G487*(1-FORM!$AE$28/100)</f>
        <v>10.840870000000001</v>
      </c>
      <c r="AA487" s="463"/>
      <c r="AB487" s="462"/>
      <c r="AC487" s="462"/>
      <c r="AD487" s="464"/>
      <c r="AE487" s="465"/>
    </row>
    <row r="488" spans="1:31" ht="14.4">
      <c r="A488" s="130"/>
      <c r="B488" s="301">
        <v>9257734</v>
      </c>
      <c r="C488" s="222" t="s">
        <v>901</v>
      </c>
      <c r="D488" s="223">
        <v>1</v>
      </c>
      <c r="E488" s="395"/>
      <c r="F488" s="266"/>
      <c r="G488" s="272">
        <v>171.83053000000001</v>
      </c>
      <c r="H488" s="211" t="str">
        <f t="shared" ref="H488:H501" si="40">IF(G488="","",$H$10)</f>
        <v>CZK</v>
      </c>
      <c r="I488" s="416" t="s">
        <v>47</v>
      </c>
      <c r="J488" s="627" t="s">
        <v>1737</v>
      </c>
      <c r="L488" s="86" t="e">
        <f>VLOOKUP(B488,$B$11:B487,1,FALSE)</f>
        <v>#N/A</v>
      </c>
      <c r="M488" s="256">
        <f>G488*(1-FORM!$AE$28/100)</f>
        <v>171.83053000000001</v>
      </c>
      <c r="AA488" s="463"/>
      <c r="AB488" s="462"/>
      <c r="AC488" s="462"/>
      <c r="AD488" s="464"/>
      <c r="AE488" s="465"/>
    </row>
    <row r="489" spans="1:31" ht="14.4">
      <c r="A489" s="137"/>
      <c r="B489" s="298">
        <v>9257735</v>
      </c>
      <c r="C489" s="216" t="s">
        <v>902</v>
      </c>
      <c r="D489" s="217">
        <v>1</v>
      </c>
      <c r="E489" s="391"/>
      <c r="F489" s="262"/>
      <c r="G489" s="272">
        <v>171.83053000000001</v>
      </c>
      <c r="H489" s="141" t="str">
        <f t="shared" si="40"/>
        <v>CZK</v>
      </c>
      <c r="I489" s="409" t="s">
        <v>47</v>
      </c>
      <c r="J489" s="625" t="s">
        <v>1738</v>
      </c>
      <c r="L489" s="86" t="e">
        <f>VLOOKUP(B489,$B$11:B488,1,FALSE)</f>
        <v>#N/A</v>
      </c>
      <c r="M489" s="256">
        <f>G489*(1-FORM!$AE$28/100)</f>
        <v>171.83053000000001</v>
      </c>
      <c r="AA489" s="463"/>
      <c r="AB489" s="462"/>
      <c r="AC489" s="462"/>
      <c r="AD489" s="464"/>
      <c r="AE489" s="465"/>
    </row>
    <row r="490" spans="1:31" ht="14.4">
      <c r="A490" s="139"/>
      <c r="B490" s="303">
        <v>9257736</v>
      </c>
      <c r="C490" s="304" t="s">
        <v>903</v>
      </c>
      <c r="D490" s="226">
        <v>1</v>
      </c>
      <c r="E490" s="396"/>
      <c r="F490" s="268"/>
      <c r="G490" s="272">
        <v>171.83053000000001</v>
      </c>
      <c r="H490" s="142" t="str">
        <f t="shared" si="40"/>
        <v>CZK</v>
      </c>
      <c r="I490" s="417" t="s">
        <v>47</v>
      </c>
      <c r="J490" s="626" t="s">
        <v>1739</v>
      </c>
      <c r="L490" s="86" t="e">
        <f>VLOOKUP(B490,$B$11:B489,1,FALSE)</f>
        <v>#N/A</v>
      </c>
      <c r="M490" s="256">
        <f>G490*(1-FORM!$AE$28/100)</f>
        <v>171.83053000000001</v>
      </c>
      <c r="AA490" s="463"/>
      <c r="AB490" s="462"/>
      <c r="AC490" s="462"/>
      <c r="AD490" s="464"/>
      <c r="AE490" s="465"/>
    </row>
    <row r="491" spans="1:31" ht="14.4">
      <c r="A491" s="130"/>
      <c r="B491" s="301">
        <v>9257629</v>
      </c>
      <c r="C491" s="222" t="s">
        <v>904</v>
      </c>
      <c r="D491" s="223">
        <v>200</v>
      </c>
      <c r="E491" s="395"/>
      <c r="F491" s="266"/>
      <c r="G491" s="272">
        <v>4.4243899999999998</v>
      </c>
      <c r="H491" s="211" t="str">
        <f t="shared" si="40"/>
        <v>CZK</v>
      </c>
      <c r="I491" s="416" t="s">
        <v>47</v>
      </c>
      <c r="J491" s="627" t="s">
        <v>1710</v>
      </c>
      <c r="L491" s="86" t="e">
        <f>VLOOKUP(B491,$B$11:B490,1,FALSE)</f>
        <v>#N/A</v>
      </c>
      <c r="M491" s="256">
        <f>G491*(1-FORM!$AE$28/100)</f>
        <v>4.4243899999999998</v>
      </c>
      <c r="AA491" s="463"/>
      <c r="AB491" s="462"/>
      <c r="AC491" s="462"/>
      <c r="AD491" s="464"/>
      <c r="AE491" s="465"/>
    </row>
    <row r="492" spans="1:31" ht="14.4">
      <c r="A492" s="130"/>
      <c r="B492" s="298">
        <v>9257630</v>
      </c>
      <c r="C492" s="216" t="s">
        <v>905</v>
      </c>
      <c r="D492" s="217">
        <v>200</v>
      </c>
      <c r="E492" s="391"/>
      <c r="F492" s="262"/>
      <c r="G492" s="272">
        <v>6.09389</v>
      </c>
      <c r="H492" s="141" t="str">
        <f t="shared" si="40"/>
        <v>CZK</v>
      </c>
      <c r="I492" s="409" t="s">
        <v>47</v>
      </c>
      <c r="J492" s="625" t="s">
        <v>1711</v>
      </c>
      <c r="L492" s="86" t="e">
        <f>VLOOKUP(B492,$B$11:B491,1,FALSE)</f>
        <v>#N/A</v>
      </c>
      <c r="M492" s="256">
        <f>G492*(1-FORM!$AE$28/100)</f>
        <v>6.09389</v>
      </c>
      <c r="AA492" s="463"/>
      <c r="AB492" s="462"/>
      <c r="AC492" s="462"/>
      <c r="AD492" s="464"/>
      <c r="AE492" s="465"/>
    </row>
    <row r="493" spans="1:31" ht="14.4">
      <c r="A493" s="130"/>
      <c r="B493" s="298">
        <v>9257631</v>
      </c>
      <c r="C493" s="216" t="s">
        <v>906</v>
      </c>
      <c r="D493" s="217">
        <v>200</v>
      </c>
      <c r="E493" s="391"/>
      <c r="F493" s="262"/>
      <c r="G493" s="272">
        <v>7.9287099999999997</v>
      </c>
      <c r="H493" s="141" t="str">
        <f t="shared" si="40"/>
        <v>CZK</v>
      </c>
      <c r="I493" s="409" t="s">
        <v>47</v>
      </c>
      <c r="J493" s="625" t="s">
        <v>1712</v>
      </c>
      <c r="L493" s="86" t="e">
        <f>VLOOKUP(B493,$B$11:B492,1,FALSE)</f>
        <v>#N/A</v>
      </c>
      <c r="M493" s="256">
        <f>G493*(1-FORM!$AE$28/100)</f>
        <v>7.9287099999999997</v>
      </c>
      <c r="AA493" s="463"/>
      <c r="AB493" s="462"/>
      <c r="AC493" s="462"/>
      <c r="AD493" s="464"/>
      <c r="AE493" s="465"/>
    </row>
    <row r="494" spans="1:31" ht="14.4">
      <c r="A494" s="137"/>
      <c r="B494" s="298">
        <v>9257633</v>
      </c>
      <c r="C494" s="216" t="s">
        <v>907</v>
      </c>
      <c r="D494" s="217">
        <v>200</v>
      </c>
      <c r="E494" s="391"/>
      <c r="F494" s="262"/>
      <c r="G494" s="272">
        <v>4.4243899999999998</v>
      </c>
      <c r="H494" s="141" t="str">
        <f t="shared" si="40"/>
        <v>CZK</v>
      </c>
      <c r="I494" s="409" t="s">
        <v>47</v>
      </c>
      <c r="J494" s="625" t="s">
        <v>1713</v>
      </c>
      <c r="L494" s="86" t="e">
        <f>VLOOKUP(B494,$B$11:B493,1,FALSE)</f>
        <v>#N/A</v>
      </c>
      <c r="M494" s="256">
        <f>G494*(1-FORM!$AE$28/100)</f>
        <v>4.4243899999999998</v>
      </c>
      <c r="AA494" s="463"/>
      <c r="AB494" s="462"/>
      <c r="AC494" s="462"/>
      <c r="AD494" s="464"/>
      <c r="AE494" s="465"/>
    </row>
    <row r="495" spans="1:31" ht="14.4">
      <c r="A495" s="137"/>
      <c r="B495" s="298">
        <v>9257634</v>
      </c>
      <c r="C495" s="216" t="s">
        <v>908</v>
      </c>
      <c r="D495" s="217">
        <v>200</v>
      </c>
      <c r="E495" s="391"/>
      <c r="F495" s="262"/>
      <c r="G495" s="272">
        <v>6.09389</v>
      </c>
      <c r="H495" s="141" t="str">
        <f t="shared" si="40"/>
        <v>CZK</v>
      </c>
      <c r="I495" s="409" t="s">
        <v>47</v>
      </c>
      <c r="J495" s="625" t="s">
        <v>1714</v>
      </c>
      <c r="L495" s="86" t="e">
        <f>VLOOKUP(B495,$B$11:B494,1,FALSE)</f>
        <v>#N/A</v>
      </c>
      <c r="M495" s="256">
        <f>G495*(1-FORM!$AE$28/100)</f>
        <v>6.09389</v>
      </c>
      <c r="AA495" s="463"/>
      <c r="AB495" s="462"/>
      <c r="AC495" s="462"/>
      <c r="AD495" s="464"/>
      <c r="AE495" s="465"/>
    </row>
    <row r="496" spans="1:31" ht="14.4">
      <c r="A496" s="137"/>
      <c r="B496" s="298">
        <v>9257635</v>
      </c>
      <c r="C496" s="216" t="s">
        <v>909</v>
      </c>
      <c r="D496" s="217">
        <v>200</v>
      </c>
      <c r="E496" s="391"/>
      <c r="F496" s="262"/>
      <c r="G496" s="272">
        <v>7.9287099999999997</v>
      </c>
      <c r="H496" s="141" t="str">
        <f t="shared" si="40"/>
        <v>CZK</v>
      </c>
      <c r="I496" s="409" t="s">
        <v>47</v>
      </c>
      <c r="J496" s="625" t="s">
        <v>1715</v>
      </c>
      <c r="L496" s="86" t="e">
        <f>VLOOKUP(B496,$B$11:B495,1,FALSE)</f>
        <v>#N/A</v>
      </c>
      <c r="M496" s="256">
        <f>G496*(1-FORM!$AE$28/100)</f>
        <v>7.9287099999999997</v>
      </c>
      <c r="AA496" s="463"/>
      <c r="AB496" s="462"/>
      <c r="AC496" s="462"/>
      <c r="AD496" s="464"/>
      <c r="AE496" s="465"/>
    </row>
    <row r="497" spans="1:31" ht="14.4">
      <c r="A497" s="139"/>
      <c r="B497" s="298">
        <v>9257637</v>
      </c>
      <c r="C497" s="216" t="s">
        <v>910</v>
      </c>
      <c r="D497" s="217">
        <v>200</v>
      </c>
      <c r="E497" s="391"/>
      <c r="F497" s="262"/>
      <c r="G497" s="272">
        <v>4.4243899999999998</v>
      </c>
      <c r="H497" s="141" t="str">
        <f t="shared" si="40"/>
        <v>CZK</v>
      </c>
      <c r="I497" s="409" t="s">
        <v>47</v>
      </c>
      <c r="J497" s="625" t="s">
        <v>1716</v>
      </c>
      <c r="L497" s="86" t="e">
        <f>VLOOKUP(B497,$B$11:B496,1,FALSE)</f>
        <v>#N/A</v>
      </c>
      <c r="M497" s="256">
        <f>G497*(1-FORM!$AE$28/100)</f>
        <v>4.4243899999999998</v>
      </c>
      <c r="AA497" s="463"/>
      <c r="AB497" s="462"/>
      <c r="AC497" s="462"/>
      <c r="AD497" s="464"/>
      <c r="AE497" s="465"/>
    </row>
    <row r="498" spans="1:31" ht="14.4">
      <c r="A498" s="139"/>
      <c r="B498" s="298">
        <v>9257638</v>
      </c>
      <c r="C498" s="216" t="s">
        <v>911</v>
      </c>
      <c r="D498" s="217">
        <v>200</v>
      </c>
      <c r="E498" s="391"/>
      <c r="F498" s="262"/>
      <c r="G498" s="272">
        <v>6.09389</v>
      </c>
      <c r="H498" s="141" t="str">
        <f t="shared" si="40"/>
        <v>CZK</v>
      </c>
      <c r="I498" s="409" t="s">
        <v>47</v>
      </c>
      <c r="J498" s="625" t="s">
        <v>1717</v>
      </c>
      <c r="L498" s="86" t="e">
        <f>VLOOKUP(B498,$B$11:B497,1,FALSE)</f>
        <v>#N/A</v>
      </c>
      <c r="M498" s="256">
        <f>G498*(1-FORM!$AE$28/100)</f>
        <v>6.09389</v>
      </c>
      <c r="AA498" s="463"/>
      <c r="AB498" s="462"/>
      <c r="AC498" s="462"/>
      <c r="AD498" s="464"/>
      <c r="AE498" s="465"/>
    </row>
    <row r="499" spans="1:31" ht="14.4">
      <c r="A499" s="139"/>
      <c r="B499" s="303">
        <v>9257639</v>
      </c>
      <c r="C499" s="304" t="s">
        <v>912</v>
      </c>
      <c r="D499" s="226">
        <v>200</v>
      </c>
      <c r="E499" s="396"/>
      <c r="F499" s="268"/>
      <c r="G499" s="272">
        <v>7.9287099999999997</v>
      </c>
      <c r="H499" s="142" t="str">
        <f t="shared" si="40"/>
        <v>CZK</v>
      </c>
      <c r="I499" s="417" t="s">
        <v>47</v>
      </c>
      <c r="J499" s="625" t="s">
        <v>1718</v>
      </c>
      <c r="L499" s="86" t="e">
        <f>VLOOKUP(B499,$B$11:B498,1,FALSE)</f>
        <v>#N/A</v>
      </c>
      <c r="M499" s="256">
        <f>G499*(1-FORM!$AE$28/100)</f>
        <v>7.9287099999999997</v>
      </c>
      <c r="AA499" s="463"/>
      <c r="AB499" s="462"/>
      <c r="AC499" s="462"/>
      <c r="AD499" s="464"/>
      <c r="AE499" s="465"/>
    </row>
    <row r="500" spans="1:31" ht="14.4">
      <c r="A500" s="130"/>
      <c r="B500" s="301">
        <v>9257663</v>
      </c>
      <c r="C500" s="222" t="s">
        <v>913</v>
      </c>
      <c r="D500" s="223">
        <v>1</v>
      </c>
      <c r="E500" s="395"/>
      <c r="F500" s="266"/>
      <c r="G500" s="272">
        <v>741.56732999999997</v>
      </c>
      <c r="H500" s="211" t="str">
        <f t="shared" si="40"/>
        <v>CZK</v>
      </c>
      <c r="I500" s="416" t="s">
        <v>47</v>
      </c>
      <c r="J500" s="625" t="s">
        <v>1730</v>
      </c>
      <c r="L500" s="86" t="e">
        <f>VLOOKUP(B500,$B$11:B499,1,FALSE)</f>
        <v>#N/A</v>
      </c>
      <c r="M500" s="256">
        <f>G500*(1-FORM!$AE$28/100)</f>
        <v>741.56732999999997</v>
      </c>
      <c r="AA500" s="463"/>
      <c r="AB500" s="462"/>
      <c r="AC500" s="462"/>
      <c r="AD500" s="464"/>
      <c r="AE500" s="465"/>
    </row>
    <row r="501" spans="1:31" ht="14.4">
      <c r="A501" s="137"/>
      <c r="B501" s="298">
        <v>9257664</v>
      </c>
      <c r="C501" s="216" t="s">
        <v>914</v>
      </c>
      <c r="D501" s="217">
        <v>1</v>
      </c>
      <c r="E501" s="391"/>
      <c r="F501" s="262"/>
      <c r="G501" s="272">
        <v>741.56732999999997</v>
      </c>
      <c r="H501" s="141" t="str">
        <f t="shared" si="40"/>
        <v>CZK</v>
      </c>
      <c r="I501" s="409" t="s">
        <v>47</v>
      </c>
      <c r="J501" s="625" t="s">
        <v>1731</v>
      </c>
      <c r="L501" s="86" t="e">
        <f>VLOOKUP(B501,$B$11:B500,1,FALSE)</f>
        <v>#N/A</v>
      </c>
      <c r="M501" s="256">
        <f>G501*(1-FORM!$AE$28/100)</f>
        <v>741.56732999999997</v>
      </c>
      <c r="AA501" s="463"/>
      <c r="AB501" s="462"/>
      <c r="AC501" s="462"/>
      <c r="AD501" s="464"/>
      <c r="AE501" s="465"/>
    </row>
    <row r="502" spans="1:31" ht="14.4">
      <c r="A502" s="139"/>
      <c r="B502" s="303">
        <v>9257665</v>
      </c>
      <c r="C502" s="304" t="s">
        <v>915</v>
      </c>
      <c r="D502" s="226">
        <v>1</v>
      </c>
      <c r="E502" s="396"/>
      <c r="F502" s="268"/>
      <c r="G502" s="272">
        <v>741.56732999999997</v>
      </c>
      <c r="H502" s="142" t="str">
        <f t="shared" ref="H502:H515" si="41">IF(G502="","",$H$10)</f>
        <v>CZK</v>
      </c>
      <c r="I502" s="417" t="s">
        <v>47</v>
      </c>
      <c r="J502" s="625" t="s">
        <v>1732</v>
      </c>
      <c r="L502" s="86" t="e">
        <f>VLOOKUP(B502,$B$11:B501,1,FALSE)</f>
        <v>#N/A</v>
      </c>
      <c r="M502" s="256">
        <f>G502*(1-FORM!$AE$28/100)</f>
        <v>741.56732999999997</v>
      </c>
      <c r="AA502" s="463"/>
      <c r="AB502" s="462"/>
      <c r="AC502" s="462"/>
      <c r="AD502" s="464"/>
      <c r="AE502" s="465"/>
    </row>
    <row r="503" spans="1:31" ht="14.4">
      <c r="A503" s="130"/>
      <c r="B503" s="301">
        <v>9257651</v>
      </c>
      <c r="C503" s="222" t="s">
        <v>916</v>
      </c>
      <c r="D503" s="223">
        <v>1</v>
      </c>
      <c r="E503" s="395"/>
      <c r="F503" s="266"/>
      <c r="G503" s="272">
        <v>557.04454999999996</v>
      </c>
      <c r="H503" s="211" t="str">
        <f t="shared" si="41"/>
        <v>CZK</v>
      </c>
      <c r="I503" s="416" t="s">
        <v>47</v>
      </c>
      <c r="J503" s="625" t="s">
        <v>1724</v>
      </c>
      <c r="L503" s="86" t="e">
        <f>VLOOKUP(B503,$B$11:B502,1,FALSE)</f>
        <v>#N/A</v>
      </c>
      <c r="M503" s="256">
        <f>G503*(1-FORM!$AE$28/100)</f>
        <v>557.04454999999996</v>
      </c>
      <c r="AA503" s="463"/>
      <c r="AB503" s="462"/>
      <c r="AC503" s="462"/>
      <c r="AD503" s="464"/>
      <c r="AE503" s="465"/>
    </row>
    <row r="504" spans="1:31" ht="14.4">
      <c r="A504" s="137"/>
      <c r="B504" s="298">
        <v>9257652</v>
      </c>
      <c r="C504" s="216" t="s">
        <v>917</v>
      </c>
      <c r="D504" s="217">
        <v>1</v>
      </c>
      <c r="E504" s="391"/>
      <c r="F504" s="262"/>
      <c r="G504" s="272">
        <v>557.04454999999996</v>
      </c>
      <c r="H504" s="141" t="str">
        <f t="shared" si="41"/>
        <v>CZK</v>
      </c>
      <c r="I504" s="409" t="s">
        <v>47</v>
      </c>
      <c r="J504" s="625" t="s">
        <v>1725</v>
      </c>
      <c r="L504" s="86" t="e">
        <f>VLOOKUP(B504,$B$11:B503,1,FALSE)</f>
        <v>#N/A</v>
      </c>
      <c r="M504" s="256">
        <f>G504*(1-FORM!$AE$28/100)</f>
        <v>557.04454999999996</v>
      </c>
      <c r="AA504" s="463"/>
      <c r="AB504" s="462"/>
      <c r="AC504" s="462"/>
      <c r="AD504" s="464"/>
      <c r="AE504" s="465"/>
    </row>
    <row r="505" spans="1:31" ht="14.4">
      <c r="A505" s="139"/>
      <c r="B505" s="298">
        <v>9257653</v>
      </c>
      <c r="C505" s="216" t="s">
        <v>918</v>
      </c>
      <c r="D505" s="217">
        <v>1</v>
      </c>
      <c r="E505" s="391"/>
      <c r="F505" s="262"/>
      <c r="G505" s="272">
        <v>557.04454999999996</v>
      </c>
      <c r="H505" s="141" t="str">
        <f t="shared" si="41"/>
        <v>CZK</v>
      </c>
      <c r="I505" s="409" t="s">
        <v>47</v>
      </c>
      <c r="J505" s="625" t="s">
        <v>1726</v>
      </c>
      <c r="L505" s="86" t="e">
        <f>VLOOKUP(B505,$B$11:B504,1,FALSE)</f>
        <v>#N/A</v>
      </c>
      <c r="M505" s="256">
        <f>G505*(1-FORM!$AE$28/100)</f>
        <v>557.04454999999996</v>
      </c>
      <c r="AA505" s="463"/>
      <c r="AB505" s="462"/>
      <c r="AC505" s="462"/>
      <c r="AD505" s="464"/>
      <c r="AE505" s="465"/>
    </row>
    <row r="506" spans="1:31" ht="14.4">
      <c r="A506" s="130"/>
      <c r="B506" s="298">
        <v>9257657</v>
      </c>
      <c r="C506" s="216" t="s">
        <v>919</v>
      </c>
      <c r="D506" s="217">
        <v>1</v>
      </c>
      <c r="E506" s="391"/>
      <c r="F506" s="262"/>
      <c r="G506" s="272">
        <v>557.04454999999996</v>
      </c>
      <c r="H506" s="141" t="str">
        <f t="shared" si="41"/>
        <v>CZK</v>
      </c>
      <c r="I506" s="409" t="s">
        <v>47</v>
      </c>
      <c r="J506" s="625" t="s">
        <v>1727</v>
      </c>
      <c r="L506" s="86" t="e">
        <f>VLOOKUP(B506,$B$11:B505,1,FALSE)</f>
        <v>#N/A</v>
      </c>
      <c r="M506" s="256">
        <f>G506*(1-FORM!$AE$28/100)</f>
        <v>557.04454999999996</v>
      </c>
      <c r="AA506" s="463"/>
      <c r="AB506" s="462"/>
      <c r="AC506" s="462"/>
      <c r="AD506" s="464"/>
      <c r="AE506" s="465"/>
    </row>
    <row r="507" spans="1:31" ht="14.4">
      <c r="A507" s="137"/>
      <c r="B507" s="298">
        <v>9257658</v>
      </c>
      <c r="C507" s="216" t="s">
        <v>920</v>
      </c>
      <c r="D507" s="217">
        <v>1</v>
      </c>
      <c r="E507" s="391"/>
      <c r="F507" s="262"/>
      <c r="G507" s="272">
        <v>557.04454999999996</v>
      </c>
      <c r="H507" s="141" t="str">
        <f t="shared" si="41"/>
        <v>CZK</v>
      </c>
      <c r="I507" s="409" t="s">
        <v>47</v>
      </c>
      <c r="J507" s="625" t="s">
        <v>1728</v>
      </c>
      <c r="L507" s="86" t="e">
        <f>VLOOKUP(B507,$B$11:B506,1,FALSE)</f>
        <v>#N/A</v>
      </c>
      <c r="M507" s="256">
        <f>G507*(1-FORM!$AE$28/100)</f>
        <v>557.04454999999996</v>
      </c>
      <c r="AA507" s="463"/>
      <c r="AB507" s="462"/>
      <c r="AC507" s="462"/>
      <c r="AD507" s="464"/>
      <c r="AE507" s="465"/>
    </row>
    <row r="508" spans="1:31" ht="14.4">
      <c r="A508" s="139"/>
      <c r="B508" s="303">
        <v>9257659</v>
      </c>
      <c r="C508" s="304" t="s">
        <v>921</v>
      </c>
      <c r="D508" s="226">
        <v>1</v>
      </c>
      <c r="E508" s="396"/>
      <c r="F508" s="268"/>
      <c r="G508" s="272">
        <v>557.04454999999996</v>
      </c>
      <c r="H508" s="142" t="str">
        <f t="shared" si="41"/>
        <v>CZK</v>
      </c>
      <c r="I508" s="417" t="s">
        <v>47</v>
      </c>
      <c r="J508" s="626" t="s">
        <v>1729</v>
      </c>
      <c r="L508" s="86" t="e">
        <f>VLOOKUP(B508,$B$11:B507,1,FALSE)</f>
        <v>#N/A</v>
      </c>
      <c r="M508" s="256">
        <f>G508*(1-FORM!$AE$28/100)</f>
        <v>557.04454999999996</v>
      </c>
      <c r="AA508" s="463"/>
      <c r="AB508" s="462"/>
      <c r="AC508" s="462"/>
      <c r="AD508" s="464"/>
      <c r="AE508" s="465"/>
    </row>
    <row r="509" spans="1:31" ht="14.4">
      <c r="B509" s="301"/>
      <c r="C509" s="222"/>
      <c r="D509" s="223"/>
      <c r="E509" s="395"/>
      <c r="F509" s="266"/>
      <c r="G509" s="272"/>
      <c r="H509" s="211"/>
      <c r="I509" s="416" t="s">
        <v>47</v>
      </c>
      <c r="J509" s="467"/>
      <c r="L509" s="86" t="e">
        <f>VLOOKUP(B509,$B$11:B508,1,FALSE)</f>
        <v>#N/A</v>
      </c>
      <c r="M509" s="256">
        <f>G509*(1-FORM!$AE$28/100)</f>
        <v>0</v>
      </c>
      <c r="AA509" s="463"/>
      <c r="AB509" s="462"/>
      <c r="AC509" s="462"/>
      <c r="AD509" s="464"/>
      <c r="AE509" s="465"/>
    </row>
    <row r="510" spans="1:31" ht="14.4">
      <c r="B510" s="424">
        <v>9347484</v>
      </c>
      <c r="C510" s="222" t="s">
        <v>1159</v>
      </c>
      <c r="D510" s="217">
        <v>100</v>
      </c>
      <c r="E510" s="391"/>
      <c r="F510" s="262"/>
      <c r="G510" s="272">
        <v>28.26905</v>
      </c>
      <c r="H510" s="141" t="str">
        <f t="shared" si="41"/>
        <v>CZK</v>
      </c>
      <c r="I510" s="409" t="s">
        <v>47</v>
      </c>
      <c r="J510" s="625" t="s">
        <v>1819</v>
      </c>
      <c r="L510" s="86" t="e">
        <f>VLOOKUP(B510,$B$11:B509,1,FALSE)</f>
        <v>#N/A</v>
      </c>
      <c r="M510" s="256">
        <f>G510*(1-FORM!$AE$28/100)</f>
        <v>28.26905</v>
      </c>
      <c r="AA510" s="463"/>
      <c r="AB510" s="462"/>
      <c r="AC510" s="462"/>
      <c r="AD510" s="464"/>
      <c r="AE510" s="465"/>
    </row>
    <row r="511" spans="1:31" ht="14.4">
      <c r="B511" s="425">
        <v>9347485</v>
      </c>
      <c r="C511" s="216" t="s">
        <v>1160</v>
      </c>
      <c r="D511" s="217">
        <v>100</v>
      </c>
      <c r="E511" s="391"/>
      <c r="F511" s="262"/>
      <c r="G511" s="272">
        <v>28.581109999999999</v>
      </c>
      <c r="H511" s="141" t="str">
        <f t="shared" si="41"/>
        <v>CZK</v>
      </c>
      <c r="I511" s="409" t="s">
        <v>47</v>
      </c>
      <c r="J511" s="625" t="s">
        <v>1820</v>
      </c>
      <c r="L511" s="86" t="e">
        <f>VLOOKUP(B511,$B$11:B510,1,FALSE)</f>
        <v>#N/A</v>
      </c>
      <c r="M511" s="256">
        <f>G511*(1-FORM!$AE$28/100)</f>
        <v>28.581109999999999</v>
      </c>
      <c r="AA511" s="463"/>
      <c r="AB511" s="462"/>
      <c r="AC511" s="462"/>
      <c r="AD511" s="464"/>
      <c r="AE511" s="465"/>
    </row>
    <row r="512" spans="1:31" ht="14.4">
      <c r="B512" s="425">
        <v>9347486</v>
      </c>
      <c r="C512" s="216" t="s">
        <v>1161</v>
      </c>
      <c r="D512" s="217">
        <v>100</v>
      </c>
      <c r="E512" s="391"/>
      <c r="F512" s="262"/>
      <c r="G512" s="272">
        <v>29.109169999999999</v>
      </c>
      <c r="H512" s="141" t="str">
        <f t="shared" si="41"/>
        <v>CZK</v>
      </c>
      <c r="I512" s="409" t="s">
        <v>47</v>
      </c>
      <c r="J512" s="625" t="s">
        <v>1821</v>
      </c>
      <c r="L512" s="86" t="e">
        <f>VLOOKUP(B512,$B$11:B511,1,FALSE)</f>
        <v>#N/A</v>
      </c>
      <c r="M512" s="256">
        <f>G512*(1-FORM!$AE$28/100)</f>
        <v>29.109169999999999</v>
      </c>
      <c r="AA512" s="463"/>
      <c r="AB512" s="462"/>
      <c r="AC512" s="462"/>
      <c r="AD512" s="464"/>
      <c r="AE512" s="465"/>
    </row>
    <row r="513" spans="2:31" ht="14.4">
      <c r="B513" s="425">
        <v>9347487</v>
      </c>
      <c r="C513" s="216" t="s">
        <v>1162</v>
      </c>
      <c r="D513" s="217">
        <v>100</v>
      </c>
      <c r="E513" s="391"/>
      <c r="F513" s="262"/>
      <c r="G513" s="272">
        <v>29.63186</v>
      </c>
      <c r="H513" s="141" t="str">
        <f t="shared" si="41"/>
        <v>CZK</v>
      </c>
      <c r="I513" s="409" t="s">
        <v>47</v>
      </c>
      <c r="J513" s="625" t="s">
        <v>1822</v>
      </c>
      <c r="L513" s="86" t="e">
        <f>VLOOKUP(B513,$B$11:B512,1,FALSE)</f>
        <v>#N/A</v>
      </c>
      <c r="M513" s="256">
        <f>G513*(1-FORM!$AE$28/100)</f>
        <v>29.63186</v>
      </c>
      <c r="AA513" s="463"/>
      <c r="AB513" s="462"/>
      <c r="AC513" s="462"/>
      <c r="AD513" s="464"/>
      <c r="AE513" s="465"/>
    </row>
    <row r="514" spans="2:31" ht="14.4">
      <c r="B514" s="425">
        <v>9347488</v>
      </c>
      <c r="C514" s="216" t="s">
        <v>1163</v>
      </c>
      <c r="D514" s="217">
        <v>100</v>
      </c>
      <c r="E514" s="391"/>
      <c r="F514" s="262"/>
      <c r="G514" s="272">
        <v>30.15992</v>
      </c>
      <c r="H514" s="141" t="str">
        <f t="shared" si="41"/>
        <v>CZK</v>
      </c>
      <c r="I514" s="409" t="s">
        <v>47</v>
      </c>
      <c r="J514" s="625" t="s">
        <v>1823</v>
      </c>
      <c r="L514" s="86" t="e">
        <f>VLOOKUP(B514,$B$11:B513,1,FALSE)</f>
        <v>#N/A</v>
      </c>
      <c r="M514" s="256">
        <f>G514*(1-FORM!$AE$28/100)</f>
        <v>30.15992</v>
      </c>
      <c r="AA514" s="463"/>
      <c r="AB514" s="462"/>
      <c r="AC514" s="462"/>
      <c r="AD514" s="464"/>
      <c r="AE514" s="465"/>
    </row>
    <row r="515" spans="2:31" ht="14.4">
      <c r="B515" s="425">
        <v>9347489</v>
      </c>
      <c r="C515" s="216" t="s">
        <v>1164</v>
      </c>
      <c r="D515" s="217">
        <v>100</v>
      </c>
      <c r="E515" s="391"/>
      <c r="F515" s="262"/>
      <c r="G515" s="272">
        <v>30.685300000000002</v>
      </c>
      <c r="H515" s="141" t="str">
        <f t="shared" si="41"/>
        <v>CZK</v>
      </c>
      <c r="I515" s="409" t="s">
        <v>47</v>
      </c>
      <c r="J515" s="625" t="s">
        <v>1824</v>
      </c>
      <c r="L515" s="86" t="e">
        <f>VLOOKUP(B515,$B$11:B514,1,FALSE)</f>
        <v>#N/A</v>
      </c>
      <c r="M515" s="256">
        <f>G515*(1-FORM!$AE$28/100)</f>
        <v>30.685300000000002</v>
      </c>
      <c r="AA515" s="463"/>
      <c r="AB515" s="462"/>
      <c r="AC515" s="462"/>
      <c r="AD515" s="464"/>
      <c r="AE515" s="465"/>
    </row>
    <row r="516" spans="2:31" ht="14.4">
      <c r="B516" s="425">
        <v>9347490</v>
      </c>
      <c r="C516" s="216" t="s">
        <v>1165</v>
      </c>
      <c r="D516" s="217">
        <v>100</v>
      </c>
      <c r="E516" s="391"/>
      <c r="F516" s="262"/>
      <c r="G516" s="272">
        <v>31.207979999999999</v>
      </c>
      <c r="H516" s="141" t="str">
        <f>IF(G516="","",$H$10)</f>
        <v>CZK</v>
      </c>
      <c r="I516" s="409" t="s">
        <v>47</v>
      </c>
      <c r="J516" s="625" t="s">
        <v>1825</v>
      </c>
      <c r="L516" s="86" t="e">
        <f>VLOOKUP(B516,$B$11:B515,1,FALSE)</f>
        <v>#N/A</v>
      </c>
      <c r="M516" s="256">
        <f>G516*(1-FORM!$AE$28/100)</f>
        <v>31.207979999999999</v>
      </c>
      <c r="AA516" s="463"/>
      <c r="AB516" s="462"/>
      <c r="AC516" s="462"/>
      <c r="AD516" s="464"/>
      <c r="AE516" s="465"/>
    </row>
    <row r="517" spans="2:31" ht="14.4">
      <c r="B517" s="425">
        <v>9347491</v>
      </c>
      <c r="C517" s="216" t="s">
        <v>1166</v>
      </c>
      <c r="D517" s="217">
        <v>100</v>
      </c>
      <c r="E517" s="391"/>
      <c r="F517" s="262"/>
      <c r="G517" s="272">
        <v>32.56015</v>
      </c>
      <c r="H517" s="141" t="str">
        <f>IF(G517="","",$H$10)</f>
        <v>CZK</v>
      </c>
      <c r="I517" s="409" t="s">
        <v>47</v>
      </c>
      <c r="J517" s="625" t="s">
        <v>1826</v>
      </c>
      <c r="L517" s="86" t="e">
        <f>VLOOKUP(B517,$B$11:B516,1,FALSE)</f>
        <v>#N/A</v>
      </c>
      <c r="M517" s="256">
        <f>G517*(1-FORM!$AE$28/100)</f>
        <v>32.56015</v>
      </c>
      <c r="AA517" s="463"/>
      <c r="AB517" s="462"/>
      <c r="AC517" s="462"/>
      <c r="AD517" s="464"/>
      <c r="AE517" s="465"/>
    </row>
    <row r="518" spans="2:31" ht="14.4">
      <c r="B518" s="426">
        <v>9347492</v>
      </c>
      <c r="C518" s="304" t="s">
        <v>1167</v>
      </c>
      <c r="D518" s="226">
        <v>100</v>
      </c>
      <c r="E518" s="396"/>
      <c r="F518" s="268"/>
      <c r="G518" s="272">
        <v>35.114960000000004</v>
      </c>
      <c r="H518" s="142" t="str">
        <f t="shared" ref="H518:H525" si="42">IF(G518="","",$H$10)</f>
        <v>CZK</v>
      </c>
      <c r="I518" s="417" t="s">
        <v>47</v>
      </c>
      <c r="J518" s="626" t="s">
        <v>1827</v>
      </c>
      <c r="L518" s="86" t="e">
        <f>VLOOKUP(B518,$B$11:B517,1,FALSE)</f>
        <v>#N/A</v>
      </c>
      <c r="M518" s="256">
        <f>G518*(1-FORM!$AE$28/100)</f>
        <v>35.114960000000004</v>
      </c>
      <c r="AA518" s="463"/>
      <c r="AB518" s="462"/>
      <c r="AC518" s="462"/>
      <c r="AD518" s="464"/>
      <c r="AE518" s="465"/>
    </row>
    <row r="519" spans="2:31" ht="14.4">
      <c r="B519" s="427">
        <v>9255759</v>
      </c>
      <c r="C519" s="428" t="s">
        <v>922</v>
      </c>
      <c r="D519" s="223">
        <v>100</v>
      </c>
      <c r="E519" s="395"/>
      <c r="F519" s="266"/>
      <c r="G519" s="272">
        <v>15.801019999999999</v>
      </c>
      <c r="H519" s="211" t="str">
        <f t="shared" si="42"/>
        <v>CZK</v>
      </c>
      <c r="I519" s="416" t="s">
        <v>47</v>
      </c>
      <c r="J519" s="627" t="s">
        <v>1551</v>
      </c>
      <c r="L519" s="86" t="e">
        <f>VLOOKUP(B519,$B$11:B518,1,FALSE)</f>
        <v>#N/A</v>
      </c>
      <c r="M519" s="256">
        <f>G519*(1-FORM!$AE$28/100)</f>
        <v>15.801019999999999</v>
      </c>
      <c r="AA519" s="463"/>
      <c r="AB519" s="462"/>
      <c r="AC519" s="462"/>
      <c r="AD519" s="464"/>
      <c r="AE519" s="465"/>
    </row>
    <row r="520" spans="2:31" ht="14.4">
      <c r="B520" s="427">
        <v>9255760</v>
      </c>
      <c r="C520" s="428" t="s">
        <v>923</v>
      </c>
      <c r="D520" s="217">
        <v>100</v>
      </c>
      <c r="E520" s="391"/>
      <c r="F520" s="262"/>
      <c r="G520" s="272">
        <v>15.975300000000001</v>
      </c>
      <c r="H520" s="141" t="str">
        <f t="shared" si="42"/>
        <v>CZK</v>
      </c>
      <c r="I520" s="409" t="s">
        <v>47</v>
      </c>
      <c r="J520" s="625" t="s">
        <v>1552</v>
      </c>
      <c r="L520" s="86" t="e">
        <f>VLOOKUP(B520,$B$11:B519,1,FALSE)</f>
        <v>#N/A</v>
      </c>
      <c r="M520" s="256">
        <f>G520*(1-FORM!$AE$28/100)</f>
        <v>15.975300000000001</v>
      </c>
      <c r="AA520" s="463"/>
      <c r="AB520" s="462"/>
      <c r="AC520" s="462"/>
      <c r="AD520" s="464"/>
      <c r="AE520" s="465"/>
    </row>
    <row r="521" spans="2:31" ht="14.4">
      <c r="B521" s="427">
        <v>9255761</v>
      </c>
      <c r="C521" s="428" t="s">
        <v>924</v>
      </c>
      <c r="D521" s="217">
        <v>100</v>
      </c>
      <c r="E521" s="391"/>
      <c r="F521" s="262"/>
      <c r="G521" s="272">
        <v>16.27065</v>
      </c>
      <c r="H521" s="141" t="str">
        <f t="shared" si="42"/>
        <v>CZK</v>
      </c>
      <c r="I521" s="409" t="s">
        <v>47</v>
      </c>
      <c r="J521" s="625" t="s">
        <v>1553</v>
      </c>
      <c r="L521" s="86" t="e">
        <f>VLOOKUP(B521,$B$11:B520,1,FALSE)</f>
        <v>#N/A</v>
      </c>
      <c r="M521" s="256">
        <f>G521*(1-FORM!$AE$28/100)</f>
        <v>16.27065</v>
      </c>
      <c r="AA521" s="463"/>
      <c r="AB521" s="462"/>
      <c r="AC521" s="462"/>
      <c r="AD521" s="464"/>
      <c r="AE521" s="465"/>
    </row>
    <row r="522" spans="2:31" ht="14.4">
      <c r="B522" s="427">
        <v>9255762</v>
      </c>
      <c r="C522" s="428" t="s">
        <v>925</v>
      </c>
      <c r="D522" s="217">
        <v>100</v>
      </c>
      <c r="E522" s="391"/>
      <c r="F522" s="262"/>
      <c r="G522" s="272">
        <v>16.563459999999999</v>
      </c>
      <c r="H522" s="141" t="str">
        <f t="shared" si="42"/>
        <v>CZK</v>
      </c>
      <c r="I522" s="409" t="s">
        <v>47</v>
      </c>
      <c r="J522" s="625" t="s">
        <v>1554</v>
      </c>
      <c r="L522" s="86" t="e">
        <f>VLOOKUP(B522,$B$11:B521,1,FALSE)</f>
        <v>#N/A</v>
      </c>
      <c r="M522" s="256">
        <f>G522*(1-FORM!$AE$28/100)</f>
        <v>16.563459999999999</v>
      </c>
      <c r="AA522" s="463"/>
      <c r="AB522" s="462"/>
      <c r="AC522" s="462"/>
      <c r="AD522" s="464"/>
      <c r="AE522" s="465"/>
    </row>
    <row r="523" spans="2:31" ht="14.4">
      <c r="B523" s="427">
        <v>9255763</v>
      </c>
      <c r="C523" s="428" t="s">
        <v>926</v>
      </c>
      <c r="D523" s="217">
        <v>100</v>
      </c>
      <c r="E523" s="391"/>
      <c r="F523" s="262"/>
      <c r="G523" s="272">
        <v>16.858809999999998</v>
      </c>
      <c r="H523" s="141" t="str">
        <f t="shared" si="42"/>
        <v>CZK</v>
      </c>
      <c r="I523" s="409" t="s">
        <v>47</v>
      </c>
      <c r="J523" s="625" t="s">
        <v>1555</v>
      </c>
      <c r="L523" s="86" t="e">
        <f>VLOOKUP(B523,$B$11:B522,1,FALSE)</f>
        <v>#N/A</v>
      </c>
      <c r="M523" s="256">
        <f>G523*(1-FORM!$AE$28/100)</f>
        <v>16.858809999999998</v>
      </c>
      <c r="AA523" s="463"/>
      <c r="AB523" s="462"/>
      <c r="AC523" s="462"/>
      <c r="AD523" s="464"/>
      <c r="AE523" s="465"/>
    </row>
    <row r="524" spans="2:31" ht="14.4">
      <c r="B524" s="427">
        <v>9255764</v>
      </c>
      <c r="C524" s="428" t="s">
        <v>927</v>
      </c>
      <c r="D524" s="217">
        <v>100</v>
      </c>
      <c r="E524" s="391"/>
      <c r="F524" s="262"/>
      <c r="G524" s="272">
        <v>17.151710000000001</v>
      </c>
      <c r="H524" s="141" t="str">
        <f t="shared" si="42"/>
        <v>CZK</v>
      </c>
      <c r="I524" s="409" t="s">
        <v>47</v>
      </c>
      <c r="J524" s="625" t="s">
        <v>1556</v>
      </c>
      <c r="L524" s="86" t="e">
        <f>VLOOKUP(B524,$B$11:B523,1,FALSE)</f>
        <v>#N/A</v>
      </c>
      <c r="M524" s="256">
        <f>G524*(1-FORM!$AE$28/100)</f>
        <v>17.151710000000001</v>
      </c>
      <c r="AA524" s="463"/>
      <c r="AB524" s="462"/>
      <c r="AC524" s="462"/>
      <c r="AD524" s="464"/>
      <c r="AE524" s="465"/>
    </row>
    <row r="525" spans="2:31" ht="14.4">
      <c r="B525" s="427">
        <v>9255765</v>
      </c>
      <c r="C525" s="428" t="s">
        <v>928</v>
      </c>
      <c r="D525" s="217">
        <v>100</v>
      </c>
      <c r="E525" s="391"/>
      <c r="F525" s="262"/>
      <c r="G525" s="272">
        <v>17.444520000000001</v>
      </c>
      <c r="H525" s="141" t="str">
        <f t="shared" si="42"/>
        <v>CZK</v>
      </c>
      <c r="I525" s="409" t="s">
        <v>47</v>
      </c>
      <c r="J525" s="625" t="s">
        <v>1557</v>
      </c>
      <c r="L525" s="86" t="e">
        <f>VLOOKUP(B525,$B$11:B524,1,FALSE)</f>
        <v>#N/A</v>
      </c>
      <c r="M525" s="256">
        <f>G525*(1-FORM!$AE$28/100)</f>
        <v>17.444520000000001</v>
      </c>
      <c r="AA525" s="463"/>
      <c r="AB525" s="462"/>
      <c r="AC525" s="462"/>
      <c r="AD525" s="464"/>
      <c r="AE525" s="465"/>
    </row>
    <row r="526" spans="2:31" ht="14.4">
      <c r="B526" s="427">
        <v>9255766</v>
      </c>
      <c r="C526" s="428" t="s">
        <v>929</v>
      </c>
      <c r="D526" s="217">
        <v>100</v>
      </c>
      <c r="E526" s="391"/>
      <c r="F526" s="262"/>
      <c r="G526" s="272">
        <v>17.894780000000001</v>
      </c>
      <c r="H526" s="141" t="str">
        <f t="shared" ref="H526:H539" si="43">IF(G526="","",$H$10)</f>
        <v>CZK</v>
      </c>
      <c r="I526" s="409" t="s">
        <v>47</v>
      </c>
      <c r="J526" s="625" t="s">
        <v>1558</v>
      </c>
      <c r="L526" s="86" t="e">
        <f>VLOOKUP(B526,$B$11:B525,1,FALSE)</f>
        <v>#N/A</v>
      </c>
      <c r="M526" s="256">
        <f>G526*(1-FORM!$AE$28/100)</f>
        <v>17.894780000000001</v>
      </c>
      <c r="AA526" s="463"/>
      <c r="AB526" s="462"/>
      <c r="AC526" s="462"/>
      <c r="AD526" s="464"/>
      <c r="AE526" s="465"/>
    </row>
    <row r="527" spans="2:31" ht="14.4">
      <c r="B527" s="429">
        <v>9255767</v>
      </c>
      <c r="C527" s="430" t="s">
        <v>930</v>
      </c>
      <c r="D527" s="226">
        <v>100</v>
      </c>
      <c r="E527" s="396"/>
      <c r="F527" s="268"/>
      <c r="G527" s="272">
        <v>18.497509999999998</v>
      </c>
      <c r="H527" s="142" t="str">
        <f t="shared" si="43"/>
        <v>CZK</v>
      </c>
      <c r="I527" s="417" t="s">
        <v>47</v>
      </c>
      <c r="J527" s="626" t="s">
        <v>1559</v>
      </c>
      <c r="L527" s="86" t="e">
        <f>VLOOKUP(B527,$B$11:B526,1,FALSE)</f>
        <v>#N/A</v>
      </c>
      <c r="M527" s="256">
        <f>G527*(1-FORM!$AE$28/100)</f>
        <v>18.497509999999998</v>
      </c>
      <c r="AA527" s="463"/>
      <c r="AB527" s="462"/>
      <c r="AC527" s="462"/>
      <c r="AD527" s="464"/>
      <c r="AE527" s="465"/>
    </row>
    <row r="528" spans="2:31" ht="14.4">
      <c r="B528" s="431">
        <v>9255777</v>
      </c>
      <c r="C528" s="432" t="s">
        <v>931</v>
      </c>
      <c r="D528" s="223">
        <v>100</v>
      </c>
      <c r="E528" s="395"/>
      <c r="F528" s="266"/>
      <c r="G528" s="272">
        <v>15.801019999999999</v>
      </c>
      <c r="H528" s="211" t="str">
        <f t="shared" si="43"/>
        <v>CZK</v>
      </c>
      <c r="I528" s="416" t="s">
        <v>47</v>
      </c>
      <c r="J528" s="627" t="s">
        <v>1560</v>
      </c>
      <c r="L528" s="86" t="e">
        <f>VLOOKUP(B528,$B$11:B527,1,FALSE)</f>
        <v>#N/A</v>
      </c>
      <c r="M528" s="256">
        <f>G528*(1-FORM!$AE$28/100)</f>
        <v>15.801019999999999</v>
      </c>
      <c r="AA528" s="463"/>
      <c r="AB528" s="462"/>
      <c r="AC528" s="462"/>
      <c r="AD528" s="464"/>
      <c r="AE528" s="465"/>
    </row>
    <row r="529" spans="2:31" ht="14.4">
      <c r="B529" s="427">
        <v>9255778</v>
      </c>
      <c r="C529" s="428" t="s">
        <v>932</v>
      </c>
      <c r="D529" s="217">
        <v>100</v>
      </c>
      <c r="E529" s="391"/>
      <c r="F529" s="262"/>
      <c r="G529" s="272">
        <v>15.975300000000001</v>
      </c>
      <c r="H529" s="141" t="str">
        <f t="shared" si="43"/>
        <v>CZK</v>
      </c>
      <c r="I529" s="409" t="s">
        <v>47</v>
      </c>
      <c r="J529" s="625" t="s">
        <v>1561</v>
      </c>
      <c r="L529" s="86" t="e">
        <f>VLOOKUP(B529,$B$11:B528,1,FALSE)</f>
        <v>#N/A</v>
      </c>
      <c r="M529" s="256">
        <f>G529*(1-FORM!$AE$28/100)</f>
        <v>15.975300000000001</v>
      </c>
      <c r="AA529" s="463"/>
      <c r="AB529" s="462"/>
      <c r="AC529" s="462"/>
      <c r="AD529" s="464"/>
      <c r="AE529" s="465"/>
    </row>
    <row r="530" spans="2:31" ht="14.4">
      <c r="B530" s="427">
        <v>9255779</v>
      </c>
      <c r="C530" s="428" t="s">
        <v>933</v>
      </c>
      <c r="D530" s="217">
        <v>100</v>
      </c>
      <c r="E530" s="391"/>
      <c r="F530" s="262"/>
      <c r="G530" s="272">
        <v>16.27065</v>
      </c>
      <c r="H530" s="141" t="str">
        <f t="shared" si="43"/>
        <v>CZK</v>
      </c>
      <c r="I530" s="409" t="s">
        <v>47</v>
      </c>
      <c r="J530" s="625" t="s">
        <v>1562</v>
      </c>
      <c r="L530" s="86" t="e">
        <f>VLOOKUP(B530,$B$11:B529,1,FALSE)</f>
        <v>#N/A</v>
      </c>
      <c r="M530" s="256">
        <f>G530*(1-FORM!$AE$28/100)</f>
        <v>16.27065</v>
      </c>
      <c r="AA530" s="463"/>
      <c r="AB530" s="462"/>
      <c r="AC530" s="462"/>
      <c r="AD530" s="464"/>
      <c r="AE530" s="465"/>
    </row>
    <row r="531" spans="2:31" ht="14.4">
      <c r="B531" s="427">
        <v>9255780</v>
      </c>
      <c r="C531" s="428" t="s">
        <v>934</v>
      </c>
      <c r="D531" s="217">
        <v>100</v>
      </c>
      <c r="E531" s="391"/>
      <c r="F531" s="262"/>
      <c r="G531" s="272">
        <v>16.563459999999999</v>
      </c>
      <c r="H531" s="141" t="str">
        <f t="shared" si="43"/>
        <v>CZK</v>
      </c>
      <c r="I531" s="409" t="s">
        <v>47</v>
      </c>
      <c r="J531" s="625" t="s">
        <v>1563</v>
      </c>
      <c r="L531" s="86" t="e">
        <f>VLOOKUP(B531,$B$11:B530,1,FALSE)</f>
        <v>#N/A</v>
      </c>
      <c r="M531" s="256">
        <f>G531*(1-FORM!$AE$28/100)</f>
        <v>16.563459999999999</v>
      </c>
      <c r="AA531" s="463"/>
      <c r="AB531" s="462"/>
      <c r="AC531" s="462"/>
      <c r="AD531" s="464"/>
      <c r="AE531" s="465"/>
    </row>
    <row r="532" spans="2:31" ht="14.4">
      <c r="B532" s="427">
        <v>9255781</v>
      </c>
      <c r="C532" s="428" t="s">
        <v>935</v>
      </c>
      <c r="D532" s="217">
        <v>100</v>
      </c>
      <c r="E532" s="391"/>
      <c r="F532" s="262"/>
      <c r="G532" s="272">
        <v>16.858809999999998</v>
      </c>
      <c r="H532" s="141" t="str">
        <f t="shared" si="43"/>
        <v>CZK</v>
      </c>
      <c r="I532" s="409" t="s">
        <v>47</v>
      </c>
      <c r="J532" s="625" t="s">
        <v>1564</v>
      </c>
      <c r="L532" s="86" t="e">
        <f>VLOOKUP(B532,$B$11:B531,1,FALSE)</f>
        <v>#N/A</v>
      </c>
      <c r="M532" s="256">
        <f>G532*(1-FORM!$AE$28/100)</f>
        <v>16.858809999999998</v>
      </c>
      <c r="AA532" s="463"/>
      <c r="AB532" s="462"/>
      <c r="AC532" s="462"/>
      <c r="AD532" s="464"/>
      <c r="AE532" s="465"/>
    </row>
    <row r="533" spans="2:31" ht="14.4">
      <c r="B533" s="427">
        <v>9255782</v>
      </c>
      <c r="C533" s="428" t="s">
        <v>936</v>
      </c>
      <c r="D533" s="217">
        <v>100</v>
      </c>
      <c r="E533" s="391"/>
      <c r="F533" s="262"/>
      <c r="G533" s="272">
        <v>17.151710000000001</v>
      </c>
      <c r="H533" s="141" t="str">
        <f t="shared" si="43"/>
        <v>CZK</v>
      </c>
      <c r="I533" s="409" t="s">
        <v>47</v>
      </c>
      <c r="J533" s="625" t="s">
        <v>1565</v>
      </c>
      <c r="L533" s="86" t="e">
        <f>VLOOKUP(B533,$B$11:B532,1,FALSE)</f>
        <v>#N/A</v>
      </c>
      <c r="M533" s="256">
        <f>G533*(1-FORM!$AE$28/100)</f>
        <v>17.151710000000001</v>
      </c>
      <c r="AA533" s="463"/>
      <c r="AB533" s="462"/>
      <c r="AC533" s="462"/>
      <c r="AD533" s="464"/>
      <c r="AE533" s="465"/>
    </row>
    <row r="534" spans="2:31" ht="14.4">
      <c r="B534" s="427">
        <v>9255783</v>
      </c>
      <c r="C534" s="428" t="s">
        <v>937</v>
      </c>
      <c r="D534" s="217">
        <v>100</v>
      </c>
      <c r="E534" s="391"/>
      <c r="F534" s="262"/>
      <c r="G534" s="272">
        <v>17.444520000000001</v>
      </c>
      <c r="H534" s="141" t="str">
        <f t="shared" si="43"/>
        <v>CZK</v>
      </c>
      <c r="I534" s="409" t="s">
        <v>47</v>
      </c>
      <c r="J534" s="625" t="s">
        <v>1566</v>
      </c>
      <c r="L534" s="86" t="e">
        <f>VLOOKUP(B534,$B$11:B533,1,FALSE)</f>
        <v>#N/A</v>
      </c>
      <c r="M534" s="256">
        <f>G534*(1-FORM!$AE$28/100)</f>
        <v>17.444520000000001</v>
      </c>
      <c r="AA534" s="463"/>
      <c r="AB534" s="462"/>
      <c r="AC534" s="462"/>
      <c r="AD534" s="464"/>
      <c r="AE534" s="465"/>
    </row>
    <row r="535" spans="2:31" ht="14.4">
      <c r="B535" s="427">
        <v>9255784</v>
      </c>
      <c r="C535" s="428" t="s">
        <v>938</v>
      </c>
      <c r="D535" s="217">
        <v>100</v>
      </c>
      <c r="E535" s="391"/>
      <c r="F535" s="262"/>
      <c r="G535" s="272">
        <v>17.894780000000001</v>
      </c>
      <c r="H535" s="141" t="str">
        <f t="shared" si="43"/>
        <v>CZK</v>
      </c>
      <c r="I535" s="409" t="s">
        <v>47</v>
      </c>
      <c r="J535" s="625" t="s">
        <v>1567</v>
      </c>
      <c r="L535" s="86" t="e">
        <f>VLOOKUP(B535,$B$11:B534,1,FALSE)</f>
        <v>#N/A</v>
      </c>
      <c r="M535" s="256">
        <f>G535*(1-FORM!$AE$28/100)</f>
        <v>17.894780000000001</v>
      </c>
      <c r="AA535" s="463"/>
      <c r="AB535" s="462"/>
      <c r="AC535" s="462"/>
      <c r="AD535" s="464"/>
      <c r="AE535" s="465"/>
    </row>
    <row r="536" spans="2:31" ht="14.4">
      <c r="B536" s="429">
        <v>9255785</v>
      </c>
      <c r="C536" s="430" t="s">
        <v>939</v>
      </c>
      <c r="D536" s="226">
        <v>100</v>
      </c>
      <c r="E536" s="396"/>
      <c r="F536" s="268"/>
      <c r="G536" s="272">
        <v>18.497509999999998</v>
      </c>
      <c r="H536" s="142" t="str">
        <f t="shared" si="43"/>
        <v>CZK</v>
      </c>
      <c r="I536" s="417" t="s">
        <v>47</v>
      </c>
      <c r="J536" s="626" t="s">
        <v>1568</v>
      </c>
      <c r="L536" s="86" t="e">
        <f>VLOOKUP(B536,$B$11:B535,1,FALSE)</f>
        <v>#N/A</v>
      </c>
      <c r="M536" s="256">
        <f>G536*(1-FORM!$AE$28/100)</f>
        <v>18.497509999999998</v>
      </c>
      <c r="AA536" s="463"/>
      <c r="AB536" s="462"/>
      <c r="AC536" s="462"/>
      <c r="AD536" s="464"/>
      <c r="AE536" s="465"/>
    </row>
    <row r="537" spans="2:31" ht="14.4">
      <c r="B537" s="431">
        <v>9255786</v>
      </c>
      <c r="C537" s="432" t="s">
        <v>940</v>
      </c>
      <c r="D537" s="223">
        <v>100</v>
      </c>
      <c r="E537" s="395"/>
      <c r="F537" s="266"/>
      <c r="G537" s="272">
        <v>15.801019999999999</v>
      </c>
      <c r="H537" s="211" t="str">
        <f t="shared" si="43"/>
        <v>CZK</v>
      </c>
      <c r="I537" s="416" t="s">
        <v>47</v>
      </c>
      <c r="J537" s="627" t="s">
        <v>1569</v>
      </c>
      <c r="L537" s="86" t="e">
        <f>VLOOKUP(B537,$B$11:B536,1,FALSE)</f>
        <v>#N/A</v>
      </c>
      <c r="M537" s="256">
        <f>G537*(1-FORM!$AE$28/100)</f>
        <v>15.801019999999999</v>
      </c>
      <c r="AA537" s="463"/>
      <c r="AB537" s="462"/>
      <c r="AC537" s="462"/>
      <c r="AD537" s="464"/>
      <c r="AE537" s="465"/>
    </row>
    <row r="538" spans="2:31" ht="14.4">
      <c r="B538" s="427">
        <v>9255787</v>
      </c>
      <c r="C538" s="428" t="s">
        <v>941</v>
      </c>
      <c r="D538" s="217">
        <v>100</v>
      </c>
      <c r="E538" s="391"/>
      <c r="F538" s="262"/>
      <c r="G538" s="272">
        <v>15.975300000000001</v>
      </c>
      <c r="H538" s="141" t="str">
        <f t="shared" si="43"/>
        <v>CZK</v>
      </c>
      <c r="I538" s="409" t="s">
        <v>47</v>
      </c>
      <c r="J538" s="625" t="s">
        <v>1570</v>
      </c>
      <c r="L538" s="86" t="e">
        <f>VLOOKUP(B538,$B$11:B537,1,FALSE)</f>
        <v>#N/A</v>
      </c>
      <c r="M538" s="256">
        <f>G538*(1-FORM!$AE$28/100)</f>
        <v>15.975300000000001</v>
      </c>
      <c r="AA538" s="463"/>
      <c r="AB538" s="462"/>
      <c r="AC538" s="462"/>
      <c r="AD538" s="464"/>
      <c r="AE538" s="465"/>
    </row>
    <row r="539" spans="2:31" ht="14.4">
      <c r="B539" s="427">
        <v>9255788</v>
      </c>
      <c r="C539" s="428" t="s">
        <v>942</v>
      </c>
      <c r="D539" s="217">
        <v>100</v>
      </c>
      <c r="E539" s="391"/>
      <c r="F539" s="262"/>
      <c r="G539" s="272">
        <v>16.27065</v>
      </c>
      <c r="H539" s="141" t="str">
        <f t="shared" si="43"/>
        <v>CZK</v>
      </c>
      <c r="I539" s="409" t="s">
        <v>47</v>
      </c>
      <c r="J539" s="625" t="s">
        <v>1571</v>
      </c>
      <c r="L539" s="86" t="e">
        <f>VLOOKUP(B539,$B$11:B538,1,FALSE)</f>
        <v>#N/A</v>
      </c>
      <c r="M539" s="256">
        <f>G539*(1-FORM!$AE$28/100)</f>
        <v>16.27065</v>
      </c>
      <c r="AA539" s="463"/>
      <c r="AB539" s="462"/>
      <c r="AC539" s="462"/>
      <c r="AD539" s="464"/>
      <c r="AE539" s="465"/>
    </row>
    <row r="540" spans="2:31" ht="14.4">
      <c r="B540" s="427">
        <v>9255789</v>
      </c>
      <c r="C540" s="428" t="s">
        <v>943</v>
      </c>
      <c r="D540" s="217">
        <v>100</v>
      </c>
      <c r="E540" s="391"/>
      <c r="F540" s="262"/>
      <c r="G540" s="272">
        <v>16.563459999999999</v>
      </c>
      <c r="H540" s="141" t="str">
        <f t="shared" ref="H540:H553" si="44">IF(G540="","",$H$10)</f>
        <v>CZK</v>
      </c>
      <c r="I540" s="409" t="s">
        <v>47</v>
      </c>
      <c r="J540" s="625" t="s">
        <v>1572</v>
      </c>
      <c r="L540" s="86" t="e">
        <f>VLOOKUP(B540,$B$11:B539,1,FALSE)</f>
        <v>#N/A</v>
      </c>
      <c r="M540" s="256">
        <f>G540*(1-FORM!$AE$28/100)</f>
        <v>16.563459999999999</v>
      </c>
      <c r="AA540" s="463"/>
      <c r="AB540" s="462"/>
      <c r="AC540" s="462"/>
      <c r="AD540" s="464"/>
      <c r="AE540" s="465"/>
    </row>
    <row r="541" spans="2:31" ht="14.4">
      <c r="B541" s="427">
        <v>9255790</v>
      </c>
      <c r="C541" s="428" t="s">
        <v>944</v>
      </c>
      <c r="D541" s="217">
        <v>100</v>
      </c>
      <c r="E541" s="391"/>
      <c r="F541" s="262"/>
      <c r="G541" s="272">
        <v>16.858809999999998</v>
      </c>
      <c r="H541" s="141" t="str">
        <f t="shared" si="44"/>
        <v>CZK</v>
      </c>
      <c r="I541" s="409" t="s">
        <v>47</v>
      </c>
      <c r="J541" s="625" t="s">
        <v>1573</v>
      </c>
      <c r="L541" s="86" t="e">
        <f>VLOOKUP(B541,$B$11:B540,1,FALSE)</f>
        <v>#N/A</v>
      </c>
      <c r="M541" s="256">
        <f>G541*(1-FORM!$AE$28/100)</f>
        <v>16.858809999999998</v>
      </c>
      <c r="AA541" s="463"/>
      <c r="AB541" s="462"/>
      <c r="AC541" s="462"/>
      <c r="AD541" s="464"/>
      <c r="AE541" s="465"/>
    </row>
    <row r="542" spans="2:31" ht="14.4">
      <c r="B542" s="427">
        <v>9255791</v>
      </c>
      <c r="C542" s="428" t="s">
        <v>945</v>
      </c>
      <c r="D542" s="217">
        <v>100</v>
      </c>
      <c r="E542" s="391"/>
      <c r="F542" s="262"/>
      <c r="G542" s="272">
        <v>17.151710000000001</v>
      </c>
      <c r="H542" s="141" t="str">
        <f t="shared" si="44"/>
        <v>CZK</v>
      </c>
      <c r="I542" s="409" t="s">
        <v>47</v>
      </c>
      <c r="J542" s="625" t="s">
        <v>1574</v>
      </c>
      <c r="L542" s="86" t="e">
        <f>VLOOKUP(B542,$B$11:B541,1,FALSE)</f>
        <v>#N/A</v>
      </c>
      <c r="M542" s="256">
        <f>G542*(1-FORM!$AE$28/100)</f>
        <v>17.151710000000001</v>
      </c>
      <c r="AA542" s="463"/>
      <c r="AB542" s="462"/>
      <c r="AC542" s="462"/>
      <c r="AD542" s="464"/>
      <c r="AE542" s="465"/>
    </row>
    <row r="543" spans="2:31" ht="14.4">
      <c r="B543" s="427">
        <v>9255792</v>
      </c>
      <c r="C543" s="428" t="s">
        <v>946</v>
      </c>
      <c r="D543" s="217">
        <v>100</v>
      </c>
      <c r="E543" s="391"/>
      <c r="F543" s="262"/>
      <c r="G543" s="272">
        <v>17.444520000000001</v>
      </c>
      <c r="H543" s="141" t="str">
        <f t="shared" si="44"/>
        <v>CZK</v>
      </c>
      <c r="I543" s="409" t="s">
        <v>47</v>
      </c>
      <c r="J543" s="625" t="s">
        <v>1575</v>
      </c>
      <c r="L543" s="86" t="e">
        <f>VLOOKUP(B543,$B$11:B542,1,FALSE)</f>
        <v>#N/A</v>
      </c>
      <c r="M543" s="256">
        <f>G543*(1-FORM!$AE$28/100)</f>
        <v>17.444520000000001</v>
      </c>
      <c r="AA543" s="463"/>
      <c r="AB543" s="462"/>
      <c r="AC543" s="462"/>
      <c r="AD543" s="464"/>
      <c r="AE543" s="465"/>
    </row>
    <row r="544" spans="2:31" ht="14.4">
      <c r="B544" s="427">
        <v>9255793</v>
      </c>
      <c r="C544" s="428" t="s">
        <v>947</v>
      </c>
      <c r="D544" s="217">
        <v>100</v>
      </c>
      <c r="E544" s="391"/>
      <c r="F544" s="262"/>
      <c r="G544" s="272">
        <v>17.894780000000001</v>
      </c>
      <c r="H544" s="141" t="str">
        <f t="shared" si="44"/>
        <v>CZK</v>
      </c>
      <c r="I544" s="409" t="s">
        <v>47</v>
      </c>
      <c r="J544" s="625" t="s">
        <v>1576</v>
      </c>
      <c r="L544" s="86" t="e">
        <f>VLOOKUP(B544,$B$11:B543,1,FALSE)</f>
        <v>#N/A</v>
      </c>
      <c r="M544" s="256">
        <f>G544*(1-FORM!$AE$28/100)</f>
        <v>17.894780000000001</v>
      </c>
      <c r="AA544" s="463"/>
      <c r="AB544" s="462"/>
      <c r="AC544" s="462"/>
      <c r="AD544" s="464"/>
      <c r="AE544" s="465"/>
    </row>
    <row r="545" spans="2:31" ht="14.4">
      <c r="B545" s="429">
        <v>9255794</v>
      </c>
      <c r="C545" s="430" t="s">
        <v>948</v>
      </c>
      <c r="D545" s="226">
        <v>100</v>
      </c>
      <c r="E545" s="396"/>
      <c r="F545" s="268"/>
      <c r="G545" s="272">
        <v>18.497509999999998</v>
      </c>
      <c r="H545" s="142" t="str">
        <f t="shared" si="44"/>
        <v>CZK</v>
      </c>
      <c r="I545" s="417" t="s">
        <v>47</v>
      </c>
      <c r="J545" s="626" t="s">
        <v>1577</v>
      </c>
      <c r="L545" s="86" t="e">
        <f>VLOOKUP(B545,$B$11:B544,1,FALSE)</f>
        <v>#N/A</v>
      </c>
      <c r="M545" s="256">
        <f>G545*(1-FORM!$AE$28/100)</f>
        <v>18.497509999999998</v>
      </c>
      <c r="AA545" s="463"/>
      <c r="AB545" s="462"/>
      <c r="AC545" s="462"/>
      <c r="AD545" s="464"/>
      <c r="AE545" s="465"/>
    </row>
    <row r="546" spans="2:31" ht="14.4">
      <c r="B546" s="431">
        <v>9255795</v>
      </c>
      <c r="C546" s="432" t="s">
        <v>949</v>
      </c>
      <c r="D546" s="223">
        <v>100</v>
      </c>
      <c r="E546" s="395"/>
      <c r="F546" s="266"/>
      <c r="G546" s="272">
        <v>15.801019999999999</v>
      </c>
      <c r="H546" s="211" t="str">
        <f t="shared" si="44"/>
        <v>CZK</v>
      </c>
      <c r="I546" s="416" t="s">
        <v>47</v>
      </c>
      <c r="J546" s="627" t="s">
        <v>1578</v>
      </c>
      <c r="L546" s="86" t="e">
        <f>VLOOKUP(B546,$B$11:B545,1,FALSE)</f>
        <v>#N/A</v>
      </c>
      <c r="M546" s="256">
        <f>G546*(1-FORM!$AE$28/100)</f>
        <v>15.801019999999999</v>
      </c>
      <c r="AA546" s="463"/>
      <c r="AB546" s="462"/>
      <c r="AC546" s="462"/>
      <c r="AD546" s="464"/>
      <c r="AE546" s="465"/>
    </row>
    <row r="547" spans="2:31" ht="14.4">
      <c r="B547" s="427">
        <v>9255796</v>
      </c>
      <c r="C547" s="428" t="s">
        <v>950</v>
      </c>
      <c r="D547" s="217">
        <v>100</v>
      </c>
      <c r="E547" s="391"/>
      <c r="F547" s="262"/>
      <c r="G547" s="272">
        <v>15.975300000000001</v>
      </c>
      <c r="H547" s="141" t="str">
        <f t="shared" si="44"/>
        <v>CZK</v>
      </c>
      <c r="I547" s="409" t="s">
        <v>47</v>
      </c>
      <c r="J547" s="625" t="s">
        <v>1579</v>
      </c>
      <c r="L547" s="86" t="e">
        <f>VLOOKUP(B547,$B$11:B546,1,FALSE)</f>
        <v>#N/A</v>
      </c>
      <c r="M547" s="256">
        <f>G547*(1-FORM!$AE$28/100)</f>
        <v>15.975300000000001</v>
      </c>
      <c r="AA547" s="463"/>
      <c r="AB547" s="462"/>
      <c r="AC547" s="462"/>
      <c r="AD547" s="464"/>
      <c r="AE547" s="465"/>
    </row>
    <row r="548" spans="2:31" ht="14.4">
      <c r="B548" s="427">
        <v>9255797</v>
      </c>
      <c r="C548" s="428" t="s">
        <v>951</v>
      </c>
      <c r="D548" s="217">
        <v>100</v>
      </c>
      <c r="E548" s="391"/>
      <c r="F548" s="262"/>
      <c r="G548" s="272"/>
      <c r="H548" s="141" t="str">
        <f t="shared" si="44"/>
        <v/>
      </c>
      <c r="I548" s="409" t="s">
        <v>47</v>
      </c>
      <c r="J548" s="625"/>
      <c r="L548" s="86" t="e">
        <f>VLOOKUP(B548,$B$11:B547,1,FALSE)</f>
        <v>#N/A</v>
      </c>
      <c r="M548" s="256">
        <f>G548*(1-FORM!$AE$28/100)</f>
        <v>0</v>
      </c>
      <c r="AA548" s="463"/>
      <c r="AB548" s="462"/>
      <c r="AC548" s="462"/>
      <c r="AD548" s="464"/>
      <c r="AE548" s="465"/>
    </row>
    <row r="549" spans="2:31" ht="14.4">
      <c r="B549" s="427">
        <v>9255798</v>
      </c>
      <c r="C549" s="428" t="s">
        <v>952</v>
      </c>
      <c r="D549" s="217">
        <v>100</v>
      </c>
      <c r="E549" s="391"/>
      <c r="F549" s="262"/>
      <c r="G549" s="272">
        <v>16.563459999999999</v>
      </c>
      <c r="H549" s="141" t="str">
        <f t="shared" si="44"/>
        <v>CZK</v>
      </c>
      <c r="I549" s="409" t="s">
        <v>47</v>
      </c>
      <c r="J549" s="625" t="s">
        <v>1580</v>
      </c>
      <c r="L549" s="86" t="e">
        <f>VLOOKUP(B549,$B$11:B548,1,FALSE)</f>
        <v>#N/A</v>
      </c>
      <c r="M549" s="256">
        <f>G549*(1-FORM!$AE$28/100)</f>
        <v>16.563459999999999</v>
      </c>
      <c r="AA549" s="463"/>
      <c r="AB549" s="462"/>
      <c r="AC549" s="462"/>
      <c r="AD549" s="464"/>
      <c r="AE549" s="465"/>
    </row>
    <row r="550" spans="2:31" ht="14.4">
      <c r="B550" s="427">
        <v>9255799</v>
      </c>
      <c r="C550" s="428" t="s">
        <v>953</v>
      </c>
      <c r="D550" s="217">
        <v>100</v>
      </c>
      <c r="E550" s="391"/>
      <c r="F550" s="262"/>
      <c r="G550" s="272">
        <v>16.858809999999998</v>
      </c>
      <c r="H550" s="141" t="str">
        <f t="shared" si="44"/>
        <v>CZK</v>
      </c>
      <c r="I550" s="409" t="s">
        <v>47</v>
      </c>
      <c r="J550" s="625" t="s">
        <v>1581</v>
      </c>
      <c r="L550" s="86" t="e">
        <f>VLOOKUP(B550,$B$11:B549,1,FALSE)</f>
        <v>#N/A</v>
      </c>
      <c r="M550" s="256">
        <f>G550*(1-FORM!$AE$28/100)</f>
        <v>16.858809999999998</v>
      </c>
      <c r="AA550" s="463"/>
      <c r="AB550" s="462"/>
      <c r="AC550" s="462"/>
      <c r="AD550" s="464"/>
      <c r="AE550" s="465"/>
    </row>
    <row r="551" spans="2:31" ht="14.4">
      <c r="B551" s="427">
        <v>9255800</v>
      </c>
      <c r="C551" s="428" t="s">
        <v>954</v>
      </c>
      <c r="D551" s="217">
        <v>100</v>
      </c>
      <c r="E551" s="391"/>
      <c r="F551" s="262"/>
      <c r="G551" s="272">
        <v>17.151710000000001</v>
      </c>
      <c r="H551" s="141" t="str">
        <f t="shared" si="44"/>
        <v>CZK</v>
      </c>
      <c r="I551" s="409" t="s">
        <v>47</v>
      </c>
      <c r="J551" s="625" t="s">
        <v>1582</v>
      </c>
      <c r="L551" s="86" t="e">
        <f>VLOOKUP(B551,$B$11:B550,1,FALSE)</f>
        <v>#N/A</v>
      </c>
      <c r="M551" s="256">
        <f>G551*(1-FORM!$AE$28/100)</f>
        <v>17.151710000000001</v>
      </c>
      <c r="AA551" s="463"/>
      <c r="AB551" s="462"/>
      <c r="AC551" s="462"/>
      <c r="AD551" s="464"/>
      <c r="AE551" s="465"/>
    </row>
    <row r="552" spans="2:31" ht="14.4">
      <c r="B552" s="427">
        <v>9255801</v>
      </c>
      <c r="C552" s="428" t="s">
        <v>955</v>
      </c>
      <c r="D552" s="217">
        <v>100</v>
      </c>
      <c r="E552" s="391"/>
      <c r="F552" s="262"/>
      <c r="G552" s="272"/>
      <c r="H552" s="141" t="str">
        <f t="shared" si="44"/>
        <v/>
      </c>
      <c r="I552" s="409" t="s">
        <v>47</v>
      </c>
      <c r="J552" s="625"/>
      <c r="L552" s="86" t="e">
        <f>VLOOKUP(B552,$B$11:B551,1,FALSE)</f>
        <v>#N/A</v>
      </c>
      <c r="M552" s="256">
        <f>G552*(1-FORM!$AE$28/100)</f>
        <v>0</v>
      </c>
      <c r="AA552" s="463"/>
      <c r="AB552" s="462"/>
      <c r="AC552" s="462"/>
      <c r="AD552" s="464"/>
      <c r="AE552" s="465"/>
    </row>
    <row r="553" spans="2:31" ht="14.4">
      <c r="B553" s="427">
        <v>9255802</v>
      </c>
      <c r="C553" s="428" t="s">
        <v>956</v>
      </c>
      <c r="D553" s="217">
        <v>100</v>
      </c>
      <c r="E553" s="391"/>
      <c r="F553" s="262"/>
      <c r="G553" s="272"/>
      <c r="H553" s="141" t="str">
        <f t="shared" si="44"/>
        <v/>
      </c>
      <c r="I553" s="409" t="s">
        <v>47</v>
      </c>
      <c r="J553" s="625"/>
      <c r="L553" s="86" t="e">
        <f>VLOOKUP(B553,$B$11:B552,1,FALSE)</f>
        <v>#N/A</v>
      </c>
      <c r="M553" s="256">
        <f>G553*(1-FORM!$AE$28/100)</f>
        <v>0</v>
      </c>
      <c r="AA553" s="463"/>
      <c r="AB553" s="462"/>
      <c r="AC553" s="462"/>
      <c r="AD553" s="464"/>
      <c r="AE553" s="465"/>
    </row>
    <row r="554" spans="2:31" ht="14.4">
      <c r="B554" s="429">
        <v>9255803</v>
      </c>
      <c r="C554" s="430" t="s">
        <v>957</v>
      </c>
      <c r="D554" s="226">
        <v>100</v>
      </c>
      <c r="E554" s="396"/>
      <c r="F554" s="268"/>
      <c r="G554" s="272">
        <v>18.497509999999998</v>
      </c>
      <c r="H554" s="142" t="str">
        <f>IF(G554="","",$H$10)</f>
        <v>CZK</v>
      </c>
      <c r="I554" s="417" t="s">
        <v>47</v>
      </c>
      <c r="J554" s="626" t="s">
        <v>1583</v>
      </c>
      <c r="L554" s="86" t="e">
        <f>VLOOKUP(B554,$B$11:B553,1,FALSE)</f>
        <v>#N/A</v>
      </c>
      <c r="M554" s="256">
        <f>G554*(1-FORM!$AE$28/100)</f>
        <v>18.497509999999998</v>
      </c>
      <c r="AA554" s="463"/>
      <c r="AB554" s="462"/>
      <c r="AC554" s="462"/>
      <c r="AD554" s="464"/>
      <c r="AE554" s="465"/>
    </row>
    <row r="555" spans="2:31" ht="14.4">
      <c r="B555" s="300">
        <v>9255831</v>
      </c>
      <c r="C555" s="164" t="s">
        <v>958</v>
      </c>
      <c r="D555" s="220">
        <v>50</v>
      </c>
      <c r="E555" s="393"/>
      <c r="F555" s="264"/>
      <c r="G555" s="272">
        <v>61.367899999999999</v>
      </c>
      <c r="H555" s="134" t="str">
        <f>IF(G555="","",$H$10)</f>
        <v>CZK</v>
      </c>
      <c r="I555" s="412" t="s">
        <v>47</v>
      </c>
      <c r="J555" s="628" t="s">
        <v>1584</v>
      </c>
      <c r="L555" s="86" t="e">
        <f>VLOOKUP(B555,$B$11:B554,1,FALSE)</f>
        <v>#N/A</v>
      </c>
      <c r="M555" s="256">
        <f>G555*(1-FORM!$AE$28/100)</f>
        <v>61.367899999999999</v>
      </c>
      <c r="AA555" s="463"/>
      <c r="AB555" s="462"/>
      <c r="AC555" s="462"/>
      <c r="AD555" s="464"/>
      <c r="AE555" s="465"/>
    </row>
    <row r="556" spans="2:31" ht="14.4">
      <c r="B556" s="300"/>
      <c r="C556" s="164"/>
      <c r="D556" s="220"/>
      <c r="E556" s="393"/>
      <c r="F556" s="264"/>
      <c r="G556" s="272"/>
      <c r="H556" s="134"/>
      <c r="I556" s="412" t="s">
        <v>47</v>
      </c>
      <c r="J556" s="468"/>
      <c r="L556" s="86" t="e">
        <f>VLOOKUP(B556,$B$11:B555,1,FALSE)</f>
        <v>#N/A</v>
      </c>
      <c r="M556" s="256">
        <f>G556*(1-FORM!$AE$28/100)</f>
        <v>0</v>
      </c>
      <c r="AA556" s="463"/>
      <c r="AB556" s="462"/>
      <c r="AC556" s="462"/>
      <c r="AD556" s="464"/>
      <c r="AE556" s="465"/>
    </row>
    <row r="557" spans="2:31" ht="14.4">
      <c r="B557" s="301">
        <v>9257643</v>
      </c>
      <c r="C557" s="222" t="s">
        <v>959</v>
      </c>
      <c r="D557" s="223">
        <v>1</v>
      </c>
      <c r="E557" s="395"/>
      <c r="F557" s="266"/>
      <c r="G557" s="272">
        <v>1769.17669</v>
      </c>
      <c r="H557" s="211" t="str">
        <f t="shared" ref="H557:H562" si="45">IF(G557="","",$H$10)</f>
        <v>CZK</v>
      </c>
      <c r="I557" s="416" t="s">
        <v>47</v>
      </c>
      <c r="J557" s="627" t="s">
        <v>1720</v>
      </c>
      <c r="L557" s="86" t="e">
        <f>VLOOKUP(B557,$B$11:B556,1,FALSE)</f>
        <v>#N/A</v>
      </c>
      <c r="M557" s="256">
        <f>G557*(1-FORM!$AE$28/100)</f>
        <v>1769.17669</v>
      </c>
      <c r="AA557" s="463"/>
      <c r="AB557" s="462"/>
      <c r="AC557" s="462"/>
      <c r="AD557" s="464"/>
      <c r="AE557" s="465"/>
    </row>
    <row r="558" spans="2:31" ht="14.4">
      <c r="B558" s="298">
        <v>9257645</v>
      </c>
      <c r="C558" s="216" t="s">
        <v>960</v>
      </c>
      <c r="D558" s="217">
        <v>1</v>
      </c>
      <c r="E558" s="391"/>
      <c r="F558" s="262"/>
      <c r="G558" s="272">
        <v>2919.1355600000002</v>
      </c>
      <c r="H558" s="141" t="str">
        <f t="shared" si="45"/>
        <v>CZK</v>
      </c>
      <c r="I558" s="409" t="s">
        <v>47</v>
      </c>
      <c r="J558" s="625" t="s">
        <v>1721</v>
      </c>
      <c r="L558" s="86" t="e">
        <f>VLOOKUP(B558,$B$11:B557,1,FALSE)</f>
        <v>#N/A</v>
      </c>
      <c r="M558" s="256">
        <f>G558*(1-FORM!$AE$28/100)</f>
        <v>2919.1355600000002</v>
      </c>
      <c r="AA558" s="463"/>
      <c r="AB558" s="462"/>
      <c r="AC558" s="462"/>
      <c r="AD558" s="464"/>
      <c r="AE558" s="465"/>
    </row>
    <row r="559" spans="2:31" ht="14.4">
      <c r="B559" s="298">
        <v>9257647</v>
      </c>
      <c r="C559" s="216" t="s">
        <v>961</v>
      </c>
      <c r="D559" s="217">
        <v>1</v>
      </c>
      <c r="E559" s="391"/>
      <c r="F559" s="262"/>
      <c r="G559" s="272">
        <v>2515.7653300000002</v>
      </c>
      <c r="H559" s="141" t="str">
        <f t="shared" si="45"/>
        <v>CZK</v>
      </c>
      <c r="I559" s="409" t="s">
        <v>47</v>
      </c>
      <c r="J559" s="625" t="s">
        <v>1722</v>
      </c>
      <c r="L559" s="86" t="e">
        <f>VLOOKUP(B559,$B$11:B558,1,FALSE)</f>
        <v>#N/A</v>
      </c>
      <c r="M559" s="256">
        <f>G559*(1-FORM!$AE$28/100)</f>
        <v>2515.7653300000002</v>
      </c>
      <c r="AA559" s="463"/>
      <c r="AB559" s="462"/>
      <c r="AC559" s="462"/>
      <c r="AD559" s="464"/>
      <c r="AE559" s="465"/>
    </row>
    <row r="560" spans="2:31" ht="14.4">
      <c r="B560" s="303">
        <v>9257649</v>
      </c>
      <c r="C560" s="304" t="s">
        <v>962</v>
      </c>
      <c r="D560" s="226">
        <v>1</v>
      </c>
      <c r="E560" s="396"/>
      <c r="F560" s="268"/>
      <c r="G560" s="272">
        <v>3911.6410299999998</v>
      </c>
      <c r="H560" s="142" t="str">
        <f t="shared" si="45"/>
        <v>CZK</v>
      </c>
      <c r="I560" s="417" t="s">
        <v>47</v>
      </c>
      <c r="J560" s="626" t="s">
        <v>1723</v>
      </c>
      <c r="L560" s="86" t="e">
        <f>VLOOKUP(B560,$B$11:B559,1,FALSE)</f>
        <v>#N/A</v>
      </c>
      <c r="M560" s="256">
        <f>G560*(1-FORM!$AE$28/100)</f>
        <v>3911.6410299999998</v>
      </c>
      <c r="AA560" s="463"/>
      <c r="AB560" s="462"/>
      <c r="AC560" s="462"/>
      <c r="AD560" s="464"/>
      <c r="AE560" s="465"/>
    </row>
    <row r="561" spans="2:31" ht="14.4">
      <c r="B561" s="301">
        <v>9257703</v>
      </c>
      <c r="C561" s="222" t="s">
        <v>963</v>
      </c>
      <c r="D561" s="223">
        <v>200</v>
      </c>
      <c r="E561" s="395"/>
      <c r="F561" s="266"/>
      <c r="G561" s="272">
        <v>6.12852</v>
      </c>
      <c r="H561" s="211" t="str">
        <f t="shared" si="45"/>
        <v>CZK</v>
      </c>
      <c r="I561" s="416" t="s">
        <v>47</v>
      </c>
      <c r="J561" s="627" t="s">
        <v>1734</v>
      </c>
      <c r="L561" s="86" t="e">
        <f>VLOOKUP(B561,$B$11:B560,1,FALSE)</f>
        <v>#N/A</v>
      </c>
      <c r="M561" s="256">
        <f>G561*(1-FORM!$AE$28/100)</f>
        <v>6.12852</v>
      </c>
      <c r="AA561" s="463"/>
      <c r="AB561" s="462"/>
      <c r="AC561" s="462"/>
      <c r="AD561" s="464"/>
      <c r="AE561" s="465"/>
    </row>
    <row r="562" spans="2:31" ht="14.4">
      <c r="B562" s="298">
        <v>9257704</v>
      </c>
      <c r="C562" s="216" t="s">
        <v>964</v>
      </c>
      <c r="D562" s="217">
        <v>200</v>
      </c>
      <c r="E562" s="391"/>
      <c r="F562" s="262"/>
      <c r="G562" s="272">
        <v>6.12852</v>
      </c>
      <c r="H562" s="141" t="str">
        <f t="shared" si="45"/>
        <v>CZK</v>
      </c>
      <c r="I562" s="409" t="s">
        <v>47</v>
      </c>
      <c r="J562" s="625" t="s">
        <v>1735</v>
      </c>
      <c r="L562" s="86" t="e">
        <f>VLOOKUP(B562,$B$11:B561,1,FALSE)</f>
        <v>#N/A</v>
      </c>
      <c r="M562" s="256">
        <f>G562*(1-FORM!$AE$28/100)</f>
        <v>6.12852</v>
      </c>
      <c r="AA562" s="463"/>
      <c r="AB562" s="462"/>
      <c r="AC562" s="462"/>
      <c r="AD562" s="464"/>
      <c r="AE562" s="465"/>
    </row>
    <row r="563" spans="2:31" ht="14.4">
      <c r="B563" s="298">
        <v>9257705</v>
      </c>
      <c r="C563" s="216" t="s">
        <v>965</v>
      </c>
      <c r="D563" s="217">
        <v>200</v>
      </c>
      <c r="E563" s="391"/>
      <c r="F563" s="262"/>
      <c r="G563" s="272">
        <v>6.12852</v>
      </c>
      <c r="H563" s="141" t="str">
        <f>IF(G563="","",$H$10)</f>
        <v>CZK</v>
      </c>
      <c r="I563" s="409" t="s">
        <v>47</v>
      </c>
      <c r="J563" s="625" t="s">
        <v>1736</v>
      </c>
      <c r="L563" s="86" t="e">
        <f>VLOOKUP(B563,$B$11:B562,1,FALSE)</f>
        <v>#N/A</v>
      </c>
      <c r="M563" s="256">
        <f>G563*(1-FORM!$AE$28/100)</f>
        <v>6.12852</v>
      </c>
      <c r="AA563" s="463"/>
      <c r="AB563" s="462"/>
      <c r="AC563" s="462"/>
      <c r="AD563" s="464"/>
      <c r="AE563" s="465"/>
    </row>
    <row r="564" spans="2:31" ht="14.4">
      <c r="B564" s="298">
        <v>9270185</v>
      </c>
      <c r="C564" s="216" t="s">
        <v>966</v>
      </c>
      <c r="D564" s="217">
        <v>200</v>
      </c>
      <c r="E564" s="391"/>
      <c r="F564" s="262"/>
      <c r="G564" s="272">
        <v>2.7229399999999999</v>
      </c>
      <c r="H564" s="141" t="str">
        <f>IF(G564="","",$H$10)</f>
        <v>CZK</v>
      </c>
      <c r="I564" s="409" t="s">
        <v>47</v>
      </c>
      <c r="J564" s="625" t="s">
        <v>1753</v>
      </c>
      <c r="L564" s="86" t="e">
        <f>VLOOKUP(B564,$B$11:B563,1,FALSE)</f>
        <v>#N/A</v>
      </c>
      <c r="M564" s="256">
        <f>G564*(1-FORM!$AE$28/100)</f>
        <v>2.7229399999999999</v>
      </c>
      <c r="AA564" s="463"/>
      <c r="AB564" s="462"/>
      <c r="AC564" s="462"/>
      <c r="AD564" s="464"/>
      <c r="AE564" s="465"/>
    </row>
    <row r="565" spans="2:31" ht="14.4">
      <c r="B565" s="298">
        <v>9270186</v>
      </c>
      <c r="C565" s="216" t="s">
        <v>967</v>
      </c>
      <c r="D565" s="217">
        <v>200</v>
      </c>
      <c r="E565" s="391"/>
      <c r="F565" s="262"/>
      <c r="G565" s="272">
        <v>2.7229399999999999</v>
      </c>
      <c r="H565" s="141" t="str">
        <f t="shared" ref="H565:H611" si="46">IF(G565="","",$H$10)</f>
        <v>CZK</v>
      </c>
      <c r="I565" s="409" t="s">
        <v>47</v>
      </c>
      <c r="J565" s="625" t="s">
        <v>1754</v>
      </c>
      <c r="L565" s="86" t="e">
        <f>VLOOKUP(B565,$B$11:B564,1,FALSE)</f>
        <v>#N/A</v>
      </c>
      <c r="M565" s="256">
        <f>G565*(1-FORM!$AE$28/100)</f>
        <v>2.7229399999999999</v>
      </c>
      <c r="AA565" s="463"/>
      <c r="AB565" s="462"/>
      <c r="AC565" s="462"/>
      <c r="AD565" s="464"/>
      <c r="AE565" s="465"/>
    </row>
    <row r="566" spans="2:31" ht="14.4">
      <c r="B566" s="303">
        <v>9270187</v>
      </c>
      <c r="C566" s="304" t="s">
        <v>968</v>
      </c>
      <c r="D566" s="226">
        <v>200</v>
      </c>
      <c r="E566" s="396"/>
      <c r="F566" s="268"/>
      <c r="G566" s="272">
        <v>2.7229399999999999</v>
      </c>
      <c r="H566" s="142" t="str">
        <f t="shared" si="46"/>
        <v>CZK</v>
      </c>
      <c r="I566" s="417" t="s">
        <v>47</v>
      </c>
      <c r="J566" s="626" t="s">
        <v>1755</v>
      </c>
      <c r="L566" s="86" t="e">
        <f>VLOOKUP(B566,$B$11:B565,1,FALSE)</f>
        <v>#N/A</v>
      </c>
      <c r="M566" s="256">
        <f>G566*(1-FORM!$AE$28/100)</f>
        <v>2.7229399999999999</v>
      </c>
      <c r="AA566" s="463"/>
      <c r="AB566" s="462"/>
      <c r="AC566" s="462"/>
      <c r="AD566" s="464"/>
      <c r="AE566" s="465"/>
    </row>
    <row r="567" spans="2:31" ht="14.4">
      <c r="B567" s="440">
        <v>9321561</v>
      </c>
      <c r="C567" s="164" t="s">
        <v>1300</v>
      </c>
      <c r="D567" s="220">
        <v>150</v>
      </c>
      <c r="E567" s="393"/>
      <c r="F567" s="264"/>
      <c r="G567" s="272">
        <v>27.678529999999999</v>
      </c>
      <c r="H567" s="134" t="str">
        <f t="shared" si="46"/>
        <v>CZK</v>
      </c>
      <c r="I567" s="412" t="s">
        <v>47</v>
      </c>
      <c r="J567" s="628" t="s">
        <v>1818</v>
      </c>
      <c r="L567" s="86" t="e">
        <f>VLOOKUP(B567,$B$11:B566,1,FALSE)</f>
        <v>#N/A</v>
      </c>
      <c r="M567" s="256">
        <f>G567*(1-FORM!$AE$28/100)</f>
        <v>27.678529999999999</v>
      </c>
      <c r="AA567" s="463"/>
      <c r="AB567" s="462"/>
      <c r="AC567" s="462"/>
      <c r="AD567" s="464"/>
      <c r="AE567" s="465"/>
    </row>
    <row r="568" spans="2:31" ht="14.4">
      <c r="B568" s="300"/>
      <c r="C568" s="164"/>
      <c r="D568" s="220"/>
      <c r="E568" s="393"/>
      <c r="F568" s="264"/>
      <c r="G568" s="272"/>
      <c r="H568" s="134"/>
      <c r="I568" s="412" t="s">
        <v>47</v>
      </c>
      <c r="J568" s="468"/>
      <c r="L568" s="86" t="e">
        <f>VLOOKUP(B568,$B$11:B567,1,FALSE)</f>
        <v>#N/A</v>
      </c>
      <c r="M568" s="256">
        <f>G568*(1-FORM!$AE$28/100)</f>
        <v>0</v>
      </c>
      <c r="AA568" s="463"/>
      <c r="AB568" s="462"/>
      <c r="AC568" s="462"/>
      <c r="AD568" s="464"/>
      <c r="AE568" s="465"/>
    </row>
    <row r="569" spans="2:31" ht="14.4">
      <c r="B569" s="301">
        <v>9283178</v>
      </c>
      <c r="C569" s="222" t="s">
        <v>969</v>
      </c>
      <c r="D569" s="223">
        <v>1</v>
      </c>
      <c r="E569" s="395"/>
      <c r="F569" s="266"/>
      <c r="G569" s="272">
        <v>825.32597999999996</v>
      </c>
      <c r="H569" s="211" t="str">
        <f t="shared" si="46"/>
        <v>CZK</v>
      </c>
      <c r="I569" s="416" t="s">
        <v>47</v>
      </c>
      <c r="J569" s="627" t="s">
        <v>1759</v>
      </c>
      <c r="L569" s="86" t="e">
        <f>VLOOKUP(B569,$B$11:B568,1,FALSE)</f>
        <v>#N/A</v>
      </c>
      <c r="M569" s="256">
        <f>G569*(1-FORM!$AE$28/100)</f>
        <v>825.32597999999996</v>
      </c>
      <c r="AA569" s="463"/>
      <c r="AB569" s="462"/>
      <c r="AC569" s="462"/>
      <c r="AD569" s="464"/>
      <c r="AE569" s="465"/>
    </row>
    <row r="570" spans="2:31" ht="14.4">
      <c r="B570" s="298">
        <v>9283179</v>
      </c>
      <c r="C570" s="216" t="s">
        <v>970</v>
      </c>
      <c r="D570" s="217">
        <v>1</v>
      </c>
      <c r="E570" s="391"/>
      <c r="F570" s="262"/>
      <c r="G570" s="272">
        <v>872.05524000000003</v>
      </c>
      <c r="H570" s="141" t="str">
        <f t="shared" si="46"/>
        <v>CZK</v>
      </c>
      <c r="I570" s="409" t="s">
        <v>47</v>
      </c>
      <c r="J570" s="625" t="s">
        <v>1760</v>
      </c>
      <c r="L570" s="86" t="e">
        <f>VLOOKUP(B570,$B$11:B569,1,FALSE)</f>
        <v>#N/A</v>
      </c>
      <c r="M570" s="256">
        <f>G570*(1-FORM!$AE$28/100)</f>
        <v>872.05524000000003</v>
      </c>
      <c r="AA570" s="463"/>
      <c r="AB570" s="462"/>
      <c r="AC570" s="462"/>
      <c r="AD570" s="464"/>
      <c r="AE570" s="465"/>
    </row>
    <row r="571" spans="2:31" ht="14.4">
      <c r="B571" s="298">
        <v>9283180</v>
      </c>
      <c r="C571" s="216" t="s">
        <v>971</v>
      </c>
      <c r="D571" s="217">
        <v>1</v>
      </c>
      <c r="E571" s="391"/>
      <c r="F571" s="262"/>
      <c r="G571" s="272">
        <v>918.78985999999998</v>
      </c>
      <c r="H571" s="141" t="str">
        <f t="shared" si="46"/>
        <v>CZK</v>
      </c>
      <c r="I571" s="409" t="s">
        <v>47</v>
      </c>
      <c r="J571" s="625" t="s">
        <v>1761</v>
      </c>
      <c r="L571" s="86" t="e">
        <f>VLOOKUP(B571,$B$11:B570,1,FALSE)</f>
        <v>#N/A</v>
      </c>
      <c r="M571" s="256">
        <f>G571*(1-FORM!$AE$28/100)</f>
        <v>918.78985999999998</v>
      </c>
      <c r="AA571" s="463"/>
      <c r="AB571" s="462"/>
      <c r="AC571" s="462"/>
      <c r="AD571" s="464"/>
      <c r="AE571" s="465"/>
    </row>
    <row r="572" spans="2:31" ht="14.4">
      <c r="B572" s="298">
        <v>9283181</v>
      </c>
      <c r="C572" s="216" t="s">
        <v>972</v>
      </c>
      <c r="D572" s="217">
        <v>1</v>
      </c>
      <c r="E572" s="391"/>
      <c r="F572" s="262"/>
      <c r="G572" s="272">
        <v>965.52719000000002</v>
      </c>
      <c r="H572" s="141" t="str">
        <f t="shared" si="46"/>
        <v>CZK</v>
      </c>
      <c r="I572" s="409" t="s">
        <v>47</v>
      </c>
      <c r="J572" s="625" t="s">
        <v>1762</v>
      </c>
      <c r="L572" s="86" t="e">
        <f>VLOOKUP(B572,$B$11:B571,1,FALSE)</f>
        <v>#N/A</v>
      </c>
      <c r="M572" s="256">
        <f>G572*(1-FORM!$AE$28/100)</f>
        <v>965.52719000000002</v>
      </c>
      <c r="AA572" s="463"/>
      <c r="AB572" s="462"/>
      <c r="AC572" s="462"/>
      <c r="AD572" s="464"/>
      <c r="AE572" s="465"/>
    </row>
    <row r="573" spans="2:31" ht="14.4">
      <c r="B573" s="298">
        <v>9283182</v>
      </c>
      <c r="C573" s="216" t="s">
        <v>973</v>
      </c>
      <c r="D573" s="217">
        <v>1</v>
      </c>
      <c r="E573" s="391"/>
      <c r="F573" s="262"/>
      <c r="G573" s="272">
        <v>1058.9617900000001</v>
      </c>
      <c r="H573" s="141" t="str">
        <f t="shared" si="46"/>
        <v>CZK</v>
      </c>
      <c r="I573" s="409" t="s">
        <v>47</v>
      </c>
      <c r="J573" s="625" t="s">
        <v>1763</v>
      </c>
      <c r="L573" s="86" t="e">
        <f>VLOOKUP(B573,$B$11:B572,1,FALSE)</f>
        <v>#N/A</v>
      </c>
      <c r="M573" s="256">
        <f>G573*(1-FORM!$AE$28/100)</f>
        <v>1058.9617900000001</v>
      </c>
      <c r="AA573" s="463"/>
      <c r="AB573" s="462"/>
      <c r="AC573" s="462"/>
      <c r="AD573" s="464"/>
      <c r="AE573" s="465"/>
    </row>
    <row r="574" spans="2:31" ht="14.4">
      <c r="B574" s="298">
        <v>9283183</v>
      </c>
      <c r="C574" s="216" t="s">
        <v>974</v>
      </c>
      <c r="D574" s="217">
        <v>1</v>
      </c>
      <c r="E574" s="391"/>
      <c r="F574" s="262"/>
      <c r="G574" s="272">
        <v>1152.39642</v>
      </c>
      <c r="H574" s="141" t="str">
        <f t="shared" si="46"/>
        <v>CZK</v>
      </c>
      <c r="I574" s="409" t="s">
        <v>47</v>
      </c>
      <c r="J574" s="625" t="s">
        <v>1764</v>
      </c>
      <c r="L574" s="86" t="e">
        <f>VLOOKUP(B574,$B$11:B573,1,FALSE)</f>
        <v>#N/A</v>
      </c>
      <c r="M574" s="256">
        <f>G574*(1-FORM!$AE$28/100)</f>
        <v>1152.39642</v>
      </c>
      <c r="AA574" s="463"/>
      <c r="AB574" s="462"/>
      <c r="AC574" s="462"/>
      <c r="AD574" s="464"/>
      <c r="AE574" s="465"/>
    </row>
    <row r="575" spans="2:31" ht="14.4">
      <c r="B575" s="303">
        <v>9283184</v>
      </c>
      <c r="C575" s="304" t="s">
        <v>975</v>
      </c>
      <c r="D575" s="226">
        <v>1</v>
      </c>
      <c r="E575" s="396"/>
      <c r="F575" s="268"/>
      <c r="G575" s="272">
        <v>1245.8336200000001</v>
      </c>
      <c r="H575" s="142" t="str">
        <f t="shared" si="46"/>
        <v>CZK</v>
      </c>
      <c r="I575" s="417" t="s">
        <v>47</v>
      </c>
      <c r="J575" s="626" t="s">
        <v>1765</v>
      </c>
      <c r="L575" s="86" t="e">
        <f>VLOOKUP(B575,$B$11:B574,1,FALSE)</f>
        <v>#N/A</v>
      </c>
      <c r="M575" s="256">
        <f>G575*(1-FORM!$AE$28/100)</f>
        <v>1245.8336200000001</v>
      </c>
      <c r="AA575" s="463"/>
      <c r="AB575" s="462"/>
      <c r="AC575" s="462"/>
      <c r="AD575" s="464"/>
      <c r="AE575" s="465"/>
    </row>
    <row r="576" spans="2:31" ht="14.4">
      <c r="B576" s="303"/>
      <c r="C576" s="304"/>
      <c r="D576" s="226"/>
      <c r="E576" s="396"/>
      <c r="F576" s="268"/>
      <c r="G576" s="272"/>
      <c r="H576" s="142"/>
      <c r="I576" s="417" t="s">
        <v>47</v>
      </c>
      <c r="J576" s="468"/>
      <c r="L576" s="86" t="e">
        <f>VLOOKUP(B576,$B$11:B575,1,FALSE)</f>
        <v>#N/A</v>
      </c>
      <c r="M576" s="256">
        <f>G576*(1-FORM!$AE$28/100)</f>
        <v>0</v>
      </c>
      <c r="AA576" s="463"/>
      <c r="AB576" s="462"/>
      <c r="AC576" s="462"/>
      <c r="AD576" s="464"/>
      <c r="AE576" s="465"/>
    </row>
    <row r="577" spans="2:31" ht="14.4">
      <c r="B577" s="431">
        <v>9283185</v>
      </c>
      <c r="C577" s="432" t="s">
        <v>976</v>
      </c>
      <c r="D577" s="223">
        <v>1</v>
      </c>
      <c r="E577" s="395"/>
      <c r="F577" s="266"/>
      <c r="G577" s="272"/>
      <c r="H577" s="211" t="str">
        <f t="shared" si="46"/>
        <v/>
      </c>
      <c r="I577" s="416" t="s">
        <v>47</v>
      </c>
      <c r="J577" s="627"/>
      <c r="L577" s="86" t="e">
        <f>VLOOKUP(B577,$B$11:B576,1,FALSE)</f>
        <v>#N/A</v>
      </c>
      <c r="M577" s="256">
        <f>G577*(1-FORM!$AE$28/100)</f>
        <v>0</v>
      </c>
      <c r="AA577" s="463"/>
      <c r="AB577" s="462"/>
      <c r="AC577" s="462"/>
      <c r="AD577" s="464"/>
      <c r="AE577" s="465"/>
    </row>
    <row r="578" spans="2:31" ht="14.4">
      <c r="B578" s="427">
        <v>9283186</v>
      </c>
      <c r="C578" s="428" t="s">
        <v>977</v>
      </c>
      <c r="D578" s="217">
        <v>1</v>
      </c>
      <c r="E578" s="391"/>
      <c r="F578" s="262"/>
      <c r="G578" s="272"/>
      <c r="H578" s="141" t="str">
        <f t="shared" si="46"/>
        <v/>
      </c>
      <c r="I578" s="409" t="s">
        <v>47</v>
      </c>
      <c r="J578" s="625"/>
      <c r="L578" s="86" t="e">
        <f>VLOOKUP(B578,$B$11:B577,1,FALSE)</f>
        <v>#N/A</v>
      </c>
      <c r="M578" s="256">
        <f>G578*(1-FORM!$AE$28/100)</f>
        <v>0</v>
      </c>
      <c r="AA578" s="463"/>
      <c r="AB578" s="462"/>
      <c r="AC578" s="462"/>
      <c r="AD578" s="464"/>
      <c r="AE578" s="465"/>
    </row>
    <row r="579" spans="2:31" ht="14.4">
      <c r="B579" s="427">
        <v>9283187</v>
      </c>
      <c r="C579" s="428" t="s">
        <v>978</v>
      </c>
      <c r="D579" s="217">
        <v>1</v>
      </c>
      <c r="E579" s="391"/>
      <c r="F579" s="262"/>
      <c r="G579" s="272"/>
      <c r="H579" s="141" t="str">
        <f t="shared" si="46"/>
        <v/>
      </c>
      <c r="I579" s="409" t="s">
        <v>47</v>
      </c>
      <c r="J579" s="625"/>
      <c r="L579" s="86" t="e">
        <f>VLOOKUP(B579,$B$11:B578,1,FALSE)</f>
        <v>#N/A</v>
      </c>
      <c r="M579" s="256">
        <f>G579*(1-FORM!$AE$28/100)</f>
        <v>0</v>
      </c>
      <c r="AA579" s="463"/>
      <c r="AB579" s="462"/>
      <c r="AC579" s="462"/>
      <c r="AD579" s="464"/>
      <c r="AE579" s="465"/>
    </row>
    <row r="580" spans="2:31" ht="14.4">
      <c r="B580" s="427">
        <v>9283188</v>
      </c>
      <c r="C580" s="428" t="s">
        <v>979</v>
      </c>
      <c r="D580" s="217">
        <v>1</v>
      </c>
      <c r="E580" s="391"/>
      <c r="F580" s="262"/>
      <c r="G580" s="272"/>
      <c r="H580" s="141" t="str">
        <f t="shared" si="46"/>
        <v/>
      </c>
      <c r="I580" s="409" t="s">
        <v>47</v>
      </c>
      <c r="J580" s="625"/>
      <c r="L580" s="86" t="e">
        <f>VLOOKUP(B580,$B$11:B579,1,FALSE)</f>
        <v>#N/A</v>
      </c>
      <c r="M580" s="256">
        <f>G580*(1-FORM!$AE$28/100)</f>
        <v>0</v>
      </c>
      <c r="AA580" s="463"/>
      <c r="AB580" s="462"/>
      <c r="AC580" s="462"/>
      <c r="AD580" s="464"/>
      <c r="AE580" s="465"/>
    </row>
    <row r="581" spans="2:31" ht="14.4">
      <c r="B581" s="441">
        <v>9283228</v>
      </c>
      <c r="C581" s="216" t="s">
        <v>980</v>
      </c>
      <c r="D581" s="217">
        <v>1</v>
      </c>
      <c r="E581" s="391"/>
      <c r="F581" s="262"/>
      <c r="G581" s="272"/>
      <c r="H581" s="141" t="str">
        <f t="shared" si="46"/>
        <v/>
      </c>
      <c r="I581" s="409" t="s">
        <v>47</v>
      </c>
      <c r="J581" s="625"/>
      <c r="L581" s="86" t="e">
        <f>VLOOKUP(B581,$B$11:B580,1,FALSE)</f>
        <v>#N/A</v>
      </c>
      <c r="M581" s="256">
        <f>G581*(1-FORM!$AE$28/100)</f>
        <v>0</v>
      </c>
      <c r="AA581" s="463"/>
      <c r="AB581" s="462"/>
      <c r="AC581" s="462"/>
      <c r="AD581" s="464"/>
      <c r="AE581" s="465"/>
    </row>
    <row r="582" spans="2:31" ht="14.4">
      <c r="B582" s="441">
        <v>9283229</v>
      </c>
      <c r="C582" s="216" t="s">
        <v>981</v>
      </c>
      <c r="D582" s="217">
        <v>1</v>
      </c>
      <c r="E582" s="391"/>
      <c r="F582" s="262"/>
      <c r="G582" s="272">
        <v>409.12</v>
      </c>
      <c r="H582" s="141" t="str">
        <f t="shared" si="46"/>
        <v>CZK</v>
      </c>
      <c r="I582" s="409" t="s">
        <v>47</v>
      </c>
      <c r="J582" s="625" t="s">
        <v>1766</v>
      </c>
      <c r="L582" s="86" t="e">
        <f>VLOOKUP(B582,$B$11:B581,1,FALSE)</f>
        <v>#N/A</v>
      </c>
      <c r="M582" s="256">
        <f>G582*(1-FORM!$AE$28/100)</f>
        <v>409.12</v>
      </c>
      <c r="AA582" s="463"/>
      <c r="AB582" s="462"/>
      <c r="AC582" s="462"/>
      <c r="AD582" s="464"/>
      <c r="AE582" s="465"/>
    </row>
    <row r="583" spans="2:31" ht="14.4">
      <c r="B583" s="441">
        <v>9283231</v>
      </c>
      <c r="C583" s="216" t="s">
        <v>982</v>
      </c>
      <c r="D583" s="217">
        <v>1</v>
      </c>
      <c r="E583" s="391"/>
      <c r="F583" s="262"/>
      <c r="G583" s="272">
        <v>722.48258999999996</v>
      </c>
      <c r="H583" s="141" t="str">
        <f t="shared" si="46"/>
        <v>CZK</v>
      </c>
      <c r="I583" s="409" t="s">
        <v>47</v>
      </c>
      <c r="J583" s="625" t="s">
        <v>1767</v>
      </c>
      <c r="L583" s="86" t="e">
        <f>VLOOKUP(B583,$B$11:B582,1,FALSE)</f>
        <v>#N/A</v>
      </c>
      <c r="M583" s="256">
        <f>G583*(1-FORM!$AE$28/100)</f>
        <v>722.48258999999996</v>
      </c>
      <c r="AA583" s="463"/>
      <c r="AB583" s="462"/>
      <c r="AC583" s="462"/>
      <c r="AD583" s="464"/>
      <c r="AE583" s="465"/>
    </row>
    <row r="584" spans="2:31" ht="14.4">
      <c r="B584" s="441">
        <v>9283232</v>
      </c>
      <c r="C584" s="216" t="s">
        <v>983</v>
      </c>
      <c r="D584" s="217">
        <v>1</v>
      </c>
      <c r="E584" s="391"/>
      <c r="F584" s="262"/>
      <c r="G584" s="272">
        <v>931.38562999999999</v>
      </c>
      <c r="H584" s="141" t="str">
        <f t="shared" si="46"/>
        <v>CZK</v>
      </c>
      <c r="I584" s="409" t="s">
        <v>47</v>
      </c>
      <c r="J584" s="625" t="s">
        <v>1768</v>
      </c>
      <c r="L584" s="86" t="e">
        <f>VLOOKUP(B584,$B$11:B583,1,FALSE)</f>
        <v>#N/A</v>
      </c>
      <c r="M584" s="256">
        <f>G584*(1-FORM!$AE$28/100)</f>
        <v>931.38562999999999</v>
      </c>
      <c r="AA584" s="463"/>
      <c r="AB584" s="462"/>
      <c r="AC584" s="462"/>
      <c r="AD584" s="464"/>
      <c r="AE584" s="465"/>
    </row>
    <row r="585" spans="2:31" ht="14.4">
      <c r="B585" s="427">
        <v>9283241</v>
      </c>
      <c r="C585" s="428" t="s">
        <v>984</v>
      </c>
      <c r="D585" s="217">
        <v>1</v>
      </c>
      <c r="E585" s="391"/>
      <c r="F585" s="262"/>
      <c r="G585" s="272"/>
      <c r="H585" s="141" t="str">
        <f t="shared" si="46"/>
        <v/>
      </c>
      <c r="I585" s="409" t="s">
        <v>47</v>
      </c>
      <c r="J585" s="625"/>
      <c r="L585" s="86" t="e">
        <f>VLOOKUP(B585,$B$11:B584,1,FALSE)</f>
        <v>#N/A</v>
      </c>
      <c r="M585" s="256">
        <f>G585*(1-FORM!$AE$28/100)</f>
        <v>0</v>
      </c>
      <c r="AA585" s="463"/>
      <c r="AB585" s="462"/>
      <c r="AC585" s="462"/>
      <c r="AD585" s="464"/>
      <c r="AE585" s="465"/>
    </row>
    <row r="586" spans="2:31" ht="14.4">
      <c r="B586" s="427">
        <v>9283242</v>
      </c>
      <c r="C586" s="428" t="s">
        <v>985</v>
      </c>
      <c r="D586" s="217">
        <v>1</v>
      </c>
      <c r="E586" s="391"/>
      <c r="F586" s="262"/>
      <c r="G586" s="272"/>
      <c r="H586" s="141" t="str">
        <f t="shared" si="46"/>
        <v/>
      </c>
      <c r="I586" s="409" t="s">
        <v>47</v>
      </c>
      <c r="J586" s="625"/>
      <c r="L586" s="86" t="e">
        <f>VLOOKUP(B586,$B$11:B585,1,FALSE)</f>
        <v>#N/A</v>
      </c>
      <c r="M586" s="256">
        <f>G586*(1-FORM!$AE$28/100)</f>
        <v>0</v>
      </c>
      <c r="AA586" s="463"/>
      <c r="AB586" s="462"/>
      <c r="AC586" s="462"/>
      <c r="AD586" s="464"/>
      <c r="AE586" s="465"/>
    </row>
    <row r="587" spans="2:31" ht="14.4">
      <c r="B587" s="427">
        <v>9283244</v>
      </c>
      <c r="C587" s="428" t="s">
        <v>986</v>
      </c>
      <c r="D587" s="217">
        <v>1</v>
      </c>
      <c r="E587" s="391"/>
      <c r="F587" s="262"/>
      <c r="G587" s="272"/>
      <c r="H587" s="141" t="str">
        <f t="shared" si="46"/>
        <v/>
      </c>
      <c r="I587" s="409" t="s">
        <v>47</v>
      </c>
      <c r="J587" s="625"/>
      <c r="L587" s="86" t="e">
        <f>VLOOKUP(B587,$B$11:B586,1,FALSE)</f>
        <v>#N/A</v>
      </c>
      <c r="M587" s="256">
        <f>G587*(1-FORM!$AE$28/100)</f>
        <v>0</v>
      </c>
      <c r="AA587" s="463"/>
      <c r="AB587" s="462"/>
      <c r="AC587" s="462"/>
      <c r="AD587" s="464"/>
      <c r="AE587" s="465"/>
    </row>
    <row r="588" spans="2:31" ht="14.4">
      <c r="B588" s="429">
        <v>9283245</v>
      </c>
      <c r="C588" s="430" t="s">
        <v>987</v>
      </c>
      <c r="D588" s="226">
        <v>1</v>
      </c>
      <c r="E588" s="396"/>
      <c r="F588" s="268"/>
      <c r="G588" s="272"/>
      <c r="H588" s="142" t="str">
        <f t="shared" si="46"/>
        <v/>
      </c>
      <c r="I588" s="417" t="s">
        <v>47</v>
      </c>
      <c r="J588" s="626"/>
      <c r="L588" s="86" t="e">
        <f>VLOOKUP(B588,$B$11:B587,1,FALSE)</f>
        <v>#N/A</v>
      </c>
      <c r="M588" s="256">
        <f>G588*(1-FORM!$AE$28/100)</f>
        <v>0</v>
      </c>
      <c r="AA588" s="463"/>
      <c r="AB588" s="462"/>
      <c r="AC588" s="462"/>
      <c r="AD588" s="464"/>
      <c r="AE588" s="465"/>
    </row>
    <row r="589" spans="2:31" ht="14.4">
      <c r="B589" s="431">
        <v>9283189</v>
      </c>
      <c r="C589" s="432" t="s">
        <v>988</v>
      </c>
      <c r="D589" s="223">
        <v>1</v>
      </c>
      <c r="E589" s="395"/>
      <c r="F589" s="266"/>
      <c r="G589" s="272"/>
      <c r="H589" s="211" t="str">
        <f t="shared" si="46"/>
        <v/>
      </c>
      <c r="I589" s="416" t="s">
        <v>47</v>
      </c>
      <c r="J589" s="627"/>
      <c r="L589" s="86" t="e">
        <f>VLOOKUP(B589,$B$11:B588,1,FALSE)</f>
        <v>#N/A</v>
      </c>
      <c r="M589" s="256">
        <f>G589*(1-FORM!$AE$28/100)</f>
        <v>0</v>
      </c>
      <c r="AA589" s="463"/>
      <c r="AB589" s="462"/>
      <c r="AC589" s="462"/>
      <c r="AD589" s="464"/>
      <c r="AE589" s="465"/>
    </row>
    <row r="590" spans="2:31" ht="14.4">
      <c r="B590" s="427">
        <v>9283190</v>
      </c>
      <c r="C590" s="428" t="s">
        <v>989</v>
      </c>
      <c r="D590" s="217">
        <v>1</v>
      </c>
      <c r="E590" s="391"/>
      <c r="F590" s="262"/>
      <c r="G590" s="272"/>
      <c r="H590" s="141" t="str">
        <f t="shared" si="46"/>
        <v/>
      </c>
      <c r="I590" s="409" t="s">
        <v>47</v>
      </c>
      <c r="J590" s="625"/>
      <c r="L590" s="86" t="e">
        <f>VLOOKUP(B590,$B$11:B589,1,FALSE)</f>
        <v>#N/A</v>
      </c>
      <c r="M590" s="256">
        <f>G590*(1-FORM!$AE$28/100)</f>
        <v>0</v>
      </c>
      <c r="AA590" s="463"/>
      <c r="AB590" s="462"/>
      <c r="AC590" s="462"/>
      <c r="AD590" s="464"/>
      <c r="AE590" s="465"/>
    </row>
    <row r="591" spans="2:31" ht="14.4">
      <c r="B591" s="427">
        <v>9283191</v>
      </c>
      <c r="C591" s="428" t="s">
        <v>990</v>
      </c>
      <c r="D591" s="217">
        <v>1</v>
      </c>
      <c r="E591" s="391"/>
      <c r="F591" s="262"/>
      <c r="G591" s="272"/>
      <c r="H591" s="141" t="str">
        <f t="shared" si="46"/>
        <v/>
      </c>
      <c r="I591" s="409" t="s">
        <v>47</v>
      </c>
      <c r="J591" s="625"/>
      <c r="L591" s="86" t="e">
        <f>VLOOKUP(B591,$B$11:B590,1,FALSE)</f>
        <v>#N/A</v>
      </c>
      <c r="M591" s="256">
        <f>G591*(1-FORM!$AE$28/100)</f>
        <v>0</v>
      </c>
      <c r="AA591" s="463"/>
      <c r="AB591" s="462"/>
      <c r="AC591" s="462"/>
      <c r="AD591" s="464"/>
      <c r="AE591" s="465"/>
    </row>
    <row r="592" spans="2:31" ht="14.4">
      <c r="B592" s="427">
        <v>9283192</v>
      </c>
      <c r="C592" s="428" t="s">
        <v>991</v>
      </c>
      <c r="D592" s="217">
        <v>1</v>
      </c>
      <c r="E592" s="391"/>
      <c r="F592" s="262"/>
      <c r="G592" s="272"/>
      <c r="H592" s="141" t="str">
        <f t="shared" si="46"/>
        <v/>
      </c>
      <c r="I592" s="409" t="s">
        <v>47</v>
      </c>
      <c r="J592" s="625"/>
      <c r="L592" s="86" t="e">
        <f>VLOOKUP(B592,$B$11:B591,1,FALSE)</f>
        <v>#N/A</v>
      </c>
      <c r="M592" s="256">
        <f>G592*(1-FORM!$AE$28/100)</f>
        <v>0</v>
      </c>
      <c r="AA592" s="463"/>
      <c r="AB592" s="462"/>
      <c r="AC592" s="462"/>
      <c r="AD592" s="464"/>
      <c r="AE592" s="465"/>
    </row>
    <row r="593" spans="2:31" ht="14.4">
      <c r="B593" s="441">
        <v>9283233</v>
      </c>
      <c r="C593" s="216" t="s">
        <v>992</v>
      </c>
      <c r="D593" s="217">
        <v>1</v>
      </c>
      <c r="E593" s="391"/>
      <c r="F593" s="262"/>
      <c r="G593" s="272">
        <v>564.20789000000002</v>
      </c>
      <c r="H593" s="141" t="str">
        <f t="shared" si="46"/>
        <v>CZK</v>
      </c>
      <c r="I593" s="409" t="s">
        <v>47</v>
      </c>
      <c r="J593" s="625" t="s">
        <v>1769</v>
      </c>
      <c r="L593" s="86" t="e">
        <f>VLOOKUP(B593,$B$11:B592,1,FALSE)</f>
        <v>#N/A</v>
      </c>
      <c r="M593" s="256">
        <f>G593*(1-FORM!$AE$28/100)</f>
        <v>564.20789000000002</v>
      </c>
      <c r="AA593" s="463"/>
      <c r="AB593" s="462"/>
      <c r="AC593" s="462"/>
      <c r="AD593" s="464"/>
      <c r="AE593" s="465"/>
    </row>
    <row r="594" spans="2:31" ht="14.4">
      <c r="B594" s="441">
        <v>9283235</v>
      </c>
      <c r="C594" s="216" t="s">
        <v>993</v>
      </c>
      <c r="D594" s="217">
        <v>1</v>
      </c>
      <c r="E594" s="391"/>
      <c r="F594" s="262"/>
      <c r="G594" s="272">
        <v>641.17699000000005</v>
      </c>
      <c r="H594" s="141" t="str">
        <f t="shared" si="46"/>
        <v>CZK</v>
      </c>
      <c r="I594" s="409" t="s">
        <v>47</v>
      </c>
      <c r="J594" s="625" t="s">
        <v>1770</v>
      </c>
      <c r="L594" s="86" t="e">
        <f>VLOOKUP(B594,$B$11:B593,1,FALSE)</f>
        <v>#N/A</v>
      </c>
      <c r="M594" s="256">
        <f>G594*(1-FORM!$AE$28/100)</f>
        <v>641.17699000000005</v>
      </c>
      <c r="AA594" s="463"/>
      <c r="AB594" s="462"/>
      <c r="AC594" s="462"/>
      <c r="AD594" s="464"/>
      <c r="AE594" s="465"/>
    </row>
    <row r="595" spans="2:31" ht="14.4">
      <c r="B595" s="441">
        <v>9283237</v>
      </c>
      <c r="C595" s="216" t="s">
        <v>994</v>
      </c>
      <c r="D595" s="217">
        <v>1</v>
      </c>
      <c r="E595" s="391"/>
      <c r="F595" s="262"/>
      <c r="G595" s="272">
        <v>1068.6239</v>
      </c>
      <c r="H595" s="141" t="str">
        <f t="shared" si="46"/>
        <v>CZK</v>
      </c>
      <c r="I595" s="409" t="s">
        <v>47</v>
      </c>
      <c r="J595" s="625" t="s">
        <v>1771</v>
      </c>
      <c r="L595" s="86" t="e">
        <f>VLOOKUP(B595,$B$11:B594,1,FALSE)</f>
        <v>#N/A</v>
      </c>
      <c r="M595" s="256">
        <f>G595*(1-FORM!$AE$28/100)</f>
        <v>1068.6239</v>
      </c>
      <c r="AA595" s="463"/>
      <c r="AB595" s="462"/>
      <c r="AC595" s="462"/>
      <c r="AD595" s="464"/>
      <c r="AE595" s="465"/>
    </row>
    <row r="596" spans="2:31" ht="14.4">
      <c r="B596" s="441">
        <v>9283238</v>
      </c>
      <c r="C596" s="216" t="s">
        <v>995</v>
      </c>
      <c r="D596" s="217">
        <v>1</v>
      </c>
      <c r="E596" s="391"/>
      <c r="F596" s="262"/>
      <c r="G596" s="272">
        <v>1376.3860500000001</v>
      </c>
      <c r="H596" s="141" t="str">
        <f t="shared" si="46"/>
        <v>CZK</v>
      </c>
      <c r="I596" s="409" t="s">
        <v>47</v>
      </c>
      <c r="J596" s="625" t="s">
        <v>1772</v>
      </c>
      <c r="L596" s="86" t="e">
        <f>VLOOKUP(B596,$B$11:B595,1,FALSE)</f>
        <v>#N/A</v>
      </c>
      <c r="M596" s="256">
        <f>G596*(1-FORM!$AE$28/100)</f>
        <v>1376.3860500000001</v>
      </c>
      <c r="AA596" s="463"/>
      <c r="AB596" s="462"/>
      <c r="AC596" s="462"/>
      <c r="AD596" s="464"/>
      <c r="AE596" s="465"/>
    </row>
    <row r="597" spans="2:31" ht="14.4">
      <c r="B597" s="427">
        <v>9283246</v>
      </c>
      <c r="C597" s="428" t="s">
        <v>996</v>
      </c>
      <c r="D597" s="217">
        <v>1</v>
      </c>
      <c r="E597" s="391"/>
      <c r="F597" s="262"/>
      <c r="G597" s="272"/>
      <c r="H597" s="141" t="str">
        <f t="shared" si="46"/>
        <v/>
      </c>
      <c r="I597" s="409" t="s">
        <v>47</v>
      </c>
      <c r="J597" s="625"/>
      <c r="L597" s="86" t="e">
        <f>VLOOKUP(B597,$B$11:B596,1,FALSE)</f>
        <v>#N/A</v>
      </c>
      <c r="M597" s="256">
        <f>G597*(1-FORM!$AE$28/100)</f>
        <v>0</v>
      </c>
      <c r="AA597" s="463"/>
      <c r="AB597" s="462"/>
      <c r="AC597" s="462"/>
      <c r="AD597" s="464"/>
      <c r="AE597" s="465"/>
    </row>
    <row r="598" spans="2:31" ht="14.4">
      <c r="B598" s="427">
        <v>9283247</v>
      </c>
      <c r="C598" s="428" t="s">
        <v>997</v>
      </c>
      <c r="D598" s="217">
        <v>1</v>
      </c>
      <c r="E598" s="391"/>
      <c r="F598" s="262"/>
      <c r="G598" s="272"/>
      <c r="H598" s="141" t="str">
        <f t="shared" si="46"/>
        <v/>
      </c>
      <c r="I598" s="409" t="s">
        <v>47</v>
      </c>
      <c r="J598" s="625"/>
      <c r="L598" s="86" t="e">
        <f>VLOOKUP(B598,$B$11:B597,1,FALSE)</f>
        <v>#N/A</v>
      </c>
      <c r="M598" s="256">
        <f>G598*(1-FORM!$AE$28/100)</f>
        <v>0</v>
      </c>
      <c r="AA598" s="463"/>
      <c r="AB598" s="462"/>
      <c r="AC598" s="462"/>
      <c r="AD598" s="464"/>
      <c r="AE598" s="465"/>
    </row>
    <row r="599" spans="2:31" ht="14.4">
      <c r="B599" s="427">
        <v>9283259</v>
      </c>
      <c r="C599" s="428" t="s">
        <v>998</v>
      </c>
      <c r="D599" s="217">
        <v>1</v>
      </c>
      <c r="E599" s="391"/>
      <c r="F599" s="262"/>
      <c r="G599" s="272"/>
      <c r="H599" s="141" t="str">
        <f t="shared" si="46"/>
        <v/>
      </c>
      <c r="I599" s="409" t="s">
        <v>47</v>
      </c>
      <c r="J599" s="625"/>
      <c r="L599" s="86" t="e">
        <f>VLOOKUP(B599,$B$11:B598,1,FALSE)</f>
        <v>#N/A</v>
      </c>
      <c r="M599" s="256">
        <f>G599*(1-FORM!$AE$28/100)</f>
        <v>0</v>
      </c>
      <c r="AA599" s="463"/>
      <c r="AB599" s="462"/>
      <c r="AC599" s="462"/>
      <c r="AD599" s="464"/>
      <c r="AE599" s="465"/>
    </row>
    <row r="600" spans="2:31" ht="14.4">
      <c r="B600" s="429">
        <v>9283260</v>
      </c>
      <c r="C600" s="430" t="s">
        <v>999</v>
      </c>
      <c r="D600" s="226">
        <v>1</v>
      </c>
      <c r="E600" s="396"/>
      <c r="F600" s="268"/>
      <c r="G600" s="272"/>
      <c r="H600" s="142" t="str">
        <f t="shared" si="46"/>
        <v/>
      </c>
      <c r="I600" s="417" t="s">
        <v>47</v>
      </c>
      <c r="J600" s="626"/>
      <c r="L600" s="86" t="e">
        <f>VLOOKUP(B600,$B$11:B599,1,FALSE)</f>
        <v>#N/A</v>
      </c>
      <c r="M600" s="256">
        <f>G600*(1-FORM!$AE$28/100)</f>
        <v>0</v>
      </c>
      <c r="AA600" s="463"/>
      <c r="AB600" s="462"/>
      <c r="AC600" s="462"/>
      <c r="AD600" s="464"/>
      <c r="AE600" s="465"/>
    </row>
    <row r="601" spans="2:31" ht="14.4">
      <c r="B601" s="303"/>
      <c r="C601" s="304"/>
      <c r="D601" s="226"/>
      <c r="E601" s="396"/>
      <c r="F601" s="268"/>
      <c r="G601" s="272"/>
      <c r="H601" s="142"/>
      <c r="I601" s="417" t="s">
        <v>47</v>
      </c>
      <c r="J601" s="468"/>
      <c r="M601" s="256">
        <f>G601*(1-FORM!$AE$28/100)</f>
        <v>0</v>
      </c>
      <c r="AA601" s="463"/>
      <c r="AB601" s="462"/>
      <c r="AC601" s="462"/>
      <c r="AD601" s="464"/>
      <c r="AE601" s="465"/>
    </row>
    <row r="602" spans="2:31" ht="14.4">
      <c r="B602" s="356">
        <v>9278225</v>
      </c>
      <c r="C602" s="357" t="s">
        <v>1000</v>
      </c>
      <c r="D602" s="358">
        <v>200</v>
      </c>
      <c r="E602" s="398"/>
      <c r="F602" s="359"/>
      <c r="G602" s="272"/>
      <c r="H602" s="133" t="str">
        <f t="shared" ref="H602:H607" si="47">IF(G602="","",$H$10)</f>
        <v/>
      </c>
      <c r="I602" s="409" t="s">
        <v>47</v>
      </c>
      <c r="J602" s="627"/>
      <c r="M602" s="256">
        <f>G602*(1-FORM!$AE$28/100)</f>
        <v>0</v>
      </c>
      <c r="AA602" s="463"/>
      <c r="AB602" s="462"/>
      <c r="AC602" s="462"/>
      <c r="AD602" s="464"/>
      <c r="AE602" s="465"/>
    </row>
    <row r="603" spans="2:31" ht="14.4">
      <c r="B603" s="299">
        <v>45167</v>
      </c>
      <c r="C603" s="218" t="s">
        <v>1001</v>
      </c>
      <c r="D603" s="219">
        <v>200</v>
      </c>
      <c r="E603" s="392"/>
      <c r="F603" s="263"/>
      <c r="G603" s="272">
        <v>0.84719999999999995</v>
      </c>
      <c r="H603" s="133" t="str">
        <f t="shared" si="47"/>
        <v>CZK</v>
      </c>
      <c r="I603" s="409" t="s">
        <v>47</v>
      </c>
      <c r="J603" s="625" t="s">
        <v>1317</v>
      </c>
      <c r="L603" s="86" t="e">
        <f>VLOOKUP(B603,$B$11:B601,1,FALSE)</f>
        <v>#N/A</v>
      </c>
      <c r="M603" s="256">
        <f>G603*(1-FORM!$AE$28/100)</f>
        <v>0.84719999999999995</v>
      </c>
      <c r="AA603" s="463"/>
      <c r="AB603" s="462"/>
      <c r="AC603" s="462"/>
      <c r="AD603" s="464"/>
      <c r="AE603" s="465"/>
    </row>
    <row r="604" spans="2:31" ht="14.4">
      <c r="B604" s="298">
        <v>45168</v>
      </c>
      <c r="C604" s="216" t="s">
        <v>1002</v>
      </c>
      <c r="D604" s="217">
        <v>200</v>
      </c>
      <c r="E604" s="391"/>
      <c r="F604" s="262"/>
      <c r="G604" s="272">
        <v>1.2154199999999999</v>
      </c>
      <c r="H604" s="141" t="str">
        <f t="shared" si="47"/>
        <v>CZK</v>
      </c>
      <c r="I604" s="409" t="s">
        <v>47</v>
      </c>
      <c r="J604" s="625" t="s">
        <v>1318</v>
      </c>
      <c r="L604" s="86" t="e">
        <f>VLOOKUP(B604,$B$11:B603,1,FALSE)</f>
        <v>#N/A</v>
      </c>
      <c r="M604" s="256">
        <f>G604*(1-FORM!$AE$28/100)</f>
        <v>1.2154199999999999</v>
      </c>
      <c r="AA604" s="463"/>
      <c r="AB604" s="462"/>
      <c r="AC604" s="462"/>
      <c r="AD604" s="464"/>
      <c r="AE604" s="465"/>
    </row>
    <row r="605" spans="2:31" ht="14.4">
      <c r="B605" s="298">
        <v>9278224</v>
      </c>
      <c r="C605" s="216" t="s">
        <v>1003</v>
      </c>
      <c r="D605" s="217">
        <v>200</v>
      </c>
      <c r="E605" s="391"/>
      <c r="F605" s="262"/>
      <c r="G605" s="272">
        <v>0.89337999999999995</v>
      </c>
      <c r="H605" s="141" t="str">
        <f t="shared" si="47"/>
        <v>CZK</v>
      </c>
      <c r="I605" s="409" t="s">
        <v>47</v>
      </c>
      <c r="J605" s="625" t="s">
        <v>1756</v>
      </c>
      <c r="L605" s="86" t="e">
        <f>VLOOKUP(B605,$B$11:B604,1,FALSE)</f>
        <v>#N/A</v>
      </c>
      <c r="M605" s="256">
        <f>G605*(1-FORM!$AE$28/100)</f>
        <v>0.89337999999999995</v>
      </c>
      <c r="AA605" s="463"/>
      <c r="AB605" s="462"/>
      <c r="AC605" s="462"/>
      <c r="AD605" s="464"/>
      <c r="AE605" s="465"/>
    </row>
    <row r="606" spans="2:31" ht="14.4">
      <c r="B606" s="298">
        <v>9279197</v>
      </c>
      <c r="C606" s="216" t="s">
        <v>1004</v>
      </c>
      <c r="D606" s="217">
        <v>1000</v>
      </c>
      <c r="E606" s="391"/>
      <c r="F606" s="262"/>
      <c r="G606" s="272"/>
      <c r="H606" s="141" t="str">
        <f t="shared" si="47"/>
        <v/>
      </c>
      <c r="I606" s="409" t="s">
        <v>47</v>
      </c>
      <c r="J606" s="625"/>
      <c r="L606" s="86" t="e">
        <f>VLOOKUP(B606,$B$11:B605,1,FALSE)</f>
        <v>#N/A</v>
      </c>
      <c r="M606" s="256">
        <f>G606*(1-FORM!$AE$28/100)</f>
        <v>0</v>
      </c>
      <c r="AA606" s="463"/>
      <c r="AB606" s="462"/>
      <c r="AC606" s="462"/>
      <c r="AD606" s="464"/>
      <c r="AE606" s="465"/>
    </row>
    <row r="607" spans="2:31" ht="14.4">
      <c r="B607" s="297">
        <v>9137114</v>
      </c>
      <c r="C607" s="14" t="s">
        <v>1005</v>
      </c>
      <c r="D607" s="162">
        <v>200</v>
      </c>
      <c r="E607" s="388"/>
      <c r="F607" s="259"/>
      <c r="G607" s="272">
        <v>1.8839300000000001</v>
      </c>
      <c r="H607" s="132" t="str">
        <f t="shared" si="47"/>
        <v>CZK</v>
      </c>
      <c r="I607" s="405" t="s">
        <v>47</v>
      </c>
      <c r="J607" s="626" t="s">
        <v>1325</v>
      </c>
      <c r="L607" s="86" t="e">
        <f>VLOOKUP(B607,$B$11:B606,1,FALSE)</f>
        <v>#N/A</v>
      </c>
      <c r="M607" s="256">
        <f>G607*(1-FORM!$AE$28/100)</f>
        <v>1.8839300000000001</v>
      </c>
      <c r="AA607" s="463"/>
      <c r="AB607" s="462"/>
      <c r="AC607" s="462"/>
      <c r="AD607" s="464"/>
      <c r="AE607" s="465"/>
    </row>
    <row r="608" spans="2:31" ht="14.4">
      <c r="B608" s="300"/>
      <c r="C608" s="164"/>
      <c r="D608" s="220"/>
      <c r="E608" s="393"/>
      <c r="F608" s="264"/>
      <c r="G608" s="272"/>
      <c r="H608" s="134"/>
      <c r="I608" s="412" t="s">
        <v>47</v>
      </c>
      <c r="J608" s="468"/>
      <c r="L608" s="86" t="e">
        <f>VLOOKUP(B608,$B$11:B600,1,FALSE)</f>
        <v>#N/A</v>
      </c>
      <c r="M608" s="256">
        <f>G608*(1-FORM!$AE$28/100)</f>
        <v>0</v>
      </c>
      <c r="AA608" s="463"/>
      <c r="AB608" s="462"/>
      <c r="AC608" s="462"/>
      <c r="AD608" s="464"/>
      <c r="AE608" s="465"/>
    </row>
    <row r="609" spans="2:31" ht="14.4">
      <c r="B609" s="301">
        <v>9318154</v>
      </c>
      <c r="C609" s="222" t="s">
        <v>1006</v>
      </c>
      <c r="D609" s="223">
        <v>1</v>
      </c>
      <c r="E609" s="395"/>
      <c r="F609" s="266"/>
      <c r="G609" s="272">
        <v>657.45060999999998</v>
      </c>
      <c r="H609" s="211" t="str">
        <f t="shared" si="46"/>
        <v>CZK</v>
      </c>
      <c r="I609" s="416" t="s">
        <v>47</v>
      </c>
      <c r="J609" s="627" t="s">
        <v>1779</v>
      </c>
      <c r="L609" s="86" t="e">
        <f>VLOOKUP(B609,$B$11:B608,1,FALSE)</f>
        <v>#N/A</v>
      </c>
      <c r="M609" s="256">
        <f>G609*(1-FORM!$AE$28/100)</f>
        <v>657.45060999999998</v>
      </c>
      <c r="AA609" s="463"/>
      <c r="AB609" s="462"/>
      <c r="AC609" s="462"/>
      <c r="AD609" s="464"/>
      <c r="AE609" s="465"/>
    </row>
    <row r="610" spans="2:31" ht="14.4">
      <c r="B610" s="298">
        <v>9318156</v>
      </c>
      <c r="C610" s="216" t="s">
        <v>1007</v>
      </c>
      <c r="D610" s="217">
        <v>1</v>
      </c>
      <c r="E610" s="391"/>
      <c r="F610" s="262"/>
      <c r="G610" s="272">
        <v>657.45060999999998</v>
      </c>
      <c r="H610" s="141" t="str">
        <f t="shared" si="46"/>
        <v>CZK</v>
      </c>
      <c r="I610" s="409" t="s">
        <v>47</v>
      </c>
      <c r="J610" s="625" t="s">
        <v>1780</v>
      </c>
      <c r="L610" s="86" t="e">
        <f>VLOOKUP(B610,$B$11:B609,1,FALSE)</f>
        <v>#N/A</v>
      </c>
      <c r="M610" s="256">
        <f>G610*(1-FORM!$AE$28/100)</f>
        <v>657.45060999999998</v>
      </c>
      <c r="AA610" s="463"/>
      <c r="AB610" s="462"/>
      <c r="AC610" s="462"/>
      <c r="AD610" s="464"/>
      <c r="AE610" s="465"/>
    </row>
    <row r="611" spans="2:31" ht="14.4">
      <c r="B611" s="298">
        <v>9318160</v>
      </c>
      <c r="C611" s="216" t="s">
        <v>1008</v>
      </c>
      <c r="D611" s="217">
        <v>1</v>
      </c>
      <c r="E611" s="391"/>
      <c r="F611" s="262"/>
      <c r="G611" s="272">
        <v>657.45060999999998</v>
      </c>
      <c r="H611" s="141" t="str">
        <f t="shared" si="46"/>
        <v>CZK</v>
      </c>
      <c r="I611" s="409" t="s">
        <v>47</v>
      </c>
      <c r="J611" s="625" t="s">
        <v>1781</v>
      </c>
      <c r="L611" s="86" t="e">
        <f>VLOOKUP(B611,$B$11:B610,1,FALSE)</f>
        <v>#N/A</v>
      </c>
      <c r="M611" s="256">
        <f>G611*(1-FORM!$AE$28/100)</f>
        <v>657.45060999999998</v>
      </c>
      <c r="AA611" s="463"/>
      <c r="AB611" s="462"/>
      <c r="AC611" s="462"/>
      <c r="AD611" s="464"/>
      <c r="AE611" s="465"/>
    </row>
    <row r="612" spans="2:31" ht="14.4">
      <c r="B612" s="298">
        <v>9318145</v>
      </c>
      <c r="C612" s="216" t="s">
        <v>1009</v>
      </c>
      <c r="D612" s="217">
        <v>10</v>
      </c>
      <c r="E612" s="391"/>
      <c r="F612" s="262"/>
      <c r="G612" s="272">
        <v>298.88173999999998</v>
      </c>
      <c r="H612" s="141" t="str">
        <f>IF(G612="","",$H$10)</f>
        <v>CZK</v>
      </c>
      <c r="I612" s="409" t="s">
        <v>47</v>
      </c>
      <c r="J612" s="625" t="s">
        <v>1773</v>
      </c>
      <c r="L612" s="86" t="e">
        <f>VLOOKUP(B612,$B$11:B611,1,FALSE)</f>
        <v>#N/A</v>
      </c>
      <c r="M612" s="256">
        <f>G612*(1-FORM!$AE$28/100)</f>
        <v>298.88173999999998</v>
      </c>
      <c r="AA612" s="463"/>
      <c r="AB612" s="462"/>
      <c r="AC612" s="462"/>
      <c r="AD612" s="464"/>
      <c r="AE612" s="465"/>
    </row>
    <row r="613" spans="2:31" ht="14.4">
      <c r="B613" s="298">
        <v>9318146</v>
      </c>
      <c r="C613" s="216" t="s">
        <v>1010</v>
      </c>
      <c r="D613" s="217">
        <v>10</v>
      </c>
      <c r="E613" s="391"/>
      <c r="F613" s="262"/>
      <c r="G613" s="272">
        <v>298.88173999999998</v>
      </c>
      <c r="H613" s="141" t="str">
        <f t="shared" ref="H613:H622" si="48">IF(G613="","",$H$10)</f>
        <v>CZK</v>
      </c>
      <c r="I613" s="409" t="s">
        <v>47</v>
      </c>
      <c r="J613" s="625" t="s">
        <v>1774</v>
      </c>
      <c r="L613" s="86" t="e">
        <f>VLOOKUP(B613,$B$11:B612,1,FALSE)</f>
        <v>#N/A</v>
      </c>
      <c r="M613" s="256">
        <f>G613*(1-FORM!$AE$28/100)</f>
        <v>298.88173999999998</v>
      </c>
      <c r="AA613" s="463"/>
      <c r="AB613" s="462"/>
      <c r="AC613" s="462"/>
      <c r="AD613" s="464"/>
      <c r="AE613" s="465"/>
    </row>
    <row r="614" spans="2:31" ht="14.4">
      <c r="B614" s="298">
        <v>9318147</v>
      </c>
      <c r="C614" s="216" t="s">
        <v>1011</v>
      </c>
      <c r="D614" s="217">
        <v>10</v>
      </c>
      <c r="E614" s="391"/>
      <c r="F614" s="262"/>
      <c r="G614" s="272">
        <v>298.88173999999998</v>
      </c>
      <c r="H614" s="141" t="str">
        <f t="shared" si="48"/>
        <v>CZK</v>
      </c>
      <c r="I614" s="409" t="s">
        <v>47</v>
      </c>
      <c r="J614" s="625" t="s">
        <v>1775</v>
      </c>
      <c r="L614" s="86" t="e">
        <f>VLOOKUP(B614,$B$11:B613,1,FALSE)</f>
        <v>#N/A</v>
      </c>
      <c r="M614" s="256">
        <f>G614*(1-FORM!$AE$28/100)</f>
        <v>298.88173999999998</v>
      </c>
      <c r="AA614" s="463"/>
      <c r="AB614" s="462"/>
      <c r="AC614" s="462"/>
      <c r="AD614" s="464"/>
      <c r="AE614" s="465"/>
    </row>
    <row r="615" spans="2:31" ht="14.4">
      <c r="B615" s="298">
        <v>9318148</v>
      </c>
      <c r="C615" s="216" t="s">
        <v>1012</v>
      </c>
      <c r="D615" s="217">
        <v>10</v>
      </c>
      <c r="E615" s="391"/>
      <c r="F615" s="262"/>
      <c r="G615" s="272">
        <v>298.88173999999998</v>
      </c>
      <c r="H615" s="141" t="str">
        <f t="shared" si="48"/>
        <v>CZK</v>
      </c>
      <c r="I615" s="409" t="s">
        <v>47</v>
      </c>
      <c r="J615" s="625" t="s">
        <v>1776</v>
      </c>
      <c r="L615" s="86" t="e">
        <f>VLOOKUP(B615,$B$11:B614,1,FALSE)</f>
        <v>#N/A</v>
      </c>
      <c r="M615" s="256">
        <f>G615*(1-FORM!$AE$28/100)</f>
        <v>298.88173999999998</v>
      </c>
      <c r="AA615" s="463"/>
      <c r="AB615" s="462"/>
      <c r="AC615" s="462"/>
      <c r="AD615" s="464"/>
      <c r="AE615" s="465"/>
    </row>
    <row r="616" spans="2:31" ht="14.4">
      <c r="B616" s="298">
        <v>9318149</v>
      </c>
      <c r="C616" s="216" t="s">
        <v>1013</v>
      </c>
      <c r="D616" s="217">
        <v>10</v>
      </c>
      <c r="E616" s="391"/>
      <c r="F616" s="262"/>
      <c r="G616" s="272">
        <v>298.88173999999998</v>
      </c>
      <c r="H616" s="141" t="str">
        <f t="shared" si="48"/>
        <v>CZK</v>
      </c>
      <c r="I616" s="409" t="s">
        <v>47</v>
      </c>
      <c r="J616" s="625" t="s">
        <v>1777</v>
      </c>
      <c r="L616" s="86" t="e">
        <f>VLOOKUP(B616,$B$11:B615,1,FALSE)</f>
        <v>#N/A</v>
      </c>
      <c r="M616" s="256">
        <f>G616*(1-FORM!$AE$28/100)</f>
        <v>298.88173999999998</v>
      </c>
      <c r="AA616" s="463"/>
      <c r="AB616" s="462"/>
      <c r="AC616" s="462"/>
      <c r="AD616" s="464"/>
      <c r="AE616" s="465"/>
    </row>
    <row r="617" spans="2:31" ht="14.4">
      <c r="B617" s="303">
        <v>9318150</v>
      </c>
      <c r="C617" s="304" t="s">
        <v>1014</v>
      </c>
      <c r="D617" s="226">
        <v>10</v>
      </c>
      <c r="E617" s="396"/>
      <c r="F617" s="268"/>
      <c r="G617" s="272">
        <v>298.88173999999998</v>
      </c>
      <c r="H617" s="142" t="str">
        <f t="shared" si="48"/>
        <v>CZK</v>
      </c>
      <c r="I617" s="417" t="s">
        <v>47</v>
      </c>
      <c r="J617" s="626" t="s">
        <v>1778</v>
      </c>
      <c r="L617" s="86" t="e">
        <f>VLOOKUP(B617,$B$11:B616,1,FALSE)</f>
        <v>#N/A</v>
      </c>
      <c r="M617" s="256">
        <f>G617*(1-FORM!$AE$28/100)</f>
        <v>298.88173999999998</v>
      </c>
      <c r="AA617" s="463"/>
      <c r="AB617" s="462"/>
      <c r="AC617" s="462"/>
      <c r="AD617" s="464"/>
      <c r="AE617" s="465"/>
    </row>
    <row r="618" spans="2:31" ht="14.4">
      <c r="B618" s="303"/>
      <c r="C618" s="304"/>
      <c r="D618" s="226"/>
      <c r="E618" s="396"/>
      <c r="F618" s="268"/>
      <c r="G618" s="272"/>
      <c r="H618" s="142"/>
      <c r="I618" s="417" t="s">
        <v>47</v>
      </c>
      <c r="J618" s="468"/>
      <c r="L618" s="86" t="e">
        <f>VLOOKUP(B618,$B$11:B617,1,FALSE)</f>
        <v>#N/A</v>
      </c>
      <c r="M618" s="256">
        <f>G618*(1-FORM!$AE$28/100)</f>
        <v>0</v>
      </c>
      <c r="AA618" s="463"/>
      <c r="AB618" s="462"/>
      <c r="AC618" s="462"/>
      <c r="AD618" s="464"/>
      <c r="AE618" s="465"/>
    </row>
    <row r="619" spans="2:31" ht="14.4">
      <c r="B619" s="301">
        <v>9318186</v>
      </c>
      <c r="C619" s="222" t="s">
        <v>1015</v>
      </c>
      <c r="D619" s="223">
        <v>1</v>
      </c>
      <c r="E619" s="395"/>
      <c r="F619" s="266"/>
      <c r="G619" s="272">
        <v>657.45060999999998</v>
      </c>
      <c r="H619" s="211" t="str">
        <f t="shared" si="48"/>
        <v>CZK</v>
      </c>
      <c r="I619" s="416" t="s">
        <v>47</v>
      </c>
      <c r="J619" s="627" t="s">
        <v>1798</v>
      </c>
      <c r="L619" s="86" t="e">
        <f>VLOOKUP(B619,$B$11:B618,1,FALSE)</f>
        <v>#N/A</v>
      </c>
      <c r="M619" s="256">
        <f>G619*(1-FORM!$AE$28/100)</f>
        <v>657.45060999999998</v>
      </c>
      <c r="AA619" s="463"/>
      <c r="AB619" s="462"/>
      <c r="AC619" s="462"/>
      <c r="AD619" s="464"/>
      <c r="AE619" s="465"/>
    </row>
    <row r="620" spans="2:31" ht="14.4">
      <c r="B620" s="298">
        <v>9318187</v>
      </c>
      <c r="C620" s="216" t="s">
        <v>1016</v>
      </c>
      <c r="D620" s="217">
        <v>1</v>
      </c>
      <c r="E620" s="391"/>
      <c r="F620" s="262"/>
      <c r="G620" s="272">
        <v>657.45060999999998</v>
      </c>
      <c r="H620" s="141" t="str">
        <f t="shared" si="48"/>
        <v>CZK</v>
      </c>
      <c r="I620" s="409" t="s">
        <v>47</v>
      </c>
      <c r="J620" s="625" t="s">
        <v>1799</v>
      </c>
      <c r="L620" s="86" t="e">
        <f>VLOOKUP(B620,$B$11:B619,1,FALSE)</f>
        <v>#N/A</v>
      </c>
      <c r="M620" s="256">
        <f>G620*(1-FORM!$AE$28/100)</f>
        <v>657.45060999999998</v>
      </c>
      <c r="AA620" s="463"/>
      <c r="AB620" s="462"/>
      <c r="AC620" s="462"/>
      <c r="AD620" s="464"/>
      <c r="AE620" s="465"/>
    </row>
    <row r="621" spans="2:31" ht="14.4">
      <c r="B621" s="298">
        <v>9318188</v>
      </c>
      <c r="C621" s="216" t="s">
        <v>1017</v>
      </c>
      <c r="D621" s="217">
        <v>1</v>
      </c>
      <c r="E621" s="391"/>
      <c r="F621" s="262"/>
      <c r="G621" s="272">
        <v>657.45060999999998</v>
      </c>
      <c r="H621" s="141" t="str">
        <f t="shared" si="48"/>
        <v>CZK</v>
      </c>
      <c r="I621" s="409" t="s">
        <v>47</v>
      </c>
      <c r="J621" s="625" t="s">
        <v>1800</v>
      </c>
      <c r="L621" s="86" t="e">
        <f>VLOOKUP(B621,$B$11:B620,1,FALSE)</f>
        <v>#N/A</v>
      </c>
      <c r="M621" s="256">
        <f>G621*(1-FORM!$AE$28/100)</f>
        <v>657.45060999999998</v>
      </c>
      <c r="AA621" s="463"/>
      <c r="AB621" s="462"/>
      <c r="AC621" s="462"/>
      <c r="AD621" s="464"/>
      <c r="AE621" s="465"/>
    </row>
    <row r="622" spans="2:31" ht="14.4">
      <c r="B622" s="298">
        <v>9318190</v>
      </c>
      <c r="C622" s="216" t="s">
        <v>1018</v>
      </c>
      <c r="D622" s="217">
        <v>1</v>
      </c>
      <c r="E622" s="391"/>
      <c r="F622" s="262"/>
      <c r="G622" s="272">
        <v>664.73978</v>
      </c>
      <c r="H622" s="141" t="str">
        <f t="shared" si="48"/>
        <v>CZK</v>
      </c>
      <c r="I622" s="409" t="s">
        <v>47</v>
      </c>
      <c r="J622" s="625" t="s">
        <v>1801</v>
      </c>
      <c r="L622" s="86" t="e">
        <f>VLOOKUP(B622,$B$11:B621,1,FALSE)</f>
        <v>#N/A</v>
      </c>
      <c r="M622" s="256">
        <f>G622*(1-FORM!$AE$28/100)</f>
        <v>664.73978</v>
      </c>
      <c r="AA622" s="463"/>
      <c r="AB622" s="462"/>
      <c r="AC622" s="462"/>
      <c r="AD622" s="464"/>
      <c r="AE622" s="465"/>
    </row>
    <row r="623" spans="2:31" ht="14.4">
      <c r="B623" s="298">
        <v>9318191</v>
      </c>
      <c r="C623" s="216" t="s">
        <v>1019</v>
      </c>
      <c r="D623" s="217">
        <v>1</v>
      </c>
      <c r="E623" s="391"/>
      <c r="F623" s="262"/>
      <c r="G623" s="272">
        <v>671.97520999999995</v>
      </c>
      <c r="H623" s="141" t="str">
        <f>IF(G623="","",$H$10)</f>
        <v>CZK</v>
      </c>
      <c r="I623" s="409" t="s">
        <v>47</v>
      </c>
      <c r="J623" s="625" t="s">
        <v>1802</v>
      </c>
      <c r="L623" s="86" t="e">
        <f>VLOOKUP(B623,$B$11:B622,1,FALSE)</f>
        <v>#N/A</v>
      </c>
      <c r="M623" s="256">
        <f>G623*(1-FORM!$AE$28/100)</f>
        <v>671.97520999999995</v>
      </c>
      <c r="AA623" s="463"/>
      <c r="AB623" s="462"/>
      <c r="AC623" s="462"/>
      <c r="AD623" s="464"/>
      <c r="AE623" s="465"/>
    </row>
    <row r="624" spans="2:31" ht="14.4">
      <c r="B624" s="298">
        <v>9318192</v>
      </c>
      <c r="C624" s="216" t="s">
        <v>1020</v>
      </c>
      <c r="D624" s="217">
        <v>1</v>
      </c>
      <c r="E624" s="391"/>
      <c r="F624" s="262"/>
      <c r="G624" s="272">
        <v>164.23333</v>
      </c>
      <c r="H624" s="141" t="str">
        <f>IF(G624="","",$H$10)</f>
        <v>CZK</v>
      </c>
      <c r="I624" s="409" t="s">
        <v>47</v>
      </c>
      <c r="J624" s="625" t="s">
        <v>1992</v>
      </c>
      <c r="L624" s="86" t="e">
        <f>VLOOKUP(B624,$B$11:B623,1,FALSE)</f>
        <v>#N/A</v>
      </c>
      <c r="M624" s="256">
        <f>G624*(1-FORM!$AE$28/100)</f>
        <v>164.23333</v>
      </c>
      <c r="AA624" s="463"/>
      <c r="AB624" s="462"/>
      <c r="AC624" s="462"/>
      <c r="AD624" s="464"/>
      <c r="AE624" s="465"/>
    </row>
    <row r="625" spans="2:31" ht="14.4">
      <c r="B625" s="298">
        <v>9318194</v>
      </c>
      <c r="C625" s="216" t="s">
        <v>1021</v>
      </c>
      <c r="D625" s="217">
        <v>1</v>
      </c>
      <c r="E625" s="391"/>
      <c r="F625" s="262"/>
      <c r="G625" s="272">
        <v>173.62268</v>
      </c>
      <c r="H625" s="141" t="str">
        <f>IF(G625="","",$H$10)</f>
        <v>CZK</v>
      </c>
      <c r="I625" s="409" t="s">
        <v>47</v>
      </c>
      <c r="J625" s="625" t="s">
        <v>1993</v>
      </c>
      <c r="L625" s="86" t="e">
        <f>VLOOKUP(B625,$B$11:B624,1,FALSE)</f>
        <v>#N/A</v>
      </c>
      <c r="M625" s="256">
        <f>G625*(1-FORM!$AE$28/100)</f>
        <v>173.62268</v>
      </c>
      <c r="AA625" s="463"/>
      <c r="AB625" s="462"/>
      <c r="AC625" s="462"/>
      <c r="AD625" s="464"/>
      <c r="AE625" s="465"/>
    </row>
    <row r="626" spans="2:31" ht="14.4">
      <c r="B626" s="298">
        <v>9318196</v>
      </c>
      <c r="C626" s="216" t="s">
        <v>1022</v>
      </c>
      <c r="D626" s="217">
        <v>1</v>
      </c>
      <c r="E626" s="391"/>
      <c r="F626" s="262"/>
      <c r="G626" s="272">
        <v>726.70140000000004</v>
      </c>
      <c r="H626" s="141" t="str">
        <f>IF(G626="","",$H$10)</f>
        <v>CZK</v>
      </c>
      <c r="I626" s="409" t="s">
        <v>47</v>
      </c>
      <c r="J626" s="625" t="s">
        <v>1803</v>
      </c>
      <c r="L626" s="86" t="e">
        <f>VLOOKUP(B626,$B$11:B625,1,FALSE)</f>
        <v>#N/A</v>
      </c>
      <c r="M626" s="256">
        <f>G626*(1-FORM!$AE$28/100)</f>
        <v>726.70140000000004</v>
      </c>
      <c r="AA626" s="463"/>
      <c r="AB626" s="462"/>
      <c r="AC626" s="462"/>
      <c r="AD626" s="464"/>
      <c r="AE626" s="465"/>
    </row>
    <row r="627" spans="2:31" ht="14.4">
      <c r="B627" s="298">
        <v>9318167</v>
      </c>
      <c r="C627" s="216" t="s">
        <v>1023</v>
      </c>
      <c r="D627" s="217">
        <v>10</v>
      </c>
      <c r="E627" s="391"/>
      <c r="F627" s="262"/>
      <c r="G627" s="272">
        <v>298.88173999999998</v>
      </c>
      <c r="H627" s="141" t="str">
        <f t="shared" ref="H627:H670" si="49">IF(G627="","",$H$10)</f>
        <v>CZK</v>
      </c>
      <c r="I627" s="409" t="s">
        <v>47</v>
      </c>
      <c r="J627" s="625" t="s">
        <v>1782</v>
      </c>
      <c r="L627" s="86" t="e">
        <f>VLOOKUP(B627,$B$11:B626,1,FALSE)</f>
        <v>#N/A</v>
      </c>
      <c r="M627" s="256">
        <f>G627*(1-FORM!$AE$28/100)</f>
        <v>298.88173999999998</v>
      </c>
      <c r="AA627" s="463"/>
      <c r="AB627" s="462"/>
      <c r="AC627" s="462"/>
      <c r="AD627" s="464"/>
      <c r="AE627" s="465"/>
    </row>
    <row r="628" spans="2:31" ht="14.4">
      <c r="B628" s="298">
        <v>9318170</v>
      </c>
      <c r="C628" s="216" t="s">
        <v>1024</v>
      </c>
      <c r="D628" s="217">
        <v>10</v>
      </c>
      <c r="E628" s="391"/>
      <c r="F628" s="262"/>
      <c r="G628" s="272">
        <v>298.88173999999998</v>
      </c>
      <c r="H628" s="141" t="str">
        <f t="shared" si="49"/>
        <v>CZK</v>
      </c>
      <c r="I628" s="409" t="s">
        <v>47</v>
      </c>
      <c r="J628" s="625" t="s">
        <v>1783</v>
      </c>
      <c r="L628" s="86" t="e">
        <f>VLOOKUP(B628,$B$11:B627,1,FALSE)</f>
        <v>#N/A</v>
      </c>
      <c r="M628" s="256">
        <f>G628*(1-FORM!$AE$28/100)</f>
        <v>298.88173999999998</v>
      </c>
      <c r="AA628" s="463"/>
      <c r="AB628" s="462"/>
      <c r="AC628" s="462"/>
      <c r="AD628" s="464"/>
      <c r="AE628" s="465"/>
    </row>
    <row r="629" spans="2:31" ht="14.4">
      <c r="B629" s="298">
        <v>9318171</v>
      </c>
      <c r="C629" s="216" t="s">
        <v>1025</v>
      </c>
      <c r="D629" s="217">
        <v>10</v>
      </c>
      <c r="E629" s="391"/>
      <c r="F629" s="262"/>
      <c r="G629" s="272">
        <v>298.88173999999998</v>
      </c>
      <c r="H629" s="141" t="str">
        <f t="shared" si="49"/>
        <v>CZK</v>
      </c>
      <c r="I629" s="409" t="s">
        <v>47</v>
      </c>
      <c r="J629" s="625" t="s">
        <v>1784</v>
      </c>
      <c r="L629" s="86" t="e">
        <f>VLOOKUP(B629,$B$11:B628,1,FALSE)</f>
        <v>#N/A</v>
      </c>
      <c r="M629" s="256">
        <f>G629*(1-FORM!$AE$28/100)</f>
        <v>298.88173999999998</v>
      </c>
      <c r="AA629" s="463"/>
      <c r="AB629" s="462"/>
      <c r="AC629" s="462"/>
      <c r="AD629" s="464"/>
      <c r="AE629" s="465"/>
    </row>
    <row r="630" spans="2:31" ht="14.4">
      <c r="B630" s="298">
        <v>9318172</v>
      </c>
      <c r="C630" s="216" t="s">
        <v>1026</v>
      </c>
      <c r="D630" s="217">
        <v>10</v>
      </c>
      <c r="E630" s="391"/>
      <c r="F630" s="262"/>
      <c r="G630" s="272">
        <v>298.88173999999998</v>
      </c>
      <c r="H630" s="141" t="str">
        <f t="shared" si="49"/>
        <v>CZK</v>
      </c>
      <c r="I630" s="409" t="s">
        <v>47</v>
      </c>
      <c r="J630" s="625" t="s">
        <v>1785</v>
      </c>
      <c r="L630" s="86" t="e">
        <f>VLOOKUP(B630,$B$11:B629,1,FALSE)</f>
        <v>#N/A</v>
      </c>
      <c r="M630" s="256">
        <f>G630*(1-FORM!$AE$28/100)</f>
        <v>298.88173999999998</v>
      </c>
      <c r="AA630" s="463"/>
      <c r="AB630" s="462"/>
      <c r="AC630" s="462"/>
      <c r="AD630" s="464"/>
      <c r="AE630" s="465"/>
    </row>
    <row r="631" spans="2:31" ht="14.4">
      <c r="B631" s="298">
        <v>9318173</v>
      </c>
      <c r="C631" s="216" t="s">
        <v>1027</v>
      </c>
      <c r="D631" s="217">
        <v>10</v>
      </c>
      <c r="E631" s="391"/>
      <c r="F631" s="262"/>
      <c r="G631" s="272">
        <v>298.88173999999998</v>
      </c>
      <c r="H631" s="141" t="str">
        <f t="shared" si="49"/>
        <v>CZK</v>
      </c>
      <c r="I631" s="409" t="s">
        <v>47</v>
      </c>
      <c r="J631" s="625" t="s">
        <v>1786</v>
      </c>
      <c r="L631" s="86" t="e">
        <f>VLOOKUP(B631,$B$11:B630,1,FALSE)</f>
        <v>#N/A</v>
      </c>
      <c r="M631" s="256">
        <f>G631*(1-FORM!$AE$28/100)</f>
        <v>298.88173999999998</v>
      </c>
      <c r="AA631" s="463"/>
      <c r="AB631" s="462"/>
      <c r="AC631" s="462"/>
      <c r="AD631" s="464"/>
      <c r="AE631" s="465"/>
    </row>
    <row r="632" spans="2:31" ht="14.4">
      <c r="B632" s="298">
        <v>9318174</v>
      </c>
      <c r="C632" s="216" t="s">
        <v>1028</v>
      </c>
      <c r="D632" s="217">
        <v>10</v>
      </c>
      <c r="E632" s="391"/>
      <c r="F632" s="262"/>
      <c r="G632" s="272">
        <v>298.88173999999998</v>
      </c>
      <c r="H632" s="141" t="str">
        <f t="shared" si="49"/>
        <v>CZK</v>
      </c>
      <c r="I632" s="409" t="s">
        <v>47</v>
      </c>
      <c r="J632" s="625" t="s">
        <v>1787</v>
      </c>
      <c r="L632" s="86" t="e">
        <f>VLOOKUP(B632,$B$11:B631,1,FALSE)</f>
        <v>#N/A</v>
      </c>
      <c r="M632" s="256">
        <f>G632*(1-FORM!$AE$28/100)</f>
        <v>298.88173999999998</v>
      </c>
      <c r="AA632" s="463"/>
      <c r="AB632" s="462"/>
      <c r="AC632" s="462"/>
      <c r="AD632" s="464"/>
      <c r="AE632" s="465"/>
    </row>
    <row r="633" spans="2:31" ht="14.4">
      <c r="B633" s="298">
        <v>9318175</v>
      </c>
      <c r="C633" s="216" t="s">
        <v>1029</v>
      </c>
      <c r="D633" s="217">
        <v>10</v>
      </c>
      <c r="E633" s="391"/>
      <c r="F633" s="262"/>
      <c r="G633" s="272">
        <v>302.69770999999997</v>
      </c>
      <c r="H633" s="141" t="str">
        <f t="shared" si="49"/>
        <v>CZK</v>
      </c>
      <c r="I633" s="409" t="s">
        <v>47</v>
      </c>
      <c r="J633" s="625" t="s">
        <v>1788</v>
      </c>
      <c r="L633" s="86" t="e">
        <f>VLOOKUP(B633,$B$11:B632,1,FALSE)</f>
        <v>#N/A</v>
      </c>
      <c r="M633" s="256">
        <f>G633*(1-FORM!$AE$28/100)</f>
        <v>302.69770999999997</v>
      </c>
      <c r="AA633" s="463"/>
      <c r="AB633" s="462"/>
      <c r="AC633" s="462"/>
      <c r="AD633" s="464"/>
      <c r="AE633" s="465"/>
    </row>
    <row r="634" spans="2:31" ht="14.4">
      <c r="B634" s="298">
        <v>9318176</v>
      </c>
      <c r="C634" s="216" t="s">
        <v>1030</v>
      </c>
      <c r="D634" s="217">
        <v>10</v>
      </c>
      <c r="E634" s="391"/>
      <c r="F634" s="262"/>
      <c r="G634" s="272">
        <v>302.69770999999997</v>
      </c>
      <c r="H634" s="141" t="str">
        <f t="shared" si="49"/>
        <v>CZK</v>
      </c>
      <c r="I634" s="409" t="s">
        <v>47</v>
      </c>
      <c r="J634" s="625" t="s">
        <v>1789</v>
      </c>
      <c r="L634" s="86" t="e">
        <f>VLOOKUP(B634,$B$11:B633,1,FALSE)</f>
        <v>#N/A</v>
      </c>
      <c r="M634" s="256">
        <f>G634*(1-FORM!$AE$28/100)</f>
        <v>302.69770999999997</v>
      </c>
      <c r="AA634" s="463"/>
      <c r="AB634" s="462"/>
      <c r="AC634" s="462"/>
      <c r="AD634" s="464"/>
      <c r="AE634" s="465"/>
    </row>
    <row r="635" spans="2:31" ht="14.4">
      <c r="B635" s="298">
        <v>9318177</v>
      </c>
      <c r="C635" s="216" t="s">
        <v>1031</v>
      </c>
      <c r="D635" s="217">
        <v>10</v>
      </c>
      <c r="E635" s="391"/>
      <c r="F635" s="262"/>
      <c r="G635" s="272">
        <v>298.33073999999999</v>
      </c>
      <c r="H635" s="141" t="str">
        <f t="shared" si="49"/>
        <v>CZK</v>
      </c>
      <c r="I635" s="409" t="s">
        <v>47</v>
      </c>
      <c r="J635" s="625" t="s">
        <v>1790</v>
      </c>
      <c r="L635" s="86" t="e">
        <f>VLOOKUP(B635,$B$11:B634,1,FALSE)</f>
        <v>#N/A</v>
      </c>
      <c r="M635" s="256">
        <f>G635*(1-FORM!$AE$28/100)</f>
        <v>298.33073999999999</v>
      </c>
      <c r="AA635" s="463"/>
      <c r="AB635" s="462"/>
      <c r="AC635" s="462"/>
      <c r="AD635" s="464"/>
      <c r="AE635" s="465"/>
    </row>
    <row r="636" spans="2:31" ht="14.4">
      <c r="B636" s="298">
        <v>9318178</v>
      </c>
      <c r="C636" s="216" t="s">
        <v>1032</v>
      </c>
      <c r="D636" s="217">
        <v>10</v>
      </c>
      <c r="E636" s="391"/>
      <c r="F636" s="262"/>
      <c r="G636" s="272">
        <v>298.33073999999999</v>
      </c>
      <c r="H636" s="141" t="str">
        <f t="shared" si="49"/>
        <v>CZK</v>
      </c>
      <c r="I636" s="409" t="s">
        <v>47</v>
      </c>
      <c r="J636" s="625" t="s">
        <v>1791</v>
      </c>
      <c r="L636" s="86" t="e">
        <f>VLOOKUP(B636,$B$11:B635,1,FALSE)</f>
        <v>#N/A</v>
      </c>
      <c r="M636" s="256">
        <f>G636*(1-FORM!$AE$28/100)</f>
        <v>298.33073999999999</v>
      </c>
      <c r="AA636" s="463"/>
      <c r="AB636" s="462"/>
      <c r="AC636" s="462"/>
      <c r="AD636" s="464"/>
      <c r="AE636" s="465"/>
    </row>
    <row r="637" spans="2:31" ht="14.4">
      <c r="B637" s="298">
        <v>9318179</v>
      </c>
      <c r="C637" s="216" t="s">
        <v>1033</v>
      </c>
      <c r="D637" s="217">
        <v>10</v>
      </c>
      <c r="E637" s="391"/>
      <c r="F637" s="262"/>
      <c r="G637" s="272">
        <v>296.00905</v>
      </c>
      <c r="H637" s="141" t="str">
        <f t="shared" si="49"/>
        <v>CZK</v>
      </c>
      <c r="I637" s="409" t="s">
        <v>47</v>
      </c>
      <c r="J637" s="625" t="s">
        <v>1792</v>
      </c>
      <c r="L637" s="86" t="e">
        <f>VLOOKUP(B637,$B$11:B636,1,FALSE)</f>
        <v>#N/A</v>
      </c>
      <c r="M637" s="256">
        <f>G637*(1-FORM!$AE$28/100)</f>
        <v>296.00905</v>
      </c>
      <c r="AA637" s="463"/>
      <c r="AB637" s="462"/>
      <c r="AC637" s="462"/>
      <c r="AD637" s="464"/>
      <c r="AE637" s="465"/>
    </row>
    <row r="638" spans="2:31" ht="14.4">
      <c r="B638" s="298">
        <v>9318180</v>
      </c>
      <c r="C638" s="216" t="s">
        <v>1034</v>
      </c>
      <c r="D638" s="217">
        <v>10</v>
      </c>
      <c r="E638" s="391"/>
      <c r="F638" s="262"/>
      <c r="G638" s="272">
        <v>296.00905</v>
      </c>
      <c r="H638" s="141" t="str">
        <f t="shared" si="49"/>
        <v>CZK</v>
      </c>
      <c r="I638" s="409" t="s">
        <v>47</v>
      </c>
      <c r="J638" s="625" t="s">
        <v>1793</v>
      </c>
      <c r="L638" s="86" t="e">
        <f>VLOOKUP(B638,$B$11:B637,1,FALSE)</f>
        <v>#N/A</v>
      </c>
      <c r="M638" s="256">
        <f>G638*(1-FORM!$AE$28/100)</f>
        <v>296.00905</v>
      </c>
      <c r="AA638" s="463"/>
      <c r="AB638" s="462"/>
      <c r="AC638" s="462"/>
      <c r="AD638" s="464"/>
      <c r="AE638" s="465"/>
    </row>
    <row r="639" spans="2:31" ht="14.4">
      <c r="B639" s="298">
        <v>9318181</v>
      </c>
      <c r="C639" s="216" t="s">
        <v>1035</v>
      </c>
      <c r="D639" s="217">
        <v>10</v>
      </c>
      <c r="E639" s="391"/>
      <c r="F639" s="262"/>
      <c r="G639" s="272">
        <v>321.83461999999997</v>
      </c>
      <c r="H639" s="141" t="str">
        <f t="shared" si="49"/>
        <v>CZK</v>
      </c>
      <c r="I639" s="409" t="s">
        <v>47</v>
      </c>
      <c r="J639" s="625" t="s">
        <v>1794</v>
      </c>
      <c r="L639" s="86" t="e">
        <f>VLOOKUP(B639,$B$11:B638,1,FALSE)</f>
        <v>#N/A</v>
      </c>
      <c r="M639" s="256">
        <f>G639*(1-FORM!$AE$28/100)</f>
        <v>321.83461999999997</v>
      </c>
      <c r="AA639" s="463"/>
      <c r="AB639" s="462"/>
      <c r="AC639" s="462"/>
      <c r="AD639" s="464"/>
      <c r="AE639" s="465"/>
    </row>
    <row r="640" spans="2:31" ht="14.4">
      <c r="B640" s="298">
        <v>9318182</v>
      </c>
      <c r="C640" s="216" t="s">
        <v>1036</v>
      </c>
      <c r="D640" s="217">
        <v>10</v>
      </c>
      <c r="E640" s="391"/>
      <c r="F640" s="262"/>
      <c r="G640" s="272">
        <v>321.83461999999997</v>
      </c>
      <c r="H640" s="141" t="str">
        <f t="shared" si="49"/>
        <v>CZK</v>
      </c>
      <c r="I640" s="409" t="s">
        <v>47</v>
      </c>
      <c r="J640" s="625" t="s">
        <v>1795</v>
      </c>
      <c r="L640" s="86" t="e">
        <f>VLOOKUP(B640,$B$11:B639,1,FALSE)</f>
        <v>#N/A</v>
      </c>
      <c r="M640" s="256">
        <f>G640*(1-FORM!$AE$28/100)</f>
        <v>321.83461999999997</v>
      </c>
      <c r="AA640" s="463"/>
      <c r="AB640" s="462"/>
      <c r="AC640" s="462"/>
      <c r="AD640" s="464"/>
      <c r="AE640" s="465"/>
    </row>
    <row r="641" spans="2:31" ht="14.4">
      <c r="B641" s="298">
        <v>9318183</v>
      </c>
      <c r="C641" s="216" t="s">
        <v>1037</v>
      </c>
      <c r="D641" s="217">
        <v>10</v>
      </c>
      <c r="E641" s="391"/>
      <c r="F641" s="262"/>
      <c r="G641" s="272">
        <v>326.21229</v>
      </c>
      <c r="H641" s="141" t="str">
        <f t="shared" si="49"/>
        <v>CZK</v>
      </c>
      <c r="I641" s="409" t="s">
        <v>47</v>
      </c>
      <c r="J641" s="625" t="s">
        <v>1796</v>
      </c>
      <c r="L641" s="86" t="e">
        <f>VLOOKUP(B641,$B$11:B640,1,FALSE)</f>
        <v>#N/A</v>
      </c>
      <c r="M641" s="256">
        <f>G641*(1-FORM!$AE$28/100)</f>
        <v>326.21229</v>
      </c>
      <c r="AA641" s="463"/>
      <c r="AB641" s="462"/>
      <c r="AC641" s="462"/>
      <c r="AD641" s="464"/>
      <c r="AE641" s="465"/>
    </row>
    <row r="642" spans="2:31" ht="14.4">
      <c r="B642" s="303">
        <v>9318184</v>
      </c>
      <c r="C642" s="304" t="s">
        <v>1038</v>
      </c>
      <c r="D642" s="226">
        <v>10</v>
      </c>
      <c r="E642" s="396"/>
      <c r="F642" s="268"/>
      <c r="G642" s="272">
        <v>326.21229</v>
      </c>
      <c r="H642" s="142" t="str">
        <f t="shared" si="49"/>
        <v>CZK</v>
      </c>
      <c r="I642" s="417" t="s">
        <v>47</v>
      </c>
      <c r="J642" s="626" t="s">
        <v>1797</v>
      </c>
      <c r="L642" s="86" t="e">
        <f>VLOOKUP(B642,$B$11:B641,1,FALSE)</f>
        <v>#N/A</v>
      </c>
      <c r="M642" s="256">
        <f>G642*(1-FORM!$AE$28/100)</f>
        <v>326.21229</v>
      </c>
      <c r="AA642" s="463"/>
      <c r="AB642" s="462"/>
      <c r="AC642" s="462"/>
      <c r="AD642" s="464"/>
      <c r="AE642" s="465"/>
    </row>
    <row r="643" spans="2:31" ht="14.4">
      <c r="B643" s="303"/>
      <c r="C643" s="304"/>
      <c r="D643" s="226"/>
      <c r="E643" s="396"/>
      <c r="F643" s="268"/>
      <c r="G643" s="272"/>
      <c r="H643" s="142"/>
      <c r="I643" s="417" t="s">
        <v>47</v>
      </c>
      <c r="J643" s="468"/>
      <c r="L643" s="86" t="e">
        <f>VLOOKUP(B643,$B$11:B642,1,FALSE)</f>
        <v>#N/A</v>
      </c>
      <c r="M643" s="256">
        <f>G643*(1-FORM!$AE$28/100)</f>
        <v>0</v>
      </c>
      <c r="AA643" s="463"/>
      <c r="AB643" s="462"/>
      <c r="AC643" s="462"/>
      <c r="AD643" s="464"/>
      <c r="AE643" s="465"/>
    </row>
    <row r="644" spans="2:31" ht="14.4">
      <c r="B644" s="301">
        <v>9318215</v>
      </c>
      <c r="C644" s="222" t="s">
        <v>1039</v>
      </c>
      <c r="D644" s="223">
        <v>1</v>
      </c>
      <c r="E644" s="395"/>
      <c r="F644" s="266"/>
      <c r="G644" s="272">
        <v>197.37184999999999</v>
      </c>
      <c r="H644" s="211" t="str">
        <f t="shared" si="49"/>
        <v>CZK</v>
      </c>
      <c r="I644" s="416" t="s">
        <v>47</v>
      </c>
      <c r="J644" s="627" t="s">
        <v>1994</v>
      </c>
      <c r="L644" s="86" t="e">
        <f>VLOOKUP(B644,$B$11:B643,1,FALSE)</f>
        <v>#N/A</v>
      </c>
      <c r="M644" s="256">
        <f>G644*(1-FORM!$AE$28/100)</f>
        <v>197.37184999999999</v>
      </c>
      <c r="AA644" s="463"/>
      <c r="AB644" s="462"/>
      <c r="AC644" s="462"/>
      <c r="AD644" s="464"/>
      <c r="AE644" s="465"/>
    </row>
    <row r="645" spans="2:31" ht="14.4">
      <c r="B645" s="298">
        <v>9318216</v>
      </c>
      <c r="C645" s="216" t="s">
        <v>1040</v>
      </c>
      <c r="D645" s="217">
        <v>1</v>
      </c>
      <c r="E645" s="391"/>
      <c r="F645" s="262"/>
      <c r="G645" s="272">
        <v>823.68502000000001</v>
      </c>
      <c r="H645" s="141" t="str">
        <f t="shared" si="49"/>
        <v>CZK</v>
      </c>
      <c r="I645" s="409" t="s">
        <v>47</v>
      </c>
      <c r="J645" s="625" t="s">
        <v>1814</v>
      </c>
      <c r="L645" s="86" t="e">
        <f>VLOOKUP(B645,$B$11:B644,1,FALSE)</f>
        <v>#N/A</v>
      </c>
      <c r="M645" s="256">
        <f>G645*(1-FORM!$AE$28/100)</f>
        <v>823.68502000000001</v>
      </c>
      <c r="AA645" s="463"/>
      <c r="AB645" s="462"/>
      <c r="AC645" s="462"/>
      <c r="AD645" s="464"/>
      <c r="AE645" s="465"/>
    </row>
    <row r="646" spans="2:31" ht="14.4">
      <c r="B646" s="298">
        <v>9318217</v>
      </c>
      <c r="C646" s="216" t="s">
        <v>1041</v>
      </c>
      <c r="D646" s="217">
        <v>1</v>
      </c>
      <c r="E646" s="391"/>
      <c r="F646" s="262"/>
      <c r="G646" s="272">
        <v>862.82307000000003</v>
      </c>
      <c r="H646" s="141" t="str">
        <f t="shared" si="49"/>
        <v>CZK</v>
      </c>
      <c r="I646" s="409" t="s">
        <v>47</v>
      </c>
      <c r="J646" s="625" t="s">
        <v>1815</v>
      </c>
      <c r="L646" s="86" t="e">
        <f>VLOOKUP(B646,$B$11:B645,1,FALSE)</f>
        <v>#N/A</v>
      </c>
      <c r="M646" s="256">
        <f>G646*(1-FORM!$AE$28/100)</f>
        <v>862.82307000000003</v>
      </c>
      <c r="AA646" s="463"/>
      <c r="AB646" s="462"/>
      <c r="AC646" s="462"/>
      <c r="AD646" s="464"/>
      <c r="AE646" s="465"/>
    </row>
    <row r="647" spans="2:31" ht="14.4">
      <c r="B647" s="298">
        <v>9318218</v>
      </c>
      <c r="C647" s="216" t="s">
        <v>1042</v>
      </c>
      <c r="D647" s="217">
        <v>1</v>
      </c>
      <c r="E647" s="391"/>
      <c r="F647" s="262"/>
      <c r="G647" s="272">
        <v>941.88580999999999</v>
      </c>
      <c r="H647" s="141" t="str">
        <f t="shared" si="49"/>
        <v>CZK</v>
      </c>
      <c r="I647" s="409" t="s">
        <v>47</v>
      </c>
      <c r="J647" s="625" t="s">
        <v>1816</v>
      </c>
      <c r="L647" s="86" t="e">
        <f>VLOOKUP(B647,$B$11:B646,1,FALSE)</f>
        <v>#N/A</v>
      </c>
      <c r="M647" s="256">
        <f>G647*(1-FORM!$AE$28/100)</f>
        <v>941.88580999999999</v>
      </c>
      <c r="AA647" s="463"/>
      <c r="AB647" s="462"/>
      <c r="AC647" s="462"/>
      <c r="AD647" s="464"/>
      <c r="AE647" s="465"/>
    </row>
    <row r="648" spans="2:31" ht="14.4">
      <c r="B648" s="298">
        <v>9318219</v>
      </c>
      <c r="C648" s="216" t="s">
        <v>1043</v>
      </c>
      <c r="D648" s="217">
        <v>1</v>
      </c>
      <c r="E648" s="391"/>
      <c r="F648" s="262"/>
      <c r="G648" s="272">
        <v>977.56314999999995</v>
      </c>
      <c r="H648" s="141" t="str">
        <f t="shared" si="49"/>
        <v>CZK</v>
      </c>
      <c r="I648" s="409" t="s">
        <v>47</v>
      </c>
      <c r="J648" s="625" t="s">
        <v>1817</v>
      </c>
      <c r="L648" s="86" t="e">
        <f>VLOOKUP(B648,$B$11:B647,1,FALSE)</f>
        <v>#N/A</v>
      </c>
      <c r="M648" s="256">
        <f>G648*(1-FORM!$AE$28/100)</f>
        <v>977.56314999999995</v>
      </c>
      <c r="AA648" s="463"/>
      <c r="AB648" s="462"/>
      <c r="AC648" s="462"/>
      <c r="AD648" s="464"/>
      <c r="AE648" s="465"/>
    </row>
    <row r="649" spans="2:31" ht="14.4">
      <c r="B649" s="298">
        <v>9318198</v>
      </c>
      <c r="C649" s="216" t="s">
        <v>1044</v>
      </c>
      <c r="D649" s="217">
        <v>10</v>
      </c>
      <c r="E649" s="391"/>
      <c r="F649" s="262"/>
      <c r="G649" s="272">
        <v>368.62277</v>
      </c>
      <c r="H649" s="141" t="str">
        <f t="shared" si="49"/>
        <v>CZK</v>
      </c>
      <c r="I649" s="409" t="s">
        <v>47</v>
      </c>
      <c r="J649" s="625" t="s">
        <v>1804</v>
      </c>
      <c r="L649" s="86" t="e">
        <f>VLOOKUP(B649,$B$11:B648,1,FALSE)</f>
        <v>#N/A</v>
      </c>
      <c r="M649" s="256">
        <f>G649*(1-FORM!$AE$28/100)</f>
        <v>368.62277</v>
      </c>
      <c r="AA649" s="463"/>
      <c r="AB649" s="462"/>
      <c r="AC649" s="462"/>
      <c r="AD649" s="464"/>
      <c r="AE649" s="465"/>
    </row>
    <row r="650" spans="2:31" ht="14.4">
      <c r="B650" s="298">
        <v>9318199</v>
      </c>
      <c r="C650" s="216" t="s">
        <v>1045</v>
      </c>
      <c r="D650" s="217">
        <v>10</v>
      </c>
      <c r="E650" s="391"/>
      <c r="F650" s="262"/>
      <c r="G650" s="272">
        <v>368.62277</v>
      </c>
      <c r="H650" s="141" t="str">
        <f t="shared" si="49"/>
        <v>CZK</v>
      </c>
      <c r="I650" s="409" t="s">
        <v>47</v>
      </c>
      <c r="J650" s="625" t="s">
        <v>1805</v>
      </c>
      <c r="L650" s="86" t="e">
        <f>VLOOKUP(B650,$B$11:B649,1,FALSE)</f>
        <v>#N/A</v>
      </c>
      <c r="M650" s="256">
        <f>G650*(1-FORM!$AE$28/100)</f>
        <v>368.62277</v>
      </c>
      <c r="AA650" s="463"/>
      <c r="AB650" s="462"/>
      <c r="AC650" s="462"/>
      <c r="AD650" s="464"/>
      <c r="AE650" s="465"/>
    </row>
    <row r="651" spans="2:31" ht="14.4">
      <c r="B651" s="298">
        <v>9318201</v>
      </c>
      <c r="C651" s="216" t="s">
        <v>1046</v>
      </c>
      <c r="D651" s="217">
        <v>10</v>
      </c>
      <c r="E651" s="391"/>
      <c r="F651" s="262"/>
      <c r="G651" s="272">
        <v>372.33726999999999</v>
      </c>
      <c r="H651" s="141" t="str">
        <f t="shared" si="49"/>
        <v>CZK</v>
      </c>
      <c r="I651" s="409" t="s">
        <v>47</v>
      </c>
      <c r="J651" s="625" t="s">
        <v>1806</v>
      </c>
      <c r="L651" s="86" t="e">
        <f>VLOOKUP(B651,$B$11:B650,1,FALSE)</f>
        <v>#N/A</v>
      </c>
      <c r="M651" s="256">
        <f>G651*(1-FORM!$AE$28/100)</f>
        <v>372.33726999999999</v>
      </c>
      <c r="AA651" s="463"/>
      <c r="AB651" s="462"/>
      <c r="AC651" s="462"/>
      <c r="AD651" s="464"/>
      <c r="AE651" s="465"/>
    </row>
    <row r="652" spans="2:31" ht="14.4">
      <c r="B652" s="298">
        <v>9318203</v>
      </c>
      <c r="C652" s="216" t="s">
        <v>1047</v>
      </c>
      <c r="D652" s="217">
        <v>10</v>
      </c>
      <c r="E652" s="391"/>
      <c r="F652" s="262"/>
      <c r="G652" s="272">
        <v>372.33726999999999</v>
      </c>
      <c r="H652" s="141" t="str">
        <f t="shared" si="49"/>
        <v>CZK</v>
      </c>
      <c r="I652" s="409" t="s">
        <v>47</v>
      </c>
      <c r="J652" s="625" t="s">
        <v>1807</v>
      </c>
      <c r="L652" s="86" t="e">
        <f>VLOOKUP(B652,$B$11:B651,1,FALSE)</f>
        <v>#N/A</v>
      </c>
      <c r="M652" s="256">
        <f>G652*(1-FORM!$AE$28/100)</f>
        <v>372.33726999999999</v>
      </c>
      <c r="AA652" s="463"/>
      <c r="AB652" s="462"/>
      <c r="AC652" s="462"/>
      <c r="AD652" s="464"/>
      <c r="AE652" s="465"/>
    </row>
    <row r="653" spans="2:31" ht="14.4">
      <c r="B653" s="298">
        <v>9318208</v>
      </c>
      <c r="C653" s="216" t="s">
        <v>1048</v>
      </c>
      <c r="D653" s="217">
        <v>10</v>
      </c>
      <c r="E653" s="391"/>
      <c r="F653" s="262"/>
      <c r="G653" s="272">
        <v>392.11943000000002</v>
      </c>
      <c r="H653" s="141" t="str">
        <f t="shared" si="49"/>
        <v>CZK</v>
      </c>
      <c r="I653" s="409" t="s">
        <v>47</v>
      </c>
      <c r="J653" s="625" t="s">
        <v>1808</v>
      </c>
      <c r="L653" s="86" t="e">
        <f>VLOOKUP(B653,$B$11:B652,1,FALSE)</f>
        <v>#N/A</v>
      </c>
      <c r="M653" s="256">
        <f>G653*(1-FORM!$AE$28/100)</f>
        <v>392.11943000000002</v>
      </c>
      <c r="AA653" s="463"/>
      <c r="AB653" s="462"/>
      <c r="AC653" s="462"/>
      <c r="AD653" s="464"/>
      <c r="AE653" s="465"/>
    </row>
    <row r="654" spans="2:31" ht="14.4">
      <c r="B654" s="298">
        <v>9318209</v>
      </c>
      <c r="C654" s="216" t="s">
        <v>1049</v>
      </c>
      <c r="D654" s="217">
        <v>10</v>
      </c>
      <c r="E654" s="391"/>
      <c r="F654" s="262"/>
      <c r="G654" s="272">
        <v>392.11943000000002</v>
      </c>
      <c r="H654" s="141" t="str">
        <f t="shared" si="49"/>
        <v>CZK</v>
      </c>
      <c r="I654" s="409" t="s">
        <v>47</v>
      </c>
      <c r="J654" s="625" t="s">
        <v>1809</v>
      </c>
      <c r="L654" s="86" t="e">
        <f>VLOOKUP(B654,$B$11:B653,1,FALSE)</f>
        <v>#N/A</v>
      </c>
      <c r="M654" s="256">
        <f>G654*(1-FORM!$AE$28/100)</f>
        <v>392.11943000000002</v>
      </c>
      <c r="AA654" s="463"/>
      <c r="AB654" s="462"/>
      <c r="AC654" s="462"/>
      <c r="AD654" s="464"/>
      <c r="AE654" s="465"/>
    </row>
    <row r="655" spans="2:31" ht="14.4">
      <c r="B655" s="298">
        <v>9318211</v>
      </c>
      <c r="C655" s="216" t="s">
        <v>1050</v>
      </c>
      <c r="D655" s="217">
        <v>10</v>
      </c>
      <c r="E655" s="391"/>
      <c r="F655" s="262"/>
      <c r="G655" s="272">
        <v>443.89010999999999</v>
      </c>
      <c r="H655" s="141" t="str">
        <f t="shared" si="49"/>
        <v>CZK</v>
      </c>
      <c r="I655" s="409" t="s">
        <v>47</v>
      </c>
      <c r="J655" s="625" t="s">
        <v>1810</v>
      </c>
      <c r="L655" s="86" t="e">
        <f>VLOOKUP(B655,$B$11:B654,1,FALSE)</f>
        <v>#N/A</v>
      </c>
      <c r="M655" s="256">
        <f>G655*(1-FORM!$AE$28/100)</f>
        <v>443.89010999999999</v>
      </c>
      <c r="AA655" s="463"/>
      <c r="AB655" s="462"/>
      <c r="AC655" s="462"/>
      <c r="AD655" s="464"/>
      <c r="AE655" s="465"/>
    </row>
    <row r="656" spans="2:31" ht="14.4">
      <c r="B656" s="298">
        <v>9318212</v>
      </c>
      <c r="C656" s="216" t="s">
        <v>1051</v>
      </c>
      <c r="D656" s="217">
        <v>10</v>
      </c>
      <c r="E656" s="391"/>
      <c r="F656" s="262"/>
      <c r="G656" s="272">
        <v>443.89010999999999</v>
      </c>
      <c r="H656" s="141" t="str">
        <f t="shared" si="49"/>
        <v>CZK</v>
      </c>
      <c r="I656" s="409" t="s">
        <v>47</v>
      </c>
      <c r="J656" s="625" t="s">
        <v>1811</v>
      </c>
      <c r="L656" s="86" t="e">
        <f>VLOOKUP(B656,$B$11:B655,1,FALSE)</f>
        <v>#N/A</v>
      </c>
      <c r="M656" s="256">
        <f>G656*(1-FORM!$AE$28/100)</f>
        <v>443.89010999999999</v>
      </c>
      <c r="AA656" s="463"/>
      <c r="AB656" s="462"/>
      <c r="AC656" s="462"/>
      <c r="AD656" s="464"/>
      <c r="AE656" s="465"/>
    </row>
    <row r="657" spans="2:31" ht="14.4">
      <c r="B657" s="298">
        <v>9318213</v>
      </c>
      <c r="C657" s="216" t="s">
        <v>1052</v>
      </c>
      <c r="D657" s="217">
        <v>5</v>
      </c>
      <c r="E657" s="391"/>
      <c r="F657" s="262"/>
      <c r="G657" s="272">
        <v>462.41142000000002</v>
      </c>
      <c r="H657" s="141" t="str">
        <f t="shared" si="49"/>
        <v>CZK</v>
      </c>
      <c r="I657" s="409" t="s">
        <v>47</v>
      </c>
      <c r="J657" s="625" t="s">
        <v>1812</v>
      </c>
      <c r="L657" s="86" t="e">
        <f>VLOOKUP(B657,$B$11:B656,1,FALSE)</f>
        <v>#N/A</v>
      </c>
      <c r="M657" s="256">
        <f>G657*(1-FORM!$AE$28/100)</f>
        <v>462.41142000000002</v>
      </c>
      <c r="AA657" s="463"/>
      <c r="AB657" s="462"/>
      <c r="AC657" s="462"/>
      <c r="AD657" s="464"/>
      <c r="AE657" s="465"/>
    </row>
    <row r="658" spans="2:31" ht="14.4">
      <c r="B658" s="303">
        <v>9318214</v>
      </c>
      <c r="C658" s="304" t="s">
        <v>1053</v>
      </c>
      <c r="D658" s="226">
        <v>5</v>
      </c>
      <c r="E658" s="396"/>
      <c r="F658" s="268"/>
      <c r="G658" s="272">
        <v>462.41142000000002</v>
      </c>
      <c r="H658" s="142" t="str">
        <f t="shared" si="49"/>
        <v>CZK</v>
      </c>
      <c r="I658" s="417" t="s">
        <v>47</v>
      </c>
      <c r="J658" s="626" t="s">
        <v>1813</v>
      </c>
      <c r="L658" s="86" t="e">
        <f>VLOOKUP(B658,$B$11:B657,1,FALSE)</f>
        <v>#N/A</v>
      </c>
      <c r="M658" s="256">
        <f>G658*(1-FORM!$AE$28/100)</f>
        <v>462.41142000000002</v>
      </c>
      <c r="AA658" s="463"/>
      <c r="AB658" s="462"/>
      <c r="AC658" s="462"/>
      <c r="AD658" s="464"/>
      <c r="AE658" s="465"/>
    </row>
    <row r="659" spans="2:31" ht="14.4">
      <c r="B659" s="303"/>
      <c r="C659" s="304"/>
      <c r="D659" s="226"/>
      <c r="E659" s="396"/>
      <c r="F659" s="268"/>
      <c r="G659" s="272"/>
      <c r="H659" s="142"/>
      <c r="I659" s="417" t="s">
        <v>47</v>
      </c>
      <c r="J659" s="468"/>
      <c r="L659" s="86" t="e">
        <f>VLOOKUP(B659,$B$11:B658,1,FALSE)</f>
        <v>#N/A</v>
      </c>
      <c r="M659" s="256">
        <f>G659*(1-FORM!$AE$28/100)</f>
        <v>0</v>
      </c>
      <c r="AA659" s="463"/>
      <c r="AB659" s="462"/>
      <c r="AC659" s="462"/>
      <c r="AD659" s="464"/>
      <c r="AE659" s="465"/>
    </row>
    <row r="660" spans="2:31" ht="14.4">
      <c r="B660" s="301">
        <v>9257890</v>
      </c>
      <c r="C660" s="222" t="s">
        <v>1054</v>
      </c>
      <c r="D660" s="223">
        <v>1</v>
      </c>
      <c r="E660" s="395"/>
      <c r="F660" s="266"/>
      <c r="G660" s="272">
        <v>481.81412999999998</v>
      </c>
      <c r="H660" s="211" t="str">
        <f t="shared" si="49"/>
        <v>CZK</v>
      </c>
      <c r="I660" s="416" t="s">
        <v>47</v>
      </c>
      <c r="J660" s="627" t="s">
        <v>1744</v>
      </c>
      <c r="L660" s="86" t="e">
        <f>VLOOKUP(B660,$B$11:B659,1,FALSE)</f>
        <v>#N/A</v>
      </c>
      <c r="M660" s="256">
        <f>G660*(1-FORM!$AE$28/100)</f>
        <v>481.81412999999998</v>
      </c>
      <c r="AA660" s="463"/>
      <c r="AB660" s="462"/>
      <c r="AC660" s="462"/>
      <c r="AD660" s="464"/>
      <c r="AE660" s="465"/>
    </row>
    <row r="661" spans="2:31" ht="14.4">
      <c r="B661" s="298">
        <v>9257891</v>
      </c>
      <c r="C661" s="216" t="s">
        <v>1055</v>
      </c>
      <c r="D661" s="217">
        <v>1</v>
      </c>
      <c r="E661" s="391"/>
      <c r="F661" s="262"/>
      <c r="G661" s="272">
        <v>481.81412999999998</v>
      </c>
      <c r="H661" s="141" t="str">
        <f t="shared" si="49"/>
        <v>CZK</v>
      </c>
      <c r="I661" s="409" t="s">
        <v>47</v>
      </c>
      <c r="J661" s="625" t="s">
        <v>1745</v>
      </c>
      <c r="L661" s="86" t="e">
        <f>VLOOKUP(B661,$B$11:B660,1,FALSE)</f>
        <v>#N/A</v>
      </c>
      <c r="M661" s="256">
        <f>G661*(1-FORM!$AE$28/100)</f>
        <v>481.81412999999998</v>
      </c>
      <c r="AA661" s="463"/>
      <c r="AB661" s="462"/>
      <c r="AC661" s="462"/>
      <c r="AD661" s="464"/>
      <c r="AE661" s="465"/>
    </row>
    <row r="662" spans="2:31" ht="14.4">
      <c r="B662" s="298">
        <v>9257892</v>
      </c>
      <c r="C662" s="216" t="s">
        <v>1056</v>
      </c>
      <c r="D662" s="217">
        <v>1</v>
      </c>
      <c r="E662" s="391"/>
      <c r="F662" s="262"/>
      <c r="G662" s="272">
        <v>481.81412999999998</v>
      </c>
      <c r="H662" s="141" t="str">
        <f t="shared" si="49"/>
        <v>CZK</v>
      </c>
      <c r="I662" s="409" t="s">
        <v>47</v>
      </c>
      <c r="J662" s="625" t="s">
        <v>1746</v>
      </c>
      <c r="L662" s="86" t="e">
        <f>VLOOKUP(B662,$B$11:B661,1,FALSE)</f>
        <v>#N/A</v>
      </c>
      <c r="M662" s="256">
        <f>G662*(1-FORM!$AE$28/100)</f>
        <v>481.81412999999998</v>
      </c>
      <c r="AA662" s="463"/>
      <c r="AB662" s="462"/>
      <c r="AC662" s="462"/>
      <c r="AD662" s="464"/>
      <c r="AE662" s="465"/>
    </row>
    <row r="663" spans="2:31" ht="14.4">
      <c r="B663" s="303">
        <v>9257893</v>
      </c>
      <c r="C663" s="304" t="s">
        <v>1057</v>
      </c>
      <c r="D663" s="226">
        <v>1</v>
      </c>
      <c r="E663" s="396"/>
      <c r="F663" s="268"/>
      <c r="G663" s="272">
        <v>481.81412999999998</v>
      </c>
      <c r="H663" s="142" t="str">
        <f t="shared" si="49"/>
        <v>CZK</v>
      </c>
      <c r="I663" s="417" t="s">
        <v>47</v>
      </c>
      <c r="J663" s="625" t="s">
        <v>1747</v>
      </c>
      <c r="L663" s="86" t="e">
        <f>VLOOKUP(B663,$B$11:B662,1,FALSE)</f>
        <v>#N/A</v>
      </c>
      <c r="M663" s="256">
        <f>G663*(1-FORM!$AE$28/100)</f>
        <v>481.81412999999998</v>
      </c>
      <c r="AA663" s="463"/>
      <c r="AB663" s="462"/>
      <c r="AC663" s="462"/>
      <c r="AD663" s="464"/>
      <c r="AE663" s="465"/>
    </row>
    <row r="664" spans="2:31" ht="14.4">
      <c r="B664" s="301">
        <v>9236718</v>
      </c>
      <c r="C664" s="222" t="s">
        <v>1058</v>
      </c>
      <c r="D664" s="223">
        <v>100</v>
      </c>
      <c r="E664" s="395"/>
      <c r="F664" s="266"/>
      <c r="G664" s="272">
        <v>182.03933000000001</v>
      </c>
      <c r="H664" s="211" t="str">
        <f t="shared" si="49"/>
        <v>CZK</v>
      </c>
      <c r="I664" s="416" t="s">
        <v>47</v>
      </c>
      <c r="J664" s="625" t="s">
        <v>1328</v>
      </c>
      <c r="L664" s="86" t="e">
        <f>VLOOKUP(B664,$B$11:B663,1,FALSE)</f>
        <v>#N/A</v>
      </c>
      <c r="M664" s="256">
        <f>G664*(1-FORM!$AE$28/100)</f>
        <v>182.03933000000001</v>
      </c>
      <c r="AA664" s="463"/>
      <c r="AB664" s="462"/>
      <c r="AC664" s="462"/>
      <c r="AD664" s="464"/>
      <c r="AE664" s="465"/>
    </row>
    <row r="665" spans="2:31" ht="14.4">
      <c r="B665" s="298">
        <v>9221295</v>
      </c>
      <c r="C665" s="216" t="s">
        <v>1059</v>
      </c>
      <c r="D665" s="217">
        <v>20</v>
      </c>
      <c r="E665" s="391"/>
      <c r="F665" s="262"/>
      <c r="G665" s="272">
        <v>16.488900000000001</v>
      </c>
      <c r="H665" s="141" t="str">
        <f t="shared" si="49"/>
        <v>CZK</v>
      </c>
      <c r="I665" s="409" t="s">
        <v>47</v>
      </c>
      <c r="J665" s="625" t="s">
        <v>1327</v>
      </c>
      <c r="L665" s="86" t="e">
        <f>VLOOKUP(B665,$B$11:B664,1,FALSE)</f>
        <v>#N/A</v>
      </c>
      <c r="M665" s="256">
        <f>G665*(1-FORM!$AE$28/100)</f>
        <v>16.488900000000001</v>
      </c>
      <c r="AA665" s="463"/>
      <c r="AB665" s="462"/>
      <c r="AC665" s="462"/>
      <c r="AD665" s="464"/>
      <c r="AE665" s="465"/>
    </row>
    <row r="666" spans="2:31" ht="14.4">
      <c r="B666" s="298">
        <v>9278452</v>
      </c>
      <c r="C666" s="216" t="s">
        <v>1060</v>
      </c>
      <c r="D666" s="217">
        <v>20</v>
      </c>
      <c r="E666" s="391"/>
      <c r="F666" s="262"/>
      <c r="G666" s="272">
        <v>46.620899999999999</v>
      </c>
      <c r="H666" s="141" t="str">
        <f t="shared" si="49"/>
        <v>CZK</v>
      </c>
      <c r="I666" s="409" t="s">
        <v>47</v>
      </c>
      <c r="J666" s="625" t="s">
        <v>1757</v>
      </c>
      <c r="L666" s="86" t="e">
        <f>VLOOKUP(B666,$B$11:B665,1,FALSE)</f>
        <v>#N/A</v>
      </c>
      <c r="M666" s="256">
        <f>G666*(1-FORM!$AE$28/100)</f>
        <v>46.620899999999999</v>
      </c>
      <c r="AA666" s="463"/>
      <c r="AB666" s="462"/>
      <c r="AC666" s="462"/>
      <c r="AD666" s="464"/>
      <c r="AE666" s="465"/>
    </row>
    <row r="667" spans="2:31" ht="14.4">
      <c r="B667" s="298">
        <v>9262213</v>
      </c>
      <c r="C667" s="216" t="s">
        <v>1061</v>
      </c>
      <c r="D667" s="217">
        <v>20</v>
      </c>
      <c r="E667" s="391"/>
      <c r="F667" s="262"/>
      <c r="G667" s="272">
        <v>100.42456</v>
      </c>
      <c r="H667" s="141" t="str">
        <f t="shared" si="49"/>
        <v>CZK</v>
      </c>
      <c r="I667" s="409" t="s">
        <v>47</v>
      </c>
      <c r="J667" s="625" t="s">
        <v>1751</v>
      </c>
      <c r="L667" s="86" t="e">
        <f>VLOOKUP(B667,$B$11:B666,1,FALSE)</f>
        <v>#N/A</v>
      </c>
      <c r="M667" s="256">
        <f>G667*(1-FORM!$AE$28/100)</f>
        <v>100.42456</v>
      </c>
      <c r="AA667" s="463"/>
      <c r="AB667" s="462"/>
      <c r="AC667" s="462"/>
      <c r="AD667" s="464"/>
      <c r="AE667" s="465"/>
    </row>
    <row r="668" spans="2:31" ht="14.4">
      <c r="B668" s="303">
        <v>9278453</v>
      </c>
      <c r="C668" s="304" t="s">
        <v>1062</v>
      </c>
      <c r="D668" s="226">
        <v>1</v>
      </c>
      <c r="E668" s="396"/>
      <c r="F668" s="268"/>
      <c r="G668" s="272">
        <v>1034.4750200000001</v>
      </c>
      <c r="H668" s="142" t="str">
        <f t="shared" si="49"/>
        <v>CZK</v>
      </c>
      <c r="I668" s="417" t="s">
        <v>47</v>
      </c>
      <c r="J668" s="626" t="s">
        <v>1758</v>
      </c>
      <c r="L668" s="86" t="e">
        <f>VLOOKUP(B668,$B$11:B667,1,FALSE)</f>
        <v>#N/A</v>
      </c>
      <c r="M668" s="256">
        <f>G668*(1-FORM!$AE$28/100)</f>
        <v>1034.4750200000001</v>
      </c>
      <c r="AA668" s="463"/>
      <c r="AB668" s="462"/>
      <c r="AC668" s="462"/>
      <c r="AD668" s="464"/>
      <c r="AE668" s="465"/>
    </row>
    <row r="669" spans="2:31" ht="14.4">
      <c r="B669" s="303"/>
      <c r="C669" s="304"/>
      <c r="D669" s="226"/>
      <c r="E669" s="396"/>
      <c r="F669" s="268"/>
      <c r="G669" s="272"/>
      <c r="H669" s="142"/>
      <c r="I669" s="417" t="s">
        <v>47</v>
      </c>
      <c r="J669" s="468"/>
      <c r="L669" s="86" t="e">
        <f>VLOOKUP(B669,$B$11:B668,1,FALSE)</f>
        <v>#N/A</v>
      </c>
      <c r="M669" s="256">
        <f>G669*(1-FORM!$AE$28/100)</f>
        <v>0</v>
      </c>
      <c r="AA669" s="463"/>
      <c r="AB669" s="462"/>
      <c r="AC669" s="462"/>
      <c r="AD669" s="464"/>
      <c r="AE669" s="465"/>
    </row>
    <row r="670" spans="2:31" ht="14.4">
      <c r="B670" s="301">
        <v>9256953</v>
      </c>
      <c r="C670" s="222" t="s">
        <v>1063</v>
      </c>
      <c r="D670" s="223">
        <v>1</v>
      </c>
      <c r="E670" s="395"/>
      <c r="F670" s="266"/>
      <c r="G670" s="272">
        <v>478.60127999999997</v>
      </c>
      <c r="H670" s="211" t="str">
        <f t="shared" si="49"/>
        <v>CZK</v>
      </c>
      <c r="I670" s="416" t="s">
        <v>47</v>
      </c>
      <c r="J670" s="627" t="s">
        <v>1642</v>
      </c>
      <c r="L670" s="86" t="e">
        <f>VLOOKUP(B670,$B$11:B669,1,FALSE)</f>
        <v>#N/A</v>
      </c>
      <c r="M670" s="256">
        <f>G670*(1-FORM!$AE$28/100)</f>
        <v>478.60127999999997</v>
      </c>
      <c r="AA670" s="463"/>
      <c r="AB670" s="462"/>
      <c r="AC670" s="462"/>
      <c r="AD670" s="464"/>
      <c r="AE670" s="465"/>
    </row>
    <row r="671" spans="2:31" ht="14.4">
      <c r="B671" s="298">
        <v>9256954</v>
      </c>
      <c r="C671" s="216" t="s">
        <v>1064</v>
      </c>
      <c r="D671" s="217">
        <v>1</v>
      </c>
      <c r="E671" s="391"/>
      <c r="F671" s="262"/>
      <c r="G671" s="272">
        <v>479.57344999999998</v>
      </c>
      <c r="H671" s="141" t="str">
        <f>IF(G671="","",$H$10)</f>
        <v>CZK</v>
      </c>
      <c r="I671" s="409" t="s">
        <v>47</v>
      </c>
      <c r="J671" s="625" t="s">
        <v>1643</v>
      </c>
      <c r="L671" s="86" t="e">
        <f>VLOOKUP(B671,$B$11:B670,1,FALSE)</f>
        <v>#N/A</v>
      </c>
      <c r="M671" s="256">
        <f>G671*(1-FORM!$AE$28/100)</f>
        <v>479.57344999999998</v>
      </c>
      <c r="AA671" s="463"/>
      <c r="AB671" s="462"/>
      <c r="AC671" s="462"/>
      <c r="AD671" s="464"/>
      <c r="AE671" s="465"/>
    </row>
    <row r="672" spans="2:31" ht="14.4">
      <c r="B672" s="298">
        <v>9256956</v>
      </c>
      <c r="C672" s="216" t="s">
        <v>1065</v>
      </c>
      <c r="D672" s="217">
        <v>1</v>
      </c>
      <c r="E672" s="391"/>
      <c r="F672" s="262"/>
      <c r="G672" s="272">
        <v>489.27857</v>
      </c>
      <c r="H672" s="141" t="str">
        <f>IF(G672="","",$H$10)</f>
        <v>CZK</v>
      </c>
      <c r="I672" s="409" t="s">
        <v>47</v>
      </c>
      <c r="J672" s="625" t="s">
        <v>1644</v>
      </c>
      <c r="L672" s="86" t="e">
        <f>VLOOKUP(B672,$B$11:B671,1,FALSE)</f>
        <v>#N/A</v>
      </c>
      <c r="M672" s="256">
        <f>G672*(1-FORM!$AE$28/100)</f>
        <v>489.27857</v>
      </c>
      <c r="AA672" s="463"/>
      <c r="AB672" s="462"/>
      <c r="AC672" s="462"/>
      <c r="AD672" s="464"/>
      <c r="AE672" s="465"/>
    </row>
    <row r="673" spans="2:31" ht="14.4">
      <c r="B673" s="298">
        <v>9256944</v>
      </c>
      <c r="C673" s="216" t="s">
        <v>1066</v>
      </c>
      <c r="D673" s="217">
        <v>20</v>
      </c>
      <c r="E673" s="391"/>
      <c r="F673" s="262"/>
      <c r="G673" s="272">
        <v>223.77942999999999</v>
      </c>
      <c r="H673" s="141" t="str">
        <f>IF(G673="","",$H$10)</f>
        <v>CZK</v>
      </c>
      <c r="I673" s="409" t="s">
        <v>47</v>
      </c>
      <c r="J673" s="625" t="s">
        <v>1636</v>
      </c>
      <c r="L673" s="86" t="e">
        <f>VLOOKUP(B673,$B$11:B672,1,FALSE)</f>
        <v>#N/A</v>
      </c>
      <c r="M673" s="256">
        <f>G673*(1-FORM!$AE$28/100)</f>
        <v>223.77942999999999</v>
      </c>
      <c r="AA673" s="463"/>
      <c r="AB673" s="462"/>
      <c r="AC673" s="462"/>
      <c r="AD673" s="464"/>
      <c r="AE673" s="465"/>
    </row>
    <row r="674" spans="2:31" ht="14.4">
      <c r="B674" s="298">
        <v>9256945</v>
      </c>
      <c r="C674" s="216" t="s">
        <v>1067</v>
      </c>
      <c r="D674" s="217">
        <v>20</v>
      </c>
      <c r="E674" s="391"/>
      <c r="F674" s="262"/>
      <c r="G674" s="272">
        <v>223.77942999999999</v>
      </c>
      <c r="H674" s="141" t="str">
        <f>IF(G674="","",$H$10)</f>
        <v>CZK</v>
      </c>
      <c r="I674" s="409" t="s">
        <v>47</v>
      </c>
      <c r="J674" s="625" t="s">
        <v>1637</v>
      </c>
      <c r="L674" s="86" t="e">
        <f>VLOOKUP(B674,$B$11:B673,1,FALSE)</f>
        <v>#N/A</v>
      </c>
      <c r="M674" s="256">
        <f>G674*(1-FORM!$AE$28/100)</f>
        <v>223.77942999999999</v>
      </c>
      <c r="AA674" s="463"/>
      <c r="AB674" s="462"/>
      <c r="AC674" s="462"/>
      <c r="AD674" s="464"/>
      <c r="AE674" s="465"/>
    </row>
    <row r="675" spans="2:31" ht="14.4">
      <c r="B675" s="298">
        <v>9256946</v>
      </c>
      <c r="C675" s="216" t="s">
        <v>1068</v>
      </c>
      <c r="D675" s="217">
        <v>20</v>
      </c>
      <c r="E675" s="391"/>
      <c r="F675" s="262"/>
      <c r="G675" s="272">
        <v>224.26065</v>
      </c>
      <c r="H675" s="141" t="str">
        <f t="shared" ref="H675:H680" si="50">IF(G675="","",$H$10)</f>
        <v>CZK</v>
      </c>
      <c r="I675" s="409" t="s">
        <v>47</v>
      </c>
      <c r="J675" s="625" t="s">
        <v>1638</v>
      </c>
      <c r="L675" s="86" t="e">
        <f>VLOOKUP(B675,$B$11:B674,1,FALSE)</f>
        <v>#N/A</v>
      </c>
      <c r="M675" s="256">
        <f>G675*(1-FORM!$AE$28/100)</f>
        <v>224.26065</v>
      </c>
      <c r="AA675" s="463"/>
      <c r="AB675" s="462"/>
      <c r="AC675" s="462"/>
      <c r="AD675" s="464"/>
      <c r="AE675" s="465"/>
    </row>
    <row r="676" spans="2:31" ht="14.4">
      <c r="B676" s="298">
        <v>9256947</v>
      </c>
      <c r="C676" s="216" t="s">
        <v>1069</v>
      </c>
      <c r="D676" s="217">
        <v>20</v>
      </c>
      <c r="E676" s="391"/>
      <c r="F676" s="262"/>
      <c r="G676" s="272">
        <v>224.26065</v>
      </c>
      <c r="H676" s="141" t="str">
        <f t="shared" si="50"/>
        <v>CZK</v>
      </c>
      <c r="I676" s="409" t="s">
        <v>47</v>
      </c>
      <c r="J676" s="625" t="s">
        <v>1639</v>
      </c>
      <c r="L676" s="86" t="e">
        <f>VLOOKUP(B676,$B$11:B675,1,FALSE)</f>
        <v>#N/A</v>
      </c>
      <c r="M676" s="256">
        <f>G676*(1-FORM!$AE$28/100)</f>
        <v>224.26065</v>
      </c>
      <c r="AA676" s="463"/>
      <c r="AB676" s="462"/>
      <c r="AC676" s="462"/>
      <c r="AD676" s="464"/>
      <c r="AE676" s="465"/>
    </row>
    <row r="677" spans="2:31" ht="14.4">
      <c r="B677" s="298">
        <v>9256950</v>
      </c>
      <c r="C677" s="216" t="s">
        <v>1070</v>
      </c>
      <c r="D677" s="217">
        <v>20</v>
      </c>
      <c r="E677" s="391"/>
      <c r="F677" s="262"/>
      <c r="G677" s="272">
        <v>229.11434</v>
      </c>
      <c r="H677" s="141" t="str">
        <f t="shared" si="50"/>
        <v>CZK</v>
      </c>
      <c r="I677" s="409" t="s">
        <v>47</v>
      </c>
      <c r="J677" s="625" t="s">
        <v>1640</v>
      </c>
      <c r="L677" s="86" t="e">
        <f>VLOOKUP(B677,$B$11:B676,1,FALSE)</f>
        <v>#N/A</v>
      </c>
      <c r="M677" s="256">
        <f>G677*(1-FORM!$AE$28/100)</f>
        <v>229.11434</v>
      </c>
      <c r="AA677" s="463"/>
      <c r="AB677" s="462"/>
      <c r="AC677" s="462"/>
      <c r="AD677" s="464"/>
      <c r="AE677" s="465"/>
    </row>
    <row r="678" spans="2:31" ht="14.4">
      <c r="B678" s="303">
        <v>9256951</v>
      </c>
      <c r="C678" s="304" t="s">
        <v>1071</v>
      </c>
      <c r="D678" s="226">
        <v>20</v>
      </c>
      <c r="E678" s="396"/>
      <c r="F678" s="268"/>
      <c r="G678" s="272">
        <v>229.11434</v>
      </c>
      <c r="H678" s="142" t="str">
        <f t="shared" si="50"/>
        <v>CZK</v>
      </c>
      <c r="I678" s="417" t="s">
        <v>47</v>
      </c>
      <c r="J678" s="626" t="s">
        <v>1641</v>
      </c>
      <c r="L678" s="86" t="e">
        <f>VLOOKUP(B678,$B$11:B677,1,FALSE)</f>
        <v>#N/A</v>
      </c>
      <c r="M678" s="256">
        <f>G678*(1-FORM!$AE$28/100)</f>
        <v>229.11434</v>
      </c>
      <c r="AA678" s="463"/>
      <c r="AB678" s="462"/>
      <c r="AC678" s="462"/>
      <c r="AD678" s="464"/>
      <c r="AE678" s="465"/>
    </row>
    <row r="679" spans="2:31" ht="14.4">
      <c r="B679" s="303"/>
      <c r="C679" s="304"/>
      <c r="D679" s="226"/>
      <c r="E679" s="396"/>
      <c r="F679" s="268"/>
      <c r="G679" s="272"/>
      <c r="H679" s="142"/>
      <c r="I679" s="417" t="s">
        <v>47</v>
      </c>
      <c r="J679" s="468"/>
      <c r="L679" s="86" t="e">
        <f>VLOOKUP(B679,$B$11:B678,1,FALSE)</f>
        <v>#N/A</v>
      </c>
      <c r="M679" s="256">
        <f>G679*(1-FORM!$AE$28/100)</f>
        <v>0</v>
      </c>
      <c r="AA679" s="463"/>
      <c r="AB679" s="462"/>
      <c r="AC679" s="462"/>
      <c r="AD679" s="464"/>
      <c r="AE679" s="465"/>
    </row>
    <row r="680" spans="2:31" ht="14.4">
      <c r="B680" s="301">
        <v>9256883</v>
      </c>
      <c r="C680" s="222" t="s">
        <v>1072</v>
      </c>
      <c r="D680" s="223">
        <v>1</v>
      </c>
      <c r="E680" s="395"/>
      <c r="F680" s="266"/>
      <c r="G680" s="272">
        <v>478.60127999999997</v>
      </c>
      <c r="H680" s="211" t="str">
        <f t="shared" si="50"/>
        <v>CZK</v>
      </c>
      <c r="I680" s="416" t="s">
        <v>47</v>
      </c>
      <c r="J680" s="627" t="s">
        <v>1607</v>
      </c>
      <c r="L680" s="86" t="e">
        <f>VLOOKUP(B680,$B$11:B679,1,FALSE)</f>
        <v>#N/A</v>
      </c>
      <c r="M680" s="256">
        <f>G680*(1-FORM!$AE$28/100)</f>
        <v>478.60127999999997</v>
      </c>
      <c r="AA680" s="463"/>
      <c r="AB680" s="462"/>
      <c r="AC680" s="462"/>
      <c r="AD680" s="464"/>
      <c r="AE680" s="465"/>
    </row>
    <row r="681" spans="2:31" ht="14.4">
      <c r="B681" s="298">
        <v>9256884</v>
      </c>
      <c r="C681" s="216" t="s">
        <v>1073</v>
      </c>
      <c r="D681" s="217">
        <v>1</v>
      </c>
      <c r="E681" s="391"/>
      <c r="F681" s="262"/>
      <c r="G681" s="272">
        <v>479.57344999999998</v>
      </c>
      <c r="H681" s="141" t="str">
        <f t="shared" ref="H681:H696" si="51">IF(G681="","",$H$10)</f>
        <v>CZK</v>
      </c>
      <c r="I681" s="409" t="s">
        <v>47</v>
      </c>
      <c r="J681" s="625" t="s">
        <v>1608</v>
      </c>
      <c r="L681" s="86" t="e">
        <f>VLOOKUP(B681,$B$11:B680,1,FALSE)</f>
        <v>#N/A</v>
      </c>
      <c r="M681" s="256">
        <f>G681*(1-FORM!$AE$28/100)</f>
        <v>479.57344999999998</v>
      </c>
      <c r="AA681" s="463"/>
      <c r="AB681" s="462"/>
      <c r="AC681" s="462"/>
      <c r="AD681" s="464"/>
      <c r="AE681" s="465"/>
    </row>
    <row r="682" spans="2:31" ht="14.4">
      <c r="B682" s="298">
        <v>9256886</v>
      </c>
      <c r="C682" s="216" t="s">
        <v>1074</v>
      </c>
      <c r="D682" s="217">
        <v>1</v>
      </c>
      <c r="E682" s="391"/>
      <c r="F682" s="262"/>
      <c r="G682" s="272">
        <v>489.27857</v>
      </c>
      <c r="H682" s="141" t="str">
        <f t="shared" si="51"/>
        <v>CZK</v>
      </c>
      <c r="I682" s="409" t="s">
        <v>47</v>
      </c>
      <c r="J682" s="625" t="s">
        <v>1609</v>
      </c>
      <c r="L682" s="86" t="e">
        <f>VLOOKUP(B682,$B$11:B681,1,FALSE)</f>
        <v>#N/A</v>
      </c>
      <c r="M682" s="256">
        <f>G682*(1-FORM!$AE$28/100)</f>
        <v>489.27857</v>
      </c>
      <c r="AA682" s="463"/>
      <c r="AB682" s="462"/>
      <c r="AC682" s="462"/>
      <c r="AD682" s="464"/>
      <c r="AE682" s="465"/>
    </row>
    <row r="683" spans="2:31" ht="14.4">
      <c r="B683" s="298">
        <v>9256888</v>
      </c>
      <c r="C683" s="216" t="s">
        <v>1075</v>
      </c>
      <c r="D683" s="217">
        <v>1</v>
      </c>
      <c r="E683" s="391"/>
      <c r="F683" s="262"/>
      <c r="G683" s="272">
        <v>498.97861999999998</v>
      </c>
      <c r="H683" s="141" t="str">
        <f t="shared" si="51"/>
        <v>CZK</v>
      </c>
      <c r="I683" s="409" t="s">
        <v>47</v>
      </c>
      <c r="J683" s="625" t="s">
        <v>1610</v>
      </c>
      <c r="L683" s="86" t="e">
        <f>VLOOKUP(B683,$B$11:B682,1,FALSE)</f>
        <v>#N/A</v>
      </c>
      <c r="M683" s="256">
        <f>G683*(1-FORM!$AE$28/100)</f>
        <v>498.97861999999998</v>
      </c>
      <c r="AA683" s="463"/>
      <c r="AB683" s="462"/>
      <c r="AC683" s="462"/>
      <c r="AD683" s="464"/>
      <c r="AE683" s="465"/>
    </row>
    <row r="684" spans="2:31" ht="14.4">
      <c r="B684" s="298">
        <v>9256890</v>
      </c>
      <c r="C684" s="216" t="s">
        <v>1076</v>
      </c>
      <c r="D684" s="217">
        <v>1</v>
      </c>
      <c r="E684" s="391"/>
      <c r="F684" s="262"/>
      <c r="G684" s="272">
        <v>122.98869999999999</v>
      </c>
      <c r="H684" s="141" t="str">
        <f t="shared" si="51"/>
        <v>CZK</v>
      </c>
      <c r="I684" s="409" t="s">
        <v>47</v>
      </c>
      <c r="J684" s="625" t="s">
        <v>1989</v>
      </c>
      <c r="L684" s="86" t="e">
        <f>VLOOKUP(B684,$B$11:B683,1,FALSE)</f>
        <v>#N/A</v>
      </c>
      <c r="M684" s="256">
        <f>G684*(1-FORM!$AE$28/100)</f>
        <v>122.98869999999999</v>
      </c>
      <c r="AA684" s="463"/>
      <c r="AB684" s="462"/>
      <c r="AC684" s="462"/>
      <c r="AD684" s="464"/>
      <c r="AE684" s="465"/>
    </row>
    <row r="685" spans="2:31" ht="14.4">
      <c r="B685" s="298">
        <v>9256892</v>
      </c>
      <c r="C685" s="216" t="s">
        <v>1077</v>
      </c>
      <c r="D685" s="217">
        <v>1</v>
      </c>
      <c r="E685" s="391"/>
      <c r="F685" s="262"/>
      <c r="G685" s="272">
        <v>504.59701000000001</v>
      </c>
      <c r="H685" s="141" t="str">
        <f t="shared" si="51"/>
        <v>CZK</v>
      </c>
      <c r="I685" s="409" t="s">
        <v>47</v>
      </c>
      <c r="J685" s="625" t="s">
        <v>1611</v>
      </c>
      <c r="L685" s="86" t="e">
        <f>VLOOKUP(B685,$B$11:B684,1,FALSE)</f>
        <v>#N/A</v>
      </c>
      <c r="M685" s="256">
        <f>G685*(1-FORM!$AE$28/100)</f>
        <v>504.59701000000001</v>
      </c>
      <c r="AA685" s="463"/>
      <c r="AB685" s="462"/>
      <c r="AC685" s="462"/>
      <c r="AD685" s="464"/>
      <c r="AE685" s="465"/>
    </row>
    <row r="686" spans="2:31" ht="14.4">
      <c r="B686" s="298">
        <v>9256894</v>
      </c>
      <c r="C686" s="216" t="s">
        <v>1078</v>
      </c>
      <c r="D686" s="217">
        <v>1</v>
      </c>
      <c r="E686" s="391"/>
      <c r="F686" s="262"/>
      <c r="G686" s="272">
        <v>127.68105</v>
      </c>
      <c r="H686" s="141" t="str">
        <f t="shared" si="51"/>
        <v>CZK</v>
      </c>
      <c r="I686" s="409" t="s">
        <v>47</v>
      </c>
      <c r="J686" s="625" t="s">
        <v>1990</v>
      </c>
      <c r="L686" s="86" t="e">
        <f>VLOOKUP(B686,$B$11:B685,1,FALSE)</f>
        <v>#N/A</v>
      </c>
      <c r="M686" s="256">
        <f>G686*(1-FORM!$AE$28/100)</f>
        <v>127.68105</v>
      </c>
      <c r="AA686" s="463"/>
      <c r="AB686" s="462"/>
      <c r="AC686" s="462"/>
      <c r="AD686" s="464"/>
      <c r="AE686" s="465"/>
    </row>
    <row r="687" spans="2:31" ht="14.4">
      <c r="B687" s="298">
        <v>9256896</v>
      </c>
      <c r="C687" s="216" t="s">
        <v>1079</v>
      </c>
      <c r="D687" s="217">
        <v>1</v>
      </c>
      <c r="E687" s="391"/>
      <c r="F687" s="262"/>
      <c r="G687" s="272">
        <v>537.79395</v>
      </c>
      <c r="H687" s="141" t="str">
        <f t="shared" si="51"/>
        <v>CZK</v>
      </c>
      <c r="I687" s="409" t="s">
        <v>47</v>
      </c>
      <c r="J687" s="625" t="s">
        <v>1612</v>
      </c>
      <c r="L687" s="86" t="e">
        <f>VLOOKUP(B687,$B$11:B686,1,FALSE)</f>
        <v>#N/A</v>
      </c>
      <c r="M687" s="256">
        <f>G687*(1-FORM!$AE$28/100)</f>
        <v>537.79395</v>
      </c>
      <c r="AA687" s="463"/>
      <c r="AB687" s="462"/>
      <c r="AC687" s="462"/>
      <c r="AD687" s="464"/>
      <c r="AE687" s="465"/>
    </row>
    <row r="688" spans="2:31" ht="14.4">
      <c r="B688" s="298">
        <v>9256854</v>
      </c>
      <c r="C688" s="216" t="s">
        <v>1080</v>
      </c>
      <c r="D688" s="217">
        <v>20</v>
      </c>
      <c r="E688" s="391"/>
      <c r="F688" s="262"/>
      <c r="G688" s="272">
        <v>223.77942999999999</v>
      </c>
      <c r="H688" s="141" t="str">
        <f t="shared" si="51"/>
        <v>CZK</v>
      </c>
      <c r="I688" s="409" t="s">
        <v>47</v>
      </c>
      <c r="J688" s="625" t="s">
        <v>1591</v>
      </c>
      <c r="L688" s="86" t="e">
        <f>VLOOKUP(B688,$B$11:B687,1,FALSE)</f>
        <v>#N/A</v>
      </c>
      <c r="M688" s="256">
        <f>G688*(1-FORM!$AE$28/100)</f>
        <v>223.77942999999999</v>
      </c>
      <c r="AA688" s="463"/>
      <c r="AB688" s="462"/>
      <c r="AC688" s="462"/>
      <c r="AD688" s="464"/>
      <c r="AE688" s="465"/>
    </row>
    <row r="689" spans="2:31" ht="14.4">
      <c r="B689" s="298">
        <v>9256855</v>
      </c>
      <c r="C689" s="216" t="s">
        <v>1081</v>
      </c>
      <c r="D689" s="217">
        <v>20</v>
      </c>
      <c r="E689" s="391"/>
      <c r="F689" s="262"/>
      <c r="G689" s="272">
        <v>223.77942999999999</v>
      </c>
      <c r="H689" s="141" t="str">
        <f t="shared" si="51"/>
        <v>CZK</v>
      </c>
      <c r="I689" s="409" t="s">
        <v>47</v>
      </c>
      <c r="J689" s="625" t="s">
        <v>1592</v>
      </c>
      <c r="L689" s="86" t="e">
        <f>VLOOKUP(B689,$B$11:B688,1,FALSE)</f>
        <v>#N/A</v>
      </c>
      <c r="M689" s="256">
        <f>G689*(1-FORM!$AE$28/100)</f>
        <v>223.77942999999999</v>
      </c>
      <c r="AA689" s="463"/>
      <c r="AB689" s="462"/>
      <c r="AC689" s="462"/>
      <c r="AD689" s="464"/>
      <c r="AE689" s="465"/>
    </row>
    <row r="690" spans="2:31" ht="14.4">
      <c r="B690" s="298">
        <v>9256856</v>
      </c>
      <c r="C690" s="216" t="s">
        <v>1082</v>
      </c>
      <c r="D690" s="217">
        <v>20</v>
      </c>
      <c r="E690" s="391"/>
      <c r="F690" s="262"/>
      <c r="G690" s="272">
        <v>224.26065</v>
      </c>
      <c r="H690" s="141" t="str">
        <f t="shared" si="51"/>
        <v>CZK</v>
      </c>
      <c r="I690" s="409" t="s">
        <v>47</v>
      </c>
      <c r="J690" s="625" t="s">
        <v>1593</v>
      </c>
      <c r="L690" s="86" t="e">
        <f>VLOOKUP(B690,$B$11:B689,1,FALSE)</f>
        <v>#N/A</v>
      </c>
      <c r="M690" s="256">
        <f>G690*(1-FORM!$AE$28/100)</f>
        <v>224.26065</v>
      </c>
      <c r="AA690" s="463"/>
      <c r="AB690" s="462"/>
      <c r="AC690" s="462"/>
      <c r="AD690" s="464"/>
      <c r="AE690" s="465"/>
    </row>
    <row r="691" spans="2:31" ht="14.4">
      <c r="B691" s="298">
        <v>9256857</v>
      </c>
      <c r="C691" s="216" t="s">
        <v>1083</v>
      </c>
      <c r="D691" s="217">
        <v>20</v>
      </c>
      <c r="E691" s="391"/>
      <c r="F691" s="262"/>
      <c r="G691" s="272">
        <v>224.26065</v>
      </c>
      <c r="H691" s="141" t="str">
        <f t="shared" si="51"/>
        <v>CZK</v>
      </c>
      <c r="I691" s="409" t="s">
        <v>47</v>
      </c>
      <c r="J691" s="625" t="s">
        <v>1594</v>
      </c>
      <c r="L691" s="86" t="e">
        <f>VLOOKUP(B691,$B$11:B690,1,FALSE)</f>
        <v>#N/A</v>
      </c>
      <c r="M691" s="256">
        <f>G691*(1-FORM!$AE$28/100)</f>
        <v>224.26065</v>
      </c>
      <c r="AA691" s="463"/>
      <c r="AB691" s="462"/>
      <c r="AC691" s="462"/>
      <c r="AD691" s="464"/>
      <c r="AE691" s="465"/>
    </row>
    <row r="692" spans="2:31" ht="14.4">
      <c r="B692" s="298">
        <v>9256860</v>
      </c>
      <c r="C692" s="216" t="s">
        <v>1084</v>
      </c>
      <c r="D692" s="217">
        <v>20</v>
      </c>
      <c r="E692" s="391"/>
      <c r="F692" s="262"/>
      <c r="G692" s="272">
        <v>229.11434</v>
      </c>
      <c r="H692" s="141" t="str">
        <f t="shared" si="51"/>
        <v>CZK</v>
      </c>
      <c r="I692" s="409" t="s">
        <v>47</v>
      </c>
      <c r="J692" s="625" t="s">
        <v>1595</v>
      </c>
      <c r="L692" s="86" t="e">
        <f>VLOOKUP(B692,$B$11:B691,1,FALSE)</f>
        <v>#N/A</v>
      </c>
      <c r="M692" s="256">
        <f>G692*(1-FORM!$AE$28/100)</f>
        <v>229.11434</v>
      </c>
      <c r="AA692" s="463"/>
      <c r="AB692" s="462"/>
      <c r="AC692" s="462"/>
      <c r="AD692" s="464"/>
      <c r="AE692" s="465"/>
    </row>
    <row r="693" spans="2:31" ht="14.4">
      <c r="B693" s="298">
        <v>9256861</v>
      </c>
      <c r="C693" s="216" t="s">
        <v>1085</v>
      </c>
      <c r="D693" s="217">
        <v>20</v>
      </c>
      <c r="E693" s="391"/>
      <c r="F693" s="262"/>
      <c r="G693" s="272">
        <v>229.11434</v>
      </c>
      <c r="H693" s="141" t="str">
        <f t="shared" si="51"/>
        <v>CZK</v>
      </c>
      <c r="I693" s="409" t="s">
        <v>47</v>
      </c>
      <c r="J693" s="625" t="s">
        <v>1596</v>
      </c>
      <c r="L693" s="86" t="e">
        <f>VLOOKUP(B693,$B$11:B692,1,FALSE)</f>
        <v>#N/A</v>
      </c>
      <c r="M693" s="256">
        <f>G693*(1-FORM!$AE$28/100)</f>
        <v>229.11434</v>
      </c>
      <c r="AA693" s="463"/>
      <c r="AB693" s="462"/>
      <c r="AC693" s="462"/>
      <c r="AD693" s="464"/>
      <c r="AE693" s="465"/>
    </row>
    <row r="694" spans="2:31" ht="14.4">
      <c r="B694" s="298">
        <v>9256864</v>
      </c>
      <c r="C694" s="216" t="s">
        <v>1086</v>
      </c>
      <c r="D694" s="217">
        <v>20</v>
      </c>
      <c r="E694" s="391"/>
      <c r="F694" s="262"/>
      <c r="G694" s="272">
        <v>233.96566000000001</v>
      </c>
      <c r="H694" s="141" t="str">
        <f t="shared" si="51"/>
        <v>CZK</v>
      </c>
      <c r="I694" s="409" t="s">
        <v>47</v>
      </c>
      <c r="J694" s="625" t="s">
        <v>1597</v>
      </c>
      <c r="L694" s="86" t="e">
        <f>VLOOKUP(B694,$B$11:B693,1,FALSE)</f>
        <v>#N/A</v>
      </c>
      <c r="M694" s="256">
        <f>G694*(1-FORM!$AE$28/100)</f>
        <v>233.96566000000001</v>
      </c>
      <c r="AA694" s="463"/>
      <c r="AB694" s="462"/>
      <c r="AC694" s="462"/>
      <c r="AD694" s="464"/>
      <c r="AE694" s="465"/>
    </row>
    <row r="695" spans="2:31" ht="14.4">
      <c r="B695" s="298">
        <v>9256865</v>
      </c>
      <c r="C695" s="216" t="s">
        <v>1087</v>
      </c>
      <c r="D695" s="217">
        <v>20</v>
      </c>
      <c r="E695" s="391"/>
      <c r="F695" s="262"/>
      <c r="G695" s="272">
        <v>233.96566000000001</v>
      </c>
      <c r="H695" s="141" t="str">
        <f t="shared" si="51"/>
        <v>CZK</v>
      </c>
      <c r="I695" s="409" t="s">
        <v>47</v>
      </c>
      <c r="J695" s="625" t="s">
        <v>1598</v>
      </c>
      <c r="L695" s="86" t="e">
        <f>VLOOKUP(B695,$B$11:B694,1,FALSE)</f>
        <v>#N/A</v>
      </c>
      <c r="M695" s="256">
        <f>G695*(1-FORM!$AE$28/100)</f>
        <v>233.96566000000001</v>
      </c>
      <c r="AA695" s="463"/>
      <c r="AB695" s="462"/>
      <c r="AC695" s="462"/>
      <c r="AD695" s="464"/>
      <c r="AE695" s="465"/>
    </row>
    <row r="696" spans="2:31" ht="14.4">
      <c r="B696" s="298">
        <v>9256868</v>
      </c>
      <c r="C696" s="216" t="s">
        <v>1088</v>
      </c>
      <c r="D696" s="217">
        <v>20</v>
      </c>
      <c r="E696" s="391"/>
      <c r="F696" s="262"/>
      <c r="G696" s="272">
        <v>238.81201999999999</v>
      </c>
      <c r="H696" s="141" t="str">
        <f t="shared" si="51"/>
        <v>CZK</v>
      </c>
      <c r="I696" s="409" t="s">
        <v>47</v>
      </c>
      <c r="J696" s="625" t="s">
        <v>1599</v>
      </c>
      <c r="L696" s="86" t="e">
        <f>VLOOKUP(B696,$B$11:B695,1,FALSE)</f>
        <v>#N/A</v>
      </c>
      <c r="M696" s="256">
        <f>G696*(1-FORM!$AE$28/100)</f>
        <v>238.81201999999999</v>
      </c>
      <c r="AA696" s="463"/>
      <c r="AB696" s="462"/>
      <c r="AC696" s="462"/>
      <c r="AD696" s="464"/>
      <c r="AE696" s="465"/>
    </row>
    <row r="697" spans="2:31" ht="14.4">
      <c r="B697" s="298">
        <v>9256869</v>
      </c>
      <c r="C697" s="216" t="s">
        <v>1089</v>
      </c>
      <c r="D697" s="217">
        <v>20</v>
      </c>
      <c r="E697" s="391"/>
      <c r="F697" s="262"/>
      <c r="G697" s="272">
        <v>238.81201999999999</v>
      </c>
      <c r="H697" s="141" t="str">
        <f t="shared" ref="H697:H762" si="52">IF(G697="","",$H$10)</f>
        <v>CZK</v>
      </c>
      <c r="I697" s="409" t="s">
        <v>47</v>
      </c>
      <c r="J697" s="625" t="s">
        <v>1600</v>
      </c>
      <c r="L697" s="86" t="e">
        <f>VLOOKUP(B697,$B$11:B696,1,FALSE)</f>
        <v>#N/A</v>
      </c>
      <c r="M697" s="256">
        <f>G697*(1-FORM!$AE$28/100)</f>
        <v>238.81201999999999</v>
      </c>
      <c r="AA697" s="463"/>
      <c r="AB697" s="462"/>
      <c r="AC697" s="462"/>
      <c r="AD697" s="464"/>
      <c r="AE697" s="465"/>
    </row>
    <row r="698" spans="2:31" ht="14.4">
      <c r="B698" s="298">
        <v>9256872</v>
      </c>
      <c r="C698" s="216" t="s">
        <v>1090</v>
      </c>
      <c r="D698" s="217">
        <v>20</v>
      </c>
      <c r="E698" s="391"/>
      <c r="F698" s="262"/>
      <c r="G698" s="272">
        <v>237.18776</v>
      </c>
      <c r="H698" s="141" t="str">
        <f t="shared" si="52"/>
        <v>CZK</v>
      </c>
      <c r="I698" s="409" t="s">
        <v>47</v>
      </c>
      <c r="J698" s="625" t="s">
        <v>1601</v>
      </c>
      <c r="L698" s="86" t="e">
        <f>VLOOKUP(B698,$B$11:B697,1,FALSE)</f>
        <v>#N/A</v>
      </c>
      <c r="M698" s="256">
        <f>G698*(1-FORM!$AE$28/100)</f>
        <v>237.18776</v>
      </c>
      <c r="AA698" s="463"/>
      <c r="AB698" s="462"/>
      <c r="AC698" s="462"/>
      <c r="AD698" s="464"/>
      <c r="AE698" s="465"/>
    </row>
    <row r="699" spans="2:31" ht="14.4">
      <c r="B699" s="298">
        <v>9256873</v>
      </c>
      <c r="C699" s="216" t="s">
        <v>1091</v>
      </c>
      <c r="D699" s="217">
        <v>20</v>
      </c>
      <c r="E699" s="391"/>
      <c r="F699" s="262"/>
      <c r="G699" s="272">
        <v>237.18776</v>
      </c>
      <c r="H699" s="141" t="str">
        <f t="shared" si="52"/>
        <v>CZK</v>
      </c>
      <c r="I699" s="409" t="s">
        <v>47</v>
      </c>
      <c r="J699" s="625" t="s">
        <v>1602</v>
      </c>
      <c r="L699" s="86" t="e">
        <f>VLOOKUP(B699,$B$11:B698,1,FALSE)</f>
        <v>#N/A</v>
      </c>
      <c r="M699" s="256">
        <f>G699*(1-FORM!$AE$28/100)</f>
        <v>237.18776</v>
      </c>
      <c r="AA699" s="463"/>
      <c r="AB699" s="462"/>
      <c r="AC699" s="462"/>
      <c r="AD699" s="464"/>
      <c r="AE699" s="465"/>
    </row>
    <row r="700" spans="2:31" ht="14.4">
      <c r="B700" s="298">
        <v>9256876</v>
      </c>
      <c r="C700" s="216" t="s">
        <v>1092</v>
      </c>
      <c r="D700" s="217">
        <v>20</v>
      </c>
      <c r="E700" s="391"/>
      <c r="F700" s="262"/>
      <c r="G700" s="272">
        <v>241.90996999999999</v>
      </c>
      <c r="H700" s="141" t="str">
        <f t="shared" si="52"/>
        <v>CZK</v>
      </c>
      <c r="I700" s="409" t="s">
        <v>47</v>
      </c>
      <c r="J700" s="625" t="s">
        <v>1603</v>
      </c>
      <c r="L700" s="86" t="e">
        <f>VLOOKUP(B700,$B$11:B699,1,FALSE)</f>
        <v>#N/A</v>
      </c>
      <c r="M700" s="256">
        <f>G700*(1-FORM!$AE$28/100)</f>
        <v>241.90996999999999</v>
      </c>
      <c r="AA700" s="463"/>
      <c r="AB700" s="462"/>
      <c r="AC700" s="462"/>
      <c r="AD700" s="464"/>
      <c r="AE700" s="465"/>
    </row>
    <row r="701" spans="2:31" ht="14.4">
      <c r="B701" s="298">
        <v>9256877</v>
      </c>
      <c r="C701" s="216" t="s">
        <v>1093</v>
      </c>
      <c r="D701" s="217">
        <v>20</v>
      </c>
      <c r="E701" s="391"/>
      <c r="F701" s="262"/>
      <c r="G701" s="272">
        <v>248.51953</v>
      </c>
      <c r="H701" s="141" t="str">
        <f t="shared" si="52"/>
        <v>CZK</v>
      </c>
      <c r="I701" s="409" t="s">
        <v>47</v>
      </c>
      <c r="J701" s="625" t="s">
        <v>1604</v>
      </c>
      <c r="L701" s="86" t="e">
        <f>VLOOKUP(B701,$B$11:B700,1,FALSE)</f>
        <v>#N/A</v>
      </c>
      <c r="M701" s="256">
        <f>G701*(1-FORM!$AE$28/100)</f>
        <v>248.51953</v>
      </c>
      <c r="AA701" s="463"/>
      <c r="AB701" s="462"/>
      <c r="AC701" s="462"/>
      <c r="AD701" s="464"/>
      <c r="AE701" s="465"/>
    </row>
    <row r="702" spans="2:31" ht="14.4">
      <c r="B702" s="298">
        <v>9256880</v>
      </c>
      <c r="C702" s="216" t="s">
        <v>1094</v>
      </c>
      <c r="D702" s="217">
        <v>20</v>
      </c>
      <c r="E702" s="391"/>
      <c r="F702" s="262"/>
      <c r="G702" s="272">
        <v>253.36837</v>
      </c>
      <c r="H702" s="141" t="str">
        <f t="shared" si="52"/>
        <v>CZK</v>
      </c>
      <c r="I702" s="409" t="s">
        <v>47</v>
      </c>
      <c r="J702" s="625" t="s">
        <v>1605</v>
      </c>
      <c r="L702" s="86" t="e">
        <f>VLOOKUP(B702,$B$11:B701,1,FALSE)</f>
        <v>#N/A</v>
      </c>
      <c r="M702" s="256">
        <f>G702*(1-FORM!$AE$28/100)</f>
        <v>253.36837</v>
      </c>
      <c r="AA702" s="463"/>
      <c r="AB702" s="462"/>
      <c r="AC702" s="462"/>
      <c r="AD702" s="464"/>
      <c r="AE702" s="465"/>
    </row>
    <row r="703" spans="2:31" ht="14.4">
      <c r="B703" s="303">
        <v>9256881</v>
      </c>
      <c r="C703" s="304" t="s">
        <v>1095</v>
      </c>
      <c r="D703" s="226">
        <v>20</v>
      </c>
      <c r="E703" s="396"/>
      <c r="F703" s="268"/>
      <c r="G703" s="272">
        <v>253.36837</v>
      </c>
      <c r="H703" s="142" t="str">
        <f t="shared" si="52"/>
        <v>CZK</v>
      </c>
      <c r="I703" s="417" t="s">
        <v>47</v>
      </c>
      <c r="J703" s="626" t="s">
        <v>1606</v>
      </c>
      <c r="L703" s="86" t="e">
        <f>VLOOKUP(B703,$B$11:B702,1,FALSE)</f>
        <v>#N/A</v>
      </c>
      <c r="M703" s="256">
        <f>G703*(1-FORM!$AE$28/100)</f>
        <v>253.36837</v>
      </c>
      <c r="AA703" s="463"/>
      <c r="AB703" s="462"/>
      <c r="AC703" s="462"/>
      <c r="AD703" s="464"/>
      <c r="AE703" s="465"/>
    </row>
    <row r="704" spans="2:31" ht="14.4">
      <c r="B704" s="303"/>
      <c r="C704" s="304"/>
      <c r="D704" s="226"/>
      <c r="E704" s="396"/>
      <c r="F704" s="268"/>
      <c r="G704" s="272"/>
      <c r="H704" s="142"/>
      <c r="I704" s="417" t="s">
        <v>47</v>
      </c>
      <c r="J704" s="468"/>
      <c r="L704" s="86" t="e">
        <f>VLOOKUP(B704,$B$11:B703,1,FALSE)</f>
        <v>#N/A</v>
      </c>
      <c r="M704" s="256">
        <f>G704*(1-FORM!$AE$28/100)</f>
        <v>0</v>
      </c>
      <c r="AA704" s="463"/>
      <c r="AB704" s="462"/>
      <c r="AC704" s="462"/>
      <c r="AD704" s="464"/>
      <c r="AE704" s="465"/>
    </row>
    <row r="705" spans="2:31" ht="14.4">
      <c r="B705" s="301">
        <v>9257894</v>
      </c>
      <c r="C705" s="222" t="s">
        <v>1096</v>
      </c>
      <c r="D705" s="223">
        <v>1</v>
      </c>
      <c r="E705" s="395"/>
      <c r="F705" s="266"/>
      <c r="G705" s="272">
        <v>480.50922000000003</v>
      </c>
      <c r="H705" s="211" t="str">
        <f t="shared" si="52"/>
        <v>CZK</v>
      </c>
      <c r="I705" s="416" t="s">
        <v>47</v>
      </c>
      <c r="J705" s="627" t="s">
        <v>1748</v>
      </c>
      <c r="L705" s="86" t="e">
        <f>VLOOKUP(B705,$B$11:B704,1,FALSE)</f>
        <v>#N/A</v>
      </c>
      <c r="M705" s="256">
        <f>G705*(1-FORM!$AE$28/100)</f>
        <v>480.50922000000003</v>
      </c>
      <c r="AA705" s="463"/>
      <c r="AB705" s="462"/>
      <c r="AC705" s="462"/>
      <c r="AD705" s="464"/>
      <c r="AE705" s="465"/>
    </row>
    <row r="706" spans="2:31" ht="14.4">
      <c r="B706" s="298">
        <v>9257895</v>
      </c>
      <c r="C706" s="216" t="s">
        <v>1097</v>
      </c>
      <c r="D706" s="217">
        <v>1</v>
      </c>
      <c r="E706" s="391"/>
      <c r="F706" s="262"/>
      <c r="G706" s="272">
        <v>480.50922000000003</v>
      </c>
      <c r="H706" s="141" t="str">
        <f t="shared" si="52"/>
        <v>CZK</v>
      </c>
      <c r="I706" s="409" t="s">
        <v>47</v>
      </c>
      <c r="J706" s="625" t="s">
        <v>1749</v>
      </c>
      <c r="L706" s="86" t="e">
        <f>VLOOKUP(B706,$B$11:B705,1,FALSE)</f>
        <v>#N/A</v>
      </c>
      <c r="M706" s="256">
        <f>G706*(1-FORM!$AE$28/100)</f>
        <v>480.50922000000003</v>
      </c>
      <c r="AA706" s="463"/>
      <c r="AB706" s="462"/>
      <c r="AC706" s="462"/>
      <c r="AD706" s="464"/>
      <c r="AE706" s="465"/>
    </row>
    <row r="707" spans="2:31" ht="14.4">
      <c r="B707" s="303">
        <v>9257896</v>
      </c>
      <c r="C707" s="304" t="s">
        <v>1098</v>
      </c>
      <c r="D707" s="226">
        <v>1</v>
      </c>
      <c r="E707" s="396"/>
      <c r="F707" s="268"/>
      <c r="G707" s="272">
        <v>480.50922000000003</v>
      </c>
      <c r="H707" s="142" t="str">
        <f t="shared" si="52"/>
        <v>CZK</v>
      </c>
      <c r="I707" s="417" t="s">
        <v>47</v>
      </c>
      <c r="J707" s="626" t="s">
        <v>1750</v>
      </c>
      <c r="L707" s="86" t="e">
        <f>VLOOKUP(B707,$B$11:B706,1,FALSE)</f>
        <v>#N/A</v>
      </c>
      <c r="M707" s="256">
        <f>G707*(1-FORM!$AE$28/100)</f>
        <v>480.50922000000003</v>
      </c>
      <c r="AA707" s="463"/>
      <c r="AB707" s="462"/>
      <c r="AC707" s="462"/>
      <c r="AD707" s="464"/>
      <c r="AE707" s="465"/>
    </row>
    <row r="708" spans="2:31" ht="14.4">
      <c r="B708" s="303"/>
      <c r="C708" s="304"/>
      <c r="D708" s="226"/>
      <c r="E708" s="396"/>
      <c r="F708" s="268"/>
      <c r="G708" s="272"/>
      <c r="H708" s="142"/>
      <c r="I708" s="417" t="s">
        <v>47</v>
      </c>
      <c r="J708" s="468"/>
      <c r="L708" s="86" t="e">
        <f>VLOOKUP(B708,$B$11:B707,1,FALSE)</f>
        <v>#N/A</v>
      </c>
      <c r="M708" s="256">
        <f>G708*(1-FORM!$AE$28/100)</f>
        <v>0</v>
      </c>
      <c r="AA708" s="463"/>
      <c r="AB708" s="462"/>
      <c r="AC708" s="462"/>
      <c r="AD708" s="464"/>
      <c r="AE708" s="465"/>
    </row>
    <row r="709" spans="2:31" ht="14.4">
      <c r="B709" s="301">
        <v>9256928</v>
      </c>
      <c r="C709" s="222" t="s">
        <v>1099</v>
      </c>
      <c r="D709" s="223">
        <v>1</v>
      </c>
      <c r="E709" s="395"/>
      <c r="F709" s="266"/>
      <c r="G709" s="272">
        <v>536.84897999999998</v>
      </c>
      <c r="H709" s="211" t="str">
        <f t="shared" si="52"/>
        <v>CZK</v>
      </c>
      <c r="I709" s="416" t="s">
        <v>47</v>
      </c>
      <c r="J709" s="627" t="s">
        <v>1629</v>
      </c>
      <c r="L709" s="86" t="e">
        <f>VLOOKUP(B709,$B$11:B708,1,FALSE)</f>
        <v>#N/A</v>
      </c>
      <c r="M709" s="256">
        <f>G709*(1-FORM!$AE$28/100)</f>
        <v>536.84897999999998</v>
      </c>
      <c r="AA709" s="463"/>
      <c r="AB709" s="462"/>
      <c r="AC709" s="462"/>
      <c r="AD709" s="464"/>
      <c r="AE709" s="465"/>
    </row>
    <row r="710" spans="2:31" ht="14.4">
      <c r="B710" s="298">
        <v>9256929</v>
      </c>
      <c r="C710" s="216" t="s">
        <v>1100</v>
      </c>
      <c r="D710" s="217">
        <v>1</v>
      </c>
      <c r="E710" s="391"/>
      <c r="F710" s="262"/>
      <c r="G710" s="272">
        <v>537.79395</v>
      </c>
      <c r="H710" s="141" t="str">
        <f t="shared" si="52"/>
        <v>CZK</v>
      </c>
      <c r="I710" s="409" t="s">
        <v>47</v>
      </c>
      <c r="J710" s="625" t="s">
        <v>1630</v>
      </c>
      <c r="L710" s="86" t="e">
        <f>VLOOKUP(B710,$B$11:B709,1,FALSE)</f>
        <v>#N/A</v>
      </c>
      <c r="M710" s="256">
        <f>G710*(1-FORM!$AE$28/100)</f>
        <v>537.79395</v>
      </c>
      <c r="AA710" s="463"/>
      <c r="AB710" s="462"/>
      <c r="AC710" s="462"/>
      <c r="AD710" s="464"/>
      <c r="AE710" s="465"/>
    </row>
    <row r="711" spans="2:31" ht="14.4">
      <c r="B711" s="298">
        <v>9256931</v>
      </c>
      <c r="C711" s="216" t="s">
        <v>1101</v>
      </c>
      <c r="D711" s="217">
        <v>1</v>
      </c>
      <c r="E711" s="391"/>
      <c r="F711" s="262"/>
      <c r="G711" s="272">
        <v>547.49897999999996</v>
      </c>
      <c r="H711" s="141" t="str">
        <f>IF(G711="","",$H$10)</f>
        <v>CZK</v>
      </c>
      <c r="I711" s="409" t="s">
        <v>47</v>
      </c>
      <c r="J711" s="625" t="s">
        <v>1631</v>
      </c>
      <c r="L711" s="86" t="e">
        <f>VLOOKUP(B711,$B$11:B710,1,FALSE)</f>
        <v>#N/A</v>
      </c>
      <c r="M711" s="256">
        <f>G711*(1-FORM!$AE$28/100)</f>
        <v>547.49897999999996</v>
      </c>
      <c r="AA711" s="463"/>
      <c r="AB711" s="462"/>
      <c r="AC711" s="462"/>
      <c r="AD711" s="464"/>
      <c r="AE711" s="465"/>
    </row>
    <row r="712" spans="2:31" ht="14.4">
      <c r="B712" s="298">
        <v>9256933</v>
      </c>
      <c r="C712" s="216" t="s">
        <v>1102</v>
      </c>
      <c r="D712" s="217">
        <v>1</v>
      </c>
      <c r="E712" s="391"/>
      <c r="F712" s="262"/>
      <c r="G712" s="272">
        <v>557.20162000000005</v>
      </c>
      <c r="H712" s="141" t="str">
        <f t="shared" si="52"/>
        <v>CZK</v>
      </c>
      <c r="I712" s="409" t="s">
        <v>47</v>
      </c>
      <c r="J712" s="625" t="s">
        <v>1632</v>
      </c>
      <c r="L712" s="86" t="e">
        <f>VLOOKUP(B712,$B$11:B711,1,FALSE)</f>
        <v>#N/A</v>
      </c>
      <c r="M712" s="256">
        <f>G712*(1-FORM!$AE$28/100)</f>
        <v>557.20162000000005</v>
      </c>
      <c r="AA712" s="463"/>
      <c r="AB712" s="462"/>
      <c r="AC712" s="462"/>
      <c r="AD712" s="464"/>
      <c r="AE712" s="465"/>
    </row>
    <row r="713" spans="2:31" ht="14.4">
      <c r="B713" s="298">
        <v>9256935</v>
      </c>
      <c r="C713" s="216" t="s">
        <v>1103</v>
      </c>
      <c r="D713" s="217">
        <v>1</v>
      </c>
      <c r="E713" s="391"/>
      <c r="F713" s="262"/>
      <c r="G713" s="272">
        <v>566.90911000000006</v>
      </c>
      <c r="H713" s="141" t="str">
        <f t="shared" si="52"/>
        <v>CZK</v>
      </c>
      <c r="I713" s="409" t="s">
        <v>47</v>
      </c>
      <c r="J713" s="625" t="s">
        <v>1633</v>
      </c>
      <c r="L713" s="86" t="e">
        <f>VLOOKUP(B713,$B$11:B712,1,FALSE)</f>
        <v>#N/A</v>
      </c>
      <c r="M713" s="256">
        <f>G713*(1-FORM!$AE$28/100)</f>
        <v>566.90911000000006</v>
      </c>
      <c r="AA713" s="463"/>
      <c r="AB713" s="462"/>
      <c r="AC713" s="462"/>
      <c r="AD713" s="464"/>
      <c r="AE713" s="465"/>
    </row>
    <row r="714" spans="2:31" ht="14.4">
      <c r="B714" s="298">
        <v>9256937</v>
      </c>
      <c r="C714" s="216" t="s">
        <v>1104</v>
      </c>
      <c r="D714" s="217">
        <v>1</v>
      </c>
      <c r="E714" s="391"/>
      <c r="F714" s="262"/>
      <c r="G714" s="272">
        <v>139.41228000000001</v>
      </c>
      <c r="H714" s="141" t="str">
        <f t="shared" si="52"/>
        <v>CZK</v>
      </c>
      <c r="I714" s="409" t="s">
        <v>47</v>
      </c>
      <c r="J714" s="625" t="s">
        <v>1991</v>
      </c>
      <c r="L714" s="86" t="e">
        <f>VLOOKUP(B714,$B$11:B713,1,FALSE)</f>
        <v>#N/A</v>
      </c>
      <c r="M714" s="256">
        <f>G714*(1-FORM!$AE$28/100)</f>
        <v>139.41228000000001</v>
      </c>
      <c r="AA714" s="463"/>
      <c r="AB714" s="462"/>
      <c r="AC714" s="462"/>
      <c r="AD714" s="464"/>
      <c r="AE714" s="465"/>
    </row>
    <row r="715" spans="2:31" ht="14.4">
      <c r="B715" s="298">
        <v>9256939</v>
      </c>
      <c r="C715" s="216" t="s">
        <v>1105</v>
      </c>
      <c r="D715" s="217">
        <v>1</v>
      </c>
      <c r="E715" s="391"/>
      <c r="F715" s="262"/>
      <c r="G715" s="272">
        <v>586.3143</v>
      </c>
      <c r="H715" s="141" t="str">
        <f t="shared" si="52"/>
        <v>CZK</v>
      </c>
      <c r="I715" s="409" t="s">
        <v>47</v>
      </c>
      <c r="J715" s="625" t="s">
        <v>1634</v>
      </c>
      <c r="L715" s="86" t="e">
        <f>VLOOKUP(B715,$B$11:B714,1,FALSE)</f>
        <v>#N/A</v>
      </c>
      <c r="M715" s="256">
        <f>G715*(1-FORM!$AE$28/100)</f>
        <v>586.3143</v>
      </c>
      <c r="AA715" s="463"/>
      <c r="AB715" s="462"/>
      <c r="AC715" s="462"/>
      <c r="AD715" s="464"/>
      <c r="AE715" s="465"/>
    </row>
    <row r="716" spans="2:31" ht="14.4">
      <c r="B716" s="298">
        <v>9256941</v>
      </c>
      <c r="C716" s="216" t="s">
        <v>1106</v>
      </c>
      <c r="D716" s="217">
        <v>1</v>
      </c>
      <c r="E716" s="391"/>
      <c r="F716" s="262"/>
      <c r="G716" s="272">
        <v>596.01683000000003</v>
      </c>
      <c r="H716" s="141" t="str">
        <f t="shared" si="52"/>
        <v>CZK</v>
      </c>
      <c r="I716" s="409" t="s">
        <v>47</v>
      </c>
      <c r="J716" s="625" t="s">
        <v>1635</v>
      </c>
      <c r="L716" s="86" t="e">
        <f>VLOOKUP(B716,$B$11:B715,1,FALSE)</f>
        <v>#N/A</v>
      </c>
      <c r="M716" s="256">
        <f>G716*(1-FORM!$AE$28/100)</f>
        <v>596.01683000000003</v>
      </c>
      <c r="AA716" s="463"/>
      <c r="AB716" s="462"/>
      <c r="AC716" s="462"/>
      <c r="AD716" s="464"/>
      <c r="AE716" s="465"/>
    </row>
    <row r="717" spans="2:31" ht="14.4">
      <c r="B717" s="298">
        <v>9256899</v>
      </c>
      <c r="C717" s="216" t="s">
        <v>1107</v>
      </c>
      <c r="D717" s="217">
        <v>20</v>
      </c>
      <c r="E717" s="391"/>
      <c r="F717" s="262"/>
      <c r="G717" s="272">
        <v>252.8922</v>
      </c>
      <c r="H717" s="141" t="str">
        <f t="shared" si="52"/>
        <v>CZK</v>
      </c>
      <c r="I717" s="409" t="s">
        <v>47</v>
      </c>
      <c r="J717" s="625" t="s">
        <v>1613</v>
      </c>
      <c r="L717" s="86" t="e">
        <f>VLOOKUP(B717,$B$11:B716,1,FALSE)</f>
        <v>#N/A</v>
      </c>
      <c r="M717" s="256">
        <f>G717*(1-FORM!$AE$28/100)</f>
        <v>252.8922</v>
      </c>
      <c r="AA717" s="463"/>
      <c r="AB717" s="462"/>
      <c r="AC717" s="462"/>
      <c r="AD717" s="464"/>
      <c r="AE717" s="465"/>
    </row>
    <row r="718" spans="2:31" ht="14.4">
      <c r="B718" s="298">
        <v>9256900</v>
      </c>
      <c r="C718" s="216" t="s">
        <v>1108</v>
      </c>
      <c r="D718" s="217">
        <v>20</v>
      </c>
      <c r="E718" s="391"/>
      <c r="F718" s="262"/>
      <c r="G718" s="272">
        <v>252.8922</v>
      </c>
      <c r="H718" s="141" t="str">
        <f t="shared" si="52"/>
        <v>CZK</v>
      </c>
      <c r="I718" s="409" t="s">
        <v>47</v>
      </c>
      <c r="J718" s="625" t="s">
        <v>1614</v>
      </c>
      <c r="L718" s="86" t="e">
        <f>VLOOKUP(B718,$B$11:B717,1,FALSE)</f>
        <v>#N/A</v>
      </c>
      <c r="M718" s="256">
        <f>G718*(1-FORM!$AE$28/100)</f>
        <v>252.8922</v>
      </c>
      <c r="AA718" s="463"/>
      <c r="AB718" s="462"/>
      <c r="AC718" s="462"/>
      <c r="AD718" s="464"/>
      <c r="AE718" s="465"/>
    </row>
    <row r="719" spans="2:31" ht="14.4">
      <c r="B719" s="298">
        <v>9256901</v>
      </c>
      <c r="C719" s="216" t="s">
        <v>1109</v>
      </c>
      <c r="D719" s="217">
        <v>20</v>
      </c>
      <c r="E719" s="391"/>
      <c r="F719" s="262"/>
      <c r="G719" s="272">
        <v>253.36837</v>
      </c>
      <c r="H719" s="141" t="str">
        <f t="shared" si="52"/>
        <v>CZK</v>
      </c>
      <c r="I719" s="409" t="s">
        <v>47</v>
      </c>
      <c r="J719" s="625" t="s">
        <v>1615</v>
      </c>
      <c r="L719" s="86" t="e">
        <f>VLOOKUP(B719,$B$11:B718,1,FALSE)</f>
        <v>#N/A</v>
      </c>
      <c r="M719" s="256">
        <f>G719*(1-FORM!$AE$28/100)</f>
        <v>253.36837</v>
      </c>
      <c r="AA719" s="463"/>
      <c r="AB719" s="462"/>
      <c r="AC719" s="462"/>
      <c r="AD719" s="464"/>
      <c r="AE719" s="465"/>
    </row>
    <row r="720" spans="2:31" ht="14.4">
      <c r="B720" s="298">
        <v>9256902</v>
      </c>
      <c r="C720" s="216" t="s">
        <v>1110</v>
      </c>
      <c r="D720" s="217">
        <v>20</v>
      </c>
      <c r="E720" s="391"/>
      <c r="F720" s="262"/>
      <c r="G720" s="272">
        <v>253.36837</v>
      </c>
      <c r="H720" s="141" t="str">
        <f t="shared" si="52"/>
        <v>CZK</v>
      </c>
      <c r="I720" s="409" t="s">
        <v>47</v>
      </c>
      <c r="J720" s="625" t="s">
        <v>1616</v>
      </c>
      <c r="L720" s="86" t="e">
        <f>VLOOKUP(B720,$B$11:B719,1,FALSE)</f>
        <v>#N/A</v>
      </c>
      <c r="M720" s="256">
        <f>G720*(1-FORM!$AE$28/100)</f>
        <v>253.36837</v>
      </c>
      <c r="AA720" s="463"/>
      <c r="AB720" s="462"/>
      <c r="AC720" s="462"/>
      <c r="AD720" s="464"/>
      <c r="AE720" s="465"/>
    </row>
    <row r="721" spans="1:31" ht="14.4">
      <c r="B721" s="298">
        <v>9256905</v>
      </c>
      <c r="C721" s="216" t="s">
        <v>1111</v>
      </c>
      <c r="D721" s="217">
        <v>20</v>
      </c>
      <c r="E721" s="391"/>
      <c r="F721" s="262"/>
      <c r="G721" s="272">
        <v>258.22465999999997</v>
      </c>
      <c r="H721" s="141" t="str">
        <f t="shared" si="52"/>
        <v>CZK</v>
      </c>
      <c r="I721" s="409" t="s">
        <v>47</v>
      </c>
      <c r="J721" s="625" t="s">
        <v>1617</v>
      </c>
      <c r="L721" s="86" t="e">
        <f>VLOOKUP(B721,$B$11:B720,1,FALSE)</f>
        <v>#N/A</v>
      </c>
      <c r="M721" s="256">
        <f>G721*(1-FORM!$AE$28/100)</f>
        <v>258.22465999999997</v>
      </c>
      <c r="AA721" s="463"/>
      <c r="AB721" s="462"/>
      <c r="AC721" s="462"/>
      <c r="AD721" s="464"/>
      <c r="AE721" s="465"/>
    </row>
    <row r="722" spans="1:31" ht="14.4">
      <c r="B722" s="298">
        <v>9256906</v>
      </c>
      <c r="C722" s="216" t="s">
        <v>1112</v>
      </c>
      <c r="D722" s="217">
        <v>20</v>
      </c>
      <c r="E722" s="391"/>
      <c r="F722" s="262"/>
      <c r="G722" s="272">
        <v>258.22465999999997</v>
      </c>
      <c r="H722" s="141" t="str">
        <f t="shared" si="52"/>
        <v>CZK</v>
      </c>
      <c r="I722" s="409" t="s">
        <v>47</v>
      </c>
      <c r="J722" s="625" t="s">
        <v>1618</v>
      </c>
      <c r="L722" s="86" t="e">
        <f>VLOOKUP(B722,$B$11:B721,1,FALSE)</f>
        <v>#N/A</v>
      </c>
      <c r="M722" s="256">
        <f>G722*(1-FORM!$AE$28/100)</f>
        <v>258.22465999999997</v>
      </c>
      <c r="AA722" s="463"/>
      <c r="AB722" s="462"/>
      <c r="AC722" s="462"/>
      <c r="AD722" s="464"/>
      <c r="AE722" s="465"/>
    </row>
    <row r="723" spans="1:31" ht="14.4">
      <c r="B723" s="298">
        <v>9256909</v>
      </c>
      <c r="C723" s="216" t="s">
        <v>1113</v>
      </c>
      <c r="D723" s="217">
        <v>20</v>
      </c>
      <c r="E723" s="391"/>
      <c r="F723" s="262"/>
      <c r="G723" s="272">
        <v>263.07337999999999</v>
      </c>
      <c r="H723" s="141" t="str">
        <f t="shared" si="52"/>
        <v>CZK</v>
      </c>
      <c r="I723" s="409" t="s">
        <v>47</v>
      </c>
      <c r="J723" s="625" t="s">
        <v>1619</v>
      </c>
      <c r="L723" s="86" t="e">
        <f>VLOOKUP(B723,$B$11:B722,1,FALSE)</f>
        <v>#N/A</v>
      </c>
      <c r="M723" s="256">
        <f>G723*(1-FORM!$AE$28/100)</f>
        <v>263.07337999999999</v>
      </c>
      <c r="AA723" s="463"/>
      <c r="AB723" s="462"/>
      <c r="AC723" s="462"/>
      <c r="AD723" s="464"/>
      <c r="AE723" s="465"/>
    </row>
    <row r="724" spans="1:31" ht="14.4">
      <c r="B724" s="298">
        <v>9256910</v>
      </c>
      <c r="C724" s="216" t="s">
        <v>1114</v>
      </c>
      <c r="D724" s="217">
        <v>20</v>
      </c>
      <c r="E724" s="391"/>
      <c r="F724" s="262"/>
      <c r="G724" s="272">
        <v>263.07337999999999</v>
      </c>
      <c r="H724" s="141" t="str">
        <f t="shared" si="52"/>
        <v>CZK</v>
      </c>
      <c r="I724" s="409" t="s">
        <v>47</v>
      </c>
      <c r="J724" s="625" t="s">
        <v>1620</v>
      </c>
      <c r="L724" s="86" t="e">
        <f>VLOOKUP(B724,$B$11:B723,1,FALSE)</f>
        <v>#N/A</v>
      </c>
      <c r="M724" s="256">
        <f>G724*(1-FORM!$AE$28/100)</f>
        <v>263.07337999999999</v>
      </c>
      <c r="AA724" s="463"/>
      <c r="AB724" s="462"/>
      <c r="AC724" s="462"/>
      <c r="AD724" s="464"/>
      <c r="AE724" s="465"/>
    </row>
    <row r="725" spans="1:31" ht="14.4">
      <c r="B725" s="298">
        <v>9256913</v>
      </c>
      <c r="C725" s="216" t="s">
        <v>1115</v>
      </c>
      <c r="D725" s="217">
        <v>20</v>
      </c>
      <c r="E725" s="391"/>
      <c r="F725" s="262"/>
      <c r="G725" s="272">
        <v>267.92221999999998</v>
      </c>
      <c r="H725" s="141" t="str">
        <f t="shared" si="52"/>
        <v>CZK</v>
      </c>
      <c r="I725" s="409" t="s">
        <v>47</v>
      </c>
      <c r="J725" s="625" t="s">
        <v>1621</v>
      </c>
      <c r="L725" s="86" t="e">
        <f>VLOOKUP(B725,$B$11:B724,1,FALSE)</f>
        <v>#N/A</v>
      </c>
      <c r="M725" s="256">
        <f>G725*(1-FORM!$AE$28/100)</f>
        <v>267.92221999999998</v>
      </c>
      <c r="AA725" s="463"/>
      <c r="AB725" s="462"/>
      <c r="AC725" s="462"/>
      <c r="AD725" s="464"/>
      <c r="AE725" s="465"/>
    </row>
    <row r="726" spans="1:31" ht="14.4">
      <c r="B726" s="298">
        <v>9256914</v>
      </c>
      <c r="C726" s="216" t="s">
        <v>1116</v>
      </c>
      <c r="D726" s="217">
        <v>20</v>
      </c>
      <c r="E726" s="391"/>
      <c r="F726" s="262"/>
      <c r="G726" s="272">
        <v>267.92221999999998</v>
      </c>
      <c r="H726" s="141" t="str">
        <f t="shared" si="52"/>
        <v>CZK</v>
      </c>
      <c r="I726" s="409" t="s">
        <v>47</v>
      </c>
      <c r="J726" s="625" t="s">
        <v>1622</v>
      </c>
      <c r="L726" s="86" t="e">
        <f>VLOOKUP(B726,$B$11:B725,1,FALSE)</f>
        <v>#N/A</v>
      </c>
      <c r="M726" s="256">
        <f>G726*(1-FORM!$AE$28/100)</f>
        <v>267.92221999999998</v>
      </c>
      <c r="AA726" s="463"/>
      <c r="AB726" s="462"/>
      <c r="AC726" s="462"/>
      <c r="AD726" s="464"/>
      <c r="AE726" s="465"/>
    </row>
    <row r="727" spans="1:31" ht="14.4">
      <c r="B727" s="298">
        <v>9256917</v>
      </c>
      <c r="C727" s="216" t="s">
        <v>1117</v>
      </c>
      <c r="D727" s="217">
        <v>20</v>
      </c>
      <c r="E727" s="391"/>
      <c r="F727" s="262"/>
      <c r="G727" s="272">
        <v>265.52375999999998</v>
      </c>
      <c r="H727" s="141" t="str">
        <f t="shared" si="52"/>
        <v>CZK</v>
      </c>
      <c r="I727" s="409" t="s">
        <v>47</v>
      </c>
      <c r="J727" s="625" t="s">
        <v>1623</v>
      </c>
      <c r="L727" s="86" t="e">
        <f>VLOOKUP(B727,$B$11:B726,1,FALSE)</f>
        <v>#N/A</v>
      </c>
      <c r="M727" s="256">
        <f>G727*(1-FORM!$AE$28/100)</f>
        <v>265.52375999999998</v>
      </c>
      <c r="AA727" s="463"/>
      <c r="AB727" s="462"/>
      <c r="AC727" s="462"/>
      <c r="AD727" s="464"/>
      <c r="AE727" s="465"/>
    </row>
    <row r="728" spans="1:31" ht="14.4">
      <c r="B728" s="298">
        <v>9256918</v>
      </c>
      <c r="C728" s="216" t="s">
        <v>1118</v>
      </c>
      <c r="D728" s="217">
        <v>20</v>
      </c>
      <c r="E728" s="391"/>
      <c r="F728" s="262"/>
      <c r="G728" s="272">
        <v>265.52375999999998</v>
      </c>
      <c r="H728" s="141" t="str">
        <f t="shared" si="52"/>
        <v>CZK</v>
      </c>
      <c r="I728" s="409" t="s">
        <v>47</v>
      </c>
      <c r="J728" s="625" t="s">
        <v>1624</v>
      </c>
      <c r="L728" s="86" t="e">
        <f>VLOOKUP(B728,$B$11:B727,1,FALSE)</f>
        <v>#N/A</v>
      </c>
      <c r="M728" s="256">
        <f>G728*(1-FORM!$AE$28/100)</f>
        <v>265.52375999999998</v>
      </c>
      <c r="AA728" s="463"/>
      <c r="AB728" s="462"/>
      <c r="AC728" s="462"/>
      <c r="AD728" s="464"/>
      <c r="AE728" s="465"/>
    </row>
    <row r="729" spans="1:31" ht="14.4">
      <c r="B729" s="298">
        <v>9256921</v>
      </c>
      <c r="C729" s="216" t="s">
        <v>1119</v>
      </c>
      <c r="D729" s="217">
        <v>20</v>
      </c>
      <c r="E729" s="391"/>
      <c r="F729" s="262"/>
      <c r="G729" s="272">
        <v>270.22431</v>
      </c>
      <c r="H729" s="141" t="str">
        <f t="shared" si="52"/>
        <v>CZK</v>
      </c>
      <c r="I729" s="409" t="s">
        <v>47</v>
      </c>
      <c r="J729" s="625" t="s">
        <v>1625</v>
      </c>
      <c r="L729" s="86" t="e">
        <f>VLOOKUP(B729,$B$11:B728,1,FALSE)</f>
        <v>#N/A</v>
      </c>
      <c r="M729" s="256">
        <f>G729*(1-FORM!$AE$28/100)</f>
        <v>270.22431</v>
      </c>
      <c r="AA729" s="463"/>
      <c r="AB729" s="462"/>
      <c r="AC729" s="462"/>
      <c r="AD729" s="464"/>
      <c r="AE729" s="465"/>
    </row>
    <row r="730" spans="1:31" ht="14.4">
      <c r="B730" s="298">
        <v>9256922</v>
      </c>
      <c r="C730" s="216" t="s">
        <v>1120</v>
      </c>
      <c r="D730" s="217">
        <v>20</v>
      </c>
      <c r="E730" s="391"/>
      <c r="F730" s="262"/>
      <c r="G730" s="272">
        <v>277.60748999999998</v>
      </c>
      <c r="H730" s="141" t="str">
        <f t="shared" si="52"/>
        <v>CZK</v>
      </c>
      <c r="I730" s="409" t="s">
        <v>47</v>
      </c>
      <c r="J730" s="625" t="s">
        <v>1626</v>
      </c>
      <c r="L730" s="86" t="e">
        <f>VLOOKUP(B730,$B$11:B729,1,FALSE)</f>
        <v>#N/A</v>
      </c>
      <c r="M730" s="256">
        <f>G730*(1-FORM!$AE$28/100)</f>
        <v>277.60748999999998</v>
      </c>
      <c r="AA730" s="463"/>
      <c r="AB730" s="462"/>
      <c r="AC730" s="462"/>
      <c r="AD730" s="464"/>
      <c r="AE730" s="465"/>
    </row>
    <row r="731" spans="1:31" ht="14.4">
      <c r="B731" s="298">
        <v>9256925</v>
      </c>
      <c r="C731" s="216" t="s">
        <v>1121</v>
      </c>
      <c r="D731" s="217">
        <v>20</v>
      </c>
      <c r="E731" s="391"/>
      <c r="F731" s="262"/>
      <c r="G731" s="272">
        <v>282.45375999999999</v>
      </c>
      <c r="H731" s="141" t="str">
        <f t="shared" si="52"/>
        <v>CZK</v>
      </c>
      <c r="I731" s="409" t="s">
        <v>47</v>
      </c>
      <c r="J731" s="625" t="s">
        <v>1627</v>
      </c>
      <c r="L731" s="86" t="e">
        <f>VLOOKUP(B731,$B$11:B730,1,FALSE)</f>
        <v>#N/A</v>
      </c>
      <c r="M731" s="256">
        <f>G731*(1-FORM!$AE$28/100)</f>
        <v>282.45375999999999</v>
      </c>
      <c r="AA731" s="463"/>
      <c r="AB731" s="462"/>
      <c r="AC731" s="462"/>
      <c r="AD731" s="464"/>
      <c r="AE731" s="465"/>
    </row>
    <row r="732" spans="1:31" ht="14.4">
      <c r="B732" s="303">
        <v>9256926</v>
      </c>
      <c r="C732" s="304" t="s">
        <v>1122</v>
      </c>
      <c r="D732" s="226">
        <v>20</v>
      </c>
      <c r="E732" s="396"/>
      <c r="F732" s="268"/>
      <c r="G732" s="272">
        <v>282.45375999999999</v>
      </c>
      <c r="H732" s="142" t="str">
        <f t="shared" si="52"/>
        <v>CZK</v>
      </c>
      <c r="I732" s="417" t="s">
        <v>47</v>
      </c>
      <c r="J732" s="626" t="s">
        <v>1628</v>
      </c>
      <c r="L732" s="86" t="e">
        <f>VLOOKUP(B732,$B$11:B731,1,FALSE)</f>
        <v>#N/A</v>
      </c>
      <c r="M732" s="256">
        <f>G732*(1-FORM!$AE$28/100)</f>
        <v>282.45375999999999</v>
      </c>
      <c r="AA732" s="463"/>
      <c r="AB732" s="462"/>
      <c r="AC732" s="462"/>
      <c r="AD732" s="464"/>
      <c r="AE732" s="465"/>
    </row>
    <row r="733" spans="1:31" ht="14.4">
      <c r="B733" s="303"/>
      <c r="C733" s="304"/>
      <c r="D733" s="226"/>
      <c r="E733" s="396"/>
      <c r="F733" s="268"/>
      <c r="G733" s="272"/>
      <c r="H733" s="142"/>
      <c r="I733" s="417" t="s">
        <v>47</v>
      </c>
      <c r="J733" s="468"/>
      <c r="L733" s="86" t="e">
        <f>VLOOKUP(B733,$B$11:B732,1,FALSE)</f>
        <v>#N/A</v>
      </c>
      <c r="M733" s="256">
        <f>G733*(1-FORM!$AE$28/100)</f>
        <v>0</v>
      </c>
      <c r="AA733" s="463"/>
      <c r="AB733" s="462"/>
      <c r="AC733" s="462"/>
      <c r="AD733" s="464"/>
      <c r="AE733" s="465"/>
    </row>
    <row r="734" spans="1:31" ht="14.4">
      <c r="B734" s="300">
        <v>9219966</v>
      </c>
      <c r="C734" s="164" t="s">
        <v>1123</v>
      </c>
      <c r="D734" s="220">
        <v>200</v>
      </c>
      <c r="E734" s="393"/>
      <c r="F734" s="264"/>
      <c r="G734" s="272">
        <v>16.488900000000001</v>
      </c>
      <c r="H734" s="134" t="str">
        <f t="shared" si="52"/>
        <v>CZK</v>
      </c>
      <c r="I734" s="412" t="s">
        <v>47</v>
      </c>
      <c r="J734" s="628" t="s">
        <v>1326</v>
      </c>
      <c r="L734" s="86" t="e">
        <f>VLOOKUP(B734,$B$11:B733,1,FALSE)</f>
        <v>#N/A</v>
      </c>
      <c r="M734" s="256">
        <f>G734*(1-FORM!$AE$28/100)</f>
        <v>16.488900000000001</v>
      </c>
      <c r="AA734" s="463"/>
      <c r="AB734" s="462"/>
      <c r="AC734" s="462"/>
      <c r="AD734" s="464"/>
      <c r="AE734" s="465"/>
    </row>
    <row r="735" spans="1:31" ht="14.4">
      <c r="A735" s="86" t="s">
        <v>302</v>
      </c>
      <c r="B735" s="316"/>
      <c r="C735" s="164"/>
      <c r="D735" s="220"/>
      <c r="E735" s="399"/>
      <c r="F735" s="264"/>
      <c r="G735" s="272"/>
      <c r="H735" s="134"/>
      <c r="I735" s="412" t="s">
        <v>47</v>
      </c>
      <c r="J735" s="467"/>
      <c r="L735" s="86" t="e">
        <f>VLOOKUP(B735,$B$11:B734,1,FALSE)</f>
        <v>#N/A</v>
      </c>
      <c r="M735" s="256">
        <f>G735*(1-FORM!$AE$28/100)</f>
        <v>0</v>
      </c>
      <c r="AA735" s="463"/>
      <c r="AB735" s="462"/>
      <c r="AC735" s="462"/>
      <c r="AD735" s="464"/>
      <c r="AE735" s="465"/>
    </row>
    <row r="736" spans="1:31" ht="14.4">
      <c r="A736" s="137"/>
      <c r="B736" s="311"/>
      <c r="C736" s="312"/>
      <c r="D736" s="313"/>
      <c r="E736" s="400"/>
      <c r="F736" s="314"/>
      <c r="G736" s="315"/>
      <c r="H736" s="315"/>
      <c r="I736" s="419" t="s">
        <v>47</v>
      </c>
      <c r="J736" s="466"/>
      <c r="L736" s="86" t="e">
        <f>VLOOKUP(B736,$B$11:B735,1,FALSE)</f>
        <v>#N/A</v>
      </c>
      <c r="M736" s="256">
        <f>G736*(1-FORM!$AE$28/100)</f>
        <v>0</v>
      </c>
      <c r="AA736" s="463"/>
      <c r="AB736" s="462"/>
      <c r="AC736" s="462"/>
      <c r="AD736" s="464"/>
      <c r="AE736" s="465"/>
    </row>
    <row r="737" spans="1:31" ht="14.4">
      <c r="A737" s="137"/>
      <c r="B737" s="306"/>
      <c r="C737" s="307"/>
      <c r="D737" s="308"/>
      <c r="E737" s="401"/>
      <c r="F737" s="309"/>
      <c r="G737" s="310"/>
      <c r="H737" s="310"/>
      <c r="I737" s="420" t="s">
        <v>47</v>
      </c>
      <c r="J737" s="466"/>
      <c r="L737" s="86" t="e">
        <f>VLOOKUP(B737,$B$11:B736,1,FALSE)</f>
        <v>#N/A</v>
      </c>
      <c r="M737" s="256">
        <f>G737*(1-FORM!$AE$28/100)</f>
        <v>0</v>
      </c>
      <c r="AA737" s="463"/>
      <c r="AB737" s="462"/>
      <c r="AC737" s="462"/>
      <c r="AD737" s="464"/>
      <c r="AE737" s="465"/>
    </row>
    <row r="738" spans="1:31" ht="14.4">
      <c r="A738" s="137"/>
      <c r="B738" s="306"/>
      <c r="C738" s="307"/>
      <c r="D738" s="308"/>
      <c r="E738" s="401"/>
      <c r="F738" s="309"/>
      <c r="G738" s="310"/>
      <c r="H738" s="310"/>
      <c r="I738" s="420" t="s">
        <v>47</v>
      </c>
      <c r="J738" s="466"/>
      <c r="L738" s="86" t="e">
        <f>VLOOKUP(B738,$B$11:B737,1,FALSE)</f>
        <v>#N/A</v>
      </c>
      <c r="M738" s="256">
        <f>G738*(1-FORM!$AE$28/100)</f>
        <v>0</v>
      </c>
      <c r="AA738" s="463"/>
      <c r="AB738" s="462"/>
      <c r="AC738" s="462"/>
      <c r="AD738" s="464"/>
      <c r="AE738" s="465"/>
    </row>
    <row r="739" spans="1:31" ht="14.4">
      <c r="A739" s="137"/>
      <c r="B739" s="306"/>
      <c r="C739" s="307"/>
      <c r="D739" s="308"/>
      <c r="E739" s="401"/>
      <c r="F739" s="309"/>
      <c r="G739" s="310"/>
      <c r="H739" s="310"/>
      <c r="I739" s="420" t="s">
        <v>47</v>
      </c>
      <c r="J739" s="466"/>
      <c r="L739" s="86" t="e">
        <f>VLOOKUP(B739,$B$11:B738,1,FALSE)</f>
        <v>#N/A</v>
      </c>
      <c r="M739" s="256">
        <f>G739*(1-FORM!$AE$28/100)</f>
        <v>0</v>
      </c>
      <c r="AA739" s="463"/>
      <c r="AB739" s="462"/>
      <c r="AC739" s="462"/>
      <c r="AD739" s="464"/>
      <c r="AE739" s="465"/>
    </row>
    <row r="740" spans="1:31" ht="14.4">
      <c r="A740" s="137"/>
      <c r="B740" s="306"/>
      <c r="C740" s="307"/>
      <c r="D740" s="308"/>
      <c r="E740" s="401"/>
      <c r="F740" s="309"/>
      <c r="G740" s="310"/>
      <c r="H740" s="310"/>
      <c r="I740" s="420" t="s">
        <v>47</v>
      </c>
      <c r="J740" s="466"/>
      <c r="L740" s="86" t="e">
        <f>VLOOKUP(B740,$B$11:B739,1,FALSE)</f>
        <v>#N/A</v>
      </c>
      <c r="M740" s="256">
        <f>G740*(1-FORM!$AE$28/100)</f>
        <v>0</v>
      </c>
      <c r="AA740" s="463"/>
      <c r="AB740" s="462"/>
      <c r="AC740" s="462"/>
      <c r="AD740" s="464"/>
      <c r="AE740" s="465"/>
    </row>
    <row r="741" spans="1:31" ht="14.4">
      <c r="A741" s="137"/>
      <c r="B741" s="306"/>
      <c r="C741" s="307"/>
      <c r="D741" s="308"/>
      <c r="E741" s="401"/>
      <c r="F741" s="309"/>
      <c r="G741" s="310"/>
      <c r="H741" s="310"/>
      <c r="I741" s="420" t="s">
        <v>47</v>
      </c>
      <c r="J741" s="466"/>
      <c r="L741" s="86" t="e">
        <f>VLOOKUP(B741,$B$11:B740,1,FALSE)</f>
        <v>#N/A</v>
      </c>
      <c r="M741" s="256">
        <f>G741*(1-FORM!$AE$28/100)</f>
        <v>0</v>
      </c>
      <c r="AA741" s="463"/>
      <c r="AB741" s="462"/>
      <c r="AC741" s="462"/>
      <c r="AD741" s="464"/>
      <c r="AE741" s="465"/>
    </row>
    <row r="742" spans="1:31" ht="14.4">
      <c r="A742" s="137"/>
      <c r="B742" s="306"/>
      <c r="C742" s="307"/>
      <c r="D742" s="308"/>
      <c r="E742" s="401"/>
      <c r="F742" s="309"/>
      <c r="G742" s="310"/>
      <c r="H742" s="310"/>
      <c r="I742" s="420" t="s">
        <v>47</v>
      </c>
      <c r="J742" s="466"/>
      <c r="L742" s="86" t="e">
        <f>VLOOKUP(B742,$B$11:B741,1,FALSE)</f>
        <v>#N/A</v>
      </c>
      <c r="M742" s="256">
        <f>G742*(1-FORM!$AE$28/100)</f>
        <v>0</v>
      </c>
      <c r="AA742" s="463"/>
      <c r="AB742" s="462"/>
      <c r="AC742" s="462"/>
      <c r="AD742" s="464"/>
      <c r="AE742" s="465"/>
    </row>
    <row r="743" spans="1:31" ht="14.4" hidden="1">
      <c r="A743" s="137"/>
      <c r="B743" s="298"/>
      <c r="C743" s="216"/>
      <c r="D743" s="217"/>
      <c r="E743" s="391"/>
      <c r="F743" s="262"/>
      <c r="G743" s="272" t="e">
        <v>#N/A</v>
      </c>
      <c r="H743" s="141" t="e">
        <f t="shared" si="52"/>
        <v>#N/A</v>
      </c>
      <c r="I743" s="409" t="s">
        <v>47</v>
      </c>
      <c r="J743" s="466"/>
      <c r="L743" s="86" t="e">
        <f>VLOOKUP(B743,$B$11:B742,1,FALSE)</f>
        <v>#N/A</v>
      </c>
      <c r="M743" s="256" t="e">
        <f>G743*(1-FORM!$AE$28/100)</f>
        <v>#N/A</v>
      </c>
      <c r="AA743" s="463"/>
      <c r="AB743" s="462"/>
      <c r="AC743" s="462"/>
      <c r="AD743" s="464"/>
      <c r="AE743" s="465"/>
    </row>
    <row r="744" spans="1:31" ht="14.4" hidden="1">
      <c r="A744" s="137"/>
      <c r="B744" s="298"/>
      <c r="C744" s="216"/>
      <c r="D744" s="217"/>
      <c r="E744" s="391"/>
      <c r="F744" s="262"/>
      <c r="G744" s="272" t="e">
        <v>#N/A</v>
      </c>
      <c r="H744" s="141" t="e">
        <f t="shared" si="52"/>
        <v>#N/A</v>
      </c>
      <c r="I744" s="409" t="s">
        <v>47</v>
      </c>
      <c r="J744" s="466"/>
      <c r="L744" s="86" t="e">
        <f>VLOOKUP(B744,$B$11:B743,1,FALSE)</f>
        <v>#N/A</v>
      </c>
      <c r="M744" s="256" t="e">
        <f>G744*(1-FORM!$AE$28/100)</f>
        <v>#N/A</v>
      </c>
      <c r="AA744" s="463"/>
      <c r="AB744" s="462"/>
      <c r="AC744" s="462"/>
      <c r="AD744" s="464"/>
      <c r="AE744" s="465"/>
    </row>
    <row r="745" spans="1:31" ht="14.4" hidden="1">
      <c r="A745" s="137"/>
      <c r="B745" s="298"/>
      <c r="C745" s="216"/>
      <c r="D745" s="217"/>
      <c r="E745" s="391"/>
      <c r="F745" s="262"/>
      <c r="G745" s="272" t="e">
        <v>#N/A</v>
      </c>
      <c r="H745" s="141" t="e">
        <f t="shared" si="52"/>
        <v>#N/A</v>
      </c>
      <c r="I745" s="409" t="s">
        <v>47</v>
      </c>
      <c r="J745" s="466"/>
      <c r="L745" s="86" t="e">
        <f>VLOOKUP(B745,$B$11:B744,1,FALSE)</f>
        <v>#N/A</v>
      </c>
      <c r="M745" s="256" t="e">
        <f>G745*(1-FORM!$AE$28/100)</f>
        <v>#N/A</v>
      </c>
      <c r="AA745" s="463"/>
      <c r="AB745" s="462"/>
      <c r="AC745" s="462"/>
      <c r="AD745" s="464"/>
      <c r="AE745" s="465"/>
    </row>
    <row r="746" spans="1:31" ht="14.4" hidden="1">
      <c r="A746" s="137"/>
      <c r="B746" s="298"/>
      <c r="C746" s="216"/>
      <c r="D746" s="217"/>
      <c r="E746" s="391"/>
      <c r="F746" s="262"/>
      <c r="G746" s="272" t="e">
        <v>#N/A</v>
      </c>
      <c r="H746" s="141" t="e">
        <f t="shared" si="52"/>
        <v>#N/A</v>
      </c>
      <c r="I746" s="409" t="s">
        <v>47</v>
      </c>
      <c r="J746" s="466"/>
      <c r="L746" s="86" t="e">
        <f>VLOOKUP(B746,$B$11:B745,1,FALSE)</f>
        <v>#N/A</v>
      </c>
      <c r="M746" s="256" t="e">
        <f>G746*(1-FORM!$AE$28/100)</f>
        <v>#N/A</v>
      </c>
      <c r="AA746" s="463"/>
      <c r="AB746" s="462"/>
      <c r="AC746" s="462"/>
      <c r="AD746" s="464"/>
      <c r="AE746" s="465"/>
    </row>
    <row r="747" spans="1:31" ht="14.4" hidden="1">
      <c r="A747" s="137"/>
      <c r="B747" s="298"/>
      <c r="C747" s="216"/>
      <c r="D747" s="217"/>
      <c r="E747" s="391"/>
      <c r="F747" s="262"/>
      <c r="G747" s="272" t="e">
        <v>#N/A</v>
      </c>
      <c r="H747" s="141" t="e">
        <f t="shared" si="52"/>
        <v>#N/A</v>
      </c>
      <c r="I747" s="409" t="s">
        <v>47</v>
      </c>
      <c r="J747" s="466"/>
      <c r="L747" s="86" t="e">
        <f>VLOOKUP(B747,$B$11:B746,1,FALSE)</f>
        <v>#N/A</v>
      </c>
      <c r="M747" s="256" t="e">
        <f>G747*(1-FORM!$AE$28/100)</f>
        <v>#N/A</v>
      </c>
      <c r="AA747" s="463"/>
      <c r="AB747" s="462"/>
      <c r="AC747" s="462"/>
      <c r="AD747" s="464"/>
      <c r="AE747" s="465"/>
    </row>
    <row r="748" spans="1:31" ht="14.4" hidden="1">
      <c r="A748" s="137"/>
      <c r="B748" s="298"/>
      <c r="C748" s="216"/>
      <c r="D748" s="217"/>
      <c r="E748" s="391"/>
      <c r="F748" s="262"/>
      <c r="G748" s="272" t="e">
        <v>#N/A</v>
      </c>
      <c r="H748" s="141" t="e">
        <f>IF(G748="","",$H$10)</f>
        <v>#N/A</v>
      </c>
      <c r="I748" s="409" t="s">
        <v>47</v>
      </c>
      <c r="J748" s="466"/>
      <c r="L748" s="86" t="e">
        <f>VLOOKUP(B748,$B$11:B747,1,FALSE)</f>
        <v>#N/A</v>
      </c>
      <c r="M748" s="256" t="e">
        <f>G748*(1-FORM!$AE$28/100)</f>
        <v>#N/A</v>
      </c>
      <c r="AA748" s="463"/>
      <c r="AB748" s="462"/>
      <c r="AC748" s="462"/>
      <c r="AD748" s="464"/>
      <c r="AE748" s="465"/>
    </row>
    <row r="749" spans="1:31" ht="14.4" hidden="1">
      <c r="A749" s="137"/>
      <c r="B749" s="298"/>
      <c r="C749" s="216"/>
      <c r="D749" s="217"/>
      <c r="E749" s="391"/>
      <c r="F749" s="262"/>
      <c r="G749" s="272" t="e">
        <v>#N/A</v>
      </c>
      <c r="H749" s="141" t="e">
        <f t="shared" si="52"/>
        <v>#N/A</v>
      </c>
      <c r="I749" s="409" t="s">
        <v>47</v>
      </c>
      <c r="J749" s="466"/>
      <c r="L749" s="86" t="e">
        <f>VLOOKUP(B749,$B$11:B748,1,FALSE)</f>
        <v>#N/A</v>
      </c>
      <c r="M749" s="256" t="e">
        <f>G749*(1-FORM!$AE$28/100)</f>
        <v>#N/A</v>
      </c>
      <c r="AA749" s="463"/>
      <c r="AB749" s="462"/>
      <c r="AC749" s="462"/>
      <c r="AD749" s="464"/>
      <c r="AE749" s="465"/>
    </row>
    <row r="750" spans="1:31" ht="14.4" hidden="1">
      <c r="A750" s="137"/>
      <c r="B750" s="298"/>
      <c r="C750" s="216"/>
      <c r="D750" s="217"/>
      <c r="E750" s="391"/>
      <c r="F750" s="262"/>
      <c r="G750" s="272" t="e">
        <v>#N/A</v>
      </c>
      <c r="H750" s="141" t="e">
        <f t="shared" si="52"/>
        <v>#N/A</v>
      </c>
      <c r="I750" s="409" t="s">
        <v>47</v>
      </c>
      <c r="J750" s="466"/>
      <c r="L750" s="86" t="e">
        <f>VLOOKUP(B750,$B$11:B749,1,FALSE)</f>
        <v>#N/A</v>
      </c>
      <c r="M750" s="256" t="e">
        <f>G750*(1-FORM!$AE$28/100)</f>
        <v>#N/A</v>
      </c>
      <c r="AA750" s="463"/>
      <c r="AB750" s="462"/>
      <c r="AC750" s="462"/>
      <c r="AD750" s="464"/>
      <c r="AE750" s="465"/>
    </row>
    <row r="751" spans="1:31" ht="14.4" hidden="1">
      <c r="A751" s="137"/>
      <c r="B751" s="298"/>
      <c r="C751" s="216"/>
      <c r="D751" s="217"/>
      <c r="E751" s="391"/>
      <c r="F751" s="262"/>
      <c r="G751" s="272" t="e">
        <v>#N/A</v>
      </c>
      <c r="H751" s="141" t="e">
        <f t="shared" si="52"/>
        <v>#N/A</v>
      </c>
      <c r="I751" s="409" t="s">
        <v>47</v>
      </c>
      <c r="J751" s="466"/>
      <c r="L751" s="86" t="e">
        <f>VLOOKUP(B751,$B$11:B750,1,FALSE)</f>
        <v>#N/A</v>
      </c>
      <c r="M751" s="256" t="e">
        <f>G751*(1-FORM!$AE$28/100)</f>
        <v>#N/A</v>
      </c>
      <c r="AA751" s="463"/>
      <c r="AB751" s="462"/>
      <c r="AC751" s="462"/>
      <c r="AD751" s="464"/>
      <c r="AE751" s="465"/>
    </row>
    <row r="752" spans="1:31" ht="14.4" hidden="1">
      <c r="A752" s="137"/>
      <c r="B752" s="298"/>
      <c r="C752" s="216"/>
      <c r="D752" s="217"/>
      <c r="E752" s="391"/>
      <c r="F752" s="262"/>
      <c r="G752" s="272" t="e">
        <v>#N/A</v>
      </c>
      <c r="H752" s="141" t="e">
        <f t="shared" si="52"/>
        <v>#N/A</v>
      </c>
      <c r="I752" s="409" t="s">
        <v>47</v>
      </c>
      <c r="J752" s="466"/>
      <c r="L752" s="86" t="e">
        <f>VLOOKUP(B752,$B$11:B751,1,FALSE)</f>
        <v>#N/A</v>
      </c>
      <c r="M752" s="256" t="e">
        <f>G752*(1-FORM!$AE$28/100)</f>
        <v>#N/A</v>
      </c>
      <c r="AA752" s="463"/>
      <c r="AB752" s="462"/>
      <c r="AC752" s="462"/>
      <c r="AD752" s="464"/>
      <c r="AE752" s="465"/>
    </row>
    <row r="753" spans="1:31" ht="14.4" hidden="1">
      <c r="A753" s="137"/>
      <c r="B753" s="298"/>
      <c r="C753" s="216"/>
      <c r="D753" s="217"/>
      <c r="E753" s="391"/>
      <c r="F753" s="262"/>
      <c r="G753" s="272" t="e">
        <v>#N/A</v>
      </c>
      <c r="H753" s="141" t="e">
        <f t="shared" si="52"/>
        <v>#N/A</v>
      </c>
      <c r="I753" s="409" t="s">
        <v>47</v>
      </c>
      <c r="J753" s="466"/>
      <c r="L753" s="86" t="e">
        <f>VLOOKUP(B753,$B$11:B752,1,FALSE)</f>
        <v>#N/A</v>
      </c>
      <c r="M753" s="256" t="e">
        <f>G753*(1-FORM!$AE$28/100)</f>
        <v>#N/A</v>
      </c>
      <c r="AA753" s="463"/>
      <c r="AB753" s="462"/>
      <c r="AC753" s="462"/>
      <c r="AD753" s="464"/>
      <c r="AE753" s="465"/>
    </row>
    <row r="754" spans="1:31" ht="14.4" hidden="1">
      <c r="A754" s="137"/>
      <c r="B754" s="298"/>
      <c r="C754" s="216"/>
      <c r="D754" s="217"/>
      <c r="E754" s="391"/>
      <c r="F754" s="262"/>
      <c r="G754" s="272" t="e">
        <v>#N/A</v>
      </c>
      <c r="H754" s="141" t="e">
        <f t="shared" si="52"/>
        <v>#N/A</v>
      </c>
      <c r="I754" s="409" t="s">
        <v>47</v>
      </c>
      <c r="J754" s="466"/>
      <c r="L754" s="86" t="e">
        <f>VLOOKUP(B754,$B$11:B753,1,FALSE)</f>
        <v>#N/A</v>
      </c>
      <c r="M754" s="256" t="e">
        <f>G754*(1-FORM!$AE$28/100)</f>
        <v>#N/A</v>
      </c>
      <c r="AA754" s="463"/>
      <c r="AB754" s="462"/>
      <c r="AC754" s="462"/>
      <c r="AD754" s="464"/>
      <c r="AE754" s="465"/>
    </row>
    <row r="755" spans="1:31" ht="14.4" hidden="1">
      <c r="A755" s="137"/>
      <c r="B755" s="298"/>
      <c r="C755" s="216"/>
      <c r="D755" s="217"/>
      <c r="E755" s="391"/>
      <c r="F755" s="262"/>
      <c r="G755" s="272" t="e">
        <v>#N/A</v>
      </c>
      <c r="H755" s="141" t="e">
        <f t="shared" si="52"/>
        <v>#N/A</v>
      </c>
      <c r="I755" s="409" t="s">
        <v>47</v>
      </c>
      <c r="J755" s="466"/>
      <c r="L755" s="86" t="e">
        <f>VLOOKUP(B755,$B$11:B754,1,FALSE)</f>
        <v>#N/A</v>
      </c>
      <c r="M755" s="256" t="e">
        <f>G755*(1-FORM!$AE$28/100)</f>
        <v>#N/A</v>
      </c>
      <c r="AA755" s="463"/>
      <c r="AB755" s="462"/>
      <c r="AC755" s="462"/>
      <c r="AD755" s="464"/>
      <c r="AE755" s="465"/>
    </row>
    <row r="756" spans="1:31" ht="14.4" hidden="1">
      <c r="A756" s="137"/>
      <c r="B756" s="298"/>
      <c r="C756" s="216"/>
      <c r="D756" s="217"/>
      <c r="E756" s="391"/>
      <c r="F756" s="262"/>
      <c r="G756" s="272" t="e">
        <v>#N/A</v>
      </c>
      <c r="H756" s="141" t="e">
        <f t="shared" si="52"/>
        <v>#N/A</v>
      </c>
      <c r="I756" s="409" t="s">
        <v>47</v>
      </c>
      <c r="J756" s="466"/>
      <c r="L756" s="86" t="e">
        <f>VLOOKUP(B756,$B$11:B755,1,FALSE)</f>
        <v>#N/A</v>
      </c>
      <c r="M756" s="256" t="e">
        <f>G756*(1-FORM!$AE$28/100)</f>
        <v>#N/A</v>
      </c>
      <c r="AA756" s="463"/>
      <c r="AB756" s="462"/>
      <c r="AC756" s="462"/>
      <c r="AD756" s="464"/>
      <c r="AE756" s="465"/>
    </row>
    <row r="757" spans="1:31" ht="14.4" hidden="1">
      <c r="A757" s="137"/>
      <c r="B757" s="298"/>
      <c r="C757" s="216"/>
      <c r="D757" s="217"/>
      <c r="E757" s="391"/>
      <c r="F757" s="262"/>
      <c r="G757" s="272" t="e">
        <v>#N/A</v>
      </c>
      <c r="H757" s="141" t="e">
        <f t="shared" si="52"/>
        <v>#N/A</v>
      </c>
      <c r="I757" s="409" t="s">
        <v>47</v>
      </c>
      <c r="J757" s="466"/>
      <c r="L757" s="86" t="e">
        <f>VLOOKUP(B757,$B$11:B756,1,FALSE)</f>
        <v>#N/A</v>
      </c>
      <c r="M757" s="256" t="e">
        <f>G757*(1-FORM!$AE$28/100)</f>
        <v>#N/A</v>
      </c>
      <c r="AA757" s="463"/>
      <c r="AB757" s="462"/>
      <c r="AC757" s="462"/>
      <c r="AD757" s="464"/>
      <c r="AE757" s="465"/>
    </row>
    <row r="758" spans="1:31" ht="14.4" hidden="1">
      <c r="A758" s="139"/>
      <c r="B758" s="298"/>
      <c r="C758" s="216"/>
      <c r="D758" s="217"/>
      <c r="E758" s="391"/>
      <c r="F758" s="262"/>
      <c r="G758" s="272" t="e">
        <v>#N/A</v>
      </c>
      <c r="H758" s="141" t="e">
        <f t="shared" si="52"/>
        <v>#N/A</v>
      </c>
      <c r="I758" s="409" t="s">
        <v>47</v>
      </c>
      <c r="J758" s="466"/>
      <c r="L758" s="86" t="e">
        <f>VLOOKUP(B758,$B$11:B757,1,FALSE)</f>
        <v>#N/A</v>
      </c>
      <c r="M758" s="256" t="e">
        <f>G758*(1-FORM!$AE$28/100)</f>
        <v>#N/A</v>
      </c>
      <c r="AA758" s="463"/>
      <c r="AB758" s="462"/>
      <c r="AC758" s="462"/>
      <c r="AD758" s="464"/>
      <c r="AE758" s="465"/>
    </row>
    <row r="759" spans="1:31" ht="14.4" hidden="1">
      <c r="A759" s="139"/>
      <c r="B759" s="298"/>
      <c r="C759" s="216"/>
      <c r="D759" s="217"/>
      <c r="E759" s="391"/>
      <c r="F759" s="262"/>
      <c r="G759" s="272" t="e">
        <v>#N/A</v>
      </c>
      <c r="H759" s="141" t="e">
        <f t="shared" si="52"/>
        <v>#N/A</v>
      </c>
      <c r="I759" s="409" t="s">
        <v>47</v>
      </c>
      <c r="J759" s="466"/>
      <c r="L759" s="86" t="e">
        <f>VLOOKUP(B759,$B$11:B758,1,FALSE)</f>
        <v>#N/A</v>
      </c>
      <c r="M759" s="256" t="e">
        <f>G759*(1-FORM!$AE$28/100)</f>
        <v>#N/A</v>
      </c>
      <c r="AA759" s="463"/>
      <c r="AB759" s="462"/>
      <c r="AC759" s="462"/>
      <c r="AD759" s="464"/>
      <c r="AE759" s="465"/>
    </row>
    <row r="760" spans="1:31" ht="14.4" hidden="1">
      <c r="A760" s="139"/>
      <c r="B760" s="298"/>
      <c r="C760" s="216"/>
      <c r="D760" s="217"/>
      <c r="E760" s="391"/>
      <c r="F760" s="262"/>
      <c r="G760" s="272" t="e">
        <v>#N/A</v>
      </c>
      <c r="H760" s="141" t="e">
        <f t="shared" si="52"/>
        <v>#N/A</v>
      </c>
      <c r="I760" s="409" t="s">
        <v>47</v>
      </c>
      <c r="J760" s="466"/>
      <c r="L760" s="86" t="e">
        <f>VLOOKUP(B760,$B$11:B759,1,FALSE)</f>
        <v>#N/A</v>
      </c>
      <c r="M760" s="256" t="e">
        <f>G760*(1-FORM!$AE$28/100)</f>
        <v>#N/A</v>
      </c>
      <c r="AA760" s="463"/>
      <c r="AB760" s="462"/>
      <c r="AC760" s="462"/>
      <c r="AD760" s="464"/>
      <c r="AE760" s="465"/>
    </row>
    <row r="761" spans="1:31" ht="14.4" hidden="1">
      <c r="A761" s="139"/>
      <c r="B761" s="298"/>
      <c r="C761" s="216"/>
      <c r="D761" s="217"/>
      <c r="E761" s="391"/>
      <c r="F761" s="262"/>
      <c r="G761" s="272" t="e">
        <v>#N/A</v>
      </c>
      <c r="H761" s="141" t="e">
        <f t="shared" si="52"/>
        <v>#N/A</v>
      </c>
      <c r="I761" s="409" t="s">
        <v>47</v>
      </c>
      <c r="J761" s="466"/>
      <c r="L761" s="86" t="e">
        <f>VLOOKUP(B761,$B$11:B760,1,FALSE)</f>
        <v>#N/A</v>
      </c>
      <c r="M761" s="256" t="e">
        <f>G761*(1-FORM!$AE$28/100)</f>
        <v>#N/A</v>
      </c>
      <c r="AA761" s="463"/>
      <c r="AB761" s="462"/>
      <c r="AC761" s="462"/>
      <c r="AD761" s="464"/>
      <c r="AE761" s="465"/>
    </row>
    <row r="762" spans="1:31" ht="14.4" hidden="1">
      <c r="A762" s="139"/>
      <c r="B762" s="298"/>
      <c r="C762" s="216"/>
      <c r="D762" s="217"/>
      <c r="E762" s="391"/>
      <c r="F762" s="262"/>
      <c r="G762" s="272" t="e">
        <v>#N/A</v>
      </c>
      <c r="H762" s="141" t="e">
        <f t="shared" si="52"/>
        <v>#N/A</v>
      </c>
      <c r="I762" s="409" t="s">
        <v>47</v>
      </c>
      <c r="J762" s="466"/>
      <c r="L762" s="86" t="e">
        <f>VLOOKUP(B762,$B$11:B761,1,FALSE)</f>
        <v>#N/A</v>
      </c>
      <c r="M762" s="256" t="e">
        <f>G762*(1-FORM!$AE$28/100)</f>
        <v>#N/A</v>
      </c>
      <c r="AA762" s="463"/>
      <c r="AB762" s="462"/>
      <c r="AC762" s="462"/>
      <c r="AD762" s="464"/>
      <c r="AE762" s="465"/>
    </row>
    <row r="763" spans="1:31" ht="14.4" hidden="1">
      <c r="A763" s="139"/>
      <c r="B763" s="298"/>
      <c r="C763" s="216"/>
      <c r="D763" s="217"/>
      <c r="E763" s="391"/>
      <c r="F763" s="262"/>
      <c r="G763" s="272" t="e">
        <v>#N/A</v>
      </c>
      <c r="H763" s="141" t="e">
        <f>IF(G763="","",$H$10)</f>
        <v>#N/A</v>
      </c>
      <c r="I763" s="409" t="s">
        <v>47</v>
      </c>
      <c r="J763" s="466"/>
      <c r="L763" s="86" t="e">
        <f>VLOOKUP(B763,$B$11:B762,1,FALSE)</f>
        <v>#N/A</v>
      </c>
      <c r="M763" s="256" t="e">
        <f>G763*(1-FORM!$AE$28/100)</f>
        <v>#N/A</v>
      </c>
      <c r="AA763" s="463"/>
      <c r="AB763" s="462"/>
      <c r="AC763" s="462"/>
      <c r="AD763" s="464"/>
      <c r="AE763" s="465"/>
    </row>
    <row r="764" spans="1:31" ht="14.4" hidden="1">
      <c r="A764" s="139"/>
      <c r="B764" s="298"/>
      <c r="C764" s="216"/>
      <c r="D764" s="217"/>
      <c r="E764" s="391"/>
      <c r="F764" s="262"/>
      <c r="G764" s="272" t="e">
        <v>#N/A</v>
      </c>
      <c r="H764" s="141" t="e">
        <f>IF(G764="","",$H$10)</f>
        <v>#N/A</v>
      </c>
      <c r="I764" s="409" t="s">
        <v>47</v>
      </c>
      <c r="J764" s="466"/>
      <c r="L764" s="86" t="e">
        <f>VLOOKUP(B764,$B$11:B763,1,FALSE)</f>
        <v>#N/A</v>
      </c>
      <c r="M764" s="256" t="e">
        <f>G764*(1-FORM!$AE$28/100)</f>
        <v>#N/A</v>
      </c>
      <c r="AA764" s="463"/>
      <c r="AB764" s="462"/>
      <c r="AC764" s="462"/>
      <c r="AD764" s="464"/>
      <c r="AE764" s="465"/>
    </row>
    <row r="765" spans="1:31" ht="14.4" hidden="1">
      <c r="A765" s="139"/>
      <c r="B765" s="298"/>
      <c r="C765" s="216"/>
      <c r="D765" s="217"/>
      <c r="E765" s="391"/>
      <c r="F765" s="262"/>
      <c r="G765" s="272" t="e">
        <v>#N/A</v>
      </c>
      <c r="H765" s="141" t="e">
        <f>IF(G765="","",$H$10)</f>
        <v>#N/A</v>
      </c>
      <c r="I765" s="409" t="s">
        <v>47</v>
      </c>
      <c r="J765" s="466"/>
      <c r="L765" s="86" t="e">
        <f>VLOOKUP(B765,$B$11:B764,1,FALSE)</f>
        <v>#N/A</v>
      </c>
      <c r="M765" s="256" t="e">
        <f>G765*(1-FORM!$AE$28/100)</f>
        <v>#N/A</v>
      </c>
      <c r="AA765" s="463"/>
      <c r="AB765" s="462"/>
      <c r="AC765" s="462"/>
      <c r="AD765" s="464"/>
      <c r="AE765" s="465"/>
    </row>
    <row r="766" spans="1:31" ht="14.4" hidden="1">
      <c r="A766" s="139"/>
      <c r="B766" s="298"/>
      <c r="C766" s="216"/>
      <c r="D766" s="217"/>
      <c r="E766" s="391"/>
      <c r="F766" s="262"/>
      <c r="G766" s="272" t="e">
        <v>#N/A</v>
      </c>
      <c r="H766" s="141" t="e">
        <f t="shared" ref="H766:H796" si="53">IF(G766="","",$H$10)</f>
        <v>#N/A</v>
      </c>
      <c r="I766" s="409" t="s">
        <v>47</v>
      </c>
      <c r="J766" s="466"/>
      <c r="L766" s="86" t="e">
        <f>VLOOKUP(B766,$B$11:B765,1,FALSE)</f>
        <v>#N/A</v>
      </c>
      <c r="M766" s="256" t="e">
        <f>G766*(1-FORM!$AE$28/100)</f>
        <v>#N/A</v>
      </c>
      <c r="AA766" s="463"/>
      <c r="AB766" s="462"/>
      <c r="AC766" s="462"/>
      <c r="AD766" s="464"/>
      <c r="AE766" s="465"/>
    </row>
    <row r="767" spans="1:31" ht="14.4" hidden="1">
      <c r="A767" s="139"/>
      <c r="B767" s="298"/>
      <c r="C767" s="216"/>
      <c r="D767" s="217"/>
      <c r="E767" s="391"/>
      <c r="F767" s="262"/>
      <c r="G767" s="272" t="e">
        <v>#N/A</v>
      </c>
      <c r="H767" s="141" t="e">
        <f t="shared" si="53"/>
        <v>#N/A</v>
      </c>
      <c r="I767" s="409" t="s">
        <v>47</v>
      </c>
      <c r="J767" s="466"/>
      <c r="L767" s="86" t="e">
        <f>VLOOKUP(B767,$B$11:B766,1,FALSE)</f>
        <v>#N/A</v>
      </c>
      <c r="M767" s="256" t="e">
        <f>G767*(1-FORM!$AE$28/100)</f>
        <v>#N/A</v>
      </c>
      <c r="AA767" s="463"/>
      <c r="AB767" s="462"/>
      <c r="AC767" s="462"/>
      <c r="AD767" s="464"/>
      <c r="AE767" s="465"/>
    </row>
    <row r="768" spans="1:31" ht="14.4" hidden="1">
      <c r="A768" s="139"/>
      <c r="B768" s="298"/>
      <c r="C768" s="216"/>
      <c r="D768" s="217"/>
      <c r="E768" s="391"/>
      <c r="F768" s="262"/>
      <c r="G768" s="272" t="e">
        <v>#N/A</v>
      </c>
      <c r="H768" s="141" t="e">
        <f t="shared" si="53"/>
        <v>#N/A</v>
      </c>
      <c r="I768" s="409" t="s">
        <v>47</v>
      </c>
      <c r="J768" s="466"/>
      <c r="L768" s="86" t="e">
        <f>VLOOKUP(B768,$B$11:B767,1,FALSE)</f>
        <v>#N/A</v>
      </c>
      <c r="M768" s="256" t="e">
        <f>G768*(1-FORM!$AE$28/100)</f>
        <v>#N/A</v>
      </c>
      <c r="AA768" s="463"/>
      <c r="AB768" s="462"/>
      <c r="AC768" s="462"/>
      <c r="AD768" s="464"/>
      <c r="AE768" s="465"/>
    </row>
    <row r="769" spans="1:31" ht="14.4" hidden="1">
      <c r="A769" s="139"/>
      <c r="B769" s="298"/>
      <c r="C769" s="216"/>
      <c r="D769" s="217"/>
      <c r="E769" s="391"/>
      <c r="F769" s="262"/>
      <c r="G769" s="272" t="e">
        <v>#N/A</v>
      </c>
      <c r="H769" s="141" t="e">
        <f t="shared" si="53"/>
        <v>#N/A</v>
      </c>
      <c r="I769" s="409" t="s">
        <v>47</v>
      </c>
      <c r="J769" s="466"/>
      <c r="L769" s="86" t="e">
        <f>VLOOKUP(B769,$B$11:B768,1,FALSE)</f>
        <v>#N/A</v>
      </c>
      <c r="M769" s="256" t="e">
        <f>G769*(1-FORM!$AE$28/100)</f>
        <v>#N/A</v>
      </c>
      <c r="AA769" s="463"/>
      <c r="AB769" s="462"/>
      <c r="AC769" s="462"/>
      <c r="AD769" s="464"/>
      <c r="AE769" s="465"/>
    </row>
    <row r="770" spans="1:31" ht="14.4" hidden="1">
      <c r="A770" s="139"/>
      <c r="B770" s="298"/>
      <c r="C770" s="216"/>
      <c r="D770" s="217"/>
      <c r="E770" s="391"/>
      <c r="F770" s="262"/>
      <c r="G770" s="272" t="e">
        <v>#N/A</v>
      </c>
      <c r="H770" s="141" t="e">
        <f t="shared" si="53"/>
        <v>#N/A</v>
      </c>
      <c r="I770" s="409" t="s">
        <v>47</v>
      </c>
      <c r="J770" s="466"/>
      <c r="L770" s="86" t="e">
        <f>VLOOKUP(B770,$B$11:B769,1,FALSE)</f>
        <v>#N/A</v>
      </c>
      <c r="M770" s="256" t="e">
        <f>G770*(1-FORM!$AE$28/100)</f>
        <v>#N/A</v>
      </c>
      <c r="AA770" s="463"/>
      <c r="AB770" s="462"/>
      <c r="AC770" s="462"/>
      <c r="AD770" s="464"/>
      <c r="AE770" s="465"/>
    </row>
    <row r="771" spans="1:31" ht="14.4" hidden="1">
      <c r="A771" s="139"/>
      <c r="B771" s="298"/>
      <c r="C771" s="216"/>
      <c r="D771" s="217"/>
      <c r="E771" s="391"/>
      <c r="F771" s="262"/>
      <c r="G771" s="272" t="e">
        <v>#N/A</v>
      </c>
      <c r="H771" s="141" t="e">
        <f t="shared" si="53"/>
        <v>#N/A</v>
      </c>
      <c r="I771" s="409" t="s">
        <v>47</v>
      </c>
      <c r="J771" s="466"/>
      <c r="L771" s="86" t="e">
        <f>VLOOKUP(B771,$B$11:B770,1,FALSE)</f>
        <v>#N/A</v>
      </c>
      <c r="M771" s="256" t="e">
        <f>G771*(1-FORM!$AE$28/100)</f>
        <v>#N/A</v>
      </c>
      <c r="AA771" s="463"/>
      <c r="AB771" s="462"/>
      <c r="AC771" s="462"/>
      <c r="AD771" s="464"/>
      <c r="AE771" s="465"/>
    </row>
    <row r="772" spans="1:31" ht="14.4" hidden="1">
      <c r="A772" s="139"/>
      <c r="B772" s="298"/>
      <c r="C772" s="216"/>
      <c r="D772" s="217"/>
      <c r="E772" s="391"/>
      <c r="F772" s="262"/>
      <c r="G772" s="272" t="e">
        <v>#N/A</v>
      </c>
      <c r="H772" s="141" t="e">
        <f t="shared" si="53"/>
        <v>#N/A</v>
      </c>
      <c r="I772" s="409" t="s">
        <v>47</v>
      </c>
      <c r="J772" s="466"/>
      <c r="L772" s="86" t="e">
        <f>VLOOKUP(B772,$B$11:B771,1,FALSE)</f>
        <v>#N/A</v>
      </c>
      <c r="M772" s="256" t="e">
        <f>G772*(1-FORM!$AE$28/100)</f>
        <v>#N/A</v>
      </c>
      <c r="AA772" s="463"/>
      <c r="AB772" s="462"/>
      <c r="AC772" s="462"/>
      <c r="AD772" s="464"/>
      <c r="AE772" s="465"/>
    </row>
    <row r="773" spans="1:31" ht="14.4" hidden="1">
      <c r="A773" s="139"/>
      <c r="B773" s="298"/>
      <c r="C773" s="216"/>
      <c r="D773" s="217"/>
      <c r="E773" s="391"/>
      <c r="F773" s="262"/>
      <c r="G773" s="272" t="e">
        <v>#N/A</v>
      </c>
      <c r="H773" s="141" t="e">
        <f t="shared" si="53"/>
        <v>#N/A</v>
      </c>
      <c r="I773" s="409" t="s">
        <v>47</v>
      </c>
      <c r="J773" s="466"/>
      <c r="L773" s="86" t="e">
        <f>VLOOKUP(B773,$B$11:B772,1,FALSE)</f>
        <v>#N/A</v>
      </c>
      <c r="M773" s="256" t="e">
        <f>G773*(1-FORM!$AE$28/100)</f>
        <v>#N/A</v>
      </c>
      <c r="AA773" s="463"/>
      <c r="AB773" s="462"/>
      <c r="AC773" s="462"/>
      <c r="AD773" s="464"/>
      <c r="AE773" s="465"/>
    </row>
    <row r="774" spans="1:31" ht="14.4" hidden="1">
      <c r="A774" s="139"/>
      <c r="B774" s="298"/>
      <c r="C774" s="216"/>
      <c r="D774" s="217"/>
      <c r="E774" s="391"/>
      <c r="F774" s="262"/>
      <c r="G774" s="272" t="e">
        <v>#N/A</v>
      </c>
      <c r="H774" s="141" t="e">
        <f t="shared" si="53"/>
        <v>#N/A</v>
      </c>
      <c r="I774" s="409" t="s">
        <v>47</v>
      </c>
      <c r="J774" s="466"/>
      <c r="L774" s="86" t="e">
        <f>VLOOKUP(B774,$B$11:B773,1,FALSE)</f>
        <v>#N/A</v>
      </c>
      <c r="M774" s="256" t="e">
        <f>G774*(1-FORM!$AE$28/100)</f>
        <v>#N/A</v>
      </c>
      <c r="AA774" s="463"/>
      <c r="AB774" s="462"/>
      <c r="AC774" s="462"/>
      <c r="AD774" s="464"/>
      <c r="AE774" s="465"/>
    </row>
    <row r="775" spans="1:31" ht="14.4" hidden="1">
      <c r="A775" s="139"/>
      <c r="B775" s="298"/>
      <c r="C775" s="216"/>
      <c r="D775" s="217"/>
      <c r="E775" s="391"/>
      <c r="F775" s="262"/>
      <c r="G775" s="272" t="e">
        <v>#N/A</v>
      </c>
      <c r="H775" s="141" t="e">
        <f t="shared" si="53"/>
        <v>#N/A</v>
      </c>
      <c r="I775" s="409" t="s">
        <v>47</v>
      </c>
      <c r="J775" s="466"/>
      <c r="L775" s="86" t="e">
        <f>VLOOKUP(B775,$B$11:B774,1,FALSE)</f>
        <v>#N/A</v>
      </c>
      <c r="M775" s="256" t="e">
        <f>G775*(1-FORM!$AE$28/100)</f>
        <v>#N/A</v>
      </c>
      <c r="AA775" s="463"/>
      <c r="AB775" s="462"/>
      <c r="AC775" s="462"/>
      <c r="AD775" s="464"/>
      <c r="AE775" s="465"/>
    </row>
    <row r="776" spans="1:31" ht="14.4" hidden="1">
      <c r="A776" s="139"/>
      <c r="B776" s="298"/>
      <c r="C776" s="216"/>
      <c r="D776" s="217"/>
      <c r="E776" s="391"/>
      <c r="F776" s="262"/>
      <c r="G776" s="272" t="e">
        <v>#N/A</v>
      </c>
      <c r="H776" s="141" t="e">
        <f t="shared" si="53"/>
        <v>#N/A</v>
      </c>
      <c r="I776" s="409" t="s">
        <v>47</v>
      </c>
      <c r="J776" s="466"/>
      <c r="L776" s="86" t="e">
        <f>VLOOKUP(B776,$B$11:B775,1,FALSE)</f>
        <v>#N/A</v>
      </c>
      <c r="M776" s="256" t="e">
        <f>G776*(1-FORM!$AE$28/100)</f>
        <v>#N/A</v>
      </c>
      <c r="AA776" s="463"/>
      <c r="AB776" s="462"/>
      <c r="AC776" s="462"/>
      <c r="AD776" s="464"/>
      <c r="AE776" s="465"/>
    </row>
    <row r="777" spans="1:31" ht="14.4" hidden="1">
      <c r="A777" s="139"/>
      <c r="B777" s="298"/>
      <c r="C777" s="216"/>
      <c r="D777" s="217"/>
      <c r="E777" s="391"/>
      <c r="F777" s="262"/>
      <c r="G777" s="272" t="e">
        <v>#N/A</v>
      </c>
      <c r="H777" s="141" t="e">
        <f t="shared" si="53"/>
        <v>#N/A</v>
      </c>
      <c r="I777" s="409" t="s">
        <v>47</v>
      </c>
      <c r="J777" s="466"/>
      <c r="L777" s="86" t="e">
        <f>VLOOKUP(B777,$B$11:B776,1,FALSE)</f>
        <v>#N/A</v>
      </c>
      <c r="M777" s="256" t="e">
        <f>G777*(1-FORM!$AE$28/100)</f>
        <v>#N/A</v>
      </c>
      <c r="AA777" s="463"/>
      <c r="AB777" s="462"/>
      <c r="AC777" s="462"/>
      <c r="AD777" s="464"/>
      <c r="AE777" s="465"/>
    </row>
    <row r="778" spans="1:31" ht="14.4" hidden="1">
      <c r="A778" s="139"/>
      <c r="B778" s="298"/>
      <c r="C778" s="216"/>
      <c r="D778" s="217"/>
      <c r="E778" s="391"/>
      <c r="F778" s="262"/>
      <c r="G778" s="272" t="e">
        <v>#N/A</v>
      </c>
      <c r="H778" s="141" t="e">
        <f t="shared" si="53"/>
        <v>#N/A</v>
      </c>
      <c r="I778" s="409" t="s">
        <v>47</v>
      </c>
      <c r="J778" s="466"/>
      <c r="L778" s="86" t="e">
        <f>VLOOKUP(B778,$B$11:B777,1,FALSE)</f>
        <v>#N/A</v>
      </c>
      <c r="M778" s="256" t="e">
        <f>G778*(1-FORM!$AE$28/100)</f>
        <v>#N/A</v>
      </c>
      <c r="AA778" s="463"/>
      <c r="AB778" s="462"/>
      <c r="AC778" s="462"/>
      <c r="AD778" s="464"/>
      <c r="AE778" s="465"/>
    </row>
    <row r="779" spans="1:31" ht="14.4" hidden="1">
      <c r="A779" s="139"/>
      <c r="B779" s="298"/>
      <c r="C779" s="216"/>
      <c r="D779" s="217"/>
      <c r="E779" s="391"/>
      <c r="F779" s="262"/>
      <c r="G779" s="272" t="e">
        <v>#N/A</v>
      </c>
      <c r="H779" s="141" t="e">
        <f t="shared" si="53"/>
        <v>#N/A</v>
      </c>
      <c r="I779" s="409" t="s">
        <v>47</v>
      </c>
      <c r="J779" s="466"/>
      <c r="L779" s="86" t="e">
        <f>VLOOKUP(B779,$B$11:B778,1,FALSE)</f>
        <v>#N/A</v>
      </c>
      <c r="M779" s="256" t="e">
        <f>G779*(1-FORM!$AE$28/100)</f>
        <v>#N/A</v>
      </c>
      <c r="AA779" s="463"/>
      <c r="AB779" s="462"/>
      <c r="AC779" s="462"/>
      <c r="AD779" s="464"/>
      <c r="AE779" s="465"/>
    </row>
    <row r="780" spans="1:31" ht="14.4" hidden="1">
      <c r="A780" s="139"/>
      <c r="B780" s="298"/>
      <c r="C780" s="216"/>
      <c r="D780" s="217"/>
      <c r="E780" s="391"/>
      <c r="F780" s="262"/>
      <c r="G780" s="272" t="e">
        <v>#N/A</v>
      </c>
      <c r="H780" s="141" t="e">
        <f t="shared" si="53"/>
        <v>#N/A</v>
      </c>
      <c r="I780" s="409" t="s">
        <v>47</v>
      </c>
      <c r="J780" s="466"/>
      <c r="L780" s="86" t="e">
        <f>VLOOKUP(B780,$B$11:B779,1,FALSE)</f>
        <v>#N/A</v>
      </c>
      <c r="M780" s="256" t="e">
        <f>G780*(1-FORM!$AE$28/100)</f>
        <v>#N/A</v>
      </c>
      <c r="AA780" s="463"/>
      <c r="AB780" s="462"/>
      <c r="AC780" s="462"/>
      <c r="AD780" s="464"/>
      <c r="AE780" s="465"/>
    </row>
    <row r="781" spans="1:31" ht="14.4" hidden="1">
      <c r="A781" s="139"/>
      <c r="B781" s="298"/>
      <c r="C781" s="216"/>
      <c r="D781" s="217"/>
      <c r="E781" s="391"/>
      <c r="F781" s="262"/>
      <c r="G781" s="272" t="e">
        <v>#N/A</v>
      </c>
      <c r="H781" s="141" t="e">
        <f t="shared" si="53"/>
        <v>#N/A</v>
      </c>
      <c r="I781" s="409" t="s">
        <v>47</v>
      </c>
      <c r="J781" s="466"/>
      <c r="L781" s="86" t="e">
        <f>VLOOKUP(B781,$B$11:B780,1,FALSE)</f>
        <v>#N/A</v>
      </c>
      <c r="M781" s="256" t="e">
        <f>G781*(1-FORM!$AE$28/100)</f>
        <v>#N/A</v>
      </c>
      <c r="AA781" s="463"/>
      <c r="AB781" s="462"/>
      <c r="AC781" s="462"/>
      <c r="AD781" s="464"/>
      <c r="AE781" s="465"/>
    </row>
    <row r="782" spans="1:31" ht="14.4" hidden="1">
      <c r="A782" s="139"/>
      <c r="B782" s="298"/>
      <c r="C782" s="216"/>
      <c r="D782" s="217"/>
      <c r="E782" s="391"/>
      <c r="F782" s="262"/>
      <c r="G782" s="272" t="e">
        <v>#N/A</v>
      </c>
      <c r="H782" s="141" t="e">
        <f t="shared" si="53"/>
        <v>#N/A</v>
      </c>
      <c r="I782" s="409" t="s">
        <v>47</v>
      </c>
      <c r="J782" s="466"/>
      <c r="L782" s="86" t="e">
        <f>VLOOKUP(B782,$B$11:B781,1,FALSE)</f>
        <v>#N/A</v>
      </c>
      <c r="M782" s="256" t="e">
        <f>G782*(1-FORM!$AE$28/100)</f>
        <v>#N/A</v>
      </c>
      <c r="AA782" s="463"/>
      <c r="AB782" s="462"/>
      <c r="AC782" s="462"/>
      <c r="AD782" s="464"/>
      <c r="AE782" s="465"/>
    </row>
    <row r="783" spans="1:31" ht="14.4" hidden="1">
      <c r="A783" s="139"/>
      <c r="B783" s="298"/>
      <c r="C783" s="216"/>
      <c r="D783" s="217"/>
      <c r="E783" s="391"/>
      <c r="F783" s="262"/>
      <c r="G783" s="272" t="e">
        <v>#N/A</v>
      </c>
      <c r="H783" s="141" t="e">
        <f t="shared" si="53"/>
        <v>#N/A</v>
      </c>
      <c r="I783" s="409" t="s">
        <v>47</v>
      </c>
      <c r="J783" s="466"/>
      <c r="L783" s="86" t="e">
        <f>VLOOKUP(B783,$B$11:B782,1,FALSE)</f>
        <v>#N/A</v>
      </c>
      <c r="M783" s="256" t="e">
        <f>G783*(1-FORM!$AE$28/100)</f>
        <v>#N/A</v>
      </c>
      <c r="AA783" s="463"/>
      <c r="AB783" s="462"/>
      <c r="AC783" s="462"/>
      <c r="AD783" s="464"/>
      <c r="AE783" s="465"/>
    </row>
    <row r="784" spans="1:31" ht="14.4" hidden="1">
      <c r="A784" s="139"/>
      <c r="B784" s="298"/>
      <c r="C784" s="216"/>
      <c r="D784" s="217"/>
      <c r="E784" s="391"/>
      <c r="F784" s="262"/>
      <c r="G784" s="272" t="e">
        <v>#N/A</v>
      </c>
      <c r="H784" s="141" t="e">
        <f t="shared" si="53"/>
        <v>#N/A</v>
      </c>
      <c r="I784" s="409" t="s">
        <v>47</v>
      </c>
      <c r="J784" s="466"/>
      <c r="L784" s="86" t="e">
        <f>VLOOKUP(B784,$B$11:B783,1,FALSE)</f>
        <v>#N/A</v>
      </c>
      <c r="M784" s="256" t="e">
        <f>G784*(1-FORM!$AE$28/100)</f>
        <v>#N/A</v>
      </c>
      <c r="AA784" s="463"/>
      <c r="AB784" s="462"/>
      <c r="AC784" s="462"/>
      <c r="AD784" s="464"/>
      <c r="AE784" s="465"/>
    </row>
    <row r="785" spans="1:31" ht="14.4" hidden="1">
      <c r="A785" s="139"/>
      <c r="B785" s="298"/>
      <c r="C785" s="216"/>
      <c r="D785" s="217"/>
      <c r="E785" s="391"/>
      <c r="F785" s="262"/>
      <c r="G785" s="272" t="e">
        <v>#N/A</v>
      </c>
      <c r="H785" s="141" t="e">
        <f>IF(G785="","",$H$10)</f>
        <v>#N/A</v>
      </c>
      <c r="I785" s="409" t="s">
        <v>47</v>
      </c>
      <c r="J785" s="466"/>
      <c r="L785" s="86" t="e">
        <f>VLOOKUP(B785,$B$11:B784,1,FALSE)</f>
        <v>#N/A</v>
      </c>
      <c r="M785" s="256" t="e">
        <f>G785*(1-FORM!$AE$28/100)</f>
        <v>#N/A</v>
      </c>
      <c r="AA785" s="463"/>
      <c r="AB785" s="462"/>
      <c r="AC785" s="462"/>
      <c r="AD785" s="464"/>
      <c r="AE785" s="465"/>
    </row>
    <row r="786" spans="1:31" ht="14.4" hidden="1">
      <c r="A786" s="139"/>
      <c r="B786" s="298"/>
      <c r="C786" s="216"/>
      <c r="D786" s="217"/>
      <c r="E786" s="391"/>
      <c r="F786" s="262"/>
      <c r="G786" s="272" t="e">
        <v>#N/A</v>
      </c>
      <c r="H786" s="141" t="e">
        <f t="shared" si="53"/>
        <v>#N/A</v>
      </c>
      <c r="I786" s="409" t="s">
        <v>47</v>
      </c>
      <c r="J786" s="466"/>
      <c r="L786" s="86" t="e">
        <f>VLOOKUP(B786,$B$11:B785,1,FALSE)</f>
        <v>#N/A</v>
      </c>
      <c r="M786" s="256" t="e">
        <f>G786*(1-FORM!$AE$28/100)</f>
        <v>#N/A</v>
      </c>
      <c r="AA786" s="463"/>
      <c r="AB786" s="462"/>
      <c r="AC786" s="462"/>
      <c r="AD786" s="464"/>
      <c r="AE786" s="465"/>
    </row>
    <row r="787" spans="1:31" ht="14.4" hidden="1">
      <c r="A787" s="139"/>
      <c r="B787" s="298"/>
      <c r="C787" s="216"/>
      <c r="D787" s="217"/>
      <c r="E787" s="391"/>
      <c r="F787" s="262"/>
      <c r="G787" s="272" t="e">
        <v>#N/A</v>
      </c>
      <c r="H787" s="141" t="e">
        <f t="shared" si="53"/>
        <v>#N/A</v>
      </c>
      <c r="I787" s="409" t="s">
        <v>47</v>
      </c>
      <c r="J787" s="466"/>
      <c r="L787" s="86" t="e">
        <f>VLOOKUP(B787,$B$11:B786,1,FALSE)</f>
        <v>#N/A</v>
      </c>
      <c r="M787" s="256" t="e">
        <f>G787*(1-FORM!$AE$28/100)</f>
        <v>#N/A</v>
      </c>
      <c r="AA787" s="463"/>
      <c r="AB787" s="462"/>
      <c r="AC787" s="462"/>
      <c r="AD787" s="464"/>
      <c r="AE787" s="465"/>
    </row>
    <row r="788" spans="1:31" ht="14.4" hidden="1">
      <c r="A788" s="139"/>
      <c r="B788" s="298"/>
      <c r="C788" s="216"/>
      <c r="D788" s="217"/>
      <c r="E788" s="391"/>
      <c r="F788" s="262"/>
      <c r="G788" s="272" t="e">
        <v>#N/A</v>
      </c>
      <c r="H788" s="141" t="e">
        <f t="shared" si="53"/>
        <v>#N/A</v>
      </c>
      <c r="I788" s="409" t="s">
        <v>47</v>
      </c>
      <c r="J788" s="466"/>
      <c r="L788" s="86" t="e">
        <f>VLOOKUP(B788,$B$11:B787,1,FALSE)</f>
        <v>#N/A</v>
      </c>
      <c r="M788" s="256" t="e">
        <f>G788*(1-FORM!$AE$28/100)</f>
        <v>#N/A</v>
      </c>
      <c r="AA788" s="463"/>
      <c r="AB788" s="462"/>
      <c r="AC788" s="462"/>
      <c r="AD788" s="464"/>
      <c r="AE788" s="465"/>
    </row>
    <row r="789" spans="1:31" ht="14.4" hidden="1">
      <c r="A789" s="139"/>
      <c r="B789" s="298"/>
      <c r="C789" s="216"/>
      <c r="D789" s="217"/>
      <c r="E789" s="391"/>
      <c r="F789" s="262"/>
      <c r="G789" s="272" t="e">
        <v>#N/A</v>
      </c>
      <c r="H789" s="141" t="e">
        <f t="shared" si="53"/>
        <v>#N/A</v>
      </c>
      <c r="I789" s="409" t="s">
        <v>47</v>
      </c>
      <c r="J789" s="466"/>
      <c r="L789" s="86" t="e">
        <f>VLOOKUP(B789,$B$11:B788,1,FALSE)</f>
        <v>#N/A</v>
      </c>
      <c r="M789" s="256" t="e">
        <f>G789*(1-FORM!$AE$28/100)</f>
        <v>#N/A</v>
      </c>
      <c r="AA789" s="463"/>
      <c r="AB789" s="462"/>
      <c r="AC789" s="462"/>
      <c r="AD789" s="464"/>
      <c r="AE789" s="465"/>
    </row>
    <row r="790" spans="1:31" ht="14.4" hidden="1">
      <c r="A790" s="139"/>
      <c r="B790" s="298"/>
      <c r="C790" s="216"/>
      <c r="D790" s="217"/>
      <c r="E790" s="391"/>
      <c r="F790" s="262"/>
      <c r="G790" s="272" t="e">
        <v>#N/A</v>
      </c>
      <c r="H790" s="141" t="e">
        <f t="shared" si="53"/>
        <v>#N/A</v>
      </c>
      <c r="I790" s="409" t="s">
        <v>47</v>
      </c>
      <c r="J790" s="466"/>
      <c r="L790" s="86" t="e">
        <f>VLOOKUP(B790,$B$11:B789,1,FALSE)</f>
        <v>#N/A</v>
      </c>
      <c r="M790" s="256" t="e">
        <f>G790*(1-FORM!$AE$28/100)</f>
        <v>#N/A</v>
      </c>
      <c r="AA790" s="463"/>
      <c r="AB790" s="462"/>
      <c r="AC790" s="462"/>
      <c r="AD790" s="464"/>
      <c r="AE790" s="465"/>
    </row>
    <row r="791" spans="1:31" ht="14.4" hidden="1">
      <c r="A791" s="139"/>
      <c r="B791" s="298"/>
      <c r="C791" s="216"/>
      <c r="D791" s="217"/>
      <c r="E791" s="391"/>
      <c r="F791" s="262"/>
      <c r="G791" s="272" t="e">
        <v>#N/A</v>
      </c>
      <c r="H791" s="141" t="e">
        <f t="shared" si="53"/>
        <v>#N/A</v>
      </c>
      <c r="I791" s="409" t="s">
        <v>47</v>
      </c>
      <c r="J791" s="466"/>
      <c r="L791" s="86" t="e">
        <f>VLOOKUP(B791,$B$11:B790,1,FALSE)</f>
        <v>#N/A</v>
      </c>
      <c r="M791" s="256" t="e">
        <f>G791*(1-FORM!$AE$28/100)</f>
        <v>#N/A</v>
      </c>
      <c r="AA791" s="463"/>
      <c r="AB791" s="462"/>
      <c r="AC791" s="462"/>
      <c r="AD791" s="464"/>
      <c r="AE791" s="465"/>
    </row>
    <row r="792" spans="1:31" ht="14.4" hidden="1">
      <c r="A792" s="139"/>
      <c r="B792" s="298"/>
      <c r="C792" s="216"/>
      <c r="D792" s="217"/>
      <c r="E792" s="391"/>
      <c r="F792" s="262"/>
      <c r="G792" s="272" t="e">
        <v>#N/A</v>
      </c>
      <c r="H792" s="141" t="e">
        <f t="shared" si="53"/>
        <v>#N/A</v>
      </c>
      <c r="I792" s="409" t="s">
        <v>47</v>
      </c>
      <c r="J792" s="466"/>
      <c r="L792" s="86" t="e">
        <f>VLOOKUP(B792,$B$11:B791,1,FALSE)</f>
        <v>#N/A</v>
      </c>
      <c r="M792" s="256" t="e">
        <f>G792*(1-FORM!$AE$28/100)</f>
        <v>#N/A</v>
      </c>
      <c r="AA792" s="463"/>
      <c r="AB792" s="462"/>
      <c r="AC792" s="462"/>
      <c r="AD792" s="464"/>
      <c r="AE792" s="465"/>
    </row>
    <row r="793" spans="1:31" ht="14.4" hidden="1">
      <c r="A793" s="139"/>
      <c r="B793" s="298"/>
      <c r="C793" s="216"/>
      <c r="D793" s="217"/>
      <c r="E793" s="391"/>
      <c r="F793" s="262"/>
      <c r="G793" s="272" t="e">
        <v>#N/A</v>
      </c>
      <c r="H793" s="141" t="e">
        <f t="shared" si="53"/>
        <v>#N/A</v>
      </c>
      <c r="I793" s="409" t="s">
        <v>47</v>
      </c>
      <c r="J793" s="466"/>
      <c r="L793" s="86" t="e">
        <f>VLOOKUP(B793,$B$11:B792,1,FALSE)</f>
        <v>#N/A</v>
      </c>
      <c r="M793" s="256" t="e">
        <f>G793*(1-FORM!$AE$28/100)</f>
        <v>#N/A</v>
      </c>
      <c r="AA793" s="463"/>
      <c r="AB793" s="462"/>
      <c r="AC793" s="462"/>
      <c r="AD793" s="464"/>
      <c r="AE793" s="465"/>
    </row>
    <row r="794" spans="1:31" ht="14.4" hidden="1">
      <c r="A794" s="139"/>
      <c r="B794" s="298"/>
      <c r="C794" s="216"/>
      <c r="D794" s="217"/>
      <c r="E794" s="391"/>
      <c r="F794" s="262"/>
      <c r="G794" s="272" t="e">
        <v>#N/A</v>
      </c>
      <c r="H794" s="141" t="e">
        <f t="shared" si="53"/>
        <v>#N/A</v>
      </c>
      <c r="I794" s="409" t="s">
        <v>47</v>
      </c>
      <c r="J794" s="466"/>
      <c r="L794" s="86" t="e">
        <f>VLOOKUP(B794,$B$11:B793,1,FALSE)</f>
        <v>#N/A</v>
      </c>
      <c r="M794" s="256" t="e">
        <f>G794*(1-FORM!$AE$28/100)</f>
        <v>#N/A</v>
      </c>
      <c r="AA794" s="463"/>
      <c r="AB794" s="462"/>
      <c r="AC794" s="462"/>
      <c r="AD794" s="464"/>
      <c r="AE794" s="465"/>
    </row>
    <row r="795" spans="1:31" ht="14.4" hidden="1">
      <c r="B795" s="298"/>
      <c r="C795" s="216"/>
      <c r="D795" s="217"/>
      <c r="E795" s="391"/>
      <c r="F795" s="262"/>
      <c r="G795" s="272" t="e">
        <v>#N/A</v>
      </c>
      <c r="H795" s="141" t="e">
        <f t="shared" si="53"/>
        <v>#N/A</v>
      </c>
      <c r="I795" s="409" t="s">
        <v>47</v>
      </c>
      <c r="J795" s="466"/>
      <c r="L795" s="86" t="e">
        <f>VLOOKUP(B795,$B$11:B794,1,FALSE)</f>
        <v>#N/A</v>
      </c>
      <c r="M795" s="256" t="e">
        <f>G795*(1-FORM!$AE$28/100)</f>
        <v>#N/A</v>
      </c>
      <c r="AA795" s="463"/>
      <c r="AB795" s="462"/>
      <c r="AC795" s="462"/>
      <c r="AD795" s="464"/>
      <c r="AE795" s="465"/>
    </row>
    <row r="796" spans="1:31" ht="14.4" hidden="1">
      <c r="B796" s="298"/>
      <c r="C796" s="216"/>
      <c r="D796" s="217"/>
      <c r="E796" s="391"/>
      <c r="F796" s="262"/>
      <c r="G796" s="272" t="e">
        <v>#N/A</v>
      </c>
      <c r="H796" s="141" t="e">
        <f t="shared" si="53"/>
        <v>#N/A</v>
      </c>
      <c r="I796" s="409" t="s">
        <v>47</v>
      </c>
      <c r="J796" s="466"/>
      <c r="L796" s="86" t="e">
        <f>VLOOKUP(B796,$B$11:B795,1,FALSE)</f>
        <v>#N/A</v>
      </c>
      <c r="M796" s="256" t="e">
        <f>G796*(1-FORM!$AE$28/100)</f>
        <v>#N/A</v>
      </c>
      <c r="AA796" s="463"/>
      <c r="AB796" s="462"/>
      <c r="AC796" s="462"/>
      <c r="AD796" s="464"/>
      <c r="AE796" s="465"/>
    </row>
    <row r="797" spans="1:31" ht="14.4" hidden="1">
      <c r="B797" s="298"/>
      <c r="C797" s="216"/>
      <c r="D797" s="217"/>
      <c r="E797" s="391"/>
      <c r="F797" s="262"/>
      <c r="G797" s="272" t="e">
        <v>#N/A</v>
      </c>
      <c r="H797" s="141" t="e">
        <f t="shared" ref="H797:H860" si="54">IF(G797="","",$H$10)</f>
        <v>#N/A</v>
      </c>
      <c r="I797" s="409" t="s">
        <v>47</v>
      </c>
      <c r="J797" s="466"/>
      <c r="L797" s="86" t="e">
        <f>VLOOKUP(B797,$B$11:B796,1,FALSE)</f>
        <v>#N/A</v>
      </c>
      <c r="M797" s="256" t="e">
        <f>G797*(1-FORM!$AE$28/100)</f>
        <v>#N/A</v>
      </c>
      <c r="AA797" s="463"/>
      <c r="AB797" s="462"/>
      <c r="AC797" s="462"/>
      <c r="AD797" s="464"/>
      <c r="AE797" s="465"/>
    </row>
    <row r="798" spans="1:31" ht="14.4" hidden="1">
      <c r="B798" s="298"/>
      <c r="C798" s="216"/>
      <c r="D798" s="217"/>
      <c r="E798" s="391"/>
      <c r="F798" s="262"/>
      <c r="G798" s="272" t="e">
        <v>#N/A</v>
      </c>
      <c r="H798" s="141" t="e">
        <f t="shared" si="54"/>
        <v>#N/A</v>
      </c>
      <c r="I798" s="409" t="s">
        <v>47</v>
      </c>
      <c r="J798" s="466"/>
      <c r="L798" s="86" t="e">
        <f>VLOOKUP(B798,$B$11:B797,1,FALSE)</f>
        <v>#N/A</v>
      </c>
      <c r="M798" s="256" t="e">
        <f>G798*(1-FORM!$AE$28/100)</f>
        <v>#N/A</v>
      </c>
      <c r="AA798" s="463"/>
      <c r="AB798" s="462"/>
      <c r="AC798" s="462"/>
      <c r="AD798" s="464"/>
      <c r="AE798" s="465"/>
    </row>
    <row r="799" spans="1:31" ht="14.4" hidden="1">
      <c r="B799" s="298"/>
      <c r="C799" s="216"/>
      <c r="D799" s="217"/>
      <c r="E799" s="391"/>
      <c r="F799" s="262"/>
      <c r="G799" s="272" t="e">
        <v>#N/A</v>
      </c>
      <c r="H799" s="141" t="e">
        <f t="shared" si="54"/>
        <v>#N/A</v>
      </c>
      <c r="I799" s="409" t="s">
        <v>47</v>
      </c>
      <c r="J799" s="466"/>
      <c r="L799" s="86" t="e">
        <f>VLOOKUP(B799,$B$11:B798,1,FALSE)</f>
        <v>#N/A</v>
      </c>
      <c r="M799" s="256" t="e">
        <f>G799*(1-FORM!$AE$28/100)</f>
        <v>#N/A</v>
      </c>
      <c r="AA799" s="463"/>
      <c r="AB799" s="462"/>
      <c r="AC799" s="462"/>
      <c r="AD799" s="464"/>
      <c r="AE799" s="465"/>
    </row>
    <row r="800" spans="1:31" ht="14.4" hidden="1">
      <c r="B800" s="298"/>
      <c r="C800" s="216"/>
      <c r="D800" s="217"/>
      <c r="E800" s="391"/>
      <c r="F800" s="262"/>
      <c r="G800" s="272" t="e">
        <v>#N/A</v>
      </c>
      <c r="H800" s="141" t="e">
        <f t="shared" si="54"/>
        <v>#N/A</v>
      </c>
      <c r="I800" s="409" t="s">
        <v>47</v>
      </c>
      <c r="J800" s="466"/>
      <c r="L800" s="86" t="e">
        <f>VLOOKUP(B800,$B$11:B799,1,FALSE)</f>
        <v>#N/A</v>
      </c>
      <c r="M800" s="256" t="e">
        <f>G800*(1-FORM!$AE$28/100)</f>
        <v>#N/A</v>
      </c>
      <c r="AA800" s="463"/>
      <c r="AB800" s="462"/>
      <c r="AC800" s="462"/>
      <c r="AD800" s="464"/>
      <c r="AE800" s="465"/>
    </row>
    <row r="801" spans="2:31" ht="14.4" hidden="1">
      <c r="B801" s="298"/>
      <c r="C801" s="216"/>
      <c r="D801" s="217"/>
      <c r="E801" s="391"/>
      <c r="F801" s="262"/>
      <c r="G801" s="272" t="e">
        <v>#N/A</v>
      </c>
      <c r="H801" s="141" t="e">
        <f t="shared" si="54"/>
        <v>#N/A</v>
      </c>
      <c r="I801" s="409" t="s">
        <v>47</v>
      </c>
      <c r="J801" s="466"/>
      <c r="L801" s="86" t="e">
        <f>VLOOKUP(B801,$B$11:B800,1,FALSE)</f>
        <v>#N/A</v>
      </c>
      <c r="M801" s="256" t="e">
        <f>G801*(1-FORM!$AE$28/100)</f>
        <v>#N/A</v>
      </c>
      <c r="AA801" s="463"/>
      <c r="AB801" s="462"/>
      <c r="AC801" s="462"/>
      <c r="AD801" s="464"/>
      <c r="AE801" s="465"/>
    </row>
    <row r="802" spans="2:31" ht="14.4" hidden="1">
      <c r="B802" s="298"/>
      <c r="C802" s="216"/>
      <c r="D802" s="217"/>
      <c r="E802" s="391"/>
      <c r="F802" s="262"/>
      <c r="G802" s="272" t="e">
        <v>#N/A</v>
      </c>
      <c r="H802" s="141" t="e">
        <f t="shared" si="54"/>
        <v>#N/A</v>
      </c>
      <c r="I802" s="409" t="s">
        <v>47</v>
      </c>
      <c r="J802" s="466"/>
      <c r="L802" s="86" t="e">
        <f>VLOOKUP(B802,$B$11:B801,1,FALSE)</f>
        <v>#N/A</v>
      </c>
      <c r="M802" s="256" t="e">
        <f>G802*(1-FORM!$AE$28/100)</f>
        <v>#N/A</v>
      </c>
      <c r="AA802" s="463"/>
      <c r="AB802" s="462"/>
      <c r="AC802" s="462"/>
      <c r="AD802" s="464"/>
      <c r="AE802" s="465"/>
    </row>
    <row r="803" spans="2:31" ht="14.4" hidden="1">
      <c r="B803" s="298"/>
      <c r="C803" s="216"/>
      <c r="D803" s="217"/>
      <c r="E803" s="391"/>
      <c r="F803" s="262"/>
      <c r="G803" s="272" t="e">
        <v>#N/A</v>
      </c>
      <c r="H803" s="141" t="e">
        <f t="shared" si="54"/>
        <v>#N/A</v>
      </c>
      <c r="I803" s="409" t="s">
        <v>47</v>
      </c>
      <c r="J803" s="466"/>
      <c r="L803" s="86" t="e">
        <f>VLOOKUP(B803,$B$11:B802,1,FALSE)</f>
        <v>#N/A</v>
      </c>
      <c r="M803" s="256" t="e">
        <f>G803*(1-FORM!$AE$28/100)</f>
        <v>#N/A</v>
      </c>
      <c r="AA803" s="463"/>
      <c r="AB803" s="462"/>
      <c r="AC803" s="462"/>
      <c r="AD803" s="464"/>
      <c r="AE803" s="465"/>
    </row>
    <row r="804" spans="2:31" ht="14.4" hidden="1">
      <c r="B804" s="298"/>
      <c r="C804" s="216"/>
      <c r="D804" s="217"/>
      <c r="E804" s="391"/>
      <c r="F804" s="262"/>
      <c r="G804" s="272" t="e">
        <v>#N/A</v>
      </c>
      <c r="H804" s="141" t="e">
        <f t="shared" si="54"/>
        <v>#N/A</v>
      </c>
      <c r="I804" s="409" t="s">
        <v>47</v>
      </c>
      <c r="J804" s="466"/>
      <c r="L804" s="86" t="e">
        <f>VLOOKUP(B804,$B$11:B803,1,FALSE)</f>
        <v>#N/A</v>
      </c>
      <c r="M804" s="256" t="e">
        <f>G804*(1-FORM!$AE$28/100)</f>
        <v>#N/A</v>
      </c>
      <c r="AA804" s="463"/>
      <c r="AB804" s="462"/>
      <c r="AC804" s="462"/>
      <c r="AD804" s="464"/>
      <c r="AE804" s="465"/>
    </row>
    <row r="805" spans="2:31" ht="14.4" hidden="1">
      <c r="B805" s="298"/>
      <c r="C805" s="216"/>
      <c r="D805" s="217"/>
      <c r="E805" s="391"/>
      <c r="F805" s="262"/>
      <c r="G805" s="272" t="e">
        <v>#N/A</v>
      </c>
      <c r="H805" s="141" t="e">
        <f t="shared" si="54"/>
        <v>#N/A</v>
      </c>
      <c r="I805" s="409" t="s">
        <v>47</v>
      </c>
      <c r="J805" s="466"/>
      <c r="L805" s="86" t="e">
        <f>VLOOKUP(B805,$B$11:B804,1,FALSE)</f>
        <v>#N/A</v>
      </c>
      <c r="M805" s="256" t="e">
        <f>G805*(1-FORM!$AE$28/100)</f>
        <v>#N/A</v>
      </c>
      <c r="AA805" s="463"/>
      <c r="AB805" s="462"/>
      <c r="AC805" s="462"/>
      <c r="AD805" s="464"/>
      <c r="AE805" s="465"/>
    </row>
    <row r="806" spans="2:31" ht="14.4" hidden="1">
      <c r="B806" s="298"/>
      <c r="C806" s="216"/>
      <c r="D806" s="217"/>
      <c r="E806" s="391"/>
      <c r="F806" s="262"/>
      <c r="G806" s="272" t="e">
        <v>#N/A</v>
      </c>
      <c r="H806" s="141" t="e">
        <f t="shared" si="54"/>
        <v>#N/A</v>
      </c>
      <c r="I806" s="409" t="s">
        <v>47</v>
      </c>
      <c r="J806" s="466"/>
      <c r="L806" s="86" t="e">
        <f>VLOOKUP(B806,$B$11:B805,1,FALSE)</f>
        <v>#N/A</v>
      </c>
      <c r="M806" s="256" t="e">
        <f>G806*(1-FORM!$AE$28/100)</f>
        <v>#N/A</v>
      </c>
      <c r="AA806" s="463"/>
      <c r="AB806" s="462"/>
      <c r="AC806" s="462"/>
      <c r="AD806" s="464"/>
      <c r="AE806" s="465"/>
    </row>
    <row r="807" spans="2:31" ht="14.4" hidden="1">
      <c r="B807" s="298"/>
      <c r="C807" s="216"/>
      <c r="D807" s="217"/>
      <c r="E807" s="391"/>
      <c r="F807" s="262"/>
      <c r="G807" s="272" t="e">
        <v>#N/A</v>
      </c>
      <c r="H807" s="141" t="e">
        <f t="shared" si="54"/>
        <v>#N/A</v>
      </c>
      <c r="I807" s="409" t="s">
        <v>47</v>
      </c>
      <c r="J807" s="466"/>
      <c r="L807" s="86" t="e">
        <f>VLOOKUP(B807,$B$11:B806,1,FALSE)</f>
        <v>#N/A</v>
      </c>
      <c r="M807" s="256" t="e">
        <f>G807*(1-FORM!$AE$28/100)</f>
        <v>#N/A</v>
      </c>
      <c r="AA807" s="463"/>
      <c r="AB807" s="462"/>
      <c r="AC807" s="462"/>
      <c r="AD807" s="464"/>
      <c r="AE807" s="465"/>
    </row>
    <row r="808" spans="2:31" ht="14.4" hidden="1">
      <c r="B808" s="298"/>
      <c r="C808" s="216"/>
      <c r="D808" s="217"/>
      <c r="E808" s="391"/>
      <c r="F808" s="262"/>
      <c r="G808" s="272" t="e">
        <v>#N/A</v>
      </c>
      <c r="H808" s="141" t="e">
        <f t="shared" si="54"/>
        <v>#N/A</v>
      </c>
      <c r="I808" s="409" t="s">
        <v>47</v>
      </c>
      <c r="J808" s="466"/>
      <c r="L808" s="86" t="e">
        <f>VLOOKUP(B808,$B$11:B807,1,FALSE)</f>
        <v>#N/A</v>
      </c>
      <c r="M808" s="256" t="e">
        <f>G808*(1-FORM!$AE$28/100)</f>
        <v>#N/A</v>
      </c>
      <c r="AA808" s="463"/>
      <c r="AB808" s="462"/>
      <c r="AC808" s="462"/>
      <c r="AD808" s="464"/>
      <c r="AE808" s="465"/>
    </row>
    <row r="809" spans="2:31" ht="14.4" hidden="1">
      <c r="B809" s="298"/>
      <c r="C809" s="216"/>
      <c r="D809" s="217"/>
      <c r="E809" s="391"/>
      <c r="F809" s="262"/>
      <c r="G809" s="272" t="e">
        <v>#N/A</v>
      </c>
      <c r="H809" s="141" t="e">
        <f t="shared" si="54"/>
        <v>#N/A</v>
      </c>
      <c r="I809" s="409" t="s">
        <v>47</v>
      </c>
      <c r="J809" s="466"/>
      <c r="L809" s="86" t="e">
        <f>VLOOKUP(B809,$B$11:B808,1,FALSE)</f>
        <v>#N/A</v>
      </c>
      <c r="M809" s="256" t="e">
        <f>G809*(1-FORM!$AE$28/100)</f>
        <v>#N/A</v>
      </c>
      <c r="AA809" s="463"/>
      <c r="AB809" s="462"/>
      <c r="AC809" s="462"/>
      <c r="AD809" s="464"/>
      <c r="AE809" s="465"/>
    </row>
    <row r="810" spans="2:31" ht="14.4" hidden="1">
      <c r="B810" s="298"/>
      <c r="C810" s="216"/>
      <c r="D810" s="217"/>
      <c r="E810" s="391"/>
      <c r="F810" s="262"/>
      <c r="G810" s="272" t="e">
        <v>#N/A</v>
      </c>
      <c r="H810" s="141" t="e">
        <f t="shared" si="54"/>
        <v>#N/A</v>
      </c>
      <c r="I810" s="409" t="s">
        <v>47</v>
      </c>
      <c r="J810" s="466"/>
      <c r="L810" s="86" t="e">
        <f>VLOOKUP(B810,$B$11:B809,1,FALSE)</f>
        <v>#N/A</v>
      </c>
      <c r="M810" s="256" t="e">
        <f>G810*(1-FORM!$AE$28/100)</f>
        <v>#N/A</v>
      </c>
      <c r="AA810" s="463"/>
      <c r="AB810" s="462"/>
      <c r="AC810" s="462"/>
      <c r="AD810" s="464"/>
      <c r="AE810" s="465"/>
    </row>
    <row r="811" spans="2:31" ht="14.4" hidden="1">
      <c r="B811" s="298"/>
      <c r="C811" s="216"/>
      <c r="D811" s="217"/>
      <c r="E811" s="391"/>
      <c r="F811" s="262"/>
      <c r="G811" s="272" t="e">
        <v>#N/A</v>
      </c>
      <c r="H811" s="141" t="e">
        <f t="shared" si="54"/>
        <v>#N/A</v>
      </c>
      <c r="I811" s="409" t="s">
        <v>47</v>
      </c>
      <c r="J811" s="466"/>
      <c r="L811" s="86" t="e">
        <f>VLOOKUP(B811,$B$11:B810,1,FALSE)</f>
        <v>#N/A</v>
      </c>
      <c r="M811" s="256" t="e">
        <f>G811*(1-FORM!$AE$28/100)</f>
        <v>#N/A</v>
      </c>
      <c r="AA811" s="463"/>
      <c r="AB811" s="462"/>
      <c r="AC811" s="462"/>
      <c r="AD811" s="464"/>
      <c r="AE811" s="465"/>
    </row>
    <row r="812" spans="2:31" ht="14.4" hidden="1">
      <c r="B812" s="298"/>
      <c r="C812" s="216"/>
      <c r="D812" s="217"/>
      <c r="E812" s="391"/>
      <c r="F812" s="262"/>
      <c r="G812" s="272" t="e">
        <v>#N/A</v>
      </c>
      <c r="H812" s="141" t="e">
        <f t="shared" si="54"/>
        <v>#N/A</v>
      </c>
      <c r="I812" s="409" t="s">
        <v>47</v>
      </c>
      <c r="J812" s="466"/>
      <c r="L812" s="86" t="e">
        <f>VLOOKUP(B812,$B$11:B811,1,FALSE)</f>
        <v>#N/A</v>
      </c>
      <c r="M812" s="256" t="e">
        <f>G812*(1-FORM!$AE$28/100)</f>
        <v>#N/A</v>
      </c>
      <c r="AA812" s="463"/>
      <c r="AB812" s="462"/>
      <c r="AC812" s="462"/>
      <c r="AD812" s="464"/>
      <c r="AE812" s="465"/>
    </row>
    <row r="813" spans="2:31" ht="14.4" hidden="1">
      <c r="B813" s="298"/>
      <c r="C813" s="216"/>
      <c r="D813" s="217"/>
      <c r="E813" s="391"/>
      <c r="F813" s="262"/>
      <c r="G813" s="272" t="e">
        <v>#N/A</v>
      </c>
      <c r="H813" s="141" t="e">
        <f t="shared" si="54"/>
        <v>#N/A</v>
      </c>
      <c r="I813" s="409" t="s">
        <v>47</v>
      </c>
      <c r="J813" s="466"/>
      <c r="L813" s="86" t="e">
        <f>VLOOKUP(B813,$B$11:B812,1,FALSE)</f>
        <v>#N/A</v>
      </c>
      <c r="M813" s="256" t="e">
        <f>G813*(1-FORM!$AE$28/100)</f>
        <v>#N/A</v>
      </c>
      <c r="AA813" s="463"/>
      <c r="AB813" s="462"/>
      <c r="AC813" s="462"/>
      <c r="AD813" s="464"/>
      <c r="AE813" s="465"/>
    </row>
    <row r="814" spans="2:31" ht="14.4" hidden="1">
      <c r="B814" s="298"/>
      <c r="C814" s="216"/>
      <c r="D814" s="217"/>
      <c r="E814" s="391"/>
      <c r="F814" s="262"/>
      <c r="G814" s="272" t="e">
        <v>#N/A</v>
      </c>
      <c r="H814" s="141" t="e">
        <f t="shared" si="54"/>
        <v>#N/A</v>
      </c>
      <c r="I814" s="409" t="s">
        <v>47</v>
      </c>
      <c r="J814" s="466"/>
      <c r="L814" s="86" t="e">
        <f>VLOOKUP(B814,$B$11:B813,1,FALSE)</f>
        <v>#N/A</v>
      </c>
      <c r="M814" s="256" t="e">
        <f>G814*(1-FORM!$AE$28/100)</f>
        <v>#N/A</v>
      </c>
      <c r="AA814" s="463"/>
      <c r="AB814" s="462"/>
      <c r="AC814" s="462"/>
      <c r="AD814" s="464"/>
      <c r="AE814" s="465"/>
    </row>
    <row r="815" spans="2:31" ht="14.4" hidden="1">
      <c r="B815" s="298"/>
      <c r="C815" s="216"/>
      <c r="D815" s="217"/>
      <c r="E815" s="391"/>
      <c r="F815" s="262"/>
      <c r="G815" s="272" t="e">
        <v>#N/A</v>
      </c>
      <c r="H815" s="141" t="e">
        <f t="shared" si="54"/>
        <v>#N/A</v>
      </c>
      <c r="I815" s="409" t="s">
        <v>47</v>
      </c>
      <c r="J815" s="466"/>
      <c r="L815" s="86" t="e">
        <f>VLOOKUP(B815,$B$11:B814,1,FALSE)</f>
        <v>#N/A</v>
      </c>
      <c r="M815" s="256" t="e">
        <f>G815*(1-FORM!$AE$28/100)</f>
        <v>#N/A</v>
      </c>
      <c r="AA815" s="463"/>
      <c r="AB815" s="462"/>
      <c r="AC815" s="462"/>
      <c r="AD815" s="464"/>
      <c r="AE815" s="465"/>
    </row>
    <row r="816" spans="2:31" ht="14.4" hidden="1">
      <c r="B816" s="298"/>
      <c r="C816" s="216"/>
      <c r="D816" s="217"/>
      <c r="E816" s="391"/>
      <c r="F816" s="262"/>
      <c r="G816" s="272" t="e">
        <v>#N/A</v>
      </c>
      <c r="H816" s="141" t="e">
        <f t="shared" si="54"/>
        <v>#N/A</v>
      </c>
      <c r="I816" s="409" t="s">
        <v>47</v>
      </c>
      <c r="J816" s="466"/>
      <c r="L816" s="86" t="e">
        <f>VLOOKUP(B816,$B$11:B815,1,FALSE)</f>
        <v>#N/A</v>
      </c>
      <c r="M816" s="256" t="e">
        <f>G816*(1-FORM!$AE$28/100)</f>
        <v>#N/A</v>
      </c>
      <c r="AA816" s="463"/>
      <c r="AB816" s="462"/>
      <c r="AC816" s="462"/>
      <c r="AD816" s="464"/>
      <c r="AE816" s="465"/>
    </row>
    <row r="817" spans="2:31" ht="14.4" hidden="1">
      <c r="B817" s="298"/>
      <c r="C817" s="216"/>
      <c r="D817" s="217"/>
      <c r="E817" s="391"/>
      <c r="F817" s="262"/>
      <c r="G817" s="272" t="e">
        <v>#N/A</v>
      </c>
      <c r="H817" s="141" t="e">
        <f t="shared" si="54"/>
        <v>#N/A</v>
      </c>
      <c r="I817" s="409" t="s">
        <v>47</v>
      </c>
      <c r="J817" s="466"/>
      <c r="L817" s="86" t="e">
        <f>VLOOKUP(B817,$B$11:B816,1,FALSE)</f>
        <v>#N/A</v>
      </c>
      <c r="M817" s="256" t="e">
        <f>G817*(1-FORM!$AE$28/100)</f>
        <v>#N/A</v>
      </c>
      <c r="AA817" s="463"/>
      <c r="AB817" s="462"/>
      <c r="AC817" s="462"/>
      <c r="AD817" s="464"/>
      <c r="AE817" s="465"/>
    </row>
    <row r="818" spans="2:31" ht="14.4" hidden="1">
      <c r="B818" s="298"/>
      <c r="C818" s="216"/>
      <c r="D818" s="217"/>
      <c r="E818" s="391"/>
      <c r="F818" s="262"/>
      <c r="G818" s="272" t="e">
        <v>#N/A</v>
      </c>
      <c r="H818" s="141" t="e">
        <f t="shared" si="54"/>
        <v>#N/A</v>
      </c>
      <c r="I818" s="409" t="s">
        <v>47</v>
      </c>
      <c r="J818" s="466"/>
      <c r="L818" s="86" t="e">
        <f>VLOOKUP(B818,$B$11:B817,1,FALSE)</f>
        <v>#N/A</v>
      </c>
      <c r="M818" s="256" t="e">
        <f>G818*(1-FORM!$AE$28/100)</f>
        <v>#N/A</v>
      </c>
      <c r="AA818" s="463"/>
      <c r="AB818" s="462"/>
      <c r="AC818" s="462"/>
      <c r="AD818" s="464"/>
      <c r="AE818" s="465"/>
    </row>
    <row r="819" spans="2:31" ht="14.4" hidden="1">
      <c r="B819" s="298"/>
      <c r="C819" s="216"/>
      <c r="D819" s="217"/>
      <c r="E819" s="391"/>
      <c r="F819" s="262"/>
      <c r="G819" s="272" t="e">
        <v>#N/A</v>
      </c>
      <c r="H819" s="141" t="e">
        <f t="shared" si="54"/>
        <v>#N/A</v>
      </c>
      <c r="I819" s="409" t="s">
        <v>47</v>
      </c>
      <c r="J819" s="466"/>
      <c r="L819" s="86" t="e">
        <f>VLOOKUP(B819,$B$11:B818,1,FALSE)</f>
        <v>#N/A</v>
      </c>
      <c r="M819" s="256" t="e">
        <f>G819*(1-FORM!$AE$28/100)</f>
        <v>#N/A</v>
      </c>
      <c r="AA819" s="463"/>
      <c r="AB819" s="462"/>
      <c r="AC819" s="462"/>
      <c r="AD819" s="464"/>
      <c r="AE819" s="465"/>
    </row>
    <row r="820" spans="2:31" ht="14.4" hidden="1">
      <c r="B820" s="298"/>
      <c r="C820" s="216"/>
      <c r="D820" s="217"/>
      <c r="E820" s="391"/>
      <c r="F820" s="262"/>
      <c r="G820" s="272" t="e">
        <v>#N/A</v>
      </c>
      <c r="H820" s="141" t="e">
        <f t="shared" si="54"/>
        <v>#N/A</v>
      </c>
      <c r="I820" s="409" t="s">
        <v>47</v>
      </c>
      <c r="J820" s="466"/>
      <c r="L820" s="86" t="e">
        <f>VLOOKUP(B820,$B$11:B819,1,FALSE)</f>
        <v>#N/A</v>
      </c>
      <c r="M820" s="256" t="e">
        <f>G820*(1-FORM!$AE$28/100)</f>
        <v>#N/A</v>
      </c>
      <c r="AA820" s="463"/>
      <c r="AB820" s="462"/>
      <c r="AC820" s="462"/>
      <c r="AD820" s="464"/>
      <c r="AE820" s="465"/>
    </row>
    <row r="821" spans="2:31" ht="14.4" hidden="1">
      <c r="B821" s="298"/>
      <c r="C821" s="216"/>
      <c r="D821" s="217"/>
      <c r="E821" s="391"/>
      <c r="F821" s="262"/>
      <c r="G821" s="272" t="e">
        <v>#N/A</v>
      </c>
      <c r="H821" s="141" t="e">
        <f t="shared" si="54"/>
        <v>#N/A</v>
      </c>
      <c r="I821" s="409" t="s">
        <v>47</v>
      </c>
      <c r="J821" s="466"/>
      <c r="L821" s="86" t="e">
        <f>VLOOKUP(B821,$B$11:B820,1,FALSE)</f>
        <v>#N/A</v>
      </c>
      <c r="M821" s="256" t="e">
        <f>G821*(1-FORM!$AE$28/100)</f>
        <v>#N/A</v>
      </c>
      <c r="AA821" s="463"/>
      <c r="AB821" s="462"/>
      <c r="AC821" s="462"/>
      <c r="AD821" s="464"/>
      <c r="AE821" s="465"/>
    </row>
    <row r="822" spans="2:31" ht="14.4" hidden="1">
      <c r="B822" s="298"/>
      <c r="C822" s="216"/>
      <c r="D822" s="217"/>
      <c r="E822" s="391"/>
      <c r="F822" s="262"/>
      <c r="G822" s="272" t="e">
        <v>#N/A</v>
      </c>
      <c r="H822" s="141" t="e">
        <f t="shared" si="54"/>
        <v>#N/A</v>
      </c>
      <c r="I822" s="409" t="s">
        <v>47</v>
      </c>
      <c r="J822" s="466"/>
      <c r="L822" s="86" t="e">
        <f>VLOOKUP(B822,$B$11:B821,1,FALSE)</f>
        <v>#N/A</v>
      </c>
      <c r="M822" s="256" t="e">
        <f>G822*(1-FORM!$AE$28/100)</f>
        <v>#N/A</v>
      </c>
      <c r="AA822" s="463"/>
      <c r="AB822" s="462"/>
      <c r="AC822" s="462"/>
      <c r="AD822" s="464"/>
      <c r="AE822" s="465"/>
    </row>
    <row r="823" spans="2:31" ht="14.4" hidden="1">
      <c r="B823" s="298"/>
      <c r="C823" s="216"/>
      <c r="D823" s="217"/>
      <c r="E823" s="391"/>
      <c r="F823" s="262"/>
      <c r="G823" s="272" t="e">
        <v>#N/A</v>
      </c>
      <c r="H823" s="141" t="e">
        <f t="shared" si="54"/>
        <v>#N/A</v>
      </c>
      <c r="I823" s="409" t="s">
        <v>47</v>
      </c>
      <c r="J823" s="466"/>
      <c r="L823" s="86" t="e">
        <f>VLOOKUP(B823,$B$11:B822,1,FALSE)</f>
        <v>#N/A</v>
      </c>
      <c r="M823" s="256" t="e">
        <f>G823*(1-FORM!$AE$28/100)</f>
        <v>#N/A</v>
      </c>
      <c r="AA823" s="463"/>
      <c r="AB823" s="462"/>
      <c r="AC823" s="462"/>
      <c r="AD823" s="464"/>
      <c r="AE823" s="465"/>
    </row>
    <row r="824" spans="2:31" ht="14.4" hidden="1">
      <c r="B824" s="298"/>
      <c r="C824" s="216"/>
      <c r="D824" s="217"/>
      <c r="E824" s="391"/>
      <c r="F824" s="262"/>
      <c r="G824" s="272" t="e">
        <v>#N/A</v>
      </c>
      <c r="H824" s="141" t="e">
        <f t="shared" si="54"/>
        <v>#N/A</v>
      </c>
      <c r="I824" s="409" t="s">
        <v>47</v>
      </c>
      <c r="J824" s="466"/>
      <c r="L824" s="86" t="e">
        <f>VLOOKUP(B824,$B$11:B823,1,FALSE)</f>
        <v>#N/A</v>
      </c>
      <c r="M824" s="256" t="e">
        <f>G824*(1-FORM!$AE$28/100)</f>
        <v>#N/A</v>
      </c>
      <c r="AA824" s="463"/>
      <c r="AB824" s="462"/>
      <c r="AC824" s="462"/>
      <c r="AD824" s="464"/>
      <c r="AE824" s="465"/>
    </row>
    <row r="825" spans="2:31" ht="14.4" hidden="1">
      <c r="B825" s="298"/>
      <c r="C825" s="216"/>
      <c r="D825" s="217"/>
      <c r="E825" s="391"/>
      <c r="F825" s="262"/>
      <c r="G825" s="272" t="e">
        <v>#N/A</v>
      </c>
      <c r="H825" s="141" t="e">
        <f t="shared" si="54"/>
        <v>#N/A</v>
      </c>
      <c r="I825" s="409" t="s">
        <v>47</v>
      </c>
      <c r="J825" s="466"/>
      <c r="L825" s="86" t="e">
        <f>VLOOKUP(B825,$B$11:B824,1,FALSE)</f>
        <v>#N/A</v>
      </c>
      <c r="M825" s="256" t="e">
        <f>G825*(1-FORM!$AE$28/100)</f>
        <v>#N/A</v>
      </c>
      <c r="AA825" s="463"/>
      <c r="AB825" s="462"/>
      <c r="AC825" s="462"/>
      <c r="AD825" s="464"/>
      <c r="AE825" s="465"/>
    </row>
    <row r="826" spans="2:31" ht="14.4" hidden="1">
      <c r="B826" s="298"/>
      <c r="C826" s="216"/>
      <c r="D826" s="217"/>
      <c r="E826" s="391"/>
      <c r="F826" s="262"/>
      <c r="G826" s="272" t="e">
        <v>#N/A</v>
      </c>
      <c r="H826" s="141" t="e">
        <f t="shared" si="54"/>
        <v>#N/A</v>
      </c>
      <c r="I826" s="409" t="s">
        <v>47</v>
      </c>
      <c r="J826" s="466"/>
      <c r="L826" s="86" t="e">
        <f>VLOOKUP(B826,$B$11:B825,1,FALSE)</f>
        <v>#N/A</v>
      </c>
      <c r="M826" s="256" t="e">
        <f>G826*(1-FORM!$AE$28/100)</f>
        <v>#N/A</v>
      </c>
      <c r="AA826" s="463"/>
      <c r="AB826" s="462"/>
      <c r="AC826" s="462"/>
      <c r="AD826" s="464"/>
      <c r="AE826" s="465"/>
    </row>
    <row r="827" spans="2:31" ht="14.4" hidden="1">
      <c r="B827" s="298"/>
      <c r="C827" s="216"/>
      <c r="D827" s="217"/>
      <c r="E827" s="391"/>
      <c r="F827" s="262"/>
      <c r="G827" s="272" t="e">
        <v>#N/A</v>
      </c>
      <c r="H827" s="141" t="e">
        <f t="shared" si="54"/>
        <v>#N/A</v>
      </c>
      <c r="I827" s="409" t="s">
        <v>47</v>
      </c>
      <c r="J827" s="466"/>
      <c r="L827" s="86" t="e">
        <f>VLOOKUP(B827,$B$11:B826,1,FALSE)</f>
        <v>#N/A</v>
      </c>
      <c r="M827" s="256" t="e">
        <f>G827*(1-FORM!$AE$28/100)</f>
        <v>#N/A</v>
      </c>
      <c r="AA827" s="463"/>
      <c r="AB827" s="462"/>
      <c r="AC827" s="462"/>
      <c r="AD827" s="464"/>
      <c r="AE827" s="465"/>
    </row>
    <row r="828" spans="2:31" ht="14.4" hidden="1">
      <c r="B828" s="298"/>
      <c r="C828" s="216"/>
      <c r="D828" s="217"/>
      <c r="E828" s="391"/>
      <c r="F828" s="262"/>
      <c r="G828" s="272" t="e">
        <v>#N/A</v>
      </c>
      <c r="H828" s="141" t="e">
        <f t="shared" si="54"/>
        <v>#N/A</v>
      </c>
      <c r="I828" s="409" t="s">
        <v>47</v>
      </c>
      <c r="J828" s="466"/>
      <c r="L828" s="86" t="e">
        <f>VLOOKUP(B828,$B$11:B827,1,FALSE)</f>
        <v>#N/A</v>
      </c>
      <c r="M828" s="256" t="e">
        <f>G828*(1-FORM!$AE$28/100)</f>
        <v>#N/A</v>
      </c>
      <c r="AA828" s="463"/>
      <c r="AB828" s="462"/>
      <c r="AC828" s="462"/>
      <c r="AD828" s="464"/>
      <c r="AE828" s="465"/>
    </row>
    <row r="829" spans="2:31" ht="14.4" hidden="1">
      <c r="B829" s="298"/>
      <c r="C829" s="216"/>
      <c r="D829" s="217"/>
      <c r="E829" s="391"/>
      <c r="F829" s="262"/>
      <c r="G829" s="272" t="e">
        <v>#N/A</v>
      </c>
      <c r="H829" s="141" t="e">
        <f t="shared" si="54"/>
        <v>#N/A</v>
      </c>
      <c r="I829" s="409" t="s">
        <v>47</v>
      </c>
      <c r="J829" s="466"/>
      <c r="L829" s="86" t="e">
        <f>VLOOKUP(B829,$B$11:B828,1,FALSE)</f>
        <v>#N/A</v>
      </c>
      <c r="M829" s="256" t="e">
        <f>G829*(1-FORM!$AE$28/100)</f>
        <v>#N/A</v>
      </c>
      <c r="AA829" s="463"/>
      <c r="AB829" s="462"/>
      <c r="AC829" s="462"/>
      <c r="AD829" s="464"/>
      <c r="AE829" s="465"/>
    </row>
    <row r="830" spans="2:31" ht="14.4" hidden="1">
      <c r="B830" s="298"/>
      <c r="C830" s="216"/>
      <c r="D830" s="217"/>
      <c r="E830" s="391"/>
      <c r="F830" s="262"/>
      <c r="G830" s="272" t="e">
        <v>#N/A</v>
      </c>
      <c r="H830" s="141" t="e">
        <f t="shared" si="54"/>
        <v>#N/A</v>
      </c>
      <c r="I830" s="409" t="s">
        <v>47</v>
      </c>
      <c r="J830" s="466"/>
      <c r="L830" s="86" t="e">
        <f>VLOOKUP(B830,$B$11:B829,1,FALSE)</f>
        <v>#N/A</v>
      </c>
      <c r="M830" s="256" t="e">
        <f>G830*(1-FORM!$AE$28/100)</f>
        <v>#N/A</v>
      </c>
      <c r="AA830" s="463"/>
      <c r="AB830" s="462"/>
      <c r="AC830" s="462"/>
      <c r="AD830" s="464"/>
      <c r="AE830" s="465"/>
    </row>
    <row r="831" spans="2:31" ht="14.4" hidden="1">
      <c r="B831" s="298"/>
      <c r="C831" s="216"/>
      <c r="D831" s="217"/>
      <c r="E831" s="391"/>
      <c r="F831" s="262"/>
      <c r="G831" s="272" t="e">
        <v>#N/A</v>
      </c>
      <c r="H831" s="141" t="e">
        <f t="shared" si="54"/>
        <v>#N/A</v>
      </c>
      <c r="I831" s="409" t="s">
        <v>47</v>
      </c>
      <c r="J831" s="466"/>
      <c r="L831" s="86" t="e">
        <f>VLOOKUP(B831,$B$11:B830,1,FALSE)</f>
        <v>#N/A</v>
      </c>
      <c r="M831" s="256" t="e">
        <f>G831*(1-FORM!$AE$28/100)</f>
        <v>#N/A</v>
      </c>
      <c r="AA831" s="463"/>
      <c r="AB831" s="462"/>
      <c r="AC831" s="462"/>
      <c r="AD831" s="464"/>
      <c r="AE831" s="465"/>
    </row>
    <row r="832" spans="2:31" ht="14.4" hidden="1">
      <c r="B832" s="298"/>
      <c r="C832" s="216"/>
      <c r="D832" s="217"/>
      <c r="E832" s="391"/>
      <c r="F832" s="262"/>
      <c r="G832" s="272" t="e">
        <v>#N/A</v>
      </c>
      <c r="H832" s="141" t="e">
        <f t="shared" si="54"/>
        <v>#N/A</v>
      </c>
      <c r="I832" s="409" t="s">
        <v>47</v>
      </c>
      <c r="J832" s="466"/>
      <c r="L832" s="86" t="e">
        <f>VLOOKUP(B832,$B$11:B831,1,FALSE)</f>
        <v>#N/A</v>
      </c>
      <c r="M832" s="256" t="e">
        <f>G832*(1-FORM!$AE$28/100)</f>
        <v>#N/A</v>
      </c>
      <c r="AA832" s="463"/>
      <c r="AB832" s="462"/>
      <c r="AC832" s="462"/>
      <c r="AD832" s="464"/>
      <c r="AE832" s="465"/>
    </row>
    <row r="833" spans="2:31" ht="14.4" hidden="1">
      <c r="B833" s="298"/>
      <c r="C833" s="216"/>
      <c r="D833" s="217"/>
      <c r="E833" s="391"/>
      <c r="F833" s="262"/>
      <c r="G833" s="272" t="e">
        <v>#N/A</v>
      </c>
      <c r="H833" s="141" t="e">
        <f t="shared" si="54"/>
        <v>#N/A</v>
      </c>
      <c r="I833" s="409" t="s">
        <v>47</v>
      </c>
      <c r="J833" s="466"/>
      <c r="L833" s="86" t="e">
        <f>VLOOKUP(B833,$B$11:B832,1,FALSE)</f>
        <v>#N/A</v>
      </c>
      <c r="M833" s="256" t="e">
        <f>G833*(1-FORM!$AE$28/100)</f>
        <v>#N/A</v>
      </c>
      <c r="AA833" s="463"/>
      <c r="AB833" s="462"/>
      <c r="AC833" s="462"/>
      <c r="AD833" s="464"/>
      <c r="AE833" s="465"/>
    </row>
    <row r="834" spans="2:31" ht="14.4" hidden="1">
      <c r="B834" s="298"/>
      <c r="C834" s="216"/>
      <c r="D834" s="217"/>
      <c r="E834" s="391"/>
      <c r="F834" s="262"/>
      <c r="G834" s="272" t="e">
        <v>#N/A</v>
      </c>
      <c r="H834" s="141" t="e">
        <f t="shared" si="54"/>
        <v>#N/A</v>
      </c>
      <c r="I834" s="409" t="s">
        <v>47</v>
      </c>
      <c r="J834" s="466"/>
      <c r="L834" s="86" t="e">
        <f>VLOOKUP(B834,$B$11:B833,1,FALSE)</f>
        <v>#N/A</v>
      </c>
      <c r="M834" s="256" t="e">
        <f>G834*(1-FORM!$AE$28/100)</f>
        <v>#N/A</v>
      </c>
      <c r="AA834" s="463"/>
      <c r="AB834" s="462"/>
      <c r="AC834" s="462"/>
      <c r="AD834" s="464"/>
      <c r="AE834" s="465"/>
    </row>
    <row r="835" spans="2:31" ht="14.4" hidden="1">
      <c r="B835" s="298"/>
      <c r="C835" s="216"/>
      <c r="D835" s="217"/>
      <c r="E835" s="391"/>
      <c r="F835" s="262"/>
      <c r="G835" s="272" t="e">
        <v>#N/A</v>
      </c>
      <c r="H835" s="141" t="e">
        <f t="shared" si="54"/>
        <v>#N/A</v>
      </c>
      <c r="I835" s="409" t="s">
        <v>47</v>
      </c>
      <c r="J835" s="466"/>
      <c r="L835" s="86" t="e">
        <f>VLOOKUP(B835,$B$11:B834,1,FALSE)</f>
        <v>#N/A</v>
      </c>
      <c r="M835" s="256" t="e">
        <f>G835*(1-FORM!$AE$28/100)</f>
        <v>#N/A</v>
      </c>
      <c r="AA835" s="463"/>
      <c r="AB835" s="462"/>
      <c r="AC835" s="462"/>
      <c r="AD835" s="464"/>
      <c r="AE835" s="465"/>
    </row>
    <row r="836" spans="2:31" ht="14.4" hidden="1">
      <c r="B836" s="298"/>
      <c r="C836" s="216"/>
      <c r="D836" s="217"/>
      <c r="E836" s="391"/>
      <c r="F836" s="262"/>
      <c r="G836" s="272" t="e">
        <v>#N/A</v>
      </c>
      <c r="H836" s="141" t="e">
        <f t="shared" si="54"/>
        <v>#N/A</v>
      </c>
      <c r="I836" s="409" t="s">
        <v>47</v>
      </c>
      <c r="J836" s="466"/>
      <c r="L836" s="86" t="e">
        <f>VLOOKUP(B836,$B$11:B835,1,FALSE)</f>
        <v>#N/A</v>
      </c>
      <c r="M836" s="256" t="e">
        <f>G836*(1-FORM!$AE$28/100)</f>
        <v>#N/A</v>
      </c>
      <c r="AA836" s="463"/>
      <c r="AB836" s="462"/>
      <c r="AC836" s="462"/>
      <c r="AD836" s="464"/>
      <c r="AE836" s="465"/>
    </row>
    <row r="837" spans="2:31" ht="14.4" hidden="1">
      <c r="B837" s="298"/>
      <c r="C837" s="216"/>
      <c r="D837" s="217"/>
      <c r="E837" s="391"/>
      <c r="F837" s="262"/>
      <c r="G837" s="272" t="e">
        <v>#N/A</v>
      </c>
      <c r="H837" s="141" t="e">
        <f t="shared" si="54"/>
        <v>#N/A</v>
      </c>
      <c r="I837" s="409" t="s">
        <v>47</v>
      </c>
      <c r="J837" s="466"/>
      <c r="L837" s="86" t="e">
        <f>VLOOKUP(B837,$B$11:B836,1,FALSE)</f>
        <v>#N/A</v>
      </c>
      <c r="M837" s="256" t="e">
        <f>G837*(1-FORM!$AE$28/100)</f>
        <v>#N/A</v>
      </c>
      <c r="AA837" s="463"/>
      <c r="AB837" s="462"/>
      <c r="AC837" s="462"/>
      <c r="AD837" s="464"/>
      <c r="AE837" s="465"/>
    </row>
    <row r="838" spans="2:31" ht="14.4" hidden="1">
      <c r="B838" s="298"/>
      <c r="C838" s="216"/>
      <c r="D838" s="217"/>
      <c r="E838" s="391"/>
      <c r="F838" s="262"/>
      <c r="G838" s="272" t="e">
        <v>#N/A</v>
      </c>
      <c r="H838" s="141" t="e">
        <f t="shared" si="54"/>
        <v>#N/A</v>
      </c>
      <c r="I838" s="409" t="s">
        <v>47</v>
      </c>
      <c r="J838" s="466"/>
      <c r="L838" s="86" t="e">
        <f>VLOOKUP(B838,$B$11:B837,1,FALSE)</f>
        <v>#N/A</v>
      </c>
      <c r="M838" s="256" t="e">
        <f>G838*(1-FORM!$AE$28/100)</f>
        <v>#N/A</v>
      </c>
      <c r="AA838" s="463"/>
      <c r="AB838" s="462"/>
      <c r="AC838" s="462"/>
      <c r="AD838" s="464"/>
      <c r="AE838" s="465"/>
    </row>
    <row r="839" spans="2:31" ht="14.4" hidden="1">
      <c r="B839" s="298"/>
      <c r="C839" s="216"/>
      <c r="D839" s="217"/>
      <c r="E839" s="391"/>
      <c r="F839" s="262"/>
      <c r="G839" s="272" t="e">
        <v>#N/A</v>
      </c>
      <c r="H839" s="141" t="e">
        <f t="shared" si="54"/>
        <v>#N/A</v>
      </c>
      <c r="I839" s="409" t="s">
        <v>47</v>
      </c>
      <c r="J839" s="466"/>
      <c r="L839" s="86" t="e">
        <f>VLOOKUP(B839,$B$11:B838,1,FALSE)</f>
        <v>#N/A</v>
      </c>
      <c r="M839" s="256" t="e">
        <f>G839*(1-FORM!$AE$28/100)</f>
        <v>#N/A</v>
      </c>
      <c r="AA839" s="463"/>
      <c r="AB839" s="462"/>
      <c r="AC839" s="462"/>
      <c r="AD839" s="464"/>
      <c r="AE839" s="465"/>
    </row>
    <row r="840" spans="2:31" ht="14.4" hidden="1">
      <c r="B840" s="298"/>
      <c r="C840" s="216"/>
      <c r="D840" s="217"/>
      <c r="E840" s="391"/>
      <c r="F840" s="262"/>
      <c r="G840" s="272" t="e">
        <v>#N/A</v>
      </c>
      <c r="H840" s="141" t="e">
        <f t="shared" si="54"/>
        <v>#N/A</v>
      </c>
      <c r="I840" s="409" t="s">
        <v>47</v>
      </c>
      <c r="J840" s="466"/>
      <c r="L840" s="86" t="e">
        <f>VLOOKUP(B840,$B$11:B839,1,FALSE)</f>
        <v>#N/A</v>
      </c>
      <c r="M840" s="256" t="e">
        <f>G840*(1-FORM!$AE$28/100)</f>
        <v>#N/A</v>
      </c>
      <c r="AA840" s="463"/>
      <c r="AB840" s="462"/>
      <c r="AC840" s="462"/>
      <c r="AD840" s="464"/>
      <c r="AE840" s="465"/>
    </row>
    <row r="841" spans="2:31" ht="14.4" hidden="1">
      <c r="B841" s="298"/>
      <c r="C841" s="216"/>
      <c r="D841" s="217"/>
      <c r="E841" s="391"/>
      <c r="F841" s="262"/>
      <c r="G841" s="272" t="e">
        <v>#N/A</v>
      </c>
      <c r="H841" s="141" t="e">
        <f t="shared" si="54"/>
        <v>#N/A</v>
      </c>
      <c r="I841" s="409" t="s">
        <v>47</v>
      </c>
      <c r="J841" s="466"/>
      <c r="L841" s="86" t="e">
        <f>VLOOKUP(B841,$B$11:B840,1,FALSE)</f>
        <v>#N/A</v>
      </c>
      <c r="M841" s="256" t="e">
        <f>G841*(1-FORM!$AE$28/100)</f>
        <v>#N/A</v>
      </c>
      <c r="AA841" s="463"/>
      <c r="AB841" s="462"/>
      <c r="AC841" s="462"/>
      <c r="AD841" s="464"/>
      <c r="AE841" s="465"/>
    </row>
    <row r="842" spans="2:31" ht="14.4" hidden="1">
      <c r="B842" s="298"/>
      <c r="C842" s="216"/>
      <c r="D842" s="217"/>
      <c r="E842" s="391"/>
      <c r="F842" s="262"/>
      <c r="G842" s="272" t="e">
        <v>#N/A</v>
      </c>
      <c r="H842" s="141" t="e">
        <f t="shared" si="54"/>
        <v>#N/A</v>
      </c>
      <c r="I842" s="409" t="s">
        <v>47</v>
      </c>
      <c r="J842" s="466"/>
      <c r="L842" s="86" t="e">
        <f>VLOOKUP(B842,$B$11:B841,1,FALSE)</f>
        <v>#N/A</v>
      </c>
      <c r="M842" s="256" t="e">
        <f>G842*(1-FORM!$AE$28/100)</f>
        <v>#N/A</v>
      </c>
      <c r="AA842" s="463"/>
      <c r="AB842" s="462"/>
      <c r="AC842" s="462"/>
      <c r="AD842" s="464"/>
      <c r="AE842" s="465"/>
    </row>
    <row r="843" spans="2:31" ht="14.4" hidden="1">
      <c r="B843" s="298"/>
      <c r="C843" s="216"/>
      <c r="D843" s="217"/>
      <c r="E843" s="391"/>
      <c r="F843" s="262"/>
      <c r="G843" s="272" t="e">
        <v>#N/A</v>
      </c>
      <c r="H843" s="141" t="e">
        <f t="shared" si="54"/>
        <v>#N/A</v>
      </c>
      <c r="I843" s="409" t="s">
        <v>47</v>
      </c>
      <c r="J843" s="466"/>
      <c r="L843" s="86" t="e">
        <f>VLOOKUP(B843,$B$11:B842,1,FALSE)</f>
        <v>#N/A</v>
      </c>
      <c r="M843" s="256" t="e">
        <f>G843*(1-FORM!$AE$28/100)</f>
        <v>#N/A</v>
      </c>
      <c r="AA843" s="463"/>
      <c r="AB843" s="462"/>
      <c r="AC843" s="462"/>
      <c r="AD843" s="464"/>
      <c r="AE843" s="465"/>
    </row>
    <row r="844" spans="2:31" ht="14.4" hidden="1">
      <c r="B844" s="298"/>
      <c r="C844" s="216"/>
      <c r="D844" s="217"/>
      <c r="E844" s="391"/>
      <c r="F844" s="262"/>
      <c r="G844" s="272" t="e">
        <v>#N/A</v>
      </c>
      <c r="H844" s="141" t="e">
        <f t="shared" si="54"/>
        <v>#N/A</v>
      </c>
      <c r="I844" s="409" t="s">
        <v>47</v>
      </c>
      <c r="J844" s="466"/>
      <c r="L844" s="86" t="e">
        <f>VLOOKUP(B844,$B$11:B843,1,FALSE)</f>
        <v>#N/A</v>
      </c>
      <c r="M844" s="256" t="e">
        <f>G844*(1-FORM!$AE$28/100)</f>
        <v>#N/A</v>
      </c>
      <c r="AA844" s="463"/>
      <c r="AB844" s="462"/>
      <c r="AC844" s="462"/>
      <c r="AD844" s="464"/>
      <c r="AE844" s="465"/>
    </row>
    <row r="845" spans="2:31" ht="14.4" hidden="1">
      <c r="B845" s="298"/>
      <c r="C845" s="216"/>
      <c r="D845" s="217"/>
      <c r="E845" s="391"/>
      <c r="F845" s="262"/>
      <c r="G845" s="272" t="e">
        <v>#N/A</v>
      </c>
      <c r="H845" s="141" t="e">
        <f t="shared" si="54"/>
        <v>#N/A</v>
      </c>
      <c r="I845" s="409" t="s">
        <v>47</v>
      </c>
      <c r="J845" s="466"/>
      <c r="L845" s="86" t="e">
        <f>VLOOKUP(B845,$B$11:B844,1,FALSE)</f>
        <v>#N/A</v>
      </c>
      <c r="M845" s="256" t="e">
        <f>G845*(1-FORM!$AE$28/100)</f>
        <v>#N/A</v>
      </c>
      <c r="AA845" s="463"/>
      <c r="AB845" s="462"/>
      <c r="AC845" s="462"/>
      <c r="AD845" s="464"/>
      <c r="AE845" s="465"/>
    </row>
    <row r="846" spans="2:31" ht="14.4" hidden="1">
      <c r="B846" s="298"/>
      <c r="C846" s="216"/>
      <c r="D846" s="217"/>
      <c r="E846" s="391"/>
      <c r="F846" s="262"/>
      <c r="G846" s="272" t="e">
        <v>#N/A</v>
      </c>
      <c r="H846" s="141" t="e">
        <f t="shared" si="54"/>
        <v>#N/A</v>
      </c>
      <c r="I846" s="409" t="s">
        <v>47</v>
      </c>
      <c r="J846" s="466"/>
      <c r="L846" s="86" t="e">
        <f>VLOOKUP(B846,$B$11:B845,1,FALSE)</f>
        <v>#N/A</v>
      </c>
      <c r="M846" s="256" t="e">
        <f>G846*(1-FORM!$AE$28/100)</f>
        <v>#N/A</v>
      </c>
      <c r="AA846" s="463"/>
      <c r="AB846" s="462"/>
      <c r="AC846" s="462"/>
      <c r="AD846" s="464"/>
      <c r="AE846" s="465"/>
    </row>
    <row r="847" spans="2:31" ht="14.4" hidden="1">
      <c r="B847" s="298"/>
      <c r="C847" s="216"/>
      <c r="D847" s="217"/>
      <c r="E847" s="391"/>
      <c r="F847" s="262"/>
      <c r="G847" s="272" t="e">
        <v>#N/A</v>
      </c>
      <c r="H847" s="141" t="e">
        <f t="shared" si="54"/>
        <v>#N/A</v>
      </c>
      <c r="I847" s="409" t="s">
        <v>47</v>
      </c>
      <c r="J847" s="466"/>
      <c r="L847" s="86" t="e">
        <f>VLOOKUP(B847,$B$11:B846,1,FALSE)</f>
        <v>#N/A</v>
      </c>
      <c r="M847" s="256" t="e">
        <f>G847*(1-FORM!$AE$28/100)</f>
        <v>#N/A</v>
      </c>
      <c r="AA847" s="463"/>
      <c r="AB847" s="462"/>
      <c r="AC847" s="462"/>
      <c r="AD847" s="464"/>
      <c r="AE847" s="465"/>
    </row>
    <row r="848" spans="2:31" ht="14.4" hidden="1">
      <c r="B848" s="298"/>
      <c r="C848" s="216"/>
      <c r="D848" s="217"/>
      <c r="E848" s="391"/>
      <c r="F848" s="262"/>
      <c r="G848" s="272" t="e">
        <v>#N/A</v>
      </c>
      <c r="H848" s="141" t="e">
        <f t="shared" si="54"/>
        <v>#N/A</v>
      </c>
      <c r="I848" s="409" t="s">
        <v>47</v>
      </c>
      <c r="J848" s="466"/>
      <c r="L848" s="86" t="e">
        <f>VLOOKUP(B848,$B$11:B847,1,FALSE)</f>
        <v>#N/A</v>
      </c>
      <c r="M848" s="256" t="e">
        <f>G848*(1-FORM!$AE$28/100)</f>
        <v>#N/A</v>
      </c>
      <c r="AA848" s="463"/>
      <c r="AB848" s="462"/>
      <c r="AC848" s="462"/>
      <c r="AD848" s="464"/>
      <c r="AE848" s="465"/>
    </row>
    <row r="849" spans="2:31" ht="14.4" hidden="1">
      <c r="B849" s="298"/>
      <c r="C849" s="216"/>
      <c r="D849" s="217"/>
      <c r="E849" s="391"/>
      <c r="F849" s="262"/>
      <c r="G849" s="272" t="e">
        <v>#N/A</v>
      </c>
      <c r="H849" s="141" t="e">
        <f t="shared" si="54"/>
        <v>#N/A</v>
      </c>
      <c r="I849" s="409" t="s">
        <v>47</v>
      </c>
      <c r="J849" s="466"/>
      <c r="L849" s="86" t="e">
        <f>VLOOKUP(B849,$B$11:B848,1,FALSE)</f>
        <v>#N/A</v>
      </c>
      <c r="M849" s="256" t="e">
        <f>G849*(1-FORM!$AE$28/100)</f>
        <v>#N/A</v>
      </c>
      <c r="AA849" s="463"/>
      <c r="AB849" s="462"/>
      <c r="AC849" s="462"/>
      <c r="AD849" s="464"/>
      <c r="AE849" s="465"/>
    </row>
    <row r="850" spans="2:31" ht="14.4" hidden="1">
      <c r="B850" s="298"/>
      <c r="C850" s="216"/>
      <c r="D850" s="217"/>
      <c r="E850" s="391"/>
      <c r="F850" s="262"/>
      <c r="G850" s="272" t="e">
        <v>#N/A</v>
      </c>
      <c r="H850" s="141" t="e">
        <f t="shared" si="54"/>
        <v>#N/A</v>
      </c>
      <c r="I850" s="409" t="s">
        <v>47</v>
      </c>
      <c r="J850" s="466"/>
      <c r="L850" s="86" t="e">
        <f>VLOOKUP(B850,$B$11:B849,1,FALSE)</f>
        <v>#N/A</v>
      </c>
      <c r="M850" s="256" t="e">
        <f>G850*(1-FORM!$AE$28/100)</f>
        <v>#N/A</v>
      </c>
      <c r="AA850" s="463"/>
      <c r="AB850" s="462"/>
      <c r="AC850" s="462"/>
      <c r="AD850" s="464"/>
      <c r="AE850" s="465"/>
    </row>
    <row r="851" spans="2:31" ht="14.4" hidden="1">
      <c r="B851" s="298"/>
      <c r="C851" s="216"/>
      <c r="D851" s="217"/>
      <c r="E851" s="391"/>
      <c r="F851" s="262"/>
      <c r="G851" s="272" t="e">
        <v>#N/A</v>
      </c>
      <c r="H851" s="141" t="e">
        <f t="shared" si="54"/>
        <v>#N/A</v>
      </c>
      <c r="I851" s="409" t="s">
        <v>47</v>
      </c>
      <c r="J851" s="466"/>
      <c r="L851" s="86" t="e">
        <f>VLOOKUP(B851,$B$11:B850,1,FALSE)</f>
        <v>#N/A</v>
      </c>
      <c r="M851" s="256" t="e">
        <f>G851*(1-FORM!$AE$28/100)</f>
        <v>#N/A</v>
      </c>
      <c r="AA851" s="463"/>
      <c r="AB851" s="462"/>
      <c r="AC851" s="462"/>
      <c r="AD851" s="464"/>
      <c r="AE851" s="465"/>
    </row>
    <row r="852" spans="2:31" ht="14.4" hidden="1">
      <c r="B852" s="298"/>
      <c r="C852" s="216"/>
      <c r="D852" s="217"/>
      <c r="E852" s="391"/>
      <c r="F852" s="262"/>
      <c r="G852" s="272" t="e">
        <v>#N/A</v>
      </c>
      <c r="H852" s="141" t="e">
        <f t="shared" si="54"/>
        <v>#N/A</v>
      </c>
      <c r="I852" s="409" t="s">
        <v>47</v>
      </c>
      <c r="J852" s="466"/>
      <c r="L852" s="86" t="e">
        <f>VLOOKUP(B852,$B$11:B851,1,FALSE)</f>
        <v>#N/A</v>
      </c>
      <c r="M852" s="256" t="e">
        <f>G852*(1-FORM!$AE$28/100)</f>
        <v>#N/A</v>
      </c>
      <c r="AA852" s="463"/>
      <c r="AB852" s="462"/>
      <c r="AC852" s="462"/>
      <c r="AD852" s="464"/>
      <c r="AE852" s="465"/>
    </row>
    <row r="853" spans="2:31" ht="14.4" hidden="1">
      <c r="B853" s="298"/>
      <c r="C853" s="216"/>
      <c r="D853" s="217"/>
      <c r="E853" s="391"/>
      <c r="F853" s="262"/>
      <c r="G853" s="272" t="e">
        <v>#N/A</v>
      </c>
      <c r="H853" s="141" t="e">
        <f t="shared" si="54"/>
        <v>#N/A</v>
      </c>
      <c r="I853" s="409" t="s">
        <v>47</v>
      </c>
      <c r="J853" s="466"/>
      <c r="L853" s="86" t="e">
        <f>VLOOKUP(B853,$B$11:B852,1,FALSE)</f>
        <v>#N/A</v>
      </c>
      <c r="M853" s="256" t="e">
        <f>G853*(1-FORM!$AE$28/100)</f>
        <v>#N/A</v>
      </c>
      <c r="AA853" s="463"/>
      <c r="AB853" s="462"/>
      <c r="AC853" s="462"/>
      <c r="AD853" s="464"/>
      <c r="AE853" s="465"/>
    </row>
    <row r="854" spans="2:31" ht="14.4" hidden="1">
      <c r="B854" s="298"/>
      <c r="C854" s="216"/>
      <c r="D854" s="217"/>
      <c r="E854" s="391"/>
      <c r="F854" s="262"/>
      <c r="G854" s="272" t="e">
        <v>#N/A</v>
      </c>
      <c r="H854" s="141" t="e">
        <f t="shared" si="54"/>
        <v>#N/A</v>
      </c>
      <c r="I854" s="409" t="s">
        <v>47</v>
      </c>
      <c r="J854" s="466"/>
      <c r="L854" s="86" t="e">
        <f>VLOOKUP(B854,$B$11:B853,1,FALSE)</f>
        <v>#N/A</v>
      </c>
      <c r="M854" s="256" t="e">
        <f>G854*(1-FORM!$AE$28/100)</f>
        <v>#N/A</v>
      </c>
      <c r="AA854" s="463"/>
      <c r="AB854" s="462"/>
      <c r="AC854" s="462"/>
      <c r="AD854" s="464"/>
      <c r="AE854" s="465"/>
    </row>
    <row r="855" spans="2:31" ht="14.4" hidden="1">
      <c r="B855" s="298"/>
      <c r="C855" s="216"/>
      <c r="D855" s="217"/>
      <c r="E855" s="391"/>
      <c r="F855" s="262"/>
      <c r="G855" s="272" t="e">
        <v>#N/A</v>
      </c>
      <c r="H855" s="141" t="e">
        <f t="shared" si="54"/>
        <v>#N/A</v>
      </c>
      <c r="I855" s="409" t="s">
        <v>47</v>
      </c>
      <c r="J855" s="466"/>
      <c r="L855" s="86" t="e">
        <f>VLOOKUP(B855,$B$11:B854,1,FALSE)</f>
        <v>#N/A</v>
      </c>
      <c r="M855" s="256" t="e">
        <f>G855*(1-FORM!$AE$28/100)</f>
        <v>#N/A</v>
      </c>
      <c r="AA855" s="463"/>
      <c r="AB855" s="462"/>
      <c r="AC855" s="462"/>
      <c r="AD855" s="464"/>
      <c r="AE855" s="465"/>
    </row>
    <row r="856" spans="2:31" ht="14.4" hidden="1">
      <c r="B856" s="298"/>
      <c r="C856" s="216"/>
      <c r="D856" s="217"/>
      <c r="E856" s="391"/>
      <c r="F856" s="262"/>
      <c r="G856" s="272" t="e">
        <v>#N/A</v>
      </c>
      <c r="H856" s="141" t="e">
        <f t="shared" si="54"/>
        <v>#N/A</v>
      </c>
      <c r="I856" s="409" t="s">
        <v>47</v>
      </c>
      <c r="J856" s="466"/>
      <c r="L856" s="86" t="e">
        <f>VLOOKUP(B856,$B$11:B855,1,FALSE)</f>
        <v>#N/A</v>
      </c>
      <c r="M856" s="256" t="e">
        <f>G856*(1-FORM!$AE$28/100)</f>
        <v>#N/A</v>
      </c>
      <c r="AA856" s="463"/>
      <c r="AB856" s="462"/>
      <c r="AC856" s="462"/>
      <c r="AD856" s="464"/>
      <c r="AE856" s="465"/>
    </row>
    <row r="857" spans="2:31" ht="14.4" hidden="1">
      <c r="B857" s="298"/>
      <c r="C857" s="216"/>
      <c r="D857" s="217"/>
      <c r="E857" s="391"/>
      <c r="F857" s="262"/>
      <c r="G857" s="272" t="e">
        <v>#N/A</v>
      </c>
      <c r="H857" s="141" t="e">
        <f t="shared" si="54"/>
        <v>#N/A</v>
      </c>
      <c r="I857" s="409" t="s">
        <v>47</v>
      </c>
      <c r="J857" s="466"/>
      <c r="L857" s="86" t="e">
        <f>VLOOKUP(B857,$B$11:B856,1,FALSE)</f>
        <v>#N/A</v>
      </c>
      <c r="M857" s="256" t="e">
        <f>G857*(1-FORM!$AE$28/100)</f>
        <v>#N/A</v>
      </c>
      <c r="AA857" s="463"/>
      <c r="AB857" s="462"/>
      <c r="AC857" s="462"/>
      <c r="AD857" s="464"/>
      <c r="AE857" s="465"/>
    </row>
    <row r="858" spans="2:31" ht="14.4" hidden="1">
      <c r="B858" s="298"/>
      <c r="C858" s="216"/>
      <c r="D858" s="217"/>
      <c r="E858" s="391"/>
      <c r="F858" s="262"/>
      <c r="G858" s="272" t="e">
        <v>#N/A</v>
      </c>
      <c r="H858" s="141" t="e">
        <f t="shared" si="54"/>
        <v>#N/A</v>
      </c>
      <c r="I858" s="409" t="s">
        <v>47</v>
      </c>
      <c r="J858" s="466"/>
      <c r="L858" s="86" t="e">
        <f>VLOOKUP(B858,$B$11:B857,1,FALSE)</f>
        <v>#N/A</v>
      </c>
      <c r="M858" s="256" t="e">
        <f>G858*(1-FORM!$AE$28/100)</f>
        <v>#N/A</v>
      </c>
      <c r="AA858" s="463"/>
      <c r="AB858" s="462"/>
      <c r="AC858" s="462"/>
      <c r="AD858" s="464"/>
      <c r="AE858" s="465"/>
    </row>
    <row r="859" spans="2:31" ht="14.4" hidden="1">
      <c r="B859" s="298"/>
      <c r="C859" s="216"/>
      <c r="D859" s="217"/>
      <c r="E859" s="391"/>
      <c r="F859" s="262"/>
      <c r="G859" s="272" t="e">
        <v>#N/A</v>
      </c>
      <c r="H859" s="141" t="e">
        <f t="shared" si="54"/>
        <v>#N/A</v>
      </c>
      <c r="I859" s="409" t="s">
        <v>47</v>
      </c>
      <c r="J859" s="466"/>
      <c r="L859" s="86" t="e">
        <f>VLOOKUP(B859,$B$11:B858,1,FALSE)</f>
        <v>#N/A</v>
      </c>
      <c r="M859" s="256" t="e">
        <f>G859*(1-FORM!$AE$28/100)</f>
        <v>#N/A</v>
      </c>
      <c r="AA859" s="463"/>
      <c r="AB859" s="462"/>
      <c r="AC859" s="462"/>
      <c r="AD859" s="464"/>
      <c r="AE859" s="465"/>
    </row>
    <row r="860" spans="2:31" ht="14.4" hidden="1">
      <c r="B860" s="298"/>
      <c r="C860" s="216"/>
      <c r="D860" s="217"/>
      <c r="E860" s="391"/>
      <c r="F860" s="262"/>
      <c r="G860" s="272" t="e">
        <v>#N/A</v>
      </c>
      <c r="H860" s="141" t="e">
        <f t="shared" si="54"/>
        <v>#N/A</v>
      </c>
      <c r="I860" s="409" t="s">
        <v>47</v>
      </c>
      <c r="J860" s="466"/>
      <c r="L860" s="86" t="e">
        <f>VLOOKUP(B860,$B$11:B859,1,FALSE)</f>
        <v>#N/A</v>
      </c>
      <c r="M860" s="256" t="e">
        <f>G860*(1-FORM!$AE$28/100)</f>
        <v>#N/A</v>
      </c>
      <c r="AA860" s="463"/>
      <c r="AB860" s="462"/>
      <c r="AC860" s="462"/>
      <c r="AD860" s="464"/>
      <c r="AE860" s="465"/>
    </row>
    <row r="861" spans="2:31" ht="14.4" hidden="1">
      <c r="B861" s="298"/>
      <c r="C861" s="216"/>
      <c r="D861" s="217"/>
      <c r="E861" s="391"/>
      <c r="F861" s="262"/>
      <c r="G861" s="272" t="e">
        <v>#N/A</v>
      </c>
      <c r="H861" s="141" t="e">
        <f t="shared" ref="H861:H924" si="55">IF(G861="","",$H$10)</f>
        <v>#N/A</v>
      </c>
      <c r="I861" s="409" t="s">
        <v>47</v>
      </c>
      <c r="J861" s="466"/>
      <c r="L861" s="86" t="e">
        <f>VLOOKUP(B861,$B$11:B860,1,FALSE)</f>
        <v>#N/A</v>
      </c>
      <c r="M861" s="256" t="e">
        <f>G861*(1-FORM!$AE$28/100)</f>
        <v>#N/A</v>
      </c>
      <c r="AA861" s="463"/>
      <c r="AB861" s="462"/>
      <c r="AC861" s="462"/>
      <c r="AD861" s="464"/>
      <c r="AE861" s="465"/>
    </row>
    <row r="862" spans="2:31" ht="14.4" hidden="1">
      <c r="B862" s="298"/>
      <c r="C862" s="216"/>
      <c r="D862" s="217"/>
      <c r="E862" s="391"/>
      <c r="F862" s="262"/>
      <c r="G862" s="272" t="e">
        <v>#N/A</v>
      </c>
      <c r="H862" s="141" t="e">
        <f t="shared" si="55"/>
        <v>#N/A</v>
      </c>
      <c r="I862" s="409" t="s">
        <v>47</v>
      </c>
      <c r="J862" s="466"/>
      <c r="L862" s="86" t="e">
        <f>VLOOKUP(B862,$B$11:B861,1,FALSE)</f>
        <v>#N/A</v>
      </c>
      <c r="M862" s="256" t="e">
        <f>G862*(1-FORM!$AE$28/100)</f>
        <v>#N/A</v>
      </c>
      <c r="AA862" s="463"/>
      <c r="AB862" s="462"/>
      <c r="AC862" s="462"/>
      <c r="AD862" s="464"/>
      <c r="AE862" s="465"/>
    </row>
    <row r="863" spans="2:31" ht="14.4" hidden="1">
      <c r="B863" s="298"/>
      <c r="C863" s="216"/>
      <c r="D863" s="217"/>
      <c r="E863" s="391"/>
      <c r="F863" s="262"/>
      <c r="G863" s="272" t="e">
        <v>#N/A</v>
      </c>
      <c r="H863" s="141" t="e">
        <f t="shared" si="55"/>
        <v>#N/A</v>
      </c>
      <c r="I863" s="409" t="s">
        <v>47</v>
      </c>
      <c r="J863" s="466"/>
      <c r="L863" s="86" t="e">
        <f>VLOOKUP(B863,$B$11:B862,1,FALSE)</f>
        <v>#N/A</v>
      </c>
      <c r="M863" s="256" t="e">
        <f>G863*(1-FORM!$AE$28/100)</f>
        <v>#N/A</v>
      </c>
      <c r="AA863" s="463"/>
      <c r="AB863" s="462"/>
      <c r="AC863" s="462"/>
      <c r="AD863" s="464"/>
      <c r="AE863" s="465"/>
    </row>
    <row r="864" spans="2:31" ht="14.4" hidden="1">
      <c r="B864" s="298"/>
      <c r="C864" s="216"/>
      <c r="D864" s="217"/>
      <c r="E864" s="391"/>
      <c r="F864" s="262"/>
      <c r="G864" s="272" t="e">
        <v>#N/A</v>
      </c>
      <c r="H864" s="141" t="e">
        <f t="shared" si="55"/>
        <v>#N/A</v>
      </c>
      <c r="I864" s="409" t="s">
        <v>47</v>
      </c>
      <c r="J864" s="466"/>
      <c r="L864" s="86" t="e">
        <f>VLOOKUP(B864,$B$11:B863,1,FALSE)</f>
        <v>#N/A</v>
      </c>
      <c r="M864" s="256" t="e">
        <f>G864*(1-FORM!$AE$28/100)</f>
        <v>#N/A</v>
      </c>
      <c r="AA864" s="463"/>
      <c r="AB864" s="462"/>
      <c r="AC864" s="462"/>
      <c r="AD864" s="464"/>
      <c r="AE864" s="465"/>
    </row>
    <row r="865" spans="2:31" ht="14.4" hidden="1">
      <c r="B865" s="298"/>
      <c r="C865" s="216"/>
      <c r="D865" s="217"/>
      <c r="E865" s="391"/>
      <c r="F865" s="262"/>
      <c r="G865" s="272" t="e">
        <v>#N/A</v>
      </c>
      <c r="H865" s="141" t="e">
        <f t="shared" si="55"/>
        <v>#N/A</v>
      </c>
      <c r="I865" s="409" t="s">
        <v>47</v>
      </c>
      <c r="J865" s="466"/>
      <c r="L865" s="86" t="e">
        <f>VLOOKUP(B865,$B$11:B864,1,FALSE)</f>
        <v>#N/A</v>
      </c>
      <c r="M865" s="256" t="e">
        <f>G865*(1-FORM!$AE$28/100)</f>
        <v>#N/A</v>
      </c>
      <c r="AA865" s="463"/>
      <c r="AB865" s="462"/>
      <c r="AC865" s="462"/>
      <c r="AD865" s="464"/>
      <c r="AE865" s="465"/>
    </row>
    <row r="866" spans="2:31" ht="14.4" hidden="1">
      <c r="B866" s="298"/>
      <c r="C866" s="216"/>
      <c r="D866" s="217"/>
      <c r="E866" s="391"/>
      <c r="F866" s="262"/>
      <c r="G866" s="272" t="e">
        <v>#N/A</v>
      </c>
      <c r="H866" s="141" t="e">
        <f t="shared" si="55"/>
        <v>#N/A</v>
      </c>
      <c r="I866" s="409" t="s">
        <v>47</v>
      </c>
      <c r="J866" s="466"/>
      <c r="L866" s="86" t="e">
        <f>VLOOKUP(B866,$B$11:B865,1,FALSE)</f>
        <v>#N/A</v>
      </c>
      <c r="M866" s="256" t="e">
        <f>G866*(1-FORM!$AE$28/100)</f>
        <v>#N/A</v>
      </c>
      <c r="AA866" s="463"/>
      <c r="AB866" s="462"/>
      <c r="AC866" s="462"/>
      <c r="AD866" s="464"/>
      <c r="AE866" s="465"/>
    </row>
    <row r="867" spans="2:31" ht="14.4" hidden="1">
      <c r="B867" s="298"/>
      <c r="C867" s="216"/>
      <c r="D867" s="217"/>
      <c r="E867" s="391"/>
      <c r="F867" s="262"/>
      <c r="G867" s="272" t="e">
        <v>#N/A</v>
      </c>
      <c r="H867" s="141" t="e">
        <f t="shared" si="55"/>
        <v>#N/A</v>
      </c>
      <c r="I867" s="409" t="s">
        <v>47</v>
      </c>
      <c r="J867" s="466"/>
      <c r="L867" s="86" t="e">
        <f>VLOOKUP(B867,$B$11:B866,1,FALSE)</f>
        <v>#N/A</v>
      </c>
      <c r="M867" s="256" t="e">
        <f>G867*(1-FORM!$AE$28/100)</f>
        <v>#N/A</v>
      </c>
      <c r="AA867" s="463"/>
      <c r="AB867" s="462"/>
      <c r="AC867" s="462"/>
      <c r="AD867" s="464"/>
      <c r="AE867" s="465"/>
    </row>
    <row r="868" spans="2:31" ht="14.4" hidden="1">
      <c r="B868" s="298"/>
      <c r="C868" s="216"/>
      <c r="D868" s="217"/>
      <c r="E868" s="391"/>
      <c r="F868" s="262"/>
      <c r="G868" s="272" t="e">
        <v>#N/A</v>
      </c>
      <c r="H868" s="141" t="e">
        <f t="shared" si="55"/>
        <v>#N/A</v>
      </c>
      <c r="I868" s="409" t="s">
        <v>47</v>
      </c>
      <c r="J868" s="466"/>
      <c r="L868" s="86" t="e">
        <f>VLOOKUP(B868,$B$11:B867,1,FALSE)</f>
        <v>#N/A</v>
      </c>
      <c r="M868" s="256" t="e">
        <f>G868*(1-FORM!$AE$28/100)</f>
        <v>#N/A</v>
      </c>
      <c r="AA868" s="463"/>
      <c r="AB868" s="462"/>
      <c r="AC868" s="462"/>
      <c r="AD868" s="464"/>
      <c r="AE868" s="465"/>
    </row>
    <row r="869" spans="2:31" ht="14.4" hidden="1">
      <c r="B869" s="298"/>
      <c r="C869" s="216"/>
      <c r="D869" s="217"/>
      <c r="E869" s="391"/>
      <c r="F869" s="262"/>
      <c r="G869" s="272" t="e">
        <v>#N/A</v>
      </c>
      <c r="H869" s="141" t="e">
        <f t="shared" si="55"/>
        <v>#N/A</v>
      </c>
      <c r="I869" s="409" t="s">
        <v>47</v>
      </c>
      <c r="J869" s="466"/>
      <c r="L869" s="86" t="e">
        <f>VLOOKUP(B869,$B$11:B868,1,FALSE)</f>
        <v>#N/A</v>
      </c>
      <c r="M869" s="256" t="e">
        <f>G869*(1-FORM!$AE$28/100)</f>
        <v>#N/A</v>
      </c>
      <c r="AA869" s="463"/>
      <c r="AB869" s="462"/>
      <c r="AC869" s="462"/>
      <c r="AD869" s="464"/>
      <c r="AE869" s="465"/>
    </row>
    <row r="870" spans="2:31" ht="14.4" hidden="1">
      <c r="B870" s="298"/>
      <c r="C870" s="216"/>
      <c r="D870" s="217"/>
      <c r="E870" s="391"/>
      <c r="F870" s="262"/>
      <c r="G870" s="272" t="e">
        <v>#N/A</v>
      </c>
      <c r="H870" s="141" t="e">
        <f t="shared" si="55"/>
        <v>#N/A</v>
      </c>
      <c r="I870" s="409" t="s">
        <v>47</v>
      </c>
      <c r="J870" s="466"/>
      <c r="L870" s="86" t="e">
        <f>VLOOKUP(B870,$B$11:B869,1,FALSE)</f>
        <v>#N/A</v>
      </c>
      <c r="M870" s="256" t="e">
        <f>G870*(1-FORM!$AE$28/100)</f>
        <v>#N/A</v>
      </c>
      <c r="AA870" s="463"/>
      <c r="AB870" s="462"/>
      <c r="AC870" s="462"/>
      <c r="AD870" s="464"/>
      <c r="AE870" s="465"/>
    </row>
    <row r="871" spans="2:31" ht="14.4" hidden="1">
      <c r="B871" s="298"/>
      <c r="C871" s="216"/>
      <c r="D871" s="217"/>
      <c r="E871" s="391"/>
      <c r="F871" s="262"/>
      <c r="G871" s="272" t="e">
        <v>#N/A</v>
      </c>
      <c r="H871" s="141" t="e">
        <f t="shared" si="55"/>
        <v>#N/A</v>
      </c>
      <c r="I871" s="409" t="s">
        <v>47</v>
      </c>
      <c r="J871" s="466"/>
      <c r="L871" s="86" t="e">
        <f>VLOOKUP(B871,$B$11:B870,1,FALSE)</f>
        <v>#N/A</v>
      </c>
      <c r="M871" s="256" t="e">
        <f>G871*(1-FORM!$AE$28/100)</f>
        <v>#N/A</v>
      </c>
      <c r="AA871" s="463"/>
      <c r="AB871" s="462"/>
      <c r="AC871" s="462"/>
      <c r="AD871" s="464"/>
      <c r="AE871" s="465"/>
    </row>
    <row r="872" spans="2:31" ht="14.4" hidden="1">
      <c r="B872" s="298"/>
      <c r="C872" s="216"/>
      <c r="D872" s="217"/>
      <c r="E872" s="391"/>
      <c r="F872" s="262"/>
      <c r="G872" s="272" t="e">
        <v>#N/A</v>
      </c>
      <c r="H872" s="141" t="e">
        <f t="shared" si="55"/>
        <v>#N/A</v>
      </c>
      <c r="I872" s="409" t="s">
        <v>47</v>
      </c>
      <c r="J872" s="466"/>
      <c r="L872" s="86" t="e">
        <f>VLOOKUP(B872,$B$11:B871,1,FALSE)</f>
        <v>#N/A</v>
      </c>
      <c r="M872" s="256" t="e">
        <f>G872*(1-FORM!$AE$28/100)</f>
        <v>#N/A</v>
      </c>
      <c r="AA872" s="463"/>
      <c r="AB872" s="462"/>
      <c r="AC872" s="462"/>
      <c r="AD872" s="464"/>
      <c r="AE872" s="465"/>
    </row>
    <row r="873" spans="2:31" ht="14.4" hidden="1">
      <c r="B873" s="298"/>
      <c r="C873" s="216"/>
      <c r="D873" s="217"/>
      <c r="E873" s="391"/>
      <c r="F873" s="262"/>
      <c r="G873" s="272" t="e">
        <v>#N/A</v>
      </c>
      <c r="H873" s="141" t="e">
        <f t="shared" si="55"/>
        <v>#N/A</v>
      </c>
      <c r="I873" s="409" t="s">
        <v>47</v>
      </c>
      <c r="J873" s="466"/>
      <c r="L873" s="86" t="e">
        <f>VLOOKUP(B873,$B$11:B872,1,FALSE)</f>
        <v>#N/A</v>
      </c>
      <c r="M873" s="256" t="e">
        <f>G873*(1-FORM!$AE$28/100)</f>
        <v>#N/A</v>
      </c>
      <c r="AA873" s="463"/>
      <c r="AB873" s="462"/>
      <c r="AC873" s="462"/>
      <c r="AD873" s="464"/>
      <c r="AE873" s="465"/>
    </row>
    <row r="874" spans="2:31" ht="14.4" hidden="1">
      <c r="B874" s="298"/>
      <c r="C874" s="216"/>
      <c r="D874" s="217"/>
      <c r="E874" s="391"/>
      <c r="F874" s="262"/>
      <c r="G874" s="272" t="e">
        <v>#N/A</v>
      </c>
      <c r="H874" s="141" t="e">
        <f t="shared" si="55"/>
        <v>#N/A</v>
      </c>
      <c r="I874" s="409" t="s">
        <v>47</v>
      </c>
      <c r="J874" s="466"/>
      <c r="L874" s="86" t="e">
        <f>VLOOKUP(B874,$B$11:B873,1,FALSE)</f>
        <v>#N/A</v>
      </c>
      <c r="M874" s="256" t="e">
        <f>G874*(1-FORM!$AE$28/100)</f>
        <v>#N/A</v>
      </c>
      <c r="AA874" s="463"/>
      <c r="AB874" s="462"/>
      <c r="AC874" s="462"/>
      <c r="AD874" s="464"/>
      <c r="AE874" s="465"/>
    </row>
    <row r="875" spans="2:31" ht="14.4" hidden="1">
      <c r="B875" s="298"/>
      <c r="C875" s="216"/>
      <c r="D875" s="217"/>
      <c r="E875" s="391"/>
      <c r="F875" s="262"/>
      <c r="G875" s="272" t="e">
        <v>#N/A</v>
      </c>
      <c r="H875" s="141" t="e">
        <f t="shared" si="55"/>
        <v>#N/A</v>
      </c>
      <c r="I875" s="409" t="s">
        <v>47</v>
      </c>
      <c r="J875" s="466"/>
      <c r="L875" s="86" t="e">
        <f>VLOOKUP(B875,$B$11:B874,1,FALSE)</f>
        <v>#N/A</v>
      </c>
      <c r="M875" s="256" t="e">
        <f>G875*(1-FORM!$AE$28/100)</f>
        <v>#N/A</v>
      </c>
      <c r="AA875" s="463"/>
      <c r="AB875" s="462"/>
      <c r="AC875" s="462"/>
      <c r="AD875" s="464"/>
      <c r="AE875" s="465"/>
    </row>
    <row r="876" spans="2:31" ht="14.4" hidden="1">
      <c r="B876" s="298"/>
      <c r="C876" s="216"/>
      <c r="D876" s="217"/>
      <c r="E876" s="391"/>
      <c r="F876" s="262"/>
      <c r="G876" s="272" t="e">
        <v>#N/A</v>
      </c>
      <c r="H876" s="141" t="e">
        <f t="shared" si="55"/>
        <v>#N/A</v>
      </c>
      <c r="I876" s="409" t="s">
        <v>47</v>
      </c>
      <c r="J876" s="466"/>
      <c r="L876" s="86" t="e">
        <f>VLOOKUP(B876,$B$11:B875,1,FALSE)</f>
        <v>#N/A</v>
      </c>
      <c r="M876" s="256" t="e">
        <f>G876*(1-FORM!$AE$28/100)</f>
        <v>#N/A</v>
      </c>
      <c r="AA876" s="463"/>
      <c r="AB876" s="462"/>
      <c r="AC876" s="462"/>
      <c r="AD876" s="464"/>
      <c r="AE876" s="465"/>
    </row>
    <row r="877" spans="2:31" ht="14.4" hidden="1">
      <c r="B877" s="298"/>
      <c r="C877" s="216"/>
      <c r="D877" s="217"/>
      <c r="E877" s="391"/>
      <c r="F877" s="262"/>
      <c r="G877" s="272" t="e">
        <v>#N/A</v>
      </c>
      <c r="H877" s="141" t="e">
        <f t="shared" si="55"/>
        <v>#N/A</v>
      </c>
      <c r="I877" s="409" t="s">
        <v>47</v>
      </c>
      <c r="J877" s="466"/>
      <c r="L877" s="86" t="e">
        <f>VLOOKUP(B877,$B$11:B876,1,FALSE)</f>
        <v>#N/A</v>
      </c>
      <c r="M877" s="256" t="e">
        <f>G877*(1-FORM!$AE$28/100)</f>
        <v>#N/A</v>
      </c>
      <c r="AA877" s="463"/>
      <c r="AB877" s="462"/>
      <c r="AC877" s="462"/>
      <c r="AD877" s="464"/>
      <c r="AE877" s="465"/>
    </row>
    <row r="878" spans="2:31" ht="14.4" hidden="1">
      <c r="B878" s="298"/>
      <c r="C878" s="216"/>
      <c r="D878" s="217"/>
      <c r="E878" s="391"/>
      <c r="F878" s="262"/>
      <c r="G878" s="272" t="e">
        <v>#N/A</v>
      </c>
      <c r="H878" s="141" t="e">
        <f t="shared" si="55"/>
        <v>#N/A</v>
      </c>
      <c r="I878" s="409" t="s">
        <v>47</v>
      </c>
      <c r="J878" s="466"/>
      <c r="L878" s="86" t="e">
        <f>VLOOKUP(B878,$B$11:B877,1,FALSE)</f>
        <v>#N/A</v>
      </c>
      <c r="M878" s="256" t="e">
        <f>G878*(1-FORM!$AE$28/100)</f>
        <v>#N/A</v>
      </c>
      <c r="AA878" s="463"/>
      <c r="AB878" s="462"/>
      <c r="AC878" s="462"/>
      <c r="AD878" s="464"/>
      <c r="AE878" s="465"/>
    </row>
    <row r="879" spans="2:31" ht="14.4" hidden="1">
      <c r="B879" s="298"/>
      <c r="C879" s="216"/>
      <c r="D879" s="217"/>
      <c r="E879" s="391"/>
      <c r="F879" s="262"/>
      <c r="G879" s="272" t="e">
        <v>#N/A</v>
      </c>
      <c r="H879" s="141" t="e">
        <f t="shared" si="55"/>
        <v>#N/A</v>
      </c>
      <c r="I879" s="409" t="s">
        <v>47</v>
      </c>
      <c r="J879" s="466"/>
      <c r="L879" s="86" t="e">
        <f>VLOOKUP(B879,$B$11:B878,1,FALSE)</f>
        <v>#N/A</v>
      </c>
      <c r="M879" s="256" t="e">
        <f>G879*(1-FORM!$AE$28/100)</f>
        <v>#N/A</v>
      </c>
      <c r="AA879" s="463"/>
      <c r="AB879" s="462"/>
      <c r="AC879" s="462"/>
      <c r="AD879" s="464"/>
      <c r="AE879" s="465"/>
    </row>
    <row r="880" spans="2:31" ht="14.4" hidden="1">
      <c r="B880" s="298"/>
      <c r="C880" s="216"/>
      <c r="D880" s="217"/>
      <c r="E880" s="391"/>
      <c r="F880" s="262"/>
      <c r="G880" s="272" t="e">
        <v>#N/A</v>
      </c>
      <c r="H880" s="141" t="e">
        <f t="shared" si="55"/>
        <v>#N/A</v>
      </c>
      <c r="I880" s="409" t="s">
        <v>47</v>
      </c>
      <c r="J880" s="466"/>
      <c r="L880" s="86" t="e">
        <f>VLOOKUP(B880,$B$11:B879,1,FALSE)</f>
        <v>#N/A</v>
      </c>
      <c r="M880" s="256" t="e">
        <f>G880*(1-FORM!$AE$28/100)</f>
        <v>#N/A</v>
      </c>
      <c r="AA880" s="463"/>
      <c r="AB880" s="462"/>
      <c r="AC880" s="462"/>
      <c r="AD880" s="464"/>
      <c r="AE880" s="465"/>
    </row>
    <row r="881" spans="2:31" ht="14.4" hidden="1">
      <c r="B881" s="298"/>
      <c r="C881" s="216"/>
      <c r="D881" s="217"/>
      <c r="E881" s="391"/>
      <c r="F881" s="262"/>
      <c r="G881" s="272" t="e">
        <v>#N/A</v>
      </c>
      <c r="H881" s="141" t="e">
        <f t="shared" si="55"/>
        <v>#N/A</v>
      </c>
      <c r="I881" s="409" t="s">
        <v>47</v>
      </c>
      <c r="J881" s="466"/>
      <c r="L881" s="86" t="e">
        <f>VLOOKUP(B881,$B$11:B880,1,FALSE)</f>
        <v>#N/A</v>
      </c>
      <c r="M881" s="256" t="e">
        <f>G881*(1-FORM!$AE$28/100)</f>
        <v>#N/A</v>
      </c>
      <c r="AA881" s="463"/>
      <c r="AB881" s="462"/>
      <c r="AC881" s="462"/>
      <c r="AD881" s="464"/>
      <c r="AE881" s="465"/>
    </row>
    <row r="882" spans="2:31" ht="14.4" hidden="1">
      <c r="B882" s="298"/>
      <c r="C882" s="216"/>
      <c r="D882" s="217"/>
      <c r="E882" s="391"/>
      <c r="F882" s="262"/>
      <c r="G882" s="272" t="e">
        <v>#N/A</v>
      </c>
      <c r="H882" s="141" t="e">
        <f t="shared" si="55"/>
        <v>#N/A</v>
      </c>
      <c r="I882" s="409" t="s">
        <v>47</v>
      </c>
      <c r="J882" s="466"/>
      <c r="L882" s="86" t="e">
        <f>VLOOKUP(B882,$B$11:B881,1,FALSE)</f>
        <v>#N/A</v>
      </c>
      <c r="M882" s="256" t="e">
        <f>G882*(1-FORM!$AE$28/100)</f>
        <v>#N/A</v>
      </c>
      <c r="AA882" s="463"/>
      <c r="AB882" s="462"/>
      <c r="AC882" s="462"/>
      <c r="AD882" s="464"/>
      <c r="AE882" s="465"/>
    </row>
    <row r="883" spans="2:31" ht="14.4" hidden="1">
      <c r="B883" s="298"/>
      <c r="C883" s="216"/>
      <c r="D883" s="217"/>
      <c r="E883" s="391"/>
      <c r="F883" s="262"/>
      <c r="G883" s="272" t="e">
        <v>#N/A</v>
      </c>
      <c r="H883" s="141" t="e">
        <f t="shared" si="55"/>
        <v>#N/A</v>
      </c>
      <c r="I883" s="409" t="s">
        <v>47</v>
      </c>
      <c r="J883" s="466"/>
      <c r="L883" s="86" t="e">
        <f>VLOOKUP(B883,$B$11:B882,1,FALSE)</f>
        <v>#N/A</v>
      </c>
      <c r="M883" s="256" t="e">
        <f>G883*(1-FORM!$AE$28/100)</f>
        <v>#N/A</v>
      </c>
      <c r="AA883" s="463"/>
      <c r="AB883" s="462"/>
      <c r="AC883" s="462"/>
      <c r="AD883" s="464"/>
      <c r="AE883" s="465"/>
    </row>
    <row r="884" spans="2:31" ht="14.4" hidden="1">
      <c r="B884" s="298"/>
      <c r="C884" s="216"/>
      <c r="D884" s="217"/>
      <c r="E884" s="391"/>
      <c r="F884" s="262"/>
      <c r="G884" s="272" t="e">
        <v>#N/A</v>
      </c>
      <c r="H884" s="141" t="e">
        <f t="shared" si="55"/>
        <v>#N/A</v>
      </c>
      <c r="I884" s="409" t="s">
        <v>47</v>
      </c>
      <c r="J884" s="466"/>
      <c r="L884" s="86" t="e">
        <f>VLOOKUP(B884,$B$11:B883,1,FALSE)</f>
        <v>#N/A</v>
      </c>
      <c r="M884" s="256" t="e">
        <f>G884*(1-FORM!$AE$28/100)</f>
        <v>#N/A</v>
      </c>
      <c r="AA884" s="463"/>
      <c r="AB884" s="462"/>
      <c r="AC884" s="462"/>
      <c r="AD884" s="464"/>
      <c r="AE884" s="465"/>
    </row>
    <row r="885" spans="2:31" ht="14.4" hidden="1">
      <c r="B885" s="298"/>
      <c r="C885" s="216"/>
      <c r="D885" s="217"/>
      <c r="E885" s="391"/>
      <c r="F885" s="262"/>
      <c r="G885" s="272" t="e">
        <v>#N/A</v>
      </c>
      <c r="H885" s="141" t="e">
        <f t="shared" si="55"/>
        <v>#N/A</v>
      </c>
      <c r="I885" s="409" t="s">
        <v>47</v>
      </c>
      <c r="J885" s="466"/>
      <c r="L885" s="86" t="e">
        <f>VLOOKUP(B885,$B$11:B884,1,FALSE)</f>
        <v>#N/A</v>
      </c>
      <c r="M885" s="256" t="e">
        <f>G885*(1-FORM!$AE$28/100)</f>
        <v>#N/A</v>
      </c>
      <c r="AA885" s="463"/>
      <c r="AB885" s="462"/>
      <c r="AC885" s="462"/>
      <c r="AD885" s="464"/>
      <c r="AE885" s="465"/>
    </row>
    <row r="886" spans="2:31" ht="14.4" hidden="1">
      <c r="B886" s="298"/>
      <c r="C886" s="216"/>
      <c r="D886" s="217"/>
      <c r="E886" s="391"/>
      <c r="F886" s="262"/>
      <c r="G886" s="272" t="e">
        <v>#N/A</v>
      </c>
      <c r="H886" s="141" t="e">
        <f t="shared" si="55"/>
        <v>#N/A</v>
      </c>
      <c r="I886" s="409" t="s">
        <v>47</v>
      </c>
      <c r="J886" s="466"/>
      <c r="L886" s="86" t="e">
        <f>VLOOKUP(B886,$B$11:B885,1,FALSE)</f>
        <v>#N/A</v>
      </c>
      <c r="M886" s="256" t="e">
        <f>G886*(1-FORM!$AE$28/100)</f>
        <v>#N/A</v>
      </c>
      <c r="AA886" s="463"/>
      <c r="AB886" s="462"/>
      <c r="AC886" s="462"/>
      <c r="AD886" s="464"/>
      <c r="AE886" s="465"/>
    </row>
    <row r="887" spans="2:31" ht="14.4" hidden="1">
      <c r="B887" s="298"/>
      <c r="C887" s="216"/>
      <c r="D887" s="217"/>
      <c r="E887" s="391"/>
      <c r="F887" s="262"/>
      <c r="G887" s="272" t="e">
        <v>#N/A</v>
      </c>
      <c r="H887" s="141" t="e">
        <f t="shared" si="55"/>
        <v>#N/A</v>
      </c>
      <c r="I887" s="409" t="s">
        <v>47</v>
      </c>
      <c r="J887" s="466"/>
      <c r="L887" s="86" t="e">
        <f>VLOOKUP(B887,$B$11:B886,1,FALSE)</f>
        <v>#N/A</v>
      </c>
      <c r="M887" s="256" t="e">
        <f>G887*(1-FORM!$AE$28/100)</f>
        <v>#N/A</v>
      </c>
      <c r="AA887" s="463"/>
      <c r="AB887" s="462"/>
      <c r="AC887" s="462"/>
      <c r="AD887" s="464"/>
      <c r="AE887" s="465"/>
    </row>
    <row r="888" spans="2:31" ht="14.4" hidden="1">
      <c r="B888" s="298"/>
      <c r="C888" s="216"/>
      <c r="D888" s="217"/>
      <c r="E888" s="391"/>
      <c r="F888" s="262"/>
      <c r="G888" s="272" t="e">
        <v>#N/A</v>
      </c>
      <c r="H888" s="141" t="e">
        <f t="shared" si="55"/>
        <v>#N/A</v>
      </c>
      <c r="I888" s="409" t="s">
        <v>47</v>
      </c>
      <c r="J888" s="466"/>
      <c r="L888" s="86" t="e">
        <f>VLOOKUP(B888,$B$11:B887,1,FALSE)</f>
        <v>#N/A</v>
      </c>
      <c r="M888" s="256" t="e">
        <f>G888*(1-FORM!$AE$28/100)</f>
        <v>#N/A</v>
      </c>
      <c r="AA888" s="463"/>
      <c r="AB888" s="462"/>
      <c r="AC888" s="462"/>
      <c r="AD888" s="464"/>
      <c r="AE888" s="465"/>
    </row>
    <row r="889" spans="2:31" ht="14.4" hidden="1">
      <c r="B889" s="298"/>
      <c r="C889" s="216"/>
      <c r="D889" s="217"/>
      <c r="E889" s="391"/>
      <c r="F889" s="262"/>
      <c r="G889" s="272" t="e">
        <v>#N/A</v>
      </c>
      <c r="H889" s="141" t="e">
        <f t="shared" si="55"/>
        <v>#N/A</v>
      </c>
      <c r="I889" s="409" t="s">
        <v>47</v>
      </c>
      <c r="J889" s="466"/>
      <c r="L889" s="86" t="e">
        <f>VLOOKUP(B889,$B$11:B888,1,FALSE)</f>
        <v>#N/A</v>
      </c>
      <c r="M889" s="256" t="e">
        <f>G889*(1-FORM!$AE$28/100)</f>
        <v>#N/A</v>
      </c>
      <c r="AA889" s="463"/>
      <c r="AB889" s="462"/>
      <c r="AC889" s="462"/>
      <c r="AD889" s="464"/>
      <c r="AE889" s="465"/>
    </row>
    <row r="890" spans="2:31" ht="14.4" hidden="1">
      <c r="B890" s="298"/>
      <c r="C890" s="216"/>
      <c r="D890" s="217"/>
      <c r="E890" s="391"/>
      <c r="F890" s="262"/>
      <c r="G890" s="272" t="e">
        <v>#N/A</v>
      </c>
      <c r="H890" s="141" t="e">
        <f t="shared" si="55"/>
        <v>#N/A</v>
      </c>
      <c r="I890" s="409" t="s">
        <v>47</v>
      </c>
      <c r="J890" s="466"/>
      <c r="L890" s="86" t="e">
        <f>VLOOKUP(B890,$B$11:B889,1,FALSE)</f>
        <v>#N/A</v>
      </c>
      <c r="M890" s="256" t="e">
        <f>G890*(1-FORM!$AE$28/100)</f>
        <v>#N/A</v>
      </c>
      <c r="AA890" s="463"/>
      <c r="AB890" s="462"/>
      <c r="AC890" s="462"/>
      <c r="AD890" s="464"/>
      <c r="AE890" s="465"/>
    </row>
    <row r="891" spans="2:31" ht="14.4" hidden="1">
      <c r="B891" s="298"/>
      <c r="C891" s="216"/>
      <c r="D891" s="217"/>
      <c r="E891" s="391"/>
      <c r="F891" s="262"/>
      <c r="G891" s="272" t="e">
        <v>#N/A</v>
      </c>
      <c r="H891" s="141" t="e">
        <f t="shared" si="55"/>
        <v>#N/A</v>
      </c>
      <c r="I891" s="409" t="s">
        <v>47</v>
      </c>
      <c r="J891" s="466"/>
      <c r="L891" s="86" t="e">
        <f>VLOOKUP(B891,$B$11:B890,1,FALSE)</f>
        <v>#N/A</v>
      </c>
      <c r="M891" s="256" t="e">
        <f>G891*(1-FORM!$AE$28/100)</f>
        <v>#N/A</v>
      </c>
      <c r="AA891" s="463"/>
      <c r="AB891" s="462"/>
      <c r="AC891" s="462"/>
      <c r="AD891" s="464"/>
      <c r="AE891" s="465"/>
    </row>
    <row r="892" spans="2:31" ht="14.4" hidden="1">
      <c r="B892" s="298"/>
      <c r="C892" s="216"/>
      <c r="D892" s="217"/>
      <c r="E892" s="391"/>
      <c r="F892" s="262"/>
      <c r="G892" s="272" t="e">
        <v>#N/A</v>
      </c>
      <c r="H892" s="141" t="e">
        <f t="shared" si="55"/>
        <v>#N/A</v>
      </c>
      <c r="I892" s="409" t="s">
        <v>47</v>
      </c>
      <c r="J892" s="466"/>
      <c r="L892" s="86" t="e">
        <f>VLOOKUP(B892,$B$11:B891,1,FALSE)</f>
        <v>#N/A</v>
      </c>
      <c r="M892" s="256" t="e">
        <f>G892*(1-FORM!$AE$28/100)</f>
        <v>#N/A</v>
      </c>
      <c r="AA892" s="463"/>
      <c r="AB892" s="462"/>
      <c r="AC892" s="462"/>
      <c r="AD892" s="464"/>
      <c r="AE892" s="465"/>
    </row>
    <row r="893" spans="2:31" ht="14.4" hidden="1">
      <c r="B893" s="298"/>
      <c r="C893" s="216"/>
      <c r="D893" s="217"/>
      <c r="E893" s="391"/>
      <c r="F893" s="262"/>
      <c r="G893" s="272" t="e">
        <v>#N/A</v>
      </c>
      <c r="H893" s="141" t="e">
        <f t="shared" si="55"/>
        <v>#N/A</v>
      </c>
      <c r="I893" s="409" t="s">
        <v>47</v>
      </c>
      <c r="J893" s="466"/>
      <c r="L893" s="86" t="e">
        <f>VLOOKUP(B893,$B$11:B892,1,FALSE)</f>
        <v>#N/A</v>
      </c>
      <c r="M893" s="256" t="e">
        <f>G893*(1-FORM!$AE$28/100)</f>
        <v>#N/A</v>
      </c>
      <c r="AA893" s="463"/>
      <c r="AB893" s="462"/>
      <c r="AC893" s="462"/>
      <c r="AD893" s="464"/>
      <c r="AE893" s="465"/>
    </row>
    <row r="894" spans="2:31" ht="14.4" hidden="1">
      <c r="B894" s="298"/>
      <c r="C894" s="216"/>
      <c r="D894" s="217"/>
      <c r="E894" s="391"/>
      <c r="F894" s="262"/>
      <c r="G894" s="272" t="e">
        <v>#N/A</v>
      </c>
      <c r="H894" s="141" t="e">
        <f t="shared" si="55"/>
        <v>#N/A</v>
      </c>
      <c r="I894" s="409" t="s">
        <v>47</v>
      </c>
      <c r="J894" s="466"/>
      <c r="L894" s="86" t="e">
        <f>VLOOKUP(B894,$B$11:B893,1,FALSE)</f>
        <v>#N/A</v>
      </c>
      <c r="M894" s="256" t="e">
        <f>G894*(1-FORM!$AE$28/100)</f>
        <v>#N/A</v>
      </c>
      <c r="AA894" s="463"/>
      <c r="AB894" s="462"/>
      <c r="AC894" s="462"/>
      <c r="AD894" s="464"/>
      <c r="AE894" s="465"/>
    </row>
    <row r="895" spans="2:31" ht="14.4" hidden="1">
      <c r="B895" s="298"/>
      <c r="C895" s="216"/>
      <c r="D895" s="217"/>
      <c r="E895" s="391"/>
      <c r="F895" s="262"/>
      <c r="G895" s="272" t="e">
        <v>#N/A</v>
      </c>
      <c r="H895" s="141" t="e">
        <f t="shared" si="55"/>
        <v>#N/A</v>
      </c>
      <c r="I895" s="409" t="s">
        <v>47</v>
      </c>
      <c r="J895" s="466"/>
      <c r="L895" s="86" t="e">
        <f>VLOOKUP(B895,$B$11:B894,1,FALSE)</f>
        <v>#N/A</v>
      </c>
      <c r="M895" s="256" t="e">
        <f>G895*(1-FORM!$AE$28/100)</f>
        <v>#N/A</v>
      </c>
      <c r="AA895" s="463"/>
      <c r="AB895" s="462"/>
      <c r="AC895" s="462"/>
      <c r="AD895" s="464"/>
      <c r="AE895" s="465"/>
    </row>
    <row r="896" spans="2:31" ht="14.4" hidden="1">
      <c r="B896" s="298"/>
      <c r="C896" s="216"/>
      <c r="D896" s="217"/>
      <c r="E896" s="391"/>
      <c r="F896" s="262"/>
      <c r="G896" s="272" t="e">
        <v>#N/A</v>
      </c>
      <c r="H896" s="141" t="e">
        <f t="shared" si="55"/>
        <v>#N/A</v>
      </c>
      <c r="I896" s="409" t="s">
        <v>47</v>
      </c>
      <c r="J896" s="466"/>
      <c r="L896" s="86" t="e">
        <f>VLOOKUP(B896,$B$11:B895,1,FALSE)</f>
        <v>#N/A</v>
      </c>
      <c r="M896" s="256" t="e">
        <f>G896*(1-FORM!$AE$28/100)</f>
        <v>#N/A</v>
      </c>
      <c r="AA896" s="463"/>
      <c r="AB896" s="462"/>
      <c r="AC896" s="462"/>
      <c r="AD896" s="464"/>
      <c r="AE896" s="465"/>
    </row>
    <row r="897" spans="2:31" ht="14.4" hidden="1">
      <c r="B897" s="298"/>
      <c r="C897" s="216"/>
      <c r="D897" s="217"/>
      <c r="E897" s="391"/>
      <c r="F897" s="262"/>
      <c r="G897" s="272" t="e">
        <v>#N/A</v>
      </c>
      <c r="H897" s="141" t="e">
        <f t="shared" si="55"/>
        <v>#N/A</v>
      </c>
      <c r="I897" s="409" t="s">
        <v>47</v>
      </c>
      <c r="J897" s="466"/>
      <c r="L897" s="86" t="e">
        <f>VLOOKUP(B897,$B$11:B896,1,FALSE)</f>
        <v>#N/A</v>
      </c>
      <c r="M897" s="256" t="e">
        <f>G897*(1-FORM!$AE$28/100)</f>
        <v>#N/A</v>
      </c>
      <c r="AA897" s="463"/>
      <c r="AB897" s="462"/>
      <c r="AC897" s="462"/>
      <c r="AD897" s="464"/>
      <c r="AE897" s="465"/>
    </row>
    <row r="898" spans="2:31" ht="14.4" hidden="1">
      <c r="B898" s="298"/>
      <c r="C898" s="216"/>
      <c r="D898" s="217"/>
      <c r="E898" s="391"/>
      <c r="F898" s="262"/>
      <c r="G898" s="272" t="e">
        <v>#N/A</v>
      </c>
      <c r="H898" s="141" t="e">
        <f t="shared" si="55"/>
        <v>#N/A</v>
      </c>
      <c r="I898" s="409" t="s">
        <v>47</v>
      </c>
      <c r="J898" s="466"/>
      <c r="L898" s="86" t="e">
        <f>VLOOKUP(B898,$B$11:B897,1,FALSE)</f>
        <v>#N/A</v>
      </c>
      <c r="M898" s="256" t="e">
        <f>G898*(1-FORM!$AE$28/100)</f>
        <v>#N/A</v>
      </c>
      <c r="AA898" s="463"/>
      <c r="AB898" s="462"/>
      <c r="AC898" s="462"/>
      <c r="AD898" s="464"/>
      <c r="AE898" s="465"/>
    </row>
    <row r="899" spans="2:31" ht="14.4" hidden="1">
      <c r="B899" s="298"/>
      <c r="C899" s="216"/>
      <c r="D899" s="217"/>
      <c r="E899" s="391"/>
      <c r="F899" s="262"/>
      <c r="G899" s="272" t="e">
        <v>#N/A</v>
      </c>
      <c r="H899" s="141" t="e">
        <f t="shared" si="55"/>
        <v>#N/A</v>
      </c>
      <c r="I899" s="409" t="s">
        <v>47</v>
      </c>
      <c r="J899" s="466"/>
      <c r="L899" s="86" t="e">
        <f>VLOOKUP(B899,$B$11:B898,1,FALSE)</f>
        <v>#N/A</v>
      </c>
      <c r="M899" s="256" t="e">
        <f>G899*(1-FORM!$AE$28/100)</f>
        <v>#N/A</v>
      </c>
      <c r="AA899" s="463"/>
      <c r="AB899" s="462"/>
      <c r="AC899" s="462"/>
      <c r="AD899" s="464"/>
      <c r="AE899" s="465"/>
    </row>
    <row r="900" spans="2:31" ht="14.4" hidden="1">
      <c r="B900" s="298"/>
      <c r="C900" s="216"/>
      <c r="D900" s="217"/>
      <c r="E900" s="391"/>
      <c r="F900" s="262"/>
      <c r="G900" s="272" t="e">
        <v>#N/A</v>
      </c>
      <c r="H900" s="141" t="e">
        <f t="shared" si="55"/>
        <v>#N/A</v>
      </c>
      <c r="I900" s="409" t="s">
        <v>47</v>
      </c>
      <c r="J900" s="466"/>
      <c r="L900" s="86" t="e">
        <f>VLOOKUP(B900,$B$11:B899,1,FALSE)</f>
        <v>#N/A</v>
      </c>
      <c r="M900" s="256" t="e">
        <f>G900*(1-FORM!$AE$28/100)</f>
        <v>#N/A</v>
      </c>
      <c r="AA900" s="463"/>
      <c r="AB900" s="462"/>
      <c r="AC900" s="462"/>
      <c r="AD900" s="464"/>
      <c r="AE900" s="465"/>
    </row>
    <row r="901" spans="2:31" ht="14.4" hidden="1">
      <c r="B901" s="298"/>
      <c r="C901" s="216"/>
      <c r="D901" s="217"/>
      <c r="E901" s="391"/>
      <c r="F901" s="262"/>
      <c r="G901" s="272" t="e">
        <v>#N/A</v>
      </c>
      <c r="H901" s="141" t="e">
        <f t="shared" si="55"/>
        <v>#N/A</v>
      </c>
      <c r="I901" s="409" t="s">
        <v>47</v>
      </c>
      <c r="J901" s="466"/>
      <c r="L901" s="86" t="e">
        <f>VLOOKUP(B901,$B$11:B900,1,FALSE)</f>
        <v>#N/A</v>
      </c>
      <c r="M901" s="256" t="e">
        <f>G901*(1-FORM!$AE$28/100)</f>
        <v>#N/A</v>
      </c>
      <c r="AA901" s="463"/>
      <c r="AB901" s="462"/>
      <c r="AC901" s="462"/>
      <c r="AD901" s="464"/>
      <c r="AE901" s="465"/>
    </row>
    <row r="902" spans="2:31" ht="14.4" hidden="1">
      <c r="B902" s="298"/>
      <c r="C902" s="216"/>
      <c r="D902" s="217"/>
      <c r="E902" s="391"/>
      <c r="F902" s="262"/>
      <c r="G902" s="272" t="e">
        <v>#N/A</v>
      </c>
      <c r="H902" s="141" t="e">
        <f t="shared" si="55"/>
        <v>#N/A</v>
      </c>
      <c r="I902" s="409" t="s">
        <v>47</v>
      </c>
      <c r="J902" s="466"/>
      <c r="L902" s="86" t="e">
        <f>VLOOKUP(B902,$B$11:B901,1,FALSE)</f>
        <v>#N/A</v>
      </c>
      <c r="M902" s="256" t="e">
        <f>G902*(1-FORM!$AE$28/100)</f>
        <v>#N/A</v>
      </c>
      <c r="AA902" s="463"/>
      <c r="AB902" s="462"/>
      <c r="AC902" s="462"/>
      <c r="AD902" s="464"/>
      <c r="AE902" s="465"/>
    </row>
    <row r="903" spans="2:31" ht="14.4" hidden="1">
      <c r="B903" s="298"/>
      <c r="C903" s="216"/>
      <c r="D903" s="217"/>
      <c r="E903" s="391"/>
      <c r="F903" s="262"/>
      <c r="G903" s="272" t="e">
        <v>#N/A</v>
      </c>
      <c r="H903" s="141" t="e">
        <f t="shared" si="55"/>
        <v>#N/A</v>
      </c>
      <c r="I903" s="409" t="s">
        <v>47</v>
      </c>
      <c r="J903" s="466"/>
      <c r="L903" s="86" t="e">
        <f>VLOOKUP(B903,$B$11:B902,1,FALSE)</f>
        <v>#N/A</v>
      </c>
      <c r="M903" s="256" t="e">
        <f>G903*(1-FORM!$AE$28/100)</f>
        <v>#N/A</v>
      </c>
      <c r="AA903" s="463"/>
      <c r="AB903" s="462"/>
      <c r="AC903" s="462"/>
      <c r="AD903" s="464"/>
      <c r="AE903" s="465"/>
    </row>
    <row r="904" spans="2:31" ht="14.4" hidden="1">
      <c r="B904" s="298"/>
      <c r="C904" s="216"/>
      <c r="D904" s="217"/>
      <c r="E904" s="391"/>
      <c r="F904" s="262"/>
      <c r="G904" s="272" t="e">
        <v>#N/A</v>
      </c>
      <c r="H904" s="141" t="e">
        <f t="shared" si="55"/>
        <v>#N/A</v>
      </c>
      <c r="I904" s="409" t="s">
        <v>47</v>
      </c>
      <c r="J904" s="466"/>
      <c r="L904" s="86" t="e">
        <f>VLOOKUP(B904,$B$11:B903,1,FALSE)</f>
        <v>#N/A</v>
      </c>
      <c r="M904" s="256" t="e">
        <f>G904*(1-FORM!$AE$28/100)</f>
        <v>#N/A</v>
      </c>
      <c r="AA904" s="463"/>
      <c r="AB904" s="462"/>
      <c r="AC904" s="462"/>
      <c r="AD904" s="464"/>
      <c r="AE904" s="465"/>
    </row>
    <row r="905" spans="2:31" ht="14.4" hidden="1">
      <c r="B905" s="298"/>
      <c r="C905" s="216"/>
      <c r="D905" s="217"/>
      <c r="E905" s="391"/>
      <c r="F905" s="262"/>
      <c r="G905" s="272" t="e">
        <v>#N/A</v>
      </c>
      <c r="H905" s="141" t="e">
        <f t="shared" si="55"/>
        <v>#N/A</v>
      </c>
      <c r="I905" s="409" t="s">
        <v>47</v>
      </c>
      <c r="J905" s="466"/>
      <c r="L905" s="86" t="e">
        <f>VLOOKUP(B905,$B$11:B904,1,FALSE)</f>
        <v>#N/A</v>
      </c>
      <c r="M905" s="256" t="e">
        <f>G905*(1-FORM!$AE$28/100)</f>
        <v>#N/A</v>
      </c>
      <c r="AA905" s="463"/>
      <c r="AB905" s="462"/>
      <c r="AC905" s="462"/>
      <c r="AD905" s="464"/>
      <c r="AE905" s="465"/>
    </row>
    <row r="906" spans="2:31" ht="14.4" hidden="1">
      <c r="B906" s="298"/>
      <c r="C906" s="216"/>
      <c r="D906" s="217"/>
      <c r="E906" s="391"/>
      <c r="F906" s="262"/>
      <c r="G906" s="272" t="e">
        <v>#N/A</v>
      </c>
      <c r="H906" s="141" t="e">
        <f t="shared" si="55"/>
        <v>#N/A</v>
      </c>
      <c r="I906" s="409" t="s">
        <v>47</v>
      </c>
      <c r="J906" s="466"/>
      <c r="L906" s="86" t="e">
        <f>VLOOKUP(B906,$B$11:B905,1,FALSE)</f>
        <v>#N/A</v>
      </c>
      <c r="M906" s="256" t="e">
        <f>G906*(1-FORM!$AE$28/100)</f>
        <v>#N/A</v>
      </c>
      <c r="AA906" s="463"/>
      <c r="AB906" s="462"/>
      <c r="AC906" s="462"/>
      <c r="AD906" s="464"/>
      <c r="AE906" s="465"/>
    </row>
    <row r="907" spans="2:31" ht="14.4" hidden="1">
      <c r="B907" s="298"/>
      <c r="C907" s="216"/>
      <c r="D907" s="217"/>
      <c r="E907" s="391"/>
      <c r="F907" s="262"/>
      <c r="G907" s="272" t="e">
        <v>#N/A</v>
      </c>
      <c r="H907" s="141" t="e">
        <f t="shared" si="55"/>
        <v>#N/A</v>
      </c>
      <c r="I907" s="409" t="s">
        <v>47</v>
      </c>
      <c r="J907" s="466"/>
      <c r="L907" s="86" t="e">
        <f>VLOOKUP(B907,$B$11:B906,1,FALSE)</f>
        <v>#N/A</v>
      </c>
      <c r="M907" s="256" t="e">
        <f>G907*(1-FORM!$AE$28/100)</f>
        <v>#N/A</v>
      </c>
      <c r="AA907" s="463"/>
      <c r="AB907" s="462"/>
      <c r="AC907" s="462"/>
      <c r="AD907" s="464"/>
      <c r="AE907" s="465"/>
    </row>
    <row r="908" spans="2:31" ht="14.4" hidden="1">
      <c r="B908" s="298"/>
      <c r="C908" s="216"/>
      <c r="D908" s="217"/>
      <c r="E908" s="391"/>
      <c r="F908" s="262"/>
      <c r="G908" s="272" t="e">
        <v>#N/A</v>
      </c>
      <c r="H908" s="141" t="e">
        <f t="shared" si="55"/>
        <v>#N/A</v>
      </c>
      <c r="I908" s="409" t="s">
        <v>47</v>
      </c>
      <c r="J908" s="466"/>
      <c r="L908" s="86" t="e">
        <f>VLOOKUP(B908,$B$11:B907,1,FALSE)</f>
        <v>#N/A</v>
      </c>
      <c r="M908" s="256" t="e">
        <f>G908*(1-FORM!$AE$28/100)</f>
        <v>#N/A</v>
      </c>
      <c r="AA908" s="463"/>
      <c r="AB908" s="462"/>
      <c r="AC908" s="462"/>
      <c r="AD908" s="464"/>
      <c r="AE908" s="465"/>
    </row>
    <row r="909" spans="2:31" ht="14.4" hidden="1">
      <c r="B909" s="298"/>
      <c r="C909" s="216"/>
      <c r="D909" s="217"/>
      <c r="E909" s="391"/>
      <c r="F909" s="262"/>
      <c r="G909" s="272" t="e">
        <v>#N/A</v>
      </c>
      <c r="H909" s="141" t="e">
        <f t="shared" si="55"/>
        <v>#N/A</v>
      </c>
      <c r="I909" s="409" t="s">
        <v>47</v>
      </c>
      <c r="J909" s="466"/>
      <c r="L909" s="86" t="e">
        <f>VLOOKUP(B909,$B$11:B908,1,FALSE)</f>
        <v>#N/A</v>
      </c>
      <c r="M909" s="256" t="e">
        <f>G909*(1-FORM!$AE$28/100)</f>
        <v>#N/A</v>
      </c>
      <c r="AA909" s="463"/>
      <c r="AB909" s="462"/>
      <c r="AC909" s="462"/>
      <c r="AD909" s="464"/>
      <c r="AE909" s="465"/>
    </row>
    <row r="910" spans="2:31" ht="14.4" hidden="1">
      <c r="B910" s="298"/>
      <c r="C910" s="216"/>
      <c r="D910" s="217"/>
      <c r="E910" s="391"/>
      <c r="F910" s="262"/>
      <c r="G910" s="272" t="e">
        <v>#N/A</v>
      </c>
      <c r="H910" s="141" t="e">
        <f t="shared" si="55"/>
        <v>#N/A</v>
      </c>
      <c r="I910" s="409" t="s">
        <v>47</v>
      </c>
      <c r="J910" s="466"/>
      <c r="L910" s="86" t="e">
        <f>VLOOKUP(B910,$B$11:B909,1,FALSE)</f>
        <v>#N/A</v>
      </c>
      <c r="M910" s="256" t="e">
        <f>G910*(1-FORM!$AE$28/100)</f>
        <v>#N/A</v>
      </c>
      <c r="AA910" s="463"/>
      <c r="AB910" s="462"/>
      <c r="AC910" s="462"/>
      <c r="AD910" s="464"/>
      <c r="AE910" s="465"/>
    </row>
    <row r="911" spans="2:31" ht="14.4" hidden="1">
      <c r="B911" s="298"/>
      <c r="C911" s="216"/>
      <c r="D911" s="217"/>
      <c r="E911" s="391"/>
      <c r="F911" s="262"/>
      <c r="G911" s="272" t="e">
        <v>#N/A</v>
      </c>
      <c r="H911" s="141" t="e">
        <f t="shared" si="55"/>
        <v>#N/A</v>
      </c>
      <c r="I911" s="409" t="s">
        <v>47</v>
      </c>
      <c r="J911" s="466"/>
      <c r="L911" s="86" t="e">
        <f>VLOOKUP(B911,$B$11:B910,1,FALSE)</f>
        <v>#N/A</v>
      </c>
      <c r="M911" s="256" t="e">
        <f>G911*(1-FORM!$AE$28/100)</f>
        <v>#N/A</v>
      </c>
      <c r="AA911" s="463"/>
      <c r="AB911" s="462"/>
      <c r="AC911" s="462"/>
      <c r="AD911" s="464"/>
      <c r="AE911" s="465"/>
    </row>
    <row r="912" spans="2:31" ht="14.4" hidden="1">
      <c r="B912" s="298"/>
      <c r="C912" s="216"/>
      <c r="D912" s="217"/>
      <c r="E912" s="391"/>
      <c r="F912" s="262"/>
      <c r="G912" s="272" t="e">
        <v>#N/A</v>
      </c>
      <c r="H912" s="141" t="e">
        <f t="shared" si="55"/>
        <v>#N/A</v>
      </c>
      <c r="I912" s="409" t="s">
        <v>47</v>
      </c>
      <c r="J912" s="466"/>
      <c r="L912" s="86" t="e">
        <f>VLOOKUP(B912,$B$11:B911,1,FALSE)</f>
        <v>#N/A</v>
      </c>
      <c r="M912" s="256" t="e">
        <f>G912*(1-FORM!$AE$28/100)</f>
        <v>#N/A</v>
      </c>
      <c r="AA912" s="463"/>
      <c r="AB912" s="462"/>
      <c r="AC912" s="462"/>
      <c r="AD912" s="464"/>
      <c r="AE912" s="465"/>
    </row>
    <row r="913" spans="2:31" ht="14.4" hidden="1">
      <c r="B913" s="298"/>
      <c r="C913" s="216"/>
      <c r="D913" s="217"/>
      <c r="E913" s="391"/>
      <c r="F913" s="262"/>
      <c r="G913" s="272" t="e">
        <v>#N/A</v>
      </c>
      <c r="H913" s="141" t="e">
        <f t="shared" si="55"/>
        <v>#N/A</v>
      </c>
      <c r="I913" s="409" t="s">
        <v>47</v>
      </c>
      <c r="J913" s="466"/>
      <c r="L913" s="86" t="e">
        <f>VLOOKUP(B913,$B$11:B912,1,FALSE)</f>
        <v>#N/A</v>
      </c>
      <c r="M913" s="256" t="e">
        <f>G913*(1-FORM!$AE$28/100)</f>
        <v>#N/A</v>
      </c>
      <c r="AA913" s="463"/>
      <c r="AB913" s="462"/>
      <c r="AC913" s="462"/>
      <c r="AD913" s="464"/>
      <c r="AE913" s="465"/>
    </row>
    <row r="914" spans="2:31" ht="14.4" hidden="1">
      <c r="B914" s="298"/>
      <c r="C914" s="216"/>
      <c r="D914" s="217"/>
      <c r="E914" s="391"/>
      <c r="F914" s="262"/>
      <c r="G914" s="272" t="e">
        <v>#N/A</v>
      </c>
      <c r="H914" s="141" t="e">
        <f t="shared" si="55"/>
        <v>#N/A</v>
      </c>
      <c r="I914" s="409" t="s">
        <v>47</v>
      </c>
      <c r="J914" s="466"/>
      <c r="L914" s="86" t="e">
        <f>VLOOKUP(B914,$B$11:B913,1,FALSE)</f>
        <v>#N/A</v>
      </c>
      <c r="M914" s="256" t="e">
        <f>G914*(1-FORM!$AE$28/100)</f>
        <v>#N/A</v>
      </c>
      <c r="AA914" s="463"/>
      <c r="AB914" s="462"/>
      <c r="AC914" s="462"/>
      <c r="AD914" s="464"/>
      <c r="AE914" s="465"/>
    </row>
    <row r="915" spans="2:31" ht="14.4" hidden="1">
      <c r="B915" s="298"/>
      <c r="C915" s="216"/>
      <c r="D915" s="217"/>
      <c r="E915" s="391"/>
      <c r="F915" s="262"/>
      <c r="G915" s="272" t="e">
        <v>#N/A</v>
      </c>
      <c r="H915" s="141" t="e">
        <f t="shared" si="55"/>
        <v>#N/A</v>
      </c>
      <c r="I915" s="409" t="s">
        <v>47</v>
      </c>
      <c r="J915" s="466"/>
      <c r="L915" s="86" t="e">
        <f>VLOOKUP(B915,$B$11:B914,1,FALSE)</f>
        <v>#N/A</v>
      </c>
      <c r="M915" s="256" t="e">
        <f>G915*(1-FORM!$AE$28/100)</f>
        <v>#N/A</v>
      </c>
      <c r="AA915" s="463"/>
      <c r="AB915" s="462"/>
      <c r="AC915" s="462"/>
      <c r="AD915" s="464"/>
      <c r="AE915" s="465"/>
    </row>
    <row r="916" spans="2:31" ht="14.4" hidden="1">
      <c r="B916" s="298"/>
      <c r="C916" s="216"/>
      <c r="D916" s="217"/>
      <c r="E916" s="391"/>
      <c r="F916" s="262"/>
      <c r="G916" s="272" t="e">
        <v>#N/A</v>
      </c>
      <c r="H916" s="141" t="e">
        <f t="shared" si="55"/>
        <v>#N/A</v>
      </c>
      <c r="I916" s="409" t="s">
        <v>47</v>
      </c>
      <c r="J916" s="466"/>
      <c r="L916" s="86" t="e">
        <f>VLOOKUP(B916,$B$11:B915,1,FALSE)</f>
        <v>#N/A</v>
      </c>
      <c r="M916" s="256" t="e">
        <f>G916*(1-FORM!$AE$28/100)</f>
        <v>#N/A</v>
      </c>
      <c r="AA916" s="463"/>
      <c r="AB916" s="462"/>
      <c r="AC916" s="462"/>
      <c r="AD916" s="464"/>
      <c r="AE916" s="465"/>
    </row>
    <row r="917" spans="2:31" ht="14.4" hidden="1">
      <c r="B917" s="298"/>
      <c r="C917" s="216"/>
      <c r="D917" s="217"/>
      <c r="E917" s="391"/>
      <c r="F917" s="262"/>
      <c r="G917" s="272" t="e">
        <v>#N/A</v>
      </c>
      <c r="H917" s="141" t="e">
        <f t="shared" si="55"/>
        <v>#N/A</v>
      </c>
      <c r="I917" s="409" t="s">
        <v>47</v>
      </c>
      <c r="J917" s="466"/>
      <c r="L917" s="86" t="e">
        <f>VLOOKUP(B917,$B$11:B916,1,FALSE)</f>
        <v>#N/A</v>
      </c>
      <c r="M917" s="256" t="e">
        <f>G917*(1-FORM!$AE$28/100)</f>
        <v>#N/A</v>
      </c>
      <c r="AA917" s="463"/>
      <c r="AB917" s="462"/>
      <c r="AC917" s="462"/>
      <c r="AD917" s="464"/>
      <c r="AE917" s="465"/>
    </row>
    <row r="918" spans="2:31" ht="14.4" hidden="1">
      <c r="B918" s="298"/>
      <c r="C918" s="216"/>
      <c r="D918" s="217"/>
      <c r="E918" s="391"/>
      <c r="F918" s="262"/>
      <c r="G918" s="272" t="e">
        <v>#N/A</v>
      </c>
      <c r="H918" s="141" t="e">
        <f t="shared" si="55"/>
        <v>#N/A</v>
      </c>
      <c r="I918" s="409" t="s">
        <v>47</v>
      </c>
      <c r="J918" s="466"/>
      <c r="L918" s="86" t="e">
        <f>VLOOKUP(B918,$B$11:B917,1,FALSE)</f>
        <v>#N/A</v>
      </c>
      <c r="M918" s="256" t="e">
        <f>G918*(1-FORM!$AE$28/100)</f>
        <v>#N/A</v>
      </c>
      <c r="AA918" s="463"/>
      <c r="AB918" s="462"/>
      <c r="AC918" s="462"/>
      <c r="AD918" s="464"/>
      <c r="AE918" s="465"/>
    </row>
    <row r="919" spans="2:31" ht="14.4" hidden="1">
      <c r="B919" s="298"/>
      <c r="C919" s="216"/>
      <c r="D919" s="217"/>
      <c r="E919" s="391"/>
      <c r="F919" s="262"/>
      <c r="G919" s="272" t="e">
        <v>#N/A</v>
      </c>
      <c r="H919" s="141" t="e">
        <f t="shared" si="55"/>
        <v>#N/A</v>
      </c>
      <c r="I919" s="409" t="s">
        <v>47</v>
      </c>
      <c r="J919" s="466"/>
      <c r="L919" s="86" t="e">
        <f>VLOOKUP(B919,$B$11:B918,1,FALSE)</f>
        <v>#N/A</v>
      </c>
      <c r="M919" s="256" t="e">
        <f>G919*(1-FORM!$AE$28/100)</f>
        <v>#N/A</v>
      </c>
      <c r="AA919" s="463"/>
      <c r="AB919" s="462"/>
      <c r="AC919" s="462"/>
      <c r="AD919" s="464"/>
      <c r="AE919" s="465"/>
    </row>
    <row r="920" spans="2:31" ht="14.4" hidden="1">
      <c r="B920" s="298"/>
      <c r="C920" s="216"/>
      <c r="D920" s="217"/>
      <c r="E920" s="391"/>
      <c r="F920" s="262"/>
      <c r="G920" s="272" t="e">
        <v>#N/A</v>
      </c>
      <c r="H920" s="141" t="e">
        <f t="shared" si="55"/>
        <v>#N/A</v>
      </c>
      <c r="I920" s="409" t="s">
        <v>47</v>
      </c>
      <c r="J920" s="466"/>
      <c r="L920" s="86" t="e">
        <f>VLOOKUP(B920,$B$11:B919,1,FALSE)</f>
        <v>#N/A</v>
      </c>
      <c r="M920" s="256" t="e">
        <f>G920*(1-FORM!$AE$28/100)</f>
        <v>#N/A</v>
      </c>
      <c r="AA920" s="463"/>
      <c r="AB920" s="462"/>
      <c r="AC920" s="462"/>
      <c r="AD920" s="464"/>
      <c r="AE920" s="465"/>
    </row>
    <row r="921" spans="2:31" ht="14.4" hidden="1">
      <c r="B921" s="298"/>
      <c r="C921" s="216"/>
      <c r="D921" s="217"/>
      <c r="E921" s="391"/>
      <c r="F921" s="262"/>
      <c r="G921" s="272" t="e">
        <v>#N/A</v>
      </c>
      <c r="H921" s="141" t="e">
        <f t="shared" si="55"/>
        <v>#N/A</v>
      </c>
      <c r="I921" s="409" t="s">
        <v>47</v>
      </c>
      <c r="J921" s="466"/>
      <c r="L921" s="86" t="e">
        <f>VLOOKUP(B921,$B$11:B920,1,FALSE)</f>
        <v>#N/A</v>
      </c>
      <c r="M921" s="256" t="e">
        <f>G921*(1-FORM!$AE$28/100)</f>
        <v>#N/A</v>
      </c>
      <c r="AA921" s="463"/>
      <c r="AB921" s="462"/>
      <c r="AC921" s="462"/>
      <c r="AD921" s="464"/>
      <c r="AE921" s="465"/>
    </row>
    <row r="922" spans="2:31" ht="14.4" hidden="1">
      <c r="B922" s="298"/>
      <c r="C922" s="216"/>
      <c r="D922" s="217"/>
      <c r="E922" s="391"/>
      <c r="F922" s="262"/>
      <c r="G922" s="272" t="e">
        <v>#N/A</v>
      </c>
      <c r="H922" s="141" t="e">
        <f t="shared" si="55"/>
        <v>#N/A</v>
      </c>
      <c r="I922" s="409" t="s">
        <v>47</v>
      </c>
      <c r="J922" s="466"/>
      <c r="L922" s="86" t="e">
        <f>VLOOKUP(B922,$B$11:B921,1,FALSE)</f>
        <v>#N/A</v>
      </c>
      <c r="M922" s="256" t="e">
        <f>G922*(1-FORM!$AE$28/100)</f>
        <v>#N/A</v>
      </c>
      <c r="AA922" s="463"/>
      <c r="AB922" s="462"/>
      <c r="AC922" s="462"/>
      <c r="AD922" s="464"/>
      <c r="AE922" s="465"/>
    </row>
    <row r="923" spans="2:31" ht="14.4" hidden="1">
      <c r="B923" s="298"/>
      <c r="C923" s="216"/>
      <c r="D923" s="217"/>
      <c r="E923" s="391"/>
      <c r="F923" s="262"/>
      <c r="G923" s="272" t="e">
        <v>#N/A</v>
      </c>
      <c r="H923" s="141" t="e">
        <f t="shared" si="55"/>
        <v>#N/A</v>
      </c>
      <c r="I923" s="409" t="s">
        <v>47</v>
      </c>
      <c r="J923" s="466"/>
      <c r="L923" s="86" t="e">
        <f>VLOOKUP(B923,$B$11:B922,1,FALSE)</f>
        <v>#N/A</v>
      </c>
      <c r="M923" s="256" t="e">
        <f>G923*(1-FORM!$AE$28/100)</f>
        <v>#N/A</v>
      </c>
      <c r="AA923" s="463"/>
      <c r="AB923" s="462"/>
      <c r="AC923" s="462"/>
      <c r="AD923" s="464"/>
      <c r="AE923" s="465"/>
    </row>
    <row r="924" spans="2:31" ht="14.4" hidden="1">
      <c r="B924" s="298"/>
      <c r="C924" s="216"/>
      <c r="D924" s="217"/>
      <c r="E924" s="391"/>
      <c r="F924" s="262"/>
      <c r="G924" s="272" t="e">
        <v>#N/A</v>
      </c>
      <c r="H924" s="141" t="e">
        <f t="shared" si="55"/>
        <v>#N/A</v>
      </c>
      <c r="I924" s="409" t="s">
        <v>47</v>
      </c>
      <c r="J924" s="466"/>
      <c r="L924" s="86" t="e">
        <f>VLOOKUP(B924,$B$11:B923,1,FALSE)</f>
        <v>#N/A</v>
      </c>
      <c r="M924" s="256" t="e">
        <f>G924*(1-FORM!$AE$28/100)</f>
        <v>#N/A</v>
      </c>
      <c r="AA924" s="463"/>
      <c r="AB924" s="462"/>
      <c r="AC924" s="462"/>
      <c r="AD924" s="464"/>
      <c r="AE924" s="465"/>
    </row>
    <row r="925" spans="2:31" ht="14.4" hidden="1">
      <c r="B925" s="298"/>
      <c r="C925" s="216"/>
      <c r="D925" s="217"/>
      <c r="E925" s="391"/>
      <c r="F925" s="262"/>
      <c r="G925" s="272" t="e">
        <v>#N/A</v>
      </c>
      <c r="H925" s="141" t="e">
        <f t="shared" ref="H925:H988" si="56">IF(G925="","",$H$10)</f>
        <v>#N/A</v>
      </c>
      <c r="I925" s="409" t="s">
        <v>47</v>
      </c>
      <c r="J925" s="466"/>
      <c r="L925" s="86" t="e">
        <f>VLOOKUP(B925,$B$11:B924,1,FALSE)</f>
        <v>#N/A</v>
      </c>
      <c r="M925" s="256" t="e">
        <f>G925*(1-FORM!$AE$28/100)</f>
        <v>#N/A</v>
      </c>
      <c r="AA925" s="463"/>
      <c r="AB925" s="462"/>
      <c r="AC925" s="462"/>
      <c r="AD925" s="464"/>
      <c r="AE925" s="465"/>
    </row>
    <row r="926" spans="2:31" ht="14.4" hidden="1">
      <c r="B926" s="298"/>
      <c r="C926" s="216"/>
      <c r="D926" s="217"/>
      <c r="E926" s="391"/>
      <c r="F926" s="262"/>
      <c r="G926" s="272" t="e">
        <v>#N/A</v>
      </c>
      <c r="H926" s="141" t="e">
        <f t="shared" si="56"/>
        <v>#N/A</v>
      </c>
      <c r="I926" s="409" t="s">
        <v>47</v>
      </c>
      <c r="J926" s="466"/>
      <c r="L926" s="86" t="e">
        <f>VLOOKUP(B926,$B$11:B925,1,FALSE)</f>
        <v>#N/A</v>
      </c>
      <c r="M926" s="256" t="e">
        <f>G926*(1-FORM!$AE$28/100)</f>
        <v>#N/A</v>
      </c>
      <c r="AA926" s="463"/>
      <c r="AB926" s="462"/>
      <c r="AC926" s="462"/>
      <c r="AD926" s="464"/>
      <c r="AE926" s="465"/>
    </row>
    <row r="927" spans="2:31" ht="14.4" hidden="1">
      <c r="B927" s="298"/>
      <c r="C927" s="216"/>
      <c r="D927" s="217"/>
      <c r="E927" s="391"/>
      <c r="F927" s="262"/>
      <c r="G927" s="272" t="e">
        <v>#N/A</v>
      </c>
      <c r="H927" s="141" t="e">
        <f t="shared" si="56"/>
        <v>#N/A</v>
      </c>
      <c r="I927" s="409" t="s">
        <v>47</v>
      </c>
      <c r="J927" s="466"/>
      <c r="L927" s="86" t="e">
        <f>VLOOKUP(B927,$B$11:B926,1,FALSE)</f>
        <v>#N/A</v>
      </c>
      <c r="M927" s="256" t="e">
        <f>G927*(1-FORM!$AE$28/100)</f>
        <v>#N/A</v>
      </c>
      <c r="AA927" s="463"/>
      <c r="AB927" s="462"/>
      <c r="AC927" s="462"/>
      <c r="AD927" s="464"/>
      <c r="AE927" s="465"/>
    </row>
    <row r="928" spans="2:31" ht="14.4" hidden="1">
      <c r="B928" s="298"/>
      <c r="C928" s="216"/>
      <c r="D928" s="217"/>
      <c r="E928" s="391"/>
      <c r="F928" s="262"/>
      <c r="G928" s="272" t="e">
        <v>#N/A</v>
      </c>
      <c r="H928" s="141" t="e">
        <f t="shared" si="56"/>
        <v>#N/A</v>
      </c>
      <c r="I928" s="409" t="s">
        <v>47</v>
      </c>
      <c r="J928" s="466"/>
      <c r="L928" s="86" t="e">
        <f>VLOOKUP(B928,$B$11:B927,1,FALSE)</f>
        <v>#N/A</v>
      </c>
      <c r="M928" s="256" t="e">
        <f>G928*(1-FORM!$AE$28/100)</f>
        <v>#N/A</v>
      </c>
      <c r="AA928" s="463"/>
      <c r="AB928" s="462"/>
      <c r="AC928" s="462"/>
      <c r="AD928" s="464"/>
      <c r="AE928" s="465"/>
    </row>
    <row r="929" spans="2:31" ht="14.4" hidden="1">
      <c r="B929" s="298"/>
      <c r="C929" s="216"/>
      <c r="D929" s="217"/>
      <c r="E929" s="391"/>
      <c r="F929" s="262"/>
      <c r="G929" s="272" t="e">
        <v>#N/A</v>
      </c>
      <c r="H929" s="141" t="e">
        <f t="shared" si="56"/>
        <v>#N/A</v>
      </c>
      <c r="I929" s="409" t="s">
        <v>47</v>
      </c>
      <c r="J929" s="466"/>
      <c r="L929" s="86" t="e">
        <f>VLOOKUP(B929,$B$11:B928,1,FALSE)</f>
        <v>#N/A</v>
      </c>
      <c r="M929" s="256" t="e">
        <f>G929*(1-FORM!$AE$28/100)</f>
        <v>#N/A</v>
      </c>
      <c r="AA929" s="463"/>
      <c r="AB929" s="462"/>
      <c r="AC929" s="462"/>
      <c r="AD929" s="464"/>
      <c r="AE929" s="465"/>
    </row>
    <row r="930" spans="2:31" ht="14.4" hidden="1">
      <c r="B930" s="298"/>
      <c r="C930" s="216"/>
      <c r="D930" s="217"/>
      <c r="E930" s="391"/>
      <c r="F930" s="262"/>
      <c r="G930" s="272" t="e">
        <v>#N/A</v>
      </c>
      <c r="H930" s="141" t="e">
        <f t="shared" si="56"/>
        <v>#N/A</v>
      </c>
      <c r="I930" s="409" t="s">
        <v>47</v>
      </c>
      <c r="J930" s="466"/>
      <c r="L930" s="86" t="e">
        <f>VLOOKUP(B930,$B$11:B929,1,FALSE)</f>
        <v>#N/A</v>
      </c>
      <c r="M930" s="256" t="e">
        <f>G930*(1-FORM!$AE$28/100)</f>
        <v>#N/A</v>
      </c>
      <c r="AA930" s="463"/>
      <c r="AB930" s="462"/>
      <c r="AC930" s="462"/>
      <c r="AD930" s="464"/>
      <c r="AE930" s="465"/>
    </row>
    <row r="931" spans="2:31" ht="14.4" hidden="1">
      <c r="B931" s="298"/>
      <c r="C931" s="216"/>
      <c r="D931" s="217"/>
      <c r="E931" s="391"/>
      <c r="F931" s="262"/>
      <c r="G931" s="272" t="e">
        <v>#N/A</v>
      </c>
      <c r="H931" s="141" t="e">
        <f t="shared" si="56"/>
        <v>#N/A</v>
      </c>
      <c r="I931" s="409" t="s">
        <v>47</v>
      </c>
      <c r="J931" s="466"/>
      <c r="L931" s="86" t="e">
        <f>VLOOKUP(B931,$B$11:B930,1,FALSE)</f>
        <v>#N/A</v>
      </c>
      <c r="M931" s="256" t="e">
        <f>G931*(1-FORM!$AE$28/100)</f>
        <v>#N/A</v>
      </c>
      <c r="AA931" s="463"/>
      <c r="AB931" s="462"/>
      <c r="AC931" s="462"/>
      <c r="AD931" s="464"/>
      <c r="AE931" s="465"/>
    </row>
    <row r="932" spans="2:31" ht="14.4" hidden="1">
      <c r="B932" s="298"/>
      <c r="C932" s="216"/>
      <c r="D932" s="217"/>
      <c r="E932" s="391"/>
      <c r="F932" s="262"/>
      <c r="G932" s="272" t="e">
        <v>#N/A</v>
      </c>
      <c r="H932" s="141" t="e">
        <f t="shared" si="56"/>
        <v>#N/A</v>
      </c>
      <c r="I932" s="409" t="s">
        <v>47</v>
      </c>
      <c r="J932" s="466"/>
      <c r="L932" s="86" t="e">
        <f>VLOOKUP(B932,$B$11:B931,1,FALSE)</f>
        <v>#N/A</v>
      </c>
      <c r="M932" s="256" t="e">
        <f>G932*(1-FORM!$AE$28/100)</f>
        <v>#N/A</v>
      </c>
      <c r="AA932" s="463"/>
      <c r="AB932" s="462"/>
      <c r="AC932" s="462"/>
      <c r="AD932" s="464"/>
      <c r="AE932" s="465"/>
    </row>
    <row r="933" spans="2:31" ht="14.4" hidden="1">
      <c r="B933" s="298"/>
      <c r="C933" s="216"/>
      <c r="D933" s="217"/>
      <c r="E933" s="391"/>
      <c r="F933" s="262"/>
      <c r="G933" s="272" t="e">
        <v>#N/A</v>
      </c>
      <c r="H933" s="141" t="e">
        <f t="shared" si="56"/>
        <v>#N/A</v>
      </c>
      <c r="I933" s="409" t="s">
        <v>47</v>
      </c>
      <c r="J933" s="466"/>
      <c r="L933" s="86" t="e">
        <f>VLOOKUP(B933,$B$11:B932,1,FALSE)</f>
        <v>#N/A</v>
      </c>
      <c r="M933" s="256" t="e">
        <f>G933*(1-FORM!$AE$28/100)</f>
        <v>#N/A</v>
      </c>
      <c r="AA933" s="463"/>
      <c r="AB933" s="462"/>
      <c r="AC933" s="462"/>
      <c r="AD933" s="464"/>
      <c r="AE933" s="465"/>
    </row>
    <row r="934" spans="2:31" ht="14.4" hidden="1">
      <c r="B934" s="298"/>
      <c r="C934" s="216"/>
      <c r="D934" s="217"/>
      <c r="E934" s="391"/>
      <c r="F934" s="262"/>
      <c r="G934" s="272" t="e">
        <v>#N/A</v>
      </c>
      <c r="H934" s="141" t="e">
        <f t="shared" si="56"/>
        <v>#N/A</v>
      </c>
      <c r="I934" s="409" t="s">
        <v>47</v>
      </c>
      <c r="J934" s="466"/>
      <c r="L934" s="86" t="e">
        <f>VLOOKUP(B934,$B$11:B933,1,FALSE)</f>
        <v>#N/A</v>
      </c>
      <c r="M934" s="256" t="e">
        <f>G934*(1-FORM!$AE$28/100)</f>
        <v>#N/A</v>
      </c>
      <c r="AA934" s="463"/>
      <c r="AB934" s="462"/>
      <c r="AC934" s="462"/>
      <c r="AD934" s="464"/>
      <c r="AE934" s="465"/>
    </row>
    <row r="935" spans="2:31" ht="14.4" hidden="1">
      <c r="B935" s="298"/>
      <c r="C935" s="216"/>
      <c r="D935" s="217"/>
      <c r="E935" s="391"/>
      <c r="F935" s="262"/>
      <c r="G935" s="272" t="e">
        <v>#N/A</v>
      </c>
      <c r="H935" s="141" t="e">
        <f t="shared" si="56"/>
        <v>#N/A</v>
      </c>
      <c r="I935" s="409" t="s">
        <v>47</v>
      </c>
      <c r="J935" s="466"/>
      <c r="L935" s="86" t="e">
        <f>VLOOKUP(B935,$B$11:B934,1,FALSE)</f>
        <v>#N/A</v>
      </c>
      <c r="M935" s="256" t="e">
        <f>G935*(1-FORM!$AE$28/100)</f>
        <v>#N/A</v>
      </c>
      <c r="AA935" s="463"/>
      <c r="AB935" s="462"/>
      <c r="AC935" s="462"/>
      <c r="AD935" s="464"/>
      <c r="AE935" s="465"/>
    </row>
    <row r="936" spans="2:31" ht="14.4" hidden="1">
      <c r="B936" s="298"/>
      <c r="C936" s="216"/>
      <c r="D936" s="217"/>
      <c r="E936" s="391"/>
      <c r="F936" s="262"/>
      <c r="G936" s="272" t="e">
        <v>#N/A</v>
      </c>
      <c r="H936" s="141" t="e">
        <f t="shared" si="56"/>
        <v>#N/A</v>
      </c>
      <c r="I936" s="409" t="s">
        <v>47</v>
      </c>
      <c r="J936" s="466"/>
      <c r="L936" s="86" t="e">
        <f>VLOOKUP(B936,$B$11:B935,1,FALSE)</f>
        <v>#N/A</v>
      </c>
      <c r="M936" s="256" t="e">
        <f>G936*(1-FORM!$AE$28/100)</f>
        <v>#N/A</v>
      </c>
      <c r="AA936" s="463"/>
      <c r="AB936" s="462"/>
      <c r="AC936" s="462"/>
      <c r="AD936" s="464"/>
      <c r="AE936" s="465"/>
    </row>
    <row r="937" spans="2:31" ht="14.4" hidden="1">
      <c r="B937" s="298"/>
      <c r="C937" s="216"/>
      <c r="D937" s="217"/>
      <c r="E937" s="391"/>
      <c r="F937" s="262"/>
      <c r="G937" s="272" t="e">
        <v>#N/A</v>
      </c>
      <c r="H937" s="141" t="e">
        <f t="shared" si="56"/>
        <v>#N/A</v>
      </c>
      <c r="I937" s="409" t="s">
        <v>47</v>
      </c>
      <c r="J937" s="466"/>
      <c r="L937" s="86" t="e">
        <f>VLOOKUP(B937,$B$11:B936,1,FALSE)</f>
        <v>#N/A</v>
      </c>
      <c r="M937" s="256" t="e">
        <f>G937*(1-FORM!$AE$28/100)</f>
        <v>#N/A</v>
      </c>
      <c r="AA937" s="463"/>
      <c r="AB937" s="462"/>
      <c r="AC937" s="462"/>
      <c r="AD937" s="464"/>
      <c r="AE937" s="465"/>
    </row>
    <row r="938" spans="2:31" ht="14.4" hidden="1">
      <c r="B938" s="298"/>
      <c r="C938" s="216"/>
      <c r="D938" s="217"/>
      <c r="E938" s="391"/>
      <c r="F938" s="262"/>
      <c r="G938" s="272" t="e">
        <v>#N/A</v>
      </c>
      <c r="H938" s="141" t="e">
        <f t="shared" si="56"/>
        <v>#N/A</v>
      </c>
      <c r="I938" s="409" t="s">
        <v>47</v>
      </c>
      <c r="J938" s="466"/>
      <c r="L938" s="86" t="e">
        <f>VLOOKUP(B938,$B$11:B937,1,FALSE)</f>
        <v>#N/A</v>
      </c>
      <c r="M938" s="256" t="e">
        <f>G938*(1-FORM!$AE$28/100)</f>
        <v>#N/A</v>
      </c>
      <c r="AA938" s="463"/>
      <c r="AB938" s="462"/>
      <c r="AC938" s="462"/>
      <c r="AD938" s="464"/>
      <c r="AE938" s="465"/>
    </row>
    <row r="939" spans="2:31" ht="14.4" hidden="1">
      <c r="B939" s="298"/>
      <c r="C939" s="216"/>
      <c r="D939" s="217"/>
      <c r="E939" s="391"/>
      <c r="F939" s="262"/>
      <c r="G939" s="272" t="e">
        <v>#N/A</v>
      </c>
      <c r="H939" s="141" t="e">
        <f t="shared" si="56"/>
        <v>#N/A</v>
      </c>
      <c r="I939" s="409" t="s">
        <v>47</v>
      </c>
      <c r="J939" s="466"/>
      <c r="L939" s="86" t="e">
        <f>VLOOKUP(B939,$B$11:B938,1,FALSE)</f>
        <v>#N/A</v>
      </c>
      <c r="M939" s="256" t="e">
        <f>G939*(1-FORM!$AE$28/100)</f>
        <v>#N/A</v>
      </c>
      <c r="AA939" s="463"/>
      <c r="AB939" s="462"/>
      <c r="AC939" s="462"/>
      <c r="AD939" s="464"/>
      <c r="AE939" s="465"/>
    </row>
    <row r="940" spans="2:31" ht="14.4" hidden="1">
      <c r="B940" s="298"/>
      <c r="C940" s="216"/>
      <c r="D940" s="217"/>
      <c r="E940" s="391"/>
      <c r="F940" s="262"/>
      <c r="G940" s="272" t="e">
        <v>#N/A</v>
      </c>
      <c r="H940" s="141" t="e">
        <f t="shared" si="56"/>
        <v>#N/A</v>
      </c>
      <c r="I940" s="409" t="s">
        <v>47</v>
      </c>
      <c r="J940" s="466"/>
      <c r="L940" s="86" t="e">
        <f>VLOOKUP(B940,$B$11:B939,1,FALSE)</f>
        <v>#N/A</v>
      </c>
      <c r="M940" s="256" t="e">
        <f>G940*(1-FORM!$AE$28/100)</f>
        <v>#N/A</v>
      </c>
      <c r="AA940" s="463"/>
      <c r="AB940" s="462"/>
      <c r="AC940" s="462"/>
      <c r="AD940" s="464"/>
      <c r="AE940" s="465"/>
    </row>
    <row r="941" spans="2:31" ht="14.4" hidden="1">
      <c r="B941" s="298"/>
      <c r="C941" s="216"/>
      <c r="D941" s="217"/>
      <c r="E941" s="391"/>
      <c r="F941" s="262"/>
      <c r="G941" s="272" t="e">
        <v>#N/A</v>
      </c>
      <c r="H941" s="141" t="e">
        <f t="shared" si="56"/>
        <v>#N/A</v>
      </c>
      <c r="I941" s="409" t="s">
        <v>47</v>
      </c>
      <c r="J941" s="466"/>
      <c r="L941" s="86" t="e">
        <f>VLOOKUP(B941,$B$11:B940,1,FALSE)</f>
        <v>#N/A</v>
      </c>
      <c r="M941" s="256" t="e">
        <f>G941*(1-FORM!$AE$28/100)</f>
        <v>#N/A</v>
      </c>
      <c r="AA941" s="463"/>
      <c r="AB941" s="462"/>
      <c r="AC941" s="462"/>
      <c r="AD941" s="464"/>
      <c r="AE941" s="465"/>
    </row>
    <row r="942" spans="2:31" ht="14.4" hidden="1">
      <c r="B942" s="298"/>
      <c r="C942" s="216"/>
      <c r="D942" s="217"/>
      <c r="E942" s="391"/>
      <c r="F942" s="262"/>
      <c r="G942" s="272" t="e">
        <v>#N/A</v>
      </c>
      <c r="H942" s="141" t="e">
        <f t="shared" si="56"/>
        <v>#N/A</v>
      </c>
      <c r="I942" s="409" t="s">
        <v>47</v>
      </c>
      <c r="J942" s="466"/>
      <c r="L942" s="86" t="e">
        <f>VLOOKUP(B942,$B$11:B941,1,FALSE)</f>
        <v>#N/A</v>
      </c>
      <c r="M942" s="256" t="e">
        <f>G942*(1-FORM!$AE$28/100)</f>
        <v>#N/A</v>
      </c>
      <c r="AA942" s="463"/>
      <c r="AB942" s="462"/>
      <c r="AC942" s="462"/>
      <c r="AD942" s="464"/>
      <c r="AE942" s="465"/>
    </row>
    <row r="943" spans="2:31" ht="14.4" hidden="1">
      <c r="B943" s="298"/>
      <c r="C943" s="216"/>
      <c r="D943" s="217"/>
      <c r="E943" s="391"/>
      <c r="F943" s="262"/>
      <c r="G943" s="272" t="e">
        <v>#N/A</v>
      </c>
      <c r="H943" s="141" t="e">
        <f t="shared" si="56"/>
        <v>#N/A</v>
      </c>
      <c r="I943" s="409" t="s">
        <v>47</v>
      </c>
      <c r="J943" s="466"/>
      <c r="L943" s="86" t="e">
        <f>VLOOKUP(B943,$B$11:B942,1,FALSE)</f>
        <v>#N/A</v>
      </c>
      <c r="M943" s="256" t="e">
        <f>G943*(1-FORM!$AE$28/100)</f>
        <v>#N/A</v>
      </c>
      <c r="AA943" s="463"/>
      <c r="AB943" s="462"/>
      <c r="AC943" s="462"/>
      <c r="AD943" s="464"/>
      <c r="AE943" s="465"/>
    </row>
    <row r="944" spans="2:31" ht="14.4" hidden="1">
      <c r="B944" s="298"/>
      <c r="C944" s="216"/>
      <c r="D944" s="217"/>
      <c r="E944" s="391"/>
      <c r="F944" s="262"/>
      <c r="G944" s="272" t="e">
        <v>#N/A</v>
      </c>
      <c r="H944" s="141" t="e">
        <f t="shared" si="56"/>
        <v>#N/A</v>
      </c>
      <c r="I944" s="409" t="s">
        <v>47</v>
      </c>
      <c r="J944" s="466"/>
      <c r="L944" s="86" t="e">
        <f>VLOOKUP(B944,$B$11:B943,1,FALSE)</f>
        <v>#N/A</v>
      </c>
      <c r="M944" s="256" t="e">
        <f>G944*(1-FORM!$AE$28/100)</f>
        <v>#N/A</v>
      </c>
      <c r="AA944" s="463"/>
      <c r="AB944" s="462"/>
      <c r="AC944" s="462"/>
      <c r="AD944" s="464"/>
      <c r="AE944" s="465"/>
    </row>
    <row r="945" spans="2:31" ht="14.4" hidden="1">
      <c r="B945" s="298"/>
      <c r="C945" s="216"/>
      <c r="D945" s="217"/>
      <c r="E945" s="391"/>
      <c r="F945" s="262"/>
      <c r="G945" s="272" t="e">
        <v>#N/A</v>
      </c>
      <c r="H945" s="141" t="e">
        <f t="shared" si="56"/>
        <v>#N/A</v>
      </c>
      <c r="I945" s="409" t="s">
        <v>47</v>
      </c>
      <c r="J945" s="466"/>
      <c r="L945" s="86" t="e">
        <f>VLOOKUP(B945,$B$11:B944,1,FALSE)</f>
        <v>#N/A</v>
      </c>
      <c r="M945" s="256" t="e">
        <f>G945*(1-FORM!$AE$28/100)</f>
        <v>#N/A</v>
      </c>
      <c r="AA945" s="463"/>
      <c r="AB945" s="462"/>
      <c r="AC945" s="462"/>
      <c r="AD945" s="464"/>
      <c r="AE945" s="465"/>
    </row>
    <row r="946" spans="2:31" ht="14.4" hidden="1">
      <c r="B946" s="298"/>
      <c r="C946" s="216"/>
      <c r="D946" s="217"/>
      <c r="E946" s="391"/>
      <c r="F946" s="262"/>
      <c r="G946" s="272" t="e">
        <v>#N/A</v>
      </c>
      <c r="H946" s="141" t="e">
        <f t="shared" si="56"/>
        <v>#N/A</v>
      </c>
      <c r="I946" s="409" t="s">
        <v>47</v>
      </c>
      <c r="J946" s="466"/>
      <c r="L946" s="86" t="e">
        <f>VLOOKUP(B946,$B$11:B945,1,FALSE)</f>
        <v>#N/A</v>
      </c>
      <c r="M946" s="256" t="e">
        <f>G946*(1-FORM!$AE$28/100)</f>
        <v>#N/A</v>
      </c>
      <c r="AA946" s="463"/>
      <c r="AB946" s="462"/>
      <c r="AC946" s="462"/>
      <c r="AD946" s="464"/>
      <c r="AE946" s="465"/>
    </row>
    <row r="947" spans="2:31" ht="14.4" hidden="1">
      <c r="B947" s="298"/>
      <c r="C947" s="216"/>
      <c r="D947" s="217"/>
      <c r="E947" s="391"/>
      <c r="F947" s="262"/>
      <c r="G947" s="272" t="e">
        <v>#N/A</v>
      </c>
      <c r="H947" s="141" t="e">
        <f t="shared" si="56"/>
        <v>#N/A</v>
      </c>
      <c r="I947" s="409" t="s">
        <v>47</v>
      </c>
      <c r="J947" s="466"/>
      <c r="L947" s="86" t="e">
        <f>VLOOKUP(B947,$B$11:B946,1,FALSE)</f>
        <v>#N/A</v>
      </c>
      <c r="M947" s="256" t="e">
        <f>G947*(1-FORM!$AE$28/100)</f>
        <v>#N/A</v>
      </c>
      <c r="AA947" s="463"/>
      <c r="AB947" s="462"/>
      <c r="AC947" s="462"/>
      <c r="AD947" s="464"/>
      <c r="AE947" s="465"/>
    </row>
    <row r="948" spans="2:31" ht="14.4" hidden="1">
      <c r="B948" s="298"/>
      <c r="C948" s="216"/>
      <c r="D948" s="217"/>
      <c r="E948" s="391"/>
      <c r="F948" s="262"/>
      <c r="G948" s="272" t="e">
        <v>#N/A</v>
      </c>
      <c r="H948" s="141" t="e">
        <f t="shared" si="56"/>
        <v>#N/A</v>
      </c>
      <c r="I948" s="409" t="s">
        <v>47</v>
      </c>
      <c r="J948" s="466"/>
      <c r="L948" s="86" t="e">
        <f>VLOOKUP(B948,$B$11:B947,1,FALSE)</f>
        <v>#N/A</v>
      </c>
      <c r="M948" s="256" t="e">
        <f>G948*(1-FORM!$AE$28/100)</f>
        <v>#N/A</v>
      </c>
      <c r="AA948" s="463"/>
      <c r="AB948" s="462"/>
      <c r="AC948" s="462"/>
      <c r="AD948" s="464"/>
      <c r="AE948" s="465"/>
    </row>
    <row r="949" spans="2:31" ht="14.4" hidden="1">
      <c r="B949" s="298"/>
      <c r="C949" s="216"/>
      <c r="D949" s="217"/>
      <c r="E949" s="391"/>
      <c r="F949" s="262"/>
      <c r="G949" s="272" t="e">
        <v>#N/A</v>
      </c>
      <c r="H949" s="141" t="e">
        <f t="shared" si="56"/>
        <v>#N/A</v>
      </c>
      <c r="I949" s="409" t="s">
        <v>47</v>
      </c>
      <c r="J949" s="466"/>
      <c r="L949" s="86" t="e">
        <f>VLOOKUP(B949,$B$11:B948,1,FALSE)</f>
        <v>#N/A</v>
      </c>
      <c r="M949" s="256" t="e">
        <f>G949*(1-FORM!$AE$28/100)</f>
        <v>#N/A</v>
      </c>
      <c r="AA949" s="463"/>
      <c r="AB949" s="462"/>
      <c r="AC949" s="462"/>
      <c r="AD949" s="464"/>
      <c r="AE949" s="465"/>
    </row>
    <row r="950" spans="2:31" ht="14.4" hidden="1">
      <c r="B950" s="298"/>
      <c r="C950" s="216"/>
      <c r="D950" s="217"/>
      <c r="E950" s="391"/>
      <c r="F950" s="262"/>
      <c r="G950" s="272" t="e">
        <v>#N/A</v>
      </c>
      <c r="H950" s="141" t="e">
        <f t="shared" si="56"/>
        <v>#N/A</v>
      </c>
      <c r="I950" s="409" t="s">
        <v>47</v>
      </c>
      <c r="J950" s="466"/>
      <c r="L950" s="86" t="e">
        <f>VLOOKUP(B950,$B$11:B949,1,FALSE)</f>
        <v>#N/A</v>
      </c>
      <c r="M950" s="256" t="e">
        <f>G950*(1-FORM!$AE$28/100)</f>
        <v>#N/A</v>
      </c>
      <c r="AA950" s="463"/>
      <c r="AB950" s="462"/>
      <c r="AC950" s="462"/>
      <c r="AD950" s="464"/>
      <c r="AE950" s="465"/>
    </row>
    <row r="951" spans="2:31" ht="14.4" hidden="1">
      <c r="B951" s="298"/>
      <c r="C951" s="216"/>
      <c r="D951" s="217"/>
      <c r="E951" s="391"/>
      <c r="F951" s="262"/>
      <c r="G951" s="272" t="e">
        <v>#N/A</v>
      </c>
      <c r="H951" s="141" t="e">
        <f t="shared" si="56"/>
        <v>#N/A</v>
      </c>
      <c r="I951" s="409" t="s">
        <v>47</v>
      </c>
      <c r="J951" s="466"/>
      <c r="L951" s="86" t="e">
        <f>VLOOKUP(B951,$B$11:B950,1,FALSE)</f>
        <v>#N/A</v>
      </c>
      <c r="M951" s="256" t="e">
        <f>G951*(1-FORM!$AE$28/100)</f>
        <v>#N/A</v>
      </c>
      <c r="AA951" s="463"/>
      <c r="AB951" s="462"/>
      <c r="AC951" s="462"/>
      <c r="AD951" s="464"/>
      <c r="AE951" s="465"/>
    </row>
    <row r="952" spans="2:31" ht="14.4" hidden="1">
      <c r="B952" s="298"/>
      <c r="C952" s="216"/>
      <c r="D952" s="217"/>
      <c r="E952" s="391"/>
      <c r="F952" s="262"/>
      <c r="G952" s="272" t="e">
        <v>#N/A</v>
      </c>
      <c r="H952" s="141" t="e">
        <f t="shared" si="56"/>
        <v>#N/A</v>
      </c>
      <c r="I952" s="409" t="s">
        <v>47</v>
      </c>
      <c r="J952" s="466"/>
      <c r="L952" s="86" t="e">
        <f>VLOOKUP(B952,$B$11:B951,1,FALSE)</f>
        <v>#N/A</v>
      </c>
      <c r="M952" s="256" t="e">
        <f>G952*(1-FORM!$AE$28/100)</f>
        <v>#N/A</v>
      </c>
      <c r="AA952" s="463"/>
      <c r="AB952" s="462"/>
      <c r="AC952" s="462"/>
      <c r="AD952" s="464"/>
      <c r="AE952" s="465"/>
    </row>
    <row r="953" spans="2:31" ht="14.4" hidden="1">
      <c r="B953" s="298"/>
      <c r="C953" s="216"/>
      <c r="D953" s="217"/>
      <c r="E953" s="391"/>
      <c r="F953" s="262"/>
      <c r="G953" s="272" t="e">
        <v>#N/A</v>
      </c>
      <c r="H953" s="141" t="e">
        <f t="shared" si="56"/>
        <v>#N/A</v>
      </c>
      <c r="I953" s="409" t="s">
        <v>47</v>
      </c>
      <c r="J953" s="466"/>
      <c r="L953" s="86" t="e">
        <f>VLOOKUP(B953,$B$11:B952,1,FALSE)</f>
        <v>#N/A</v>
      </c>
      <c r="M953" s="256" t="e">
        <f>G953*(1-FORM!$AE$28/100)</f>
        <v>#N/A</v>
      </c>
      <c r="AA953" s="463"/>
      <c r="AB953" s="462"/>
      <c r="AC953" s="462"/>
      <c r="AD953" s="464"/>
      <c r="AE953" s="465"/>
    </row>
    <row r="954" spans="2:31" ht="14.4" hidden="1">
      <c r="B954" s="298"/>
      <c r="C954" s="216"/>
      <c r="D954" s="217"/>
      <c r="E954" s="391"/>
      <c r="F954" s="262"/>
      <c r="G954" s="272" t="e">
        <v>#N/A</v>
      </c>
      <c r="H954" s="141" t="e">
        <f t="shared" si="56"/>
        <v>#N/A</v>
      </c>
      <c r="I954" s="409" t="s">
        <v>47</v>
      </c>
      <c r="J954" s="466"/>
      <c r="L954" s="86" t="e">
        <f>VLOOKUP(B954,$B$11:B953,1,FALSE)</f>
        <v>#N/A</v>
      </c>
      <c r="M954" s="256" t="e">
        <f>G954*(1-FORM!$AE$28/100)</f>
        <v>#N/A</v>
      </c>
      <c r="AA954" s="463"/>
      <c r="AB954" s="462"/>
      <c r="AC954" s="462"/>
      <c r="AD954" s="464"/>
      <c r="AE954" s="465"/>
    </row>
    <row r="955" spans="2:31" ht="14.4" hidden="1">
      <c r="B955" s="298"/>
      <c r="C955" s="216"/>
      <c r="D955" s="217"/>
      <c r="E955" s="391"/>
      <c r="F955" s="262"/>
      <c r="G955" s="272" t="e">
        <v>#N/A</v>
      </c>
      <c r="H955" s="141" t="e">
        <f t="shared" si="56"/>
        <v>#N/A</v>
      </c>
      <c r="I955" s="409" t="s">
        <v>47</v>
      </c>
      <c r="J955" s="466"/>
      <c r="L955" s="86" t="e">
        <f>VLOOKUP(B955,$B$11:B954,1,FALSE)</f>
        <v>#N/A</v>
      </c>
      <c r="M955" s="256" t="e">
        <f>G955*(1-FORM!$AE$28/100)</f>
        <v>#N/A</v>
      </c>
      <c r="AA955" s="463"/>
      <c r="AB955" s="462"/>
      <c r="AC955" s="462"/>
      <c r="AD955" s="464"/>
      <c r="AE955" s="465"/>
    </row>
    <row r="956" spans="2:31" ht="14.4" hidden="1">
      <c r="B956" s="298"/>
      <c r="C956" s="216"/>
      <c r="D956" s="217"/>
      <c r="E956" s="391"/>
      <c r="F956" s="262"/>
      <c r="G956" s="272" t="e">
        <v>#N/A</v>
      </c>
      <c r="H956" s="141" t="e">
        <f t="shared" si="56"/>
        <v>#N/A</v>
      </c>
      <c r="I956" s="409" t="s">
        <v>47</v>
      </c>
      <c r="J956" s="466"/>
      <c r="L956" s="86" t="e">
        <f>VLOOKUP(B956,$B$11:B955,1,FALSE)</f>
        <v>#N/A</v>
      </c>
      <c r="M956" s="256" t="e">
        <f>G956*(1-FORM!$AE$28/100)</f>
        <v>#N/A</v>
      </c>
      <c r="AA956" s="463"/>
      <c r="AB956" s="462"/>
      <c r="AC956" s="462"/>
      <c r="AD956" s="464"/>
      <c r="AE956" s="465"/>
    </row>
    <row r="957" spans="2:31" ht="14.4" hidden="1">
      <c r="B957" s="298"/>
      <c r="C957" s="216"/>
      <c r="D957" s="217"/>
      <c r="E957" s="391"/>
      <c r="F957" s="262"/>
      <c r="G957" s="272" t="e">
        <v>#N/A</v>
      </c>
      <c r="H957" s="141" t="e">
        <f t="shared" si="56"/>
        <v>#N/A</v>
      </c>
      <c r="I957" s="409" t="s">
        <v>47</v>
      </c>
      <c r="J957" s="466"/>
      <c r="L957" s="86" t="e">
        <f>VLOOKUP(B957,$B$11:B956,1,FALSE)</f>
        <v>#N/A</v>
      </c>
      <c r="M957" s="256" t="e">
        <f>G957*(1-FORM!$AE$28/100)</f>
        <v>#N/A</v>
      </c>
      <c r="AA957" s="463"/>
      <c r="AB957" s="462"/>
      <c r="AC957" s="462"/>
      <c r="AD957" s="464"/>
      <c r="AE957" s="465"/>
    </row>
    <row r="958" spans="2:31" ht="14.4" hidden="1">
      <c r="B958" s="298"/>
      <c r="C958" s="216"/>
      <c r="D958" s="217"/>
      <c r="E958" s="391"/>
      <c r="F958" s="262"/>
      <c r="G958" s="272" t="e">
        <v>#N/A</v>
      </c>
      <c r="H958" s="141" t="e">
        <f t="shared" si="56"/>
        <v>#N/A</v>
      </c>
      <c r="I958" s="409" t="s">
        <v>47</v>
      </c>
      <c r="J958" s="466"/>
      <c r="L958" s="86" t="e">
        <f>VLOOKUP(B958,$B$11:B957,1,FALSE)</f>
        <v>#N/A</v>
      </c>
      <c r="M958" s="256" t="e">
        <f>G958*(1-FORM!$AE$28/100)</f>
        <v>#N/A</v>
      </c>
      <c r="AA958" s="463"/>
      <c r="AB958" s="462"/>
      <c r="AC958" s="462"/>
      <c r="AD958" s="464"/>
      <c r="AE958" s="465"/>
    </row>
    <row r="959" spans="2:31" ht="14.4" hidden="1">
      <c r="B959" s="298"/>
      <c r="C959" s="216"/>
      <c r="D959" s="217"/>
      <c r="E959" s="391"/>
      <c r="F959" s="262"/>
      <c r="G959" s="272" t="e">
        <v>#N/A</v>
      </c>
      <c r="H959" s="141" t="e">
        <f t="shared" si="56"/>
        <v>#N/A</v>
      </c>
      <c r="I959" s="409" t="s">
        <v>47</v>
      </c>
      <c r="J959" s="466"/>
      <c r="L959" s="86" t="e">
        <f>VLOOKUP(B959,$B$11:B958,1,FALSE)</f>
        <v>#N/A</v>
      </c>
      <c r="M959" s="256" t="e">
        <f>G959*(1-FORM!$AE$28/100)</f>
        <v>#N/A</v>
      </c>
      <c r="AA959" s="463"/>
      <c r="AB959" s="462"/>
      <c r="AC959" s="462"/>
      <c r="AD959" s="464"/>
      <c r="AE959" s="465"/>
    </row>
    <row r="960" spans="2:31" ht="14.4" hidden="1">
      <c r="B960" s="298"/>
      <c r="C960" s="216"/>
      <c r="D960" s="217"/>
      <c r="E960" s="391"/>
      <c r="F960" s="262"/>
      <c r="G960" s="272" t="e">
        <v>#N/A</v>
      </c>
      <c r="H960" s="141" t="e">
        <f t="shared" si="56"/>
        <v>#N/A</v>
      </c>
      <c r="I960" s="409" t="s">
        <v>47</v>
      </c>
      <c r="J960" s="466"/>
      <c r="L960" s="86" t="e">
        <f>VLOOKUP(B960,$B$11:B959,1,FALSE)</f>
        <v>#N/A</v>
      </c>
      <c r="M960" s="256" t="e">
        <f>G960*(1-FORM!$AE$28/100)</f>
        <v>#N/A</v>
      </c>
      <c r="AA960" s="463"/>
      <c r="AB960" s="462"/>
      <c r="AC960" s="462"/>
      <c r="AD960" s="464"/>
      <c r="AE960" s="465"/>
    </row>
    <row r="961" spans="2:31" ht="14.4" hidden="1">
      <c r="B961" s="298"/>
      <c r="C961" s="216"/>
      <c r="D961" s="217"/>
      <c r="E961" s="391"/>
      <c r="F961" s="262"/>
      <c r="G961" s="272" t="e">
        <v>#N/A</v>
      </c>
      <c r="H961" s="141" t="e">
        <f t="shared" si="56"/>
        <v>#N/A</v>
      </c>
      <c r="I961" s="409" t="s">
        <v>47</v>
      </c>
      <c r="J961" s="466"/>
      <c r="L961" s="86" t="e">
        <f>VLOOKUP(B961,$B$11:B960,1,FALSE)</f>
        <v>#N/A</v>
      </c>
      <c r="M961" s="256" t="e">
        <f>G961*(1-FORM!$AE$28/100)</f>
        <v>#N/A</v>
      </c>
      <c r="AA961" s="463"/>
      <c r="AB961" s="462"/>
      <c r="AC961" s="462"/>
      <c r="AD961" s="464"/>
      <c r="AE961" s="465"/>
    </row>
    <row r="962" spans="2:31" ht="14.4" hidden="1">
      <c r="B962" s="298"/>
      <c r="C962" s="216"/>
      <c r="D962" s="217"/>
      <c r="E962" s="391"/>
      <c r="F962" s="262"/>
      <c r="G962" s="272" t="e">
        <v>#N/A</v>
      </c>
      <c r="H962" s="141" t="e">
        <f t="shared" si="56"/>
        <v>#N/A</v>
      </c>
      <c r="I962" s="409" t="s">
        <v>47</v>
      </c>
      <c r="J962" s="466"/>
      <c r="L962" s="86" t="e">
        <f>VLOOKUP(B962,$B$11:B961,1,FALSE)</f>
        <v>#N/A</v>
      </c>
      <c r="M962" s="256" t="e">
        <f>G962*(1-FORM!$AE$28/100)</f>
        <v>#N/A</v>
      </c>
      <c r="AA962" s="463"/>
      <c r="AB962" s="462"/>
      <c r="AC962" s="462"/>
      <c r="AD962" s="464"/>
      <c r="AE962" s="465"/>
    </row>
    <row r="963" spans="2:31" ht="14.4" hidden="1">
      <c r="B963" s="298"/>
      <c r="C963" s="216"/>
      <c r="D963" s="217"/>
      <c r="E963" s="391"/>
      <c r="F963" s="262"/>
      <c r="G963" s="272" t="e">
        <v>#N/A</v>
      </c>
      <c r="H963" s="141" t="e">
        <f t="shared" si="56"/>
        <v>#N/A</v>
      </c>
      <c r="I963" s="409" t="s">
        <v>47</v>
      </c>
      <c r="J963" s="466"/>
      <c r="L963" s="86" t="e">
        <f>VLOOKUP(B963,$B$11:B962,1,FALSE)</f>
        <v>#N/A</v>
      </c>
      <c r="M963" s="256" t="e">
        <f>G963*(1-FORM!$AE$28/100)</f>
        <v>#N/A</v>
      </c>
      <c r="AA963" s="463"/>
      <c r="AB963" s="462"/>
      <c r="AC963" s="462"/>
      <c r="AD963" s="464"/>
      <c r="AE963" s="465"/>
    </row>
    <row r="964" spans="2:31" ht="14.4" hidden="1">
      <c r="B964" s="298"/>
      <c r="C964" s="216"/>
      <c r="D964" s="217"/>
      <c r="E964" s="391"/>
      <c r="F964" s="262"/>
      <c r="G964" s="272" t="e">
        <v>#N/A</v>
      </c>
      <c r="H964" s="141" t="e">
        <f t="shared" si="56"/>
        <v>#N/A</v>
      </c>
      <c r="I964" s="409" t="s">
        <v>47</v>
      </c>
      <c r="J964" s="466"/>
      <c r="L964" s="86" t="e">
        <f>VLOOKUP(B964,$B$11:B963,1,FALSE)</f>
        <v>#N/A</v>
      </c>
      <c r="M964" s="256" t="e">
        <f>G964*(1-FORM!$AE$28/100)</f>
        <v>#N/A</v>
      </c>
      <c r="AA964" s="463"/>
      <c r="AB964" s="462"/>
      <c r="AC964" s="462"/>
      <c r="AD964" s="464"/>
      <c r="AE964" s="465"/>
    </row>
    <row r="965" spans="2:31" ht="14.4" hidden="1">
      <c r="B965" s="298"/>
      <c r="C965" s="216"/>
      <c r="D965" s="217"/>
      <c r="E965" s="391"/>
      <c r="F965" s="262"/>
      <c r="G965" s="272" t="e">
        <v>#N/A</v>
      </c>
      <c r="H965" s="141" t="e">
        <f t="shared" si="56"/>
        <v>#N/A</v>
      </c>
      <c r="I965" s="409" t="s">
        <v>47</v>
      </c>
      <c r="J965" s="466"/>
      <c r="L965" s="86" t="e">
        <f>VLOOKUP(B965,$B$11:B964,1,FALSE)</f>
        <v>#N/A</v>
      </c>
      <c r="M965" s="256" t="e">
        <f>G965*(1-FORM!$AE$28/100)</f>
        <v>#N/A</v>
      </c>
      <c r="AA965" s="463"/>
      <c r="AB965" s="462"/>
      <c r="AC965" s="462"/>
      <c r="AD965" s="464"/>
      <c r="AE965" s="465"/>
    </row>
    <row r="966" spans="2:31" ht="14.4" hidden="1">
      <c r="B966" s="298"/>
      <c r="C966" s="216"/>
      <c r="D966" s="217"/>
      <c r="E966" s="391"/>
      <c r="F966" s="262"/>
      <c r="G966" s="272" t="e">
        <v>#N/A</v>
      </c>
      <c r="H966" s="141" t="e">
        <f t="shared" si="56"/>
        <v>#N/A</v>
      </c>
      <c r="I966" s="409" t="s">
        <v>47</v>
      </c>
      <c r="J966" s="466"/>
      <c r="L966" s="86" t="e">
        <f>VLOOKUP(B966,$B$11:B965,1,FALSE)</f>
        <v>#N/A</v>
      </c>
      <c r="M966" s="256" t="e">
        <f>G966*(1-FORM!$AE$28/100)</f>
        <v>#N/A</v>
      </c>
      <c r="AA966" s="463"/>
      <c r="AB966" s="462"/>
      <c r="AC966" s="462"/>
      <c r="AD966" s="464"/>
      <c r="AE966" s="465"/>
    </row>
    <row r="967" spans="2:31" ht="14.4" hidden="1">
      <c r="B967" s="298"/>
      <c r="C967" s="216"/>
      <c r="D967" s="217"/>
      <c r="E967" s="391"/>
      <c r="F967" s="262"/>
      <c r="G967" s="272" t="e">
        <v>#N/A</v>
      </c>
      <c r="H967" s="141" t="e">
        <f t="shared" si="56"/>
        <v>#N/A</v>
      </c>
      <c r="I967" s="409" t="s">
        <v>47</v>
      </c>
      <c r="J967" s="466"/>
      <c r="L967" s="86" t="e">
        <f>VLOOKUP(B967,$B$11:B966,1,FALSE)</f>
        <v>#N/A</v>
      </c>
      <c r="M967" s="256" t="e">
        <f>G967*(1-FORM!$AE$28/100)</f>
        <v>#N/A</v>
      </c>
      <c r="AA967" s="463"/>
      <c r="AB967" s="462"/>
      <c r="AC967" s="462"/>
      <c r="AD967" s="464"/>
      <c r="AE967" s="465"/>
    </row>
    <row r="968" spans="2:31" ht="14.4" hidden="1">
      <c r="B968" s="298"/>
      <c r="C968" s="216"/>
      <c r="D968" s="217"/>
      <c r="E968" s="391"/>
      <c r="F968" s="262"/>
      <c r="G968" s="272" t="e">
        <v>#N/A</v>
      </c>
      <c r="H968" s="141" t="e">
        <f t="shared" si="56"/>
        <v>#N/A</v>
      </c>
      <c r="I968" s="409" t="s">
        <v>47</v>
      </c>
      <c r="J968" s="466"/>
      <c r="L968" s="86" t="e">
        <f>VLOOKUP(B968,$B$11:B967,1,FALSE)</f>
        <v>#N/A</v>
      </c>
      <c r="M968" s="256" t="e">
        <f>G968*(1-FORM!$AE$28/100)</f>
        <v>#N/A</v>
      </c>
      <c r="AA968" s="463"/>
      <c r="AB968" s="462"/>
      <c r="AC968" s="462"/>
      <c r="AD968" s="464"/>
      <c r="AE968" s="465"/>
    </row>
    <row r="969" spans="2:31" ht="14.4" hidden="1">
      <c r="B969" s="298"/>
      <c r="C969" s="216"/>
      <c r="D969" s="217"/>
      <c r="E969" s="391"/>
      <c r="F969" s="262"/>
      <c r="G969" s="272" t="e">
        <v>#N/A</v>
      </c>
      <c r="H969" s="141" t="e">
        <f t="shared" si="56"/>
        <v>#N/A</v>
      </c>
      <c r="I969" s="409" t="s">
        <v>47</v>
      </c>
      <c r="J969" s="466"/>
      <c r="L969" s="86" t="e">
        <f>VLOOKUP(B969,$B$11:B968,1,FALSE)</f>
        <v>#N/A</v>
      </c>
      <c r="M969" s="256" t="e">
        <f>G969*(1-FORM!$AE$28/100)</f>
        <v>#N/A</v>
      </c>
      <c r="AA969" s="463"/>
      <c r="AB969" s="462"/>
      <c r="AC969" s="462"/>
      <c r="AD969" s="464"/>
      <c r="AE969" s="465"/>
    </row>
    <row r="970" spans="2:31" ht="14.4" hidden="1">
      <c r="B970" s="298"/>
      <c r="C970" s="216"/>
      <c r="D970" s="217"/>
      <c r="E970" s="391"/>
      <c r="F970" s="262"/>
      <c r="G970" s="272" t="e">
        <v>#N/A</v>
      </c>
      <c r="H970" s="141" t="e">
        <f t="shared" si="56"/>
        <v>#N/A</v>
      </c>
      <c r="I970" s="409" t="s">
        <v>47</v>
      </c>
      <c r="J970" s="466"/>
      <c r="L970" s="86" t="e">
        <f>VLOOKUP(B970,$B$11:B969,1,FALSE)</f>
        <v>#N/A</v>
      </c>
      <c r="M970" s="256" t="e">
        <f>G970*(1-FORM!$AE$28/100)</f>
        <v>#N/A</v>
      </c>
      <c r="AA970" s="463"/>
      <c r="AB970" s="462"/>
      <c r="AC970" s="462"/>
      <c r="AD970" s="464"/>
      <c r="AE970" s="465"/>
    </row>
    <row r="971" spans="2:31" ht="14.4" hidden="1">
      <c r="B971" s="298"/>
      <c r="C971" s="216"/>
      <c r="D971" s="217"/>
      <c r="E971" s="391"/>
      <c r="F971" s="262"/>
      <c r="G971" s="272" t="e">
        <v>#N/A</v>
      </c>
      <c r="H971" s="141" t="e">
        <f t="shared" si="56"/>
        <v>#N/A</v>
      </c>
      <c r="I971" s="409" t="s">
        <v>47</v>
      </c>
      <c r="J971" s="466"/>
      <c r="L971" s="86" t="e">
        <f>VLOOKUP(B971,$B$11:B970,1,FALSE)</f>
        <v>#N/A</v>
      </c>
      <c r="M971" s="256" t="e">
        <f>G971*(1-FORM!$AE$28/100)</f>
        <v>#N/A</v>
      </c>
      <c r="AA971" s="463"/>
      <c r="AB971" s="462"/>
      <c r="AC971" s="462"/>
      <c r="AD971" s="464"/>
      <c r="AE971" s="465"/>
    </row>
    <row r="972" spans="2:31" ht="14.4" hidden="1">
      <c r="B972" s="298"/>
      <c r="C972" s="216"/>
      <c r="D972" s="217"/>
      <c r="E972" s="391"/>
      <c r="F972" s="262"/>
      <c r="G972" s="272" t="e">
        <v>#N/A</v>
      </c>
      <c r="H972" s="141" t="e">
        <f t="shared" si="56"/>
        <v>#N/A</v>
      </c>
      <c r="I972" s="409" t="s">
        <v>47</v>
      </c>
      <c r="J972" s="466"/>
      <c r="L972" s="86" t="e">
        <f>VLOOKUP(B972,$B$11:B971,1,FALSE)</f>
        <v>#N/A</v>
      </c>
      <c r="M972" s="256" t="e">
        <f>G972*(1-FORM!$AE$28/100)</f>
        <v>#N/A</v>
      </c>
      <c r="AA972" s="463"/>
      <c r="AB972" s="462"/>
      <c r="AC972" s="462"/>
      <c r="AD972" s="464"/>
      <c r="AE972" s="465"/>
    </row>
    <row r="973" spans="2:31" ht="14.4" hidden="1">
      <c r="B973" s="298"/>
      <c r="C973" s="216"/>
      <c r="D973" s="217"/>
      <c r="E973" s="391"/>
      <c r="F973" s="262"/>
      <c r="G973" s="272" t="e">
        <v>#N/A</v>
      </c>
      <c r="H973" s="141" t="e">
        <f t="shared" si="56"/>
        <v>#N/A</v>
      </c>
      <c r="I973" s="409" t="s">
        <v>47</v>
      </c>
      <c r="J973" s="466"/>
      <c r="L973" s="86" t="e">
        <f>VLOOKUP(B973,$B$11:B972,1,FALSE)</f>
        <v>#N/A</v>
      </c>
      <c r="M973" s="256" t="e">
        <f>G973*(1-FORM!$AE$28/100)</f>
        <v>#N/A</v>
      </c>
      <c r="AA973" s="463"/>
      <c r="AB973" s="462"/>
      <c r="AC973" s="462"/>
      <c r="AD973" s="464"/>
      <c r="AE973" s="465"/>
    </row>
    <row r="974" spans="2:31" ht="14.4" hidden="1">
      <c r="B974" s="298"/>
      <c r="C974" s="216"/>
      <c r="D974" s="217"/>
      <c r="E974" s="391"/>
      <c r="F974" s="262"/>
      <c r="G974" s="272" t="e">
        <v>#N/A</v>
      </c>
      <c r="H974" s="141" t="e">
        <f t="shared" si="56"/>
        <v>#N/A</v>
      </c>
      <c r="I974" s="409" t="s">
        <v>47</v>
      </c>
      <c r="J974" s="466"/>
      <c r="L974" s="86" t="e">
        <f>VLOOKUP(B974,$B$11:B973,1,FALSE)</f>
        <v>#N/A</v>
      </c>
      <c r="M974" s="256" t="e">
        <f>G974*(1-FORM!$AE$28/100)</f>
        <v>#N/A</v>
      </c>
      <c r="AA974" s="463"/>
      <c r="AB974" s="462"/>
      <c r="AC974" s="462"/>
      <c r="AD974" s="464"/>
      <c r="AE974" s="465"/>
    </row>
    <row r="975" spans="2:31" ht="14.4" hidden="1">
      <c r="B975" s="298"/>
      <c r="C975" s="216"/>
      <c r="D975" s="217"/>
      <c r="E975" s="391"/>
      <c r="F975" s="262"/>
      <c r="G975" s="272" t="e">
        <v>#N/A</v>
      </c>
      <c r="H975" s="141" t="e">
        <f t="shared" si="56"/>
        <v>#N/A</v>
      </c>
      <c r="I975" s="409" t="s">
        <v>47</v>
      </c>
      <c r="J975" s="466"/>
      <c r="L975" s="86" t="e">
        <f>VLOOKUP(B975,$B$11:B974,1,FALSE)</f>
        <v>#N/A</v>
      </c>
      <c r="M975" s="256" t="e">
        <f>G975*(1-FORM!$AE$28/100)</f>
        <v>#N/A</v>
      </c>
      <c r="AA975" s="463"/>
      <c r="AB975" s="462"/>
      <c r="AC975" s="462"/>
      <c r="AD975" s="464"/>
      <c r="AE975" s="465"/>
    </row>
    <row r="976" spans="2:31" ht="14.4" hidden="1">
      <c r="B976" s="298"/>
      <c r="C976" s="216"/>
      <c r="D976" s="217"/>
      <c r="E976" s="391"/>
      <c r="F976" s="262"/>
      <c r="G976" s="272" t="e">
        <v>#N/A</v>
      </c>
      <c r="H976" s="141" t="e">
        <f t="shared" si="56"/>
        <v>#N/A</v>
      </c>
      <c r="I976" s="409" t="s">
        <v>47</v>
      </c>
      <c r="J976" s="466"/>
      <c r="L976" s="86" t="e">
        <f>VLOOKUP(B976,$B$11:B975,1,FALSE)</f>
        <v>#N/A</v>
      </c>
      <c r="M976" s="256" t="e">
        <f>G976*(1-FORM!$AE$28/100)</f>
        <v>#N/A</v>
      </c>
      <c r="AA976" s="463"/>
      <c r="AB976" s="462"/>
      <c r="AC976" s="462"/>
      <c r="AD976" s="464"/>
      <c r="AE976" s="465"/>
    </row>
    <row r="977" spans="2:31" ht="14.4" hidden="1">
      <c r="B977" s="298"/>
      <c r="C977" s="216"/>
      <c r="D977" s="217"/>
      <c r="E977" s="391"/>
      <c r="F977" s="262"/>
      <c r="G977" s="272" t="e">
        <v>#N/A</v>
      </c>
      <c r="H977" s="141" t="e">
        <f t="shared" si="56"/>
        <v>#N/A</v>
      </c>
      <c r="I977" s="409" t="s">
        <v>47</v>
      </c>
      <c r="J977" s="466"/>
      <c r="L977" s="86" t="e">
        <f>VLOOKUP(B977,$B$11:B976,1,FALSE)</f>
        <v>#N/A</v>
      </c>
      <c r="M977" s="256" t="e">
        <f>G977*(1-FORM!$AE$28/100)</f>
        <v>#N/A</v>
      </c>
      <c r="AA977" s="463"/>
      <c r="AB977" s="462"/>
      <c r="AC977" s="462"/>
      <c r="AD977" s="464"/>
      <c r="AE977" s="465"/>
    </row>
    <row r="978" spans="2:31" ht="14.4" hidden="1">
      <c r="B978" s="298"/>
      <c r="C978" s="216"/>
      <c r="D978" s="217"/>
      <c r="E978" s="391"/>
      <c r="F978" s="262"/>
      <c r="G978" s="272" t="e">
        <v>#N/A</v>
      </c>
      <c r="H978" s="141" t="e">
        <f t="shared" si="56"/>
        <v>#N/A</v>
      </c>
      <c r="I978" s="409" t="s">
        <v>47</v>
      </c>
      <c r="J978" s="466"/>
      <c r="L978" s="86" t="e">
        <f>VLOOKUP(B978,$B$11:B977,1,FALSE)</f>
        <v>#N/A</v>
      </c>
      <c r="M978" s="256" t="e">
        <f>G978*(1-FORM!$AE$28/100)</f>
        <v>#N/A</v>
      </c>
      <c r="AA978" s="463"/>
      <c r="AB978" s="462"/>
      <c r="AC978" s="462"/>
      <c r="AD978" s="464"/>
      <c r="AE978" s="465"/>
    </row>
    <row r="979" spans="2:31" ht="14.4" hidden="1">
      <c r="B979" s="298"/>
      <c r="C979" s="216"/>
      <c r="D979" s="217"/>
      <c r="E979" s="391"/>
      <c r="F979" s="262"/>
      <c r="G979" s="272" t="e">
        <v>#N/A</v>
      </c>
      <c r="H979" s="141" t="e">
        <f t="shared" si="56"/>
        <v>#N/A</v>
      </c>
      <c r="I979" s="409" t="s">
        <v>47</v>
      </c>
      <c r="J979" s="466"/>
      <c r="L979" s="86" t="e">
        <f>VLOOKUP(B979,$B$11:B978,1,FALSE)</f>
        <v>#N/A</v>
      </c>
      <c r="M979" s="256" t="e">
        <f>G979*(1-FORM!$AE$28/100)</f>
        <v>#N/A</v>
      </c>
      <c r="AA979" s="463"/>
      <c r="AB979" s="462"/>
      <c r="AC979" s="462"/>
      <c r="AD979" s="464"/>
      <c r="AE979" s="465"/>
    </row>
    <row r="980" spans="2:31" ht="14.4" hidden="1">
      <c r="B980" s="298"/>
      <c r="C980" s="216"/>
      <c r="D980" s="217"/>
      <c r="E980" s="391"/>
      <c r="F980" s="262"/>
      <c r="G980" s="272" t="e">
        <v>#N/A</v>
      </c>
      <c r="H980" s="141" t="e">
        <f t="shared" si="56"/>
        <v>#N/A</v>
      </c>
      <c r="I980" s="409" t="s">
        <v>47</v>
      </c>
      <c r="J980" s="466"/>
      <c r="L980" s="86" t="e">
        <f>VLOOKUP(B980,$B$11:B979,1,FALSE)</f>
        <v>#N/A</v>
      </c>
      <c r="M980" s="256" t="e">
        <f>G980*(1-FORM!$AE$28/100)</f>
        <v>#N/A</v>
      </c>
      <c r="AA980" s="463"/>
      <c r="AB980" s="462"/>
      <c r="AC980" s="462"/>
      <c r="AD980" s="464"/>
      <c r="AE980" s="465"/>
    </row>
    <row r="981" spans="2:31" ht="14.4" hidden="1">
      <c r="B981" s="298"/>
      <c r="C981" s="216"/>
      <c r="D981" s="217"/>
      <c r="E981" s="391"/>
      <c r="F981" s="262"/>
      <c r="G981" s="272" t="e">
        <v>#N/A</v>
      </c>
      <c r="H981" s="141" t="e">
        <f t="shared" si="56"/>
        <v>#N/A</v>
      </c>
      <c r="I981" s="409" t="s">
        <v>47</v>
      </c>
      <c r="J981" s="466"/>
      <c r="L981" s="86" t="e">
        <f>VLOOKUP(B981,$B$11:B980,1,FALSE)</f>
        <v>#N/A</v>
      </c>
      <c r="M981" s="256" t="e">
        <f>G981*(1-FORM!$AE$28/100)</f>
        <v>#N/A</v>
      </c>
      <c r="AA981" s="463"/>
      <c r="AB981" s="462"/>
      <c r="AC981" s="462"/>
      <c r="AD981" s="464"/>
      <c r="AE981" s="465"/>
    </row>
    <row r="982" spans="2:31" ht="14.4" hidden="1">
      <c r="B982" s="298"/>
      <c r="C982" s="216"/>
      <c r="D982" s="217"/>
      <c r="E982" s="391"/>
      <c r="F982" s="262"/>
      <c r="G982" s="272" t="e">
        <v>#N/A</v>
      </c>
      <c r="H982" s="141" t="e">
        <f t="shared" si="56"/>
        <v>#N/A</v>
      </c>
      <c r="I982" s="409" t="s">
        <v>47</v>
      </c>
      <c r="J982" s="466"/>
      <c r="L982" s="86" t="e">
        <f>VLOOKUP(B982,$B$11:B981,1,FALSE)</f>
        <v>#N/A</v>
      </c>
      <c r="M982" s="256" t="e">
        <f>G982*(1-FORM!$AE$28/100)</f>
        <v>#N/A</v>
      </c>
      <c r="AA982" s="463"/>
      <c r="AB982" s="462"/>
      <c r="AC982" s="462"/>
      <c r="AD982" s="464"/>
      <c r="AE982" s="465"/>
    </row>
    <row r="983" spans="2:31" ht="14.4" hidden="1">
      <c r="B983" s="298"/>
      <c r="C983" s="216"/>
      <c r="D983" s="217"/>
      <c r="E983" s="391"/>
      <c r="F983" s="262"/>
      <c r="G983" s="272" t="e">
        <v>#N/A</v>
      </c>
      <c r="H983" s="141" t="e">
        <f t="shared" si="56"/>
        <v>#N/A</v>
      </c>
      <c r="I983" s="409" t="s">
        <v>47</v>
      </c>
      <c r="J983" s="466"/>
      <c r="L983" s="86" t="e">
        <f>VLOOKUP(B983,$B$11:B982,1,FALSE)</f>
        <v>#N/A</v>
      </c>
      <c r="M983" s="256" t="e">
        <f>G983*(1-FORM!$AE$28/100)</f>
        <v>#N/A</v>
      </c>
      <c r="AA983" s="463"/>
      <c r="AB983" s="462"/>
      <c r="AC983" s="462"/>
      <c r="AD983" s="464"/>
      <c r="AE983" s="465"/>
    </row>
    <row r="984" spans="2:31" ht="14.4" hidden="1">
      <c r="B984" s="298"/>
      <c r="C984" s="216"/>
      <c r="D984" s="217"/>
      <c r="E984" s="391"/>
      <c r="F984" s="262"/>
      <c r="G984" s="272" t="e">
        <v>#N/A</v>
      </c>
      <c r="H984" s="141" t="e">
        <f t="shared" si="56"/>
        <v>#N/A</v>
      </c>
      <c r="I984" s="409" t="s">
        <v>47</v>
      </c>
      <c r="J984" s="466"/>
      <c r="L984" s="86" t="e">
        <f>VLOOKUP(B984,$B$11:B983,1,FALSE)</f>
        <v>#N/A</v>
      </c>
      <c r="M984" s="256" t="e">
        <f>G984*(1-FORM!$AE$28/100)</f>
        <v>#N/A</v>
      </c>
      <c r="AA984" s="463"/>
      <c r="AB984" s="462"/>
      <c r="AC984" s="462"/>
      <c r="AD984" s="464"/>
      <c r="AE984" s="465"/>
    </row>
    <row r="985" spans="2:31" ht="14.4" hidden="1">
      <c r="B985" s="298"/>
      <c r="C985" s="216"/>
      <c r="D985" s="217"/>
      <c r="E985" s="391"/>
      <c r="F985" s="262"/>
      <c r="G985" s="272" t="e">
        <v>#N/A</v>
      </c>
      <c r="H985" s="141" t="e">
        <f t="shared" si="56"/>
        <v>#N/A</v>
      </c>
      <c r="I985" s="409" t="s">
        <v>47</v>
      </c>
      <c r="J985" s="466"/>
      <c r="L985" s="86" t="e">
        <f>VLOOKUP(B985,$B$11:B984,1,FALSE)</f>
        <v>#N/A</v>
      </c>
      <c r="M985" s="256" t="e">
        <f>G985*(1-FORM!$AE$28/100)</f>
        <v>#N/A</v>
      </c>
      <c r="AA985" s="463"/>
      <c r="AB985" s="462"/>
      <c r="AC985" s="462"/>
      <c r="AD985" s="464"/>
      <c r="AE985" s="465"/>
    </row>
    <row r="986" spans="2:31" ht="14.4" hidden="1">
      <c r="B986" s="298"/>
      <c r="C986" s="216"/>
      <c r="D986" s="217"/>
      <c r="E986" s="391"/>
      <c r="F986" s="262"/>
      <c r="G986" s="272" t="e">
        <v>#N/A</v>
      </c>
      <c r="H986" s="141" t="e">
        <f t="shared" si="56"/>
        <v>#N/A</v>
      </c>
      <c r="I986" s="409" t="s">
        <v>47</v>
      </c>
      <c r="J986" s="466"/>
      <c r="L986" s="86" t="e">
        <f>VLOOKUP(B986,$B$11:B985,1,FALSE)</f>
        <v>#N/A</v>
      </c>
      <c r="M986" s="256" t="e">
        <f>G986*(1-FORM!$AE$28/100)</f>
        <v>#N/A</v>
      </c>
      <c r="AA986" s="463"/>
      <c r="AB986" s="462"/>
      <c r="AC986" s="462"/>
      <c r="AD986" s="464"/>
      <c r="AE986" s="465"/>
    </row>
    <row r="987" spans="2:31" ht="14.4" hidden="1">
      <c r="B987" s="298"/>
      <c r="C987" s="216"/>
      <c r="D987" s="217"/>
      <c r="E987" s="391"/>
      <c r="F987" s="262"/>
      <c r="G987" s="272" t="e">
        <v>#N/A</v>
      </c>
      <c r="H987" s="141" t="e">
        <f t="shared" si="56"/>
        <v>#N/A</v>
      </c>
      <c r="I987" s="409" t="s">
        <v>47</v>
      </c>
      <c r="J987" s="466"/>
      <c r="L987" s="86" t="e">
        <f>VLOOKUP(B987,$B$11:B986,1,FALSE)</f>
        <v>#N/A</v>
      </c>
      <c r="M987" s="256" t="e">
        <f>G987*(1-FORM!$AE$28/100)</f>
        <v>#N/A</v>
      </c>
      <c r="AA987" s="463"/>
      <c r="AB987" s="462"/>
      <c r="AC987" s="462"/>
      <c r="AD987" s="464"/>
      <c r="AE987" s="465"/>
    </row>
    <row r="988" spans="2:31" ht="14.4" hidden="1">
      <c r="B988" s="298"/>
      <c r="C988" s="216"/>
      <c r="D988" s="217"/>
      <c r="E988" s="391"/>
      <c r="F988" s="262"/>
      <c r="G988" s="272" t="e">
        <v>#N/A</v>
      </c>
      <c r="H988" s="141" t="e">
        <f t="shared" si="56"/>
        <v>#N/A</v>
      </c>
      <c r="I988" s="409" t="s">
        <v>47</v>
      </c>
      <c r="J988" s="466"/>
      <c r="L988" s="86" t="e">
        <f>VLOOKUP(B988,$B$11:B987,1,FALSE)</f>
        <v>#N/A</v>
      </c>
      <c r="M988" s="256" t="e">
        <f>G988*(1-FORM!$AE$28/100)</f>
        <v>#N/A</v>
      </c>
      <c r="AA988" s="463"/>
      <c r="AB988" s="462"/>
      <c r="AC988" s="462"/>
      <c r="AD988" s="464"/>
      <c r="AE988" s="465"/>
    </row>
    <row r="989" spans="2:31" ht="14.4" hidden="1">
      <c r="B989" s="298"/>
      <c r="C989" s="216"/>
      <c r="D989" s="217"/>
      <c r="E989" s="391"/>
      <c r="F989" s="262"/>
      <c r="G989" s="272" t="e">
        <v>#N/A</v>
      </c>
      <c r="H989" s="141" t="e">
        <f t="shared" ref="H989:H1047" si="57">IF(G989="","",$H$10)</f>
        <v>#N/A</v>
      </c>
      <c r="I989" s="409" t="s">
        <v>47</v>
      </c>
      <c r="J989" s="466"/>
      <c r="L989" s="86" t="e">
        <f>VLOOKUP(B989,$B$11:B988,1,FALSE)</f>
        <v>#N/A</v>
      </c>
      <c r="M989" s="256" t="e">
        <f>G989*(1-FORM!$AE$28/100)</f>
        <v>#N/A</v>
      </c>
      <c r="AA989" s="463"/>
      <c r="AB989" s="462"/>
      <c r="AC989" s="462"/>
      <c r="AD989" s="464"/>
      <c r="AE989" s="465"/>
    </row>
    <row r="990" spans="2:31" ht="14.4" hidden="1">
      <c r="B990" s="298"/>
      <c r="C990" s="216"/>
      <c r="D990" s="217"/>
      <c r="E990" s="391"/>
      <c r="F990" s="262"/>
      <c r="G990" s="272" t="e">
        <v>#N/A</v>
      </c>
      <c r="H990" s="141" t="e">
        <f t="shared" si="57"/>
        <v>#N/A</v>
      </c>
      <c r="I990" s="409" t="s">
        <v>47</v>
      </c>
      <c r="J990" s="466"/>
      <c r="L990" s="86" t="e">
        <f>VLOOKUP(B990,$B$11:B989,1,FALSE)</f>
        <v>#N/A</v>
      </c>
      <c r="M990" s="256" t="e">
        <f>G990*(1-FORM!$AE$28/100)</f>
        <v>#N/A</v>
      </c>
      <c r="AA990" s="463"/>
      <c r="AB990" s="462"/>
      <c r="AC990" s="462"/>
      <c r="AD990" s="464"/>
      <c r="AE990" s="465"/>
    </row>
    <row r="991" spans="2:31" ht="14.4" hidden="1">
      <c r="B991" s="298"/>
      <c r="C991" s="216"/>
      <c r="D991" s="217"/>
      <c r="E991" s="391"/>
      <c r="F991" s="262"/>
      <c r="G991" s="272" t="e">
        <v>#N/A</v>
      </c>
      <c r="H991" s="141" t="e">
        <f t="shared" si="57"/>
        <v>#N/A</v>
      </c>
      <c r="I991" s="409" t="s">
        <v>47</v>
      </c>
      <c r="J991" s="466"/>
      <c r="L991" s="86" t="e">
        <f>VLOOKUP(B991,$B$11:B990,1,FALSE)</f>
        <v>#N/A</v>
      </c>
      <c r="M991" s="256" t="e">
        <f>G991*(1-FORM!$AE$28/100)</f>
        <v>#N/A</v>
      </c>
      <c r="AA991" s="463"/>
      <c r="AB991" s="462"/>
      <c r="AC991" s="462"/>
      <c r="AD991" s="464"/>
      <c r="AE991" s="465"/>
    </row>
    <row r="992" spans="2:31" ht="14.4" hidden="1">
      <c r="B992" s="298"/>
      <c r="C992" s="216"/>
      <c r="D992" s="217"/>
      <c r="E992" s="391"/>
      <c r="F992" s="262"/>
      <c r="G992" s="272" t="e">
        <v>#N/A</v>
      </c>
      <c r="H992" s="141" t="e">
        <f t="shared" si="57"/>
        <v>#N/A</v>
      </c>
      <c r="I992" s="409" t="s">
        <v>47</v>
      </c>
      <c r="J992" s="466"/>
      <c r="L992" s="86" t="e">
        <f>VLOOKUP(B992,$B$11:B991,1,FALSE)</f>
        <v>#N/A</v>
      </c>
      <c r="M992" s="256" t="e">
        <f>G992*(1-FORM!$AE$28/100)</f>
        <v>#N/A</v>
      </c>
      <c r="AA992" s="463"/>
      <c r="AB992" s="462"/>
      <c r="AC992" s="462"/>
      <c r="AD992" s="464"/>
      <c r="AE992" s="465"/>
    </row>
    <row r="993" spans="2:31" ht="14.4" hidden="1">
      <c r="B993" s="298"/>
      <c r="C993" s="216"/>
      <c r="D993" s="217"/>
      <c r="E993" s="391"/>
      <c r="F993" s="262"/>
      <c r="G993" s="272" t="e">
        <v>#N/A</v>
      </c>
      <c r="H993" s="141" t="e">
        <f t="shared" si="57"/>
        <v>#N/A</v>
      </c>
      <c r="I993" s="409" t="s">
        <v>47</v>
      </c>
      <c r="J993" s="466"/>
      <c r="L993" s="86" t="e">
        <f>VLOOKUP(B993,$B$11:B992,1,FALSE)</f>
        <v>#N/A</v>
      </c>
      <c r="M993" s="256" t="e">
        <f>G993*(1-FORM!$AE$28/100)</f>
        <v>#N/A</v>
      </c>
      <c r="AA993" s="463"/>
      <c r="AB993" s="462"/>
      <c r="AC993" s="462"/>
      <c r="AD993" s="464"/>
      <c r="AE993" s="465"/>
    </row>
    <row r="994" spans="2:31" ht="14.4" hidden="1">
      <c r="B994" s="298"/>
      <c r="C994" s="216"/>
      <c r="D994" s="217"/>
      <c r="E994" s="391"/>
      <c r="F994" s="262"/>
      <c r="G994" s="272" t="e">
        <v>#N/A</v>
      </c>
      <c r="H994" s="141" t="e">
        <f t="shared" si="57"/>
        <v>#N/A</v>
      </c>
      <c r="I994" s="409" t="s">
        <v>47</v>
      </c>
      <c r="J994" s="466"/>
      <c r="L994" s="86" t="e">
        <f>VLOOKUP(B994,$B$11:B993,1,FALSE)</f>
        <v>#N/A</v>
      </c>
      <c r="M994" s="256" t="e">
        <f>G994*(1-FORM!$AE$28/100)</f>
        <v>#N/A</v>
      </c>
      <c r="AA994" s="463"/>
      <c r="AB994" s="462"/>
      <c r="AC994" s="462"/>
      <c r="AD994" s="464"/>
      <c r="AE994" s="465"/>
    </row>
    <row r="995" spans="2:31" ht="14.4" hidden="1">
      <c r="B995" s="298"/>
      <c r="C995" s="216"/>
      <c r="D995" s="217"/>
      <c r="E995" s="391"/>
      <c r="F995" s="262"/>
      <c r="G995" s="272" t="e">
        <v>#N/A</v>
      </c>
      <c r="H995" s="141" t="e">
        <f t="shared" si="57"/>
        <v>#N/A</v>
      </c>
      <c r="I995" s="409" t="s">
        <v>47</v>
      </c>
      <c r="J995" s="466"/>
      <c r="L995" s="86" t="e">
        <f>VLOOKUP(B995,$B$11:B994,1,FALSE)</f>
        <v>#N/A</v>
      </c>
      <c r="M995" s="256" t="e">
        <f>G995*(1-FORM!$AE$28/100)</f>
        <v>#N/A</v>
      </c>
      <c r="AA995" s="463"/>
      <c r="AB995" s="462"/>
      <c r="AC995" s="462"/>
      <c r="AD995" s="464"/>
      <c r="AE995" s="465"/>
    </row>
    <row r="996" spans="2:31" ht="14.4" hidden="1">
      <c r="B996" s="298"/>
      <c r="C996" s="216"/>
      <c r="D996" s="217"/>
      <c r="E996" s="391"/>
      <c r="F996" s="262"/>
      <c r="G996" s="272" t="e">
        <v>#N/A</v>
      </c>
      <c r="H996" s="141" t="e">
        <f t="shared" si="57"/>
        <v>#N/A</v>
      </c>
      <c r="I996" s="409" t="s">
        <v>47</v>
      </c>
      <c r="J996" s="466"/>
      <c r="L996" s="86" t="e">
        <f>VLOOKUP(B996,$B$11:B995,1,FALSE)</f>
        <v>#N/A</v>
      </c>
      <c r="M996" s="256" t="e">
        <f>G996*(1-FORM!$AE$28/100)</f>
        <v>#N/A</v>
      </c>
      <c r="AA996" s="463"/>
      <c r="AB996" s="462"/>
      <c r="AC996" s="462"/>
      <c r="AD996" s="464"/>
      <c r="AE996" s="465"/>
    </row>
    <row r="997" spans="2:31" ht="14.4" hidden="1">
      <c r="B997" s="298"/>
      <c r="C997" s="216"/>
      <c r="D997" s="217"/>
      <c r="E997" s="391"/>
      <c r="F997" s="262"/>
      <c r="G997" s="272" t="e">
        <v>#N/A</v>
      </c>
      <c r="H997" s="141" t="e">
        <f t="shared" si="57"/>
        <v>#N/A</v>
      </c>
      <c r="I997" s="409" t="s">
        <v>47</v>
      </c>
      <c r="J997" s="466"/>
      <c r="L997" s="86" t="e">
        <f>VLOOKUP(B997,$B$11:B996,1,FALSE)</f>
        <v>#N/A</v>
      </c>
      <c r="M997" s="256" t="e">
        <f>G997*(1-FORM!$AE$28/100)</f>
        <v>#N/A</v>
      </c>
      <c r="AA997" s="463"/>
      <c r="AB997" s="462"/>
      <c r="AC997" s="462"/>
      <c r="AD997" s="464"/>
      <c r="AE997" s="465"/>
    </row>
    <row r="998" spans="2:31" ht="14.4" hidden="1">
      <c r="B998" s="298"/>
      <c r="C998" s="216"/>
      <c r="D998" s="217"/>
      <c r="E998" s="391"/>
      <c r="F998" s="262"/>
      <c r="G998" s="272" t="e">
        <v>#N/A</v>
      </c>
      <c r="H998" s="141" t="e">
        <f t="shared" si="57"/>
        <v>#N/A</v>
      </c>
      <c r="I998" s="409" t="s">
        <v>47</v>
      </c>
      <c r="J998" s="466"/>
      <c r="L998" s="86" t="e">
        <f>VLOOKUP(B998,$B$11:B997,1,FALSE)</f>
        <v>#N/A</v>
      </c>
      <c r="M998" s="256" t="e">
        <f>G998*(1-FORM!$AE$28/100)</f>
        <v>#N/A</v>
      </c>
      <c r="AA998" s="463"/>
      <c r="AB998" s="462"/>
      <c r="AC998" s="462"/>
      <c r="AD998" s="464"/>
      <c r="AE998" s="465"/>
    </row>
    <row r="999" spans="2:31" ht="14.4" hidden="1">
      <c r="B999" s="298"/>
      <c r="C999" s="216"/>
      <c r="D999" s="217"/>
      <c r="E999" s="391"/>
      <c r="F999" s="262"/>
      <c r="G999" s="272" t="e">
        <v>#N/A</v>
      </c>
      <c r="H999" s="141" t="e">
        <f t="shared" si="57"/>
        <v>#N/A</v>
      </c>
      <c r="I999" s="409" t="s">
        <v>47</v>
      </c>
      <c r="J999" s="466"/>
      <c r="L999" s="86" t="e">
        <f>VLOOKUP(B999,$B$11:B998,1,FALSE)</f>
        <v>#N/A</v>
      </c>
      <c r="M999" s="256" t="e">
        <f>G999*(1-FORM!$AE$28/100)</f>
        <v>#N/A</v>
      </c>
      <c r="AA999" s="463"/>
      <c r="AB999" s="462"/>
      <c r="AC999" s="462"/>
      <c r="AD999" s="464"/>
      <c r="AE999" s="465"/>
    </row>
    <row r="1000" spans="2:31" ht="14.4" hidden="1">
      <c r="B1000" s="298"/>
      <c r="C1000" s="216"/>
      <c r="D1000" s="217"/>
      <c r="E1000" s="391"/>
      <c r="F1000" s="262"/>
      <c r="G1000" s="272" t="e">
        <v>#N/A</v>
      </c>
      <c r="H1000" s="141" t="e">
        <f t="shared" si="57"/>
        <v>#N/A</v>
      </c>
      <c r="I1000" s="409" t="s">
        <v>47</v>
      </c>
      <c r="J1000" s="466"/>
      <c r="L1000" s="86" t="e">
        <f>VLOOKUP(B1000,$B$11:B999,1,FALSE)</f>
        <v>#N/A</v>
      </c>
      <c r="M1000" s="256" t="e">
        <f>G1000*(1-FORM!$AE$28/100)</f>
        <v>#N/A</v>
      </c>
      <c r="AA1000" s="463"/>
      <c r="AB1000" s="462"/>
      <c r="AC1000" s="462"/>
      <c r="AD1000" s="464"/>
      <c r="AE1000" s="465"/>
    </row>
    <row r="1001" spans="2:31" ht="14.4" hidden="1">
      <c r="B1001" s="298"/>
      <c r="C1001" s="216"/>
      <c r="D1001" s="217"/>
      <c r="E1001" s="391"/>
      <c r="F1001" s="262"/>
      <c r="G1001" s="272" t="e">
        <v>#N/A</v>
      </c>
      <c r="H1001" s="141" t="e">
        <f t="shared" si="57"/>
        <v>#N/A</v>
      </c>
      <c r="I1001" s="409" t="s">
        <v>47</v>
      </c>
      <c r="J1001" s="466"/>
      <c r="L1001" s="86" t="e">
        <f>VLOOKUP(B1001,$B$11:B1000,1,FALSE)</f>
        <v>#N/A</v>
      </c>
      <c r="M1001" s="256" t="e">
        <f>G1001*(1-FORM!$AE$28/100)</f>
        <v>#N/A</v>
      </c>
      <c r="AA1001" s="463"/>
      <c r="AB1001" s="462"/>
      <c r="AC1001" s="462"/>
      <c r="AD1001" s="464"/>
      <c r="AE1001" s="465"/>
    </row>
    <row r="1002" spans="2:31" ht="14.4" hidden="1">
      <c r="B1002" s="298"/>
      <c r="C1002" s="216"/>
      <c r="D1002" s="217"/>
      <c r="E1002" s="391"/>
      <c r="F1002" s="262"/>
      <c r="G1002" s="272" t="e">
        <v>#N/A</v>
      </c>
      <c r="H1002" s="141" t="e">
        <f t="shared" si="57"/>
        <v>#N/A</v>
      </c>
      <c r="I1002" s="409" t="s">
        <v>47</v>
      </c>
      <c r="J1002" s="466"/>
      <c r="L1002" s="86" t="e">
        <f>VLOOKUP(B1002,$B$11:B1001,1,FALSE)</f>
        <v>#N/A</v>
      </c>
      <c r="M1002" s="256" t="e">
        <f>G1002*(1-FORM!$AE$28/100)</f>
        <v>#N/A</v>
      </c>
      <c r="AA1002" s="463"/>
      <c r="AB1002" s="462"/>
      <c r="AC1002" s="462"/>
      <c r="AD1002" s="464"/>
      <c r="AE1002" s="465"/>
    </row>
    <row r="1003" spans="2:31" ht="14.4" hidden="1">
      <c r="B1003" s="298"/>
      <c r="C1003" s="216"/>
      <c r="D1003" s="217"/>
      <c r="E1003" s="391"/>
      <c r="F1003" s="262"/>
      <c r="G1003" s="272" t="e">
        <v>#N/A</v>
      </c>
      <c r="H1003" s="141" t="e">
        <f t="shared" si="57"/>
        <v>#N/A</v>
      </c>
      <c r="I1003" s="409" t="s">
        <v>47</v>
      </c>
      <c r="J1003" s="466"/>
      <c r="L1003" s="86" t="e">
        <f>VLOOKUP(B1003,$B$11:B1002,1,FALSE)</f>
        <v>#N/A</v>
      </c>
      <c r="M1003" s="256" t="e">
        <f>G1003*(1-FORM!$AE$28/100)</f>
        <v>#N/A</v>
      </c>
      <c r="AA1003" s="463"/>
      <c r="AB1003" s="462"/>
      <c r="AC1003" s="462"/>
      <c r="AD1003" s="464"/>
      <c r="AE1003" s="465"/>
    </row>
    <row r="1004" spans="2:31" ht="14.4" hidden="1">
      <c r="B1004" s="298"/>
      <c r="C1004" s="216"/>
      <c r="D1004" s="217"/>
      <c r="E1004" s="391"/>
      <c r="F1004" s="262"/>
      <c r="G1004" s="272" t="e">
        <v>#N/A</v>
      </c>
      <c r="H1004" s="141" t="e">
        <f t="shared" si="57"/>
        <v>#N/A</v>
      </c>
      <c r="I1004" s="409" t="s">
        <v>47</v>
      </c>
      <c r="J1004" s="466"/>
      <c r="L1004" s="86" t="e">
        <f>VLOOKUP(B1004,$B$11:B1003,1,FALSE)</f>
        <v>#N/A</v>
      </c>
      <c r="M1004" s="256" t="e">
        <f>G1004*(1-FORM!$AE$28/100)</f>
        <v>#N/A</v>
      </c>
      <c r="AA1004" s="463"/>
      <c r="AB1004" s="462"/>
      <c r="AC1004" s="462"/>
      <c r="AD1004" s="464"/>
      <c r="AE1004" s="465"/>
    </row>
    <row r="1005" spans="2:31" ht="14.4" hidden="1">
      <c r="B1005" s="298"/>
      <c r="C1005" s="216"/>
      <c r="D1005" s="217"/>
      <c r="E1005" s="391"/>
      <c r="F1005" s="262"/>
      <c r="G1005" s="272" t="e">
        <v>#N/A</v>
      </c>
      <c r="H1005" s="141" t="e">
        <f t="shared" si="57"/>
        <v>#N/A</v>
      </c>
      <c r="I1005" s="409" t="s">
        <v>47</v>
      </c>
      <c r="J1005" s="466"/>
      <c r="L1005" s="86" t="e">
        <f>VLOOKUP(B1005,$B$11:B1004,1,FALSE)</f>
        <v>#N/A</v>
      </c>
      <c r="M1005" s="256" t="e">
        <f>G1005*(1-FORM!$AE$28/100)</f>
        <v>#N/A</v>
      </c>
      <c r="AA1005" s="463"/>
      <c r="AB1005" s="462"/>
      <c r="AC1005" s="462"/>
      <c r="AD1005" s="464"/>
      <c r="AE1005" s="465"/>
    </row>
    <row r="1006" spans="2:31" ht="14.4" hidden="1">
      <c r="B1006" s="298"/>
      <c r="C1006" s="216"/>
      <c r="D1006" s="217"/>
      <c r="E1006" s="391"/>
      <c r="F1006" s="262"/>
      <c r="G1006" s="272" t="e">
        <v>#N/A</v>
      </c>
      <c r="H1006" s="141" t="e">
        <f t="shared" si="57"/>
        <v>#N/A</v>
      </c>
      <c r="I1006" s="409" t="s">
        <v>47</v>
      </c>
      <c r="J1006" s="466"/>
      <c r="L1006" s="86" t="e">
        <f>VLOOKUP(B1006,$B$11:B1005,1,FALSE)</f>
        <v>#N/A</v>
      </c>
      <c r="M1006" s="256" t="e">
        <f>G1006*(1-FORM!$AE$28/100)</f>
        <v>#N/A</v>
      </c>
      <c r="AA1006" s="463"/>
      <c r="AB1006" s="462"/>
      <c r="AC1006" s="462"/>
      <c r="AD1006" s="464"/>
      <c r="AE1006" s="465"/>
    </row>
    <row r="1007" spans="2:31" ht="14.4" hidden="1">
      <c r="B1007" s="298"/>
      <c r="C1007" s="216"/>
      <c r="D1007" s="217"/>
      <c r="E1007" s="391"/>
      <c r="F1007" s="262"/>
      <c r="G1007" s="272" t="e">
        <v>#N/A</v>
      </c>
      <c r="H1007" s="141" t="e">
        <f t="shared" si="57"/>
        <v>#N/A</v>
      </c>
      <c r="I1007" s="409" t="s">
        <v>47</v>
      </c>
      <c r="J1007" s="466"/>
      <c r="L1007" s="86" t="e">
        <f>VLOOKUP(B1007,$B$11:B1006,1,FALSE)</f>
        <v>#N/A</v>
      </c>
      <c r="M1007" s="256" t="e">
        <f>G1007*(1-FORM!$AE$28/100)</f>
        <v>#N/A</v>
      </c>
      <c r="AA1007" s="463"/>
      <c r="AB1007" s="462"/>
      <c r="AC1007" s="462"/>
      <c r="AD1007" s="464"/>
      <c r="AE1007" s="465"/>
    </row>
    <row r="1008" spans="2:31" ht="14.4" hidden="1">
      <c r="B1008" s="298"/>
      <c r="C1008" s="216"/>
      <c r="D1008" s="217"/>
      <c r="E1008" s="391"/>
      <c r="F1008" s="262"/>
      <c r="G1008" s="272" t="e">
        <v>#N/A</v>
      </c>
      <c r="H1008" s="141" t="e">
        <f t="shared" si="57"/>
        <v>#N/A</v>
      </c>
      <c r="I1008" s="409" t="s">
        <v>47</v>
      </c>
      <c r="J1008" s="466"/>
      <c r="L1008" s="86" t="e">
        <f>VLOOKUP(B1008,$B$11:B1007,1,FALSE)</f>
        <v>#N/A</v>
      </c>
      <c r="M1008" s="256" t="e">
        <f>G1008*(1-FORM!$AE$28/100)</f>
        <v>#N/A</v>
      </c>
      <c r="AA1008" s="463"/>
      <c r="AB1008" s="462"/>
      <c r="AC1008" s="462"/>
      <c r="AD1008" s="464"/>
      <c r="AE1008" s="465"/>
    </row>
    <row r="1009" spans="2:31" ht="14.4" hidden="1">
      <c r="B1009" s="298"/>
      <c r="C1009" s="216"/>
      <c r="D1009" s="217"/>
      <c r="E1009" s="391"/>
      <c r="F1009" s="262"/>
      <c r="G1009" s="272" t="e">
        <v>#N/A</v>
      </c>
      <c r="H1009" s="141" t="e">
        <f t="shared" si="57"/>
        <v>#N/A</v>
      </c>
      <c r="I1009" s="409" t="s">
        <v>47</v>
      </c>
      <c r="J1009" s="466"/>
      <c r="L1009" s="86" t="e">
        <f>VLOOKUP(B1009,$B$11:B1008,1,FALSE)</f>
        <v>#N/A</v>
      </c>
      <c r="M1009" s="256" t="e">
        <f>G1009*(1-FORM!$AE$28/100)</f>
        <v>#N/A</v>
      </c>
      <c r="AA1009" s="463"/>
      <c r="AB1009" s="462"/>
      <c r="AC1009" s="462"/>
      <c r="AD1009" s="464"/>
      <c r="AE1009" s="465"/>
    </row>
    <row r="1010" spans="2:31" ht="14.4" hidden="1">
      <c r="B1010" s="298"/>
      <c r="C1010" s="216"/>
      <c r="D1010" s="217"/>
      <c r="E1010" s="391"/>
      <c r="F1010" s="262"/>
      <c r="G1010" s="272" t="e">
        <v>#N/A</v>
      </c>
      <c r="H1010" s="141" t="e">
        <f t="shared" si="57"/>
        <v>#N/A</v>
      </c>
      <c r="I1010" s="409" t="s">
        <v>47</v>
      </c>
      <c r="J1010" s="466"/>
      <c r="L1010" s="86" t="e">
        <f>VLOOKUP(B1010,$B$11:B1009,1,FALSE)</f>
        <v>#N/A</v>
      </c>
      <c r="M1010" s="256" t="e">
        <f>G1010*(1-FORM!$AE$28/100)</f>
        <v>#N/A</v>
      </c>
      <c r="AA1010" s="463"/>
      <c r="AB1010" s="462"/>
      <c r="AC1010" s="462"/>
      <c r="AD1010" s="464"/>
      <c r="AE1010" s="465"/>
    </row>
    <row r="1011" spans="2:31" ht="14.4" hidden="1">
      <c r="B1011" s="298"/>
      <c r="C1011" s="216"/>
      <c r="D1011" s="217"/>
      <c r="E1011" s="391"/>
      <c r="F1011" s="262"/>
      <c r="G1011" s="272" t="e">
        <v>#N/A</v>
      </c>
      <c r="H1011" s="141" t="e">
        <f t="shared" si="57"/>
        <v>#N/A</v>
      </c>
      <c r="I1011" s="409" t="s">
        <v>47</v>
      </c>
      <c r="J1011" s="466"/>
      <c r="L1011" s="86" t="e">
        <f>VLOOKUP(B1011,$B$11:B1010,1,FALSE)</f>
        <v>#N/A</v>
      </c>
      <c r="M1011" s="256" t="e">
        <f>G1011*(1-FORM!$AE$28/100)</f>
        <v>#N/A</v>
      </c>
      <c r="AA1011" s="463"/>
      <c r="AB1011" s="462"/>
      <c r="AC1011" s="462"/>
      <c r="AD1011" s="464"/>
      <c r="AE1011" s="465"/>
    </row>
    <row r="1012" spans="2:31" ht="14.4" hidden="1">
      <c r="B1012" s="298"/>
      <c r="C1012" s="216"/>
      <c r="D1012" s="217"/>
      <c r="E1012" s="391"/>
      <c r="F1012" s="262"/>
      <c r="G1012" s="272" t="e">
        <v>#N/A</v>
      </c>
      <c r="H1012" s="141" t="e">
        <f t="shared" si="57"/>
        <v>#N/A</v>
      </c>
      <c r="I1012" s="409" t="s">
        <v>47</v>
      </c>
      <c r="J1012" s="466"/>
      <c r="L1012" s="86" t="e">
        <f>VLOOKUP(B1012,$B$11:B1011,1,FALSE)</f>
        <v>#N/A</v>
      </c>
      <c r="M1012" s="256" t="e">
        <f>G1012*(1-FORM!$AE$28/100)</f>
        <v>#N/A</v>
      </c>
      <c r="AA1012" s="463"/>
      <c r="AB1012" s="462"/>
      <c r="AC1012" s="462"/>
      <c r="AD1012" s="464"/>
      <c r="AE1012" s="465"/>
    </row>
    <row r="1013" spans="2:31" ht="14.4" hidden="1">
      <c r="B1013" s="298"/>
      <c r="C1013" s="216"/>
      <c r="D1013" s="217"/>
      <c r="E1013" s="391"/>
      <c r="F1013" s="262"/>
      <c r="G1013" s="272" t="e">
        <v>#N/A</v>
      </c>
      <c r="H1013" s="141" t="e">
        <f t="shared" si="57"/>
        <v>#N/A</v>
      </c>
      <c r="I1013" s="409" t="s">
        <v>47</v>
      </c>
      <c r="J1013" s="466"/>
      <c r="L1013" s="86" t="e">
        <f>VLOOKUP(B1013,$B$11:B1012,1,FALSE)</f>
        <v>#N/A</v>
      </c>
      <c r="M1013" s="256" t="e">
        <f>G1013*(1-FORM!$AE$28/100)</f>
        <v>#N/A</v>
      </c>
      <c r="AA1013" s="463"/>
      <c r="AB1013" s="462"/>
      <c r="AC1013" s="462"/>
      <c r="AD1013" s="464"/>
      <c r="AE1013" s="465"/>
    </row>
    <row r="1014" spans="2:31" ht="14.4" hidden="1">
      <c r="B1014" s="298"/>
      <c r="C1014" s="216"/>
      <c r="D1014" s="217"/>
      <c r="E1014" s="391"/>
      <c r="F1014" s="262"/>
      <c r="G1014" s="272" t="e">
        <v>#N/A</v>
      </c>
      <c r="H1014" s="141" t="e">
        <f t="shared" si="57"/>
        <v>#N/A</v>
      </c>
      <c r="I1014" s="409" t="s">
        <v>47</v>
      </c>
      <c r="J1014" s="466"/>
      <c r="L1014" s="86" t="e">
        <f>VLOOKUP(B1014,$B$11:B1013,1,FALSE)</f>
        <v>#N/A</v>
      </c>
      <c r="M1014" s="256" t="e">
        <f>G1014*(1-FORM!$AE$28/100)</f>
        <v>#N/A</v>
      </c>
      <c r="AA1014" s="463"/>
      <c r="AB1014" s="462"/>
      <c r="AC1014" s="462"/>
      <c r="AD1014" s="464"/>
      <c r="AE1014" s="465"/>
    </row>
    <row r="1015" spans="2:31" ht="14.4" hidden="1">
      <c r="B1015" s="298"/>
      <c r="C1015" s="216"/>
      <c r="D1015" s="217"/>
      <c r="E1015" s="391"/>
      <c r="F1015" s="262"/>
      <c r="G1015" s="272" t="e">
        <v>#N/A</v>
      </c>
      <c r="H1015" s="141" t="e">
        <f t="shared" si="57"/>
        <v>#N/A</v>
      </c>
      <c r="I1015" s="409" t="s">
        <v>47</v>
      </c>
      <c r="J1015" s="466"/>
      <c r="L1015" s="86" t="e">
        <f>VLOOKUP(B1015,$B$11:B1014,1,FALSE)</f>
        <v>#N/A</v>
      </c>
      <c r="M1015" s="256" t="e">
        <f>G1015*(1-FORM!$AE$28/100)</f>
        <v>#N/A</v>
      </c>
      <c r="AA1015" s="463"/>
      <c r="AB1015" s="462"/>
      <c r="AC1015" s="462"/>
      <c r="AD1015" s="464"/>
      <c r="AE1015" s="465"/>
    </row>
    <row r="1016" spans="2:31" ht="14.4" hidden="1">
      <c r="B1016" s="298"/>
      <c r="C1016" s="216"/>
      <c r="D1016" s="217"/>
      <c r="E1016" s="391"/>
      <c r="F1016" s="262"/>
      <c r="G1016" s="272" t="e">
        <v>#N/A</v>
      </c>
      <c r="H1016" s="141" t="e">
        <f t="shared" si="57"/>
        <v>#N/A</v>
      </c>
      <c r="I1016" s="409" t="s">
        <v>47</v>
      </c>
      <c r="J1016" s="466"/>
      <c r="L1016" s="86" t="e">
        <f>VLOOKUP(B1016,$B$11:B1015,1,FALSE)</f>
        <v>#N/A</v>
      </c>
      <c r="M1016" s="256" t="e">
        <f>G1016*(1-FORM!$AE$28/100)</f>
        <v>#N/A</v>
      </c>
      <c r="AA1016" s="463"/>
      <c r="AB1016" s="462"/>
      <c r="AC1016" s="462"/>
      <c r="AD1016" s="464"/>
      <c r="AE1016" s="465"/>
    </row>
    <row r="1017" spans="2:31" ht="14.4" hidden="1">
      <c r="B1017" s="298"/>
      <c r="C1017" s="216"/>
      <c r="D1017" s="217"/>
      <c r="E1017" s="391"/>
      <c r="F1017" s="262"/>
      <c r="G1017" s="272" t="e">
        <v>#N/A</v>
      </c>
      <c r="H1017" s="141" t="e">
        <f t="shared" si="57"/>
        <v>#N/A</v>
      </c>
      <c r="I1017" s="409" t="s">
        <v>47</v>
      </c>
      <c r="J1017" s="466"/>
      <c r="L1017" s="86" t="e">
        <f>VLOOKUP(B1017,$B$11:B1016,1,FALSE)</f>
        <v>#N/A</v>
      </c>
      <c r="M1017" s="256" t="e">
        <f>G1017*(1-FORM!$AE$28/100)</f>
        <v>#N/A</v>
      </c>
      <c r="AA1017" s="463"/>
      <c r="AB1017" s="462"/>
      <c r="AC1017" s="462"/>
      <c r="AD1017" s="464"/>
      <c r="AE1017" s="465"/>
    </row>
    <row r="1018" spans="2:31" ht="14.4" hidden="1">
      <c r="B1018" s="298"/>
      <c r="C1018" s="216"/>
      <c r="D1018" s="217"/>
      <c r="E1018" s="391"/>
      <c r="F1018" s="262"/>
      <c r="G1018" s="272" t="e">
        <v>#N/A</v>
      </c>
      <c r="H1018" s="141" t="e">
        <f t="shared" si="57"/>
        <v>#N/A</v>
      </c>
      <c r="I1018" s="409" t="s">
        <v>47</v>
      </c>
      <c r="J1018" s="466"/>
      <c r="L1018" s="86" t="e">
        <f>VLOOKUP(B1018,$B$11:B1017,1,FALSE)</f>
        <v>#N/A</v>
      </c>
      <c r="M1018" s="256" t="e">
        <f>G1018*(1-FORM!$AE$28/100)</f>
        <v>#N/A</v>
      </c>
      <c r="AA1018" s="463"/>
      <c r="AB1018" s="462"/>
      <c r="AC1018" s="462"/>
      <c r="AD1018" s="464"/>
      <c r="AE1018" s="465"/>
    </row>
    <row r="1019" spans="2:31" ht="14.4" hidden="1">
      <c r="B1019" s="298"/>
      <c r="C1019" s="216"/>
      <c r="D1019" s="217"/>
      <c r="E1019" s="391"/>
      <c r="F1019" s="262"/>
      <c r="G1019" s="272" t="e">
        <v>#N/A</v>
      </c>
      <c r="H1019" s="141" t="e">
        <f t="shared" si="57"/>
        <v>#N/A</v>
      </c>
      <c r="I1019" s="409" t="s">
        <v>47</v>
      </c>
      <c r="J1019" s="466"/>
      <c r="L1019" s="86" t="e">
        <f>VLOOKUP(B1019,$B$11:B1018,1,FALSE)</f>
        <v>#N/A</v>
      </c>
      <c r="M1019" s="256" t="e">
        <f>G1019*(1-FORM!$AE$28/100)</f>
        <v>#N/A</v>
      </c>
      <c r="AA1019" s="463"/>
      <c r="AB1019" s="462"/>
      <c r="AC1019" s="462"/>
      <c r="AD1019" s="464"/>
      <c r="AE1019" s="465"/>
    </row>
    <row r="1020" spans="2:31" ht="14.4" hidden="1">
      <c r="B1020" s="298"/>
      <c r="C1020" s="216"/>
      <c r="D1020" s="217"/>
      <c r="E1020" s="391"/>
      <c r="F1020" s="262"/>
      <c r="G1020" s="272" t="e">
        <v>#N/A</v>
      </c>
      <c r="H1020" s="141" t="e">
        <f t="shared" si="57"/>
        <v>#N/A</v>
      </c>
      <c r="I1020" s="409" t="s">
        <v>47</v>
      </c>
      <c r="J1020" s="466"/>
      <c r="L1020" s="86" t="e">
        <f>VLOOKUP(B1020,$B$11:B1019,1,FALSE)</f>
        <v>#N/A</v>
      </c>
      <c r="M1020" s="256" t="e">
        <f>G1020*(1-FORM!$AE$28/100)</f>
        <v>#N/A</v>
      </c>
      <c r="AA1020" s="463"/>
      <c r="AB1020" s="462"/>
      <c r="AC1020" s="462"/>
      <c r="AD1020" s="464"/>
      <c r="AE1020" s="465"/>
    </row>
    <row r="1021" spans="2:31" ht="14.4" hidden="1">
      <c r="B1021" s="298"/>
      <c r="C1021" s="216"/>
      <c r="D1021" s="217"/>
      <c r="E1021" s="391"/>
      <c r="F1021" s="262"/>
      <c r="G1021" s="272" t="e">
        <v>#N/A</v>
      </c>
      <c r="H1021" s="141" t="e">
        <f t="shared" si="57"/>
        <v>#N/A</v>
      </c>
      <c r="I1021" s="409" t="s">
        <v>47</v>
      </c>
      <c r="J1021" s="466"/>
      <c r="L1021" s="86" t="e">
        <f>VLOOKUP(B1021,$B$11:B1020,1,FALSE)</f>
        <v>#N/A</v>
      </c>
      <c r="M1021" s="256" t="e">
        <f>G1021*(1-FORM!$AE$28/100)</f>
        <v>#N/A</v>
      </c>
      <c r="AA1021" s="463"/>
      <c r="AB1021" s="462"/>
      <c r="AC1021" s="462"/>
      <c r="AD1021" s="464"/>
      <c r="AE1021" s="465"/>
    </row>
    <row r="1022" spans="2:31" ht="14.4" hidden="1">
      <c r="B1022" s="298"/>
      <c r="C1022" s="216"/>
      <c r="D1022" s="217"/>
      <c r="E1022" s="391"/>
      <c r="F1022" s="262"/>
      <c r="G1022" s="272" t="e">
        <v>#N/A</v>
      </c>
      <c r="H1022" s="141" t="e">
        <f t="shared" si="57"/>
        <v>#N/A</v>
      </c>
      <c r="I1022" s="409" t="s">
        <v>47</v>
      </c>
      <c r="J1022" s="466"/>
      <c r="L1022" s="86" t="e">
        <f>VLOOKUP(B1022,$B$11:B1021,1,FALSE)</f>
        <v>#N/A</v>
      </c>
      <c r="M1022" s="256" t="e">
        <f>G1022*(1-FORM!$AE$28/100)</f>
        <v>#N/A</v>
      </c>
      <c r="AA1022" s="463"/>
      <c r="AB1022" s="462"/>
      <c r="AC1022" s="462"/>
      <c r="AD1022" s="464"/>
      <c r="AE1022" s="465"/>
    </row>
    <row r="1023" spans="2:31" ht="14.4" hidden="1">
      <c r="B1023" s="298"/>
      <c r="C1023" s="216"/>
      <c r="D1023" s="217"/>
      <c r="E1023" s="391"/>
      <c r="F1023" s="262"/>
      <c r="G1023" s="272" t="e">
        <v>#N/A</v>
      </c>
      <c r="H1023" s="141" t="e">
        <f t="shared" si="57"/>
        <v>#N/A</v>
      </c>
      <c r="I1023" s="409" t="s">
        <v>47</v>
      </c>
      <c r="J1023" s="466"/>
      <c r="L1023" s="86" t="e">
        <f>VLOOKUP(B1023,$B$11:B1022,1,FALSE)</f>
        <v>#N/A</v>
      </c>
      <c r="M1023" s="256" t="e">
        <f>G1023*(1-FORM!$AE$28/100)</f>
        <v>#N/A</v>
      </c>
      <c r="AA1023" s="463"/>
      <c r="AB1023" s="462"/>
      <c r="AC1023" s="462"/>
      <c r="AD1023" s="464"/>
      <c r="AE1023" s="465"/>
    </row>
    <row r="1024" spans="2:31" ht="14.4" hidden="1">
      <c r="B1024" s="298"/>
      <c r="C1024" s="216"/>
      <c r="D1024" s="217"/>
      <c r="E1024" s="391"/>
      <c r="F1024" s="262"/>
      <c r="G1024" s="272" t="e">
        <v>#N/A</v>
      </c>
      <c r="H1024" s="141" t="e">
        <f t="shared" si="57"/>
        <v>#N/A</v>
      </c>
      <c r="I1024" s="409" t="s">
        <v>47</v>
      </c>
      <c r="J1024" s="466"/>
      <c r="L1024" s="86" t="e">
        <f>VLOOKUP(B1024,$B$11:B1023,1,FALSE)</f>
        <v>#N/A</v>
      </c>
      <c r="M1024" s="256" t="e">
        <f>G1024*(1-FORM!$AE$28/100)</f>
        <v>#N/A</v>
      </c>
      <c r="AA1024" s="463"/>
      <c r="AB1024" s="462"/>
      <c r="AC1024" s="462"/>
      <c r="AD1024" s="464"/>
      <c r="AE1024" s="465"/>
    </row>
    <row r="1025" spans="2:31" ht="14.4" hidden="1">
      <c r="B1025" s="298"/>
      <c r="C1025" s="216"/>
      <c r="D1025" s="217"/>
      <c r="E1025" s="391"/>
      <c r="F1025" s="262"/>
      <c r="G1025" s="272" t="e">
        <v>#N/A</v>
      </c>
      <c r="H1025" s="141" t="e">
        <f t="shared" si="57"/>
        <v>#N/A</v>
      </c>
      <c r="I1025" s="409" t="s">
        <v>47</v>
      </c>
      <c r="J1025" s="466"/>
      <c r="L1025" s="86" t="e">
        <f>VLOOKUP(B1025,$B$11:B1024,1,FALSE)</f>
        <v>#N/A</v>
      </c>
      <c r="M1025" s="256" t="e">
        <f>G1025*(1-FORM!$AE$28/100)</f>
        <v>#N/A</v>
      </c>
      <c r="AA1025" s="463"/>
      <c r="AB1025" s="462"/>
      <c r="AC1025" s="462"/>
      <c r="AD1025" s="464"/>
      <c r="AE1025" s="465"/>
    </row>
    <row r="1026" spans="2:31" ht="14.4" hidden="1">
      <c r="B1026" s="298"/>
      <c r="C1026" s="216"/>
      <c r="D1026" s="217"/>
      <c r="E1026" s="391"/>
      <c r="F1026" s="262"/>
      <c r="G1026" s="272" t="e">
        <v>#N/A</v>
      </c>
      <c r="H1026" s="141" t="e">
        <f t="shared" si="57"/>
        <v>#N/A</v>
      </c>
      <c r="I1026" s="409" t="s">
        <v>47</v>
      </c>
      <c r="J1026" s="466"/>
      <c r="L1026" s="86" t="e">
        <f>VLOOKUP(B1026,$B$11:B1025,1,FALSE)</f>
        <v>#N/A</v>
      </c>
      <c r="M1026" s="256" t="e">
        <f>G1026*(1-FORM!$AE$28/100)</f>
        <v>#N/A</v>
      </c>
      <c r="AA1026" s="463"/>
      <c r="AB1026" s="462"/>
      <c r="AC1026" s="462"/>
      <c r="AD1026" s="464"/>
      <c r="AE1026" s="465"/>
    </row>
    <row r="1027" spans="2:31" ht="14.4" hidden="1">
      <c r="B1027" s="298"/>
      <c r="C1027" s="216"/>
      <c r="D1027" s="217"/>
      <c r="E1027" s="391"/>
      <c r="F1027" s="262"/>
      <c r="G1027" s="272" t="e">
        <v>#N/A</v>
      </c>
      <c r="H1027" s="141" t="e">
        <f t="shared" si="57"/>
        <v>#N/A</v>
      </c>
      <c r="I1027" s="409" t="s">
        <v>47</v>
      </c>
      <c r="J1027" s="466"/>
      <c r="L1027" s="86" t="e">
        <f>VLOOKUP(B1027,$B$11:B1026,1,FALSE)</f>
        <v>#N/A</v>
      </c>
      <c r="M1027" s="256" t="e">
        <f>G1027*(1-FORM!$AE$28/100)</f>
        <v>#N/A</v>
      </c>
      <c r="AA1027" s="463"/>
      <c r="AB1027" s="462"/>
      <c r="AC1027" s="462"/>
      <c r="AD1027" s="464"/>
      <c r="AE1027" s="465"/>
    </row>
    <row r="1028" spans="2:31" ht="14.4" hidden="1">
      <c r="B1028" s="298"/>
      <c r="C1028" s="216"/>
      <c r="D1028" s="217"/>
      <c r="E1028" s="391"/>
      <c r="F1028" s="262"/>
      <c r="G1028" s="272" t="e">
        <v>#N/A</v>
      </c>
      <c r="H1028" s="141" t="e">
        <f t="shared" si="57"/>
        <v>#N/A</v>
      </c>
      <c r="I1028" s="409" t="s">
        <v>47</v>
      </c>
      <c r="J1028" s="466"/>
      <c r="L1028" s="86" t="e">
        <f>VLOOKUP(B1028,$B$11:B1027,1,FALSE)</f>
        <v>#N/A</v>
      </c>
      <c r="M1028" s="256" t="e">
        <f>G1028*(1-FORM!$AE$28/100)</f>
        <v>#N/A</v>
      </c>
      <c r="AA1028" s="463"/>
      <c r="AB1028" s="462"/>
      <c r="AC1028" s="462"/>
      <c r="AD1028" s="464"/>
      <c r="AE1028" s="465"/>
    </row>
    <row r="1029" spans="2:31" ht="14.4" hidden="1">
      <c r="B1029" s="298"/>
      <c r="C1029" s="216"/>
      <c r="D1029" s="217"/>
      <c r="E1029" s="391"/>
      <c r="F1029" s="262"/>
      <c r="G1029" s="272" t="e">
        <v>#N/A</v>
      </c>
      <c r="H1029" s="141" t="e">
        <f t="shared" si="57"/>
        <v>#N/A</v>
      </c>
      <c r="I1029" s="409" t="s">
        <v>47</v>
      </c>
      <c r="J1029" s="466"/>
      <c r="L1029" s="86" t="e">
        <f>VLOOKUP(B1029,$B$11:B1028,1,FALSE)</f>
        <v>#N/A</v>
      </c>
      <c r="M1029" s="256" t="e">
        <f>G1029*(1-FORM!$AE$28/100)</f>
        <v>#N/A</v>
      </c>
      <c r="AA1029" s="463"/>
      <c r="AB1029" s="462"/>
      <c r="AC1029" s="462"/>
      <c r="AD1029" s="464"/>
      <c r="AE1029" s="465"/>
    </row>
    <row r="1030" spans="2:31" ht="14.4" hidden="1">
      <c r="B1030" s="298"/>
      <c r="C1030" s="216"/>
      <c r="D1030" s="217"/>
      <c r="E1030" s="391"/>
      <c r="F1030" s="262"/>
      <c r="G1030" s="272" t="e">
        <v>#N/A</v>
      </c>
      <c r="H1030" s="141" t="e">
        <f t="shared" si="57"/>
        <v>#N/A</v>
      </c>
      <c r="I1030" s="409" t="s">
        <v>47</v>
      </c>
      <c r="J1030" s="466"/>
      <c r="L1030" s="86" t="e">
        <f>VLOOKUP(B1030,$B$11:B1029,1,FALSE)</f>
        <v>#N/A</v>
      </c>
      <c r="M1030" s="256" t="e">
        <f>G1030*(1-FORM!$AE$28/100)</f>
        <v>#N/A</v>
      </c>
      <c r="AA1030" s="463"/>
      <c r="AB1030" s="462"/>
      <c r="AC1030" s="462"/>
      <c r="AD1030" s="464"/>
      <c r="AE1030" s="465"/>
    </row>
    <row r="1031" spans="2:31" ht="14.4" hidden="1">
      <c r="B1031" s="298"/>
      <c r="C1031" s="216"/>
      <c r="D1031" s="217"/>
      <c r="E1031" s="391"/>
      <c r="F1031" s="262"/>
      <c r="G1031" s="272" t="e">
        <v>#N/A</v>
      </c>
      <c r="H1031" s="141" t="e">
        <f t="shared" si="57"/>
        <v>#N/A</v>
      </c>
      <c r="I1031" s="409" t="s">
        <v>47</v>
      </c>
      <c r="J1031" s="466"/>
      <c r="L1031" s="86" t="e">
        <f>VLOOKUP(B1031,$B$11:B1030,1,FALSE)</f>
        <v>#N/A</v>
      </c>
      <c r="M1031" s="256" t="e">
        <f>G1031*(1-FORM!$AE$28/100)</f>
        <v>#N/A</v>
      </c>
      <c r="AA1031" s="463"/>
      <c r="AB1031" s="462"/>
      <c r="AC1031" s="462"/>
      <c r="AD1031" s="464"/>
      <c r="AE1031" s="465"/>
    </row>
    <row r="1032" spans="2:31" ht="14.4" hidden="1">
      <c r="B1032" s="298"/>
      <c r="C1032" s="216"/>
      <c r="D1032" s="217"/>
      <c r="E1032" s="391"/>
      <c r="F1032" s="262"/>
      <c r="G1032" s="272" t="e">
        <v>#N/A</v>
      </c>
      <c r="H1032" s="141" t="e">
        <f t="shared" si="57"/>
        <v>#N/A</v>
      </c>
      <c r="I1032" s="409" t="s">
        <v>47</v>
      </c>
      <c r="J1032" s="466"/>
      <c r="L1032" s="86" t="e">
        <f>VLOOKUP(B1032,$B$11:B1031,1,FALSE)</f>
        <v>#N/A</v>
      </c>
      <c r="M1032" s="256" t="e">
        <f>G1032*(1-FORM!$AE$28/100)</f>
        <v>#N/A</v>
      </c>
      <c r="AA1032" s="463"/>
      <c r="AB1032" s="462"/>
      <c r="AC1032" s="462"/>
      <c r="AD1032" s="464"/>
      <c r="AE1032" s="465"/>
    </row>
    <row r="1033" spans="2:31" ht="14.4" hidden="1">
      <c r="B1033" s="298"/>
      <c r="C1033" s="216"/>
      <c r="D1033" s="217"/>
      <c r="E1033" s="391"/>
      <c r="F1033" s="262"/>
      <c r="G1033" s="272" t="e">
        <v>#N/A</v>
      </c>
      <c r="H1033" s="141" t="e">
        <f t="shared" si="57"/>
        <v>#N/A</v>
      </c>
      <c r="I1033" s="409" t="s">
        <v>47</v>
      </c>
      <c r="J1033" s="466"/>
      <c r="L1033" s="86" t="e">
        <f>VLOOKUP(B1033,$B$11:B1032,1,FALSE)</f>
        <v>#N/A</v>
      </c>
      <c r="M1033" s="256" t="e">
        <f>G1033*(1-FORM!$AE$28/100)</f>
        <v>#N/A</v>
      </c>
      <c r="AA1033" s="463"/>
      <c r="AB1033" s="462"/>
      <c r="AC1033" s="462"/>
      <c r="AD1033" s="464"/>
      <c r="AE1033" s="465"/>
    </row>
    <row r="1034" spans="2:31" ht="14.4" hidden="1">
      <c r="B1034" s="298"/>
      <c r="C1034" s="216"/>
      <c r="D1034" s="217"/>
      <c r="E1034" s="391"/>
      <c r="F1034" s="262"/>
      <c r="G1034" s="272" t="e">
        <v>#N/A</v>
      </c>
      <c r="H1034" s="141" t="e">
        <f t="shared" si="57"/>
        <v>#N/A</v>
      </c>
      <c r="I1034" s="409" t="s">
        <v>47</v>
      </c>
      <c r="J1034" s="466"/>
      <c r="L1034" s="86" t="e">
        <f>VLOOKUP(B1034,$B$11:B1033,1,FALSE)</f>
        <v>#N/A</v>
      </c>
      <c r="M1034" s="256" t="e">
        <f>G1034*(1-FORM!$AE$28/100)</f>
        <v>#N/A</v>
      </c>
      <c r="AA1034" s="463"/>
      <c r="AB1034" s="462"/>
      <c r="AC1034" s="462"/>
      <c r="AD1034" s="464"/>
      <c r="AE1034" s="465"/>
    </row>
    <row r="1035" spans="2:31" ht="14.4" hidden="1">
      <c r="B1035" s="298"/>
      <c r="C1035" s="216"/>
      <c r="D1035" s="217"/>
      <c r="E1035" s="391"/>
      <c r="F1035" s="262"/>
      <c r="G1035" s="272" t="e">
        <v>#N/A</v>
      </c>
      <c r="H1035" s="141" t="e">
        <f t="shared" si="57"/>
        <v>#N/A</v>
      </c>
      <c r="I1035" s="409" t="s">
        <v>47</v>
      </c>
      <c r="J1035" s="466"/>
      <c r="L1035" s="86" t="e">
        <f>VLOOKUP(B1035,$B$11:B1034,1,FALSE)</f>
        <v>#N/A</v>
      </c>
      <c r="M1035" s="256" t="e">
        <f>G1035*(1-FORM!$AE$28/100)</f>
        <v>#N/A</v>
      </c>
      <c r="AA1035" s="463"/>
      <c r="AB1035" s="462"/>
      <c r="AC1035" s="462"/>
      <c r="AD1035" s="464"/>
      <c r="AE1035" s="465"/>
    </row>
    <row r="1036" spans="2:31" ht="14.4" hidden="1">
      <c r="B1036" s="298"/>
      <c r="C1036" s="216"/>
      <c r="D1036" s="217"/>
      <c r="E1036" s="391"/>
      <c r="F1036" s="262"/>
      <c r="G1036" s="272" t="e">
        <v>#N/A</v>
      </c>
      <c r="H1036" s="141" t="e">
        <f t="shared" si="57"/>
        <v>#N/A</v>
      </c>
      <c r="I1036" s="409" t="s">
        <v>47</v>
      </c>
      <c r="J1036" s="466"/>
      <c r="L1036" s="86" t="e">
        <f>VLOOKUP(B1036,$B$11:B1035,1,FALSE)</f>
        <v>#N/A</v>
      </c>
      <c r="M1036" s="256" t="e">
        <f>G1036*(1-FORM!$AE$28/100)</f>
        <v>#N/A</v>
      </c>
      <c r="AA1036" s="463"/>
      <c r="AB1036" s="462"/>
      <c r="AC1036" s="462"/>
      <c r="AD1036" s="464"/>
      <c r="AE1036" s="465"/>
    </row>
    <row r="1037" spans="2:31" ht="14.4" hidden="1">
      <c r="B1037" s="298"/>
      <c r="C1037" s="216"/>
      <c r="D1037" s="217"/>
      <c r="E1037" s="391"/>
      <c r="F1037" s="262"/>
      <c r="G1037" s="272" t="e">
        <v>#N/A</v>
      </c>
      <c r="H1037" s="141" t="e">
        <f t="shared" si="57"/>
        <v>#N/A</v>
      </c>
      <c r="I1037" s="409" t="s">
        <v>47</v>
      </c>
      <c r="J1037" s="466"/>
      <c r="L1037" s="86" t="e">
        <f>VLOOKUP(B1037,$B$11:B1036,1,FALSE)</f>
        <v>#N/A</v>
      </c>
      <c r="M1037" s="256" t="e">
        <f>G1037*(1-FORM!$AE$28/100)</f>
        <v>#N/A</v>
      </c>
      <c r="AA1037" s="463"/>
      <c r="AB1037" s="462"/>
      <c r="AC1037" s="462"/>
      <c r="AD1037" s="464"/>
      <c r="AE1037" s="465"/>
    </row>
    <row r="1038" spans="2:31" ht="14.4" hidden="1">
      <c r="B1038" s="298"/>
      <c r="C1038" s="216"/>
      <c r="D1038" s="217"/>
      <c r="E1038" s="391"/>
      <c r="F1038" s="262"/>
      <c r="G1038" s="272" t="e">
        <v>#N/A</v>
      </c>
      <c r="H1038" s="141" t="e">
        <f t="shared" si="57"/>
        <v>#N/A</v>
      </c>
      <c r="I1038" s="409" t="s">
        <v>47</v>
      </c>
      <c r="J1038" s="466"/>
      <c r="L1038" s="86" t="e">
        <f>VLOOKUP(B1038,$B$11:B1037,1,FALSE)</f>
        <v>#N/A</v>
      </c>
      <c r="M1038" s="256" t="e">
        <f>G1038*(1-FORM!$AE$28/100)</f>
        <v>#N/A</v>
      </c>
      <c r="AA1038" s="463"/>
      <c r="AB1038" s="462"/>
      <c r="AC1038" s="462"/>
      <c r="AD1038" s="464"/>
      <c r="AE1038" s="465"/>
    </row>
    <row r="1039" spans="2:31" ht="14.4" hidden="1">
      <c r="B1039" s="298"/>
      <c r="C1039" s="216"/>
      <c r="D1039" s="217"/>
      <c r="E1039" s="391"/>
      <c r="F1039" s="262"/>
      <c r="G1039" s="272" t="e">
        <v>#N/A</v>
      </c>
      <c r="H1039" s="141" t="e">
        <f t="shared" si="57"/>
        <v>#N/A</v>
      </c>
      <c r="I1039" s="409" t="s">
        <v>47</v>
      </c>
      <c r="J1039" s="466"/>
      <c r="L1039" s="86" t="e">
        <f>VLOOKUP(B1039,$B$11:B1038,1,FALSE)</f>
        <v>#N/A</v>
      </c>
      <c r="M1039" s="256" t="e">
        <f>G1039*(1-FORM!$AE$28/100)</f>
        <v>#N/A</v>
      </c>
      <c r="AA1039" s="463"/>
      <c r="AB1039" s="462"/>
      <c r="AC1039" s="462"/>
      <c r="AD1039" s="464"/>
      <c r="AE1039" s="465"/>
    </row>
    <row r="1040" spans="2:31" ht="14.4" hidden="1">
      <c r="B1040" s="298"/>
      <c r="C1040" s="216"/>
      <c r="D1040" s="217"/>
      <c r="E1040" s="391"/>
      <c r="F1040" s="262"/>
      <c r="G1040" s="272" t="e">
        <v>#N/A</v>
      </c>
      <c r="H1040" s="141" t="e">
        <f t="shared" si="57"/>
        <v>#N/A</v>
      </c>
      <c r="I1040" s="409" t="s">
        <v>47</v>
      </c>
      <c r="J1040" s="466"/>
      <c r="L1040" s="86" t="e">
        <f>VLOOKUP(B1040,$B$11:B1039,1,FALSE)</f>
        <v>#N/A</v>
      </c>
      <c r="M1040" s="256" t="e">
        <f>G1040*(1-FORM!$AE$28/100)</f>
        <v>#N/A</v>
      </c>
      <c r="AA1040" s="463"/>
      <c r="AB1040" s="462"/>
      <c r="AC1040" s="462"/>
      <c r="AD1040" s="464"/>
      <c r="AE1040" s="465"/>
    </row>
    <row r="1041" spans="2:31" ht="14.4" hidden="1">
      <c r="B1041" s="298"/>
      <c r="C1041" s="216"/>
      <c r="D1041" s="217"/>
      <c r="E1041" s="391"/>
      <c r="F1041" s="262"/>
      <c r="G1041" s="272" t="e">
        <v>#N/A</v>
      </c>
      <c r="H1041" s="141" t="e">
        <f t="shared" si="57"/>
        <v>#N/A</v>
      </c>
      <c r="I1041" s="409" t="s">
        <v>47</v>
      </c>
      <c r="J1041" s="466"/>
      <c r="L1041" s="86" t="e">
        <f>VLOOKUP(B1041,$B$11:B1040,1,FALSE)</f>
        <v>#N/A</v>
      </c>
      <c r="M1041" s="256" t="e">
        <f>G1041*(1-FORM!$AE$28/100)</f>
        <v>#N/A</v>
      </c>
      <c r="AA1041" s="463"/>
      <c r="AB1041" s="462"/>
      <c r="AC1041" s="462"/>
      <c r="AD1041" s="464"/>
      <c r="AE1041" s="465"/>
    </row>
    <row r="1042" spans="2:31" ht="14.4" hidden="1">
      <c r="B1042" s="298"/>
      <c r="C1042" s="216"/>
      <c r="D1042" s="217"/>
      <c r="E1042" s="391"/>
      <c r="F1042" s="262"/>
      <c r="G1042" s="272" t="e">
        <v>#N/A</v>
      </c>
      <c r="H1042" s="141" t="e">
        <f t="shared" si="57"/>
        <v>#N/A</v>
      </c>
      <c r="I1042" s="409" t="s">
        <v>47</v>
      </c>
      <c r="J1042" s="466"/>
      <c r="L1042" s="86" t="e">
        <f>VLOOKUP(B1042,$B$11:B1041,1,FALSE)</f>
        <v>#N/A</v>
      </c>
      <c r="M1042" s="256" t="e">
        <f>G1042*(1-FORM!$AE$28/100)</f>
        <v>#N/A</v>
      </c>
      <c r="AA1042" s="463"/>
      <c r="AB1042" s="462"/>
      <c r="AC1042" s="462"/>
      <c r="AD1042" s="464"/>
      <c r="AE1042" s="465"/>
    </row>
    <row r="1043" spans="2:31" ht="14.4" hidden="1">
      <c r="B1043" s="298"/>
      <c r="C1043" s="216"/>
      <c r="D1043" s="217"/>
      <c r="E1043" s="391"/>
      <c r="F1043" s="262"/>
      <c r="G1043" s="272" t="e">
        <v>#N/A</v>
      </c>
      <c r="H1043" s="141" t="e">
        <f t="shared" si="57"/>
        <v>#N/A</v>
      </c>
      <c r="I1043" s="409" t="s">
        <v>47</v>
      </c>
      <c r="J1043" s="466"/>
      <c r="L1043" s="86" t="e">
        <f>VLOOKUP(B1043,$B$11:B1042,1,FALSE)</f>
        <v>#N/A</v>
      </c>
      <c r="M1043" s="256" t="e">
        <f>G1043*(1-FORM!$AE$28/100)</f>
        <v>#N/A</v>
      </c>
      <c r="AA1043" s="463"/>
      <c r="AB1043" s="462"/>
      <c r="AC1043" s="462"/>
      <c r="AD1043" s="464"/>
      <c r="AE1043" s="465"/>
    </row>
    <row r="1044" spans="2:31" ht="14.4" hidden="1">
      <c r="B1044" s="298"/>
      <c r="C1044" s="216"/>
      <c r="D1044" s="217"/>
      <c r="E1044" s="391"/>
      <c r="F1044" s="262"/>
      <c r="G1044" s="272" t="e">
        <v>#N/A</v>
      </c>
      <c r="H1044" s="141" t="e">
        <f t="shared" si="57"/>
        <v>#N/A</v>
      </c>
      <c r="I1044" s="409" t="s">
        <v>47</v>
      </c>
      <c r="J1044" s="466"/>
      <c r="L1044" s="86" t="e">
        <f>VLOOKUP(B1044,$B$11:B1043,1,FALSE)</f>
        <v>#N/A</v>
      </c>
      <c r="M1044" s="256" t="e">
        <f>G1044*(1-FORM!$AE$28/100)</f>
        <v>#N/A</v>
      </c>
      <c r="AA1044" s="463"/>
      <c r="AB1044" s="462"/>
      <c r="AC1044" s="462"/>
      <c r="AD1044" s="464"/>
      <c r="AE1044" s="465"/>
    </row>
    <row r="1045" spans="2:31" ht="14.4" hidden="1">
      <c r="B1045" s="298"/>
      <c r="C1045" s="216"/>
      <c r="D1045" s="217"/>
      <c r="E1045" s="391"/>
      <c r="F1045" s="262"/>
      <c r="G1045" s="272" t="e">
        <v>#N/A</v>
      </c>
      <c r="H1045" s="141" t="e">
        <f t="shared" si="57"/>
        <v>#N/A</v>
      </c>
      <c r="I1045" s="409" t="s">
        <v>47</v>
      </c>
      <c r="J1045" s="466"/>
      <c r="L1045" s="86" t="e">
        <f>VLOOKUP(B1045,$B$11:B1044,1,FALSE)</f>
        <v>#N/A</v>
      </c>
      <c r="M1045" s="256" t="e">
        <f>G1045*(1-FORM!$AE$28/100)</f>
        <v>#N/A</v>
      </c>
      <c r="AA1045" s="463"/>
      <c r="AB1045" s="462"/>
      <c r="AC1045" s="462"/>
      <c r="AD1045" s="464"/>
      <c r="AE1045" s="465"/>
    </row>
    <row r="1046" spans="2:31" ht="14.4" hidden="1">
      <c r="B1046" s="298"/>
      <c r="C1046" s="216"/>
      <c r="D1046" s="217"/>
      <c r="E1046" s="391"/>
      <c r="F1046" s="262"/>
      <c r="G1046" s="272" t="e">
        <v>#N/A</v>
      </c>
      <c r="H1046" s="141" t="e">
        <f t="shared" si="57"/>
        <v>#N/A</v>
      </c>
      <c r="I1046" s="409" t="s">
        <v>47</v>
      </c>
      <c r="J1046" s="466"/>
      <c r="L1046" s="86" t="e">
        <f>VLOOKUP(B1046,$B$11:B1045,1,FALSE)</f>
        <v>#N/A</v>
      </c>
      <c r="M1046" s="256" t="e">
        <f>G1046*(1-FORM!$AE$28/100)</f>
        <v>#N/A</v>
      </c>
      <c r="AA1046" s="463"/>
      <c r="AB1046" s="462"/>
      <c r="AC1046" s="462"/>
      <c r="AD1046" s="464"/>
      <c r="AE1046" s="465"/>
    </row>
    <row r="1047" spans="2:31" ht="14.4" hidden="1">
      <c r="B1047" s="298"/>
      <c r="C1047" s="216"/>
      <c r="D1047" s="217"/>
      <c r="E1047" s="391"/>
      <c r="F1047" s="262"/>
      <c r="G1047" s="272" t="e">
        <v>#N/A</v>
      </c>
      <c r="H1047" s="141" t="e">
        <f t="shared" si="57"/>
        <v>#N/A</v>
      </c>
      <c r="I1047" s="409" t="s">
        <v>47</v>
      </c>
      <c r="J1047" s="466"/>
      <c r="L1047" s="86" t="e">
        <f>VLOOKUP(B1047,$B$11:B1046,1,FALSE)</f>
        <v>#N/A</v>
      </c>
      <c r="M1047" s="256" t="e">
        <f>G1047*(1-FORM!$AE$28/100)</f>
        <v>#N/A</v>
      </c>
      <c r="AA1047" s="463"/>
      <c r="AB1047" s="462"/>
      <c r="AC1047" s="462"/>
      <c r="AD1047" s="464"/>
      <c r="AE1047" s="465"/>
    </row>
    <row r="1048" spans="2:31" ht="14.4">
      <c r="B1048" s="298"/>
      <c r="C1048" s="216"/>
      <c r="D1048" s="217"/>
      <c r="E1048" s="391"/>
      <c r="F1048" s="262"/>
      <c r="G1048" s="272"/>
      <c r="H1048" s="141" t="str">
        <f t="shared" ref="H1048:H1053" si="58">IF(G1048="","",$H$10)</f>
        <v/>
      </c>
      <c r="I1048" s="409" t="s">
        <v>47</v>
      </c>
      <c r="J1048" s="466"/>
      <c r="L1048" s="86" t="e">
        <f>VLOOKUP(B1048,$B$11:B1047,1,FALSE)</f>
        <v>#N/A</v>
      </c>
      <c r="M1048" s="256">
        <f>G1048*(1-FORM!$AE$28/100)</f>
        <v>0</v>
      </c>
      <c r="AA1048" s="463"/>
      <c r="AB1048" s="462"/>
      <c r="AC1048" s="462"/>
      <c r="AD1048" s="464"/>
      <c r="AE1048" s="465"/>
    </row>
    <row r="1049" spans="2:31" ht="14.4">
      <c r="B1049" s="298">
        <v>9099540</v>
      </c>
      <c r="C1049" s="216" t="s">
        <v>1124</v>
      </c>
      <c r="D1049" s="217">
        <v>50</v>
      </c>
      <c r="E1049" s="391"/>
      <c r="F1049" s="262"/>
      <c r="G1049" s="272">
        <v>141.95956000000001</v>
      </c>
      <c r="H1049" s="141" t="str">
        <f t="shared" si="58"/>
        <v>CZK</v>
      </c>
      <c r="I1049" s="409" t="s">
        <v>47</v>
      </c>
      <c r="J1049" s="625" t="s">
        <v>1322</v>
      </c>
      <c r="L1049" s="86" t="e">
        <f>VLOOKUP(B1049,$B$11:B1048,1,FALSE)</f>
        <v>#N/A</v>
      </c>
      <c r="M1049" s="256">
        <f>G1049*(1-FORM!$AE$28/100)</f>
        <v>141.95956000000001</v>
      </c>
      <c r="AA1049" s="463"/>
      <c r="AB1049" s="462"/>
      <c r="AC1049" s="462"/>
      <c r="AD1049" s="464"/>
      <c r="AE1049" s="465"/>
    </row>
    <row r="1050" spans="2:31" ht="14.4">
      <c r="B1050" s="298">
        <v>9099600</v>
      </c>
      <c r="C1050" s="216" t="s">
        <v>1125</v>
      </c>
      <c r="D1050" s="217">
        <v>50</v>
      </c>
      <c r="E1050" s="391"/>
      <c r="F1050" s="262"/>
      <c r="G1050" s="272">
        <v>129.61077</v>
      </c>
      <c r="H1050" s="141" t="str">
        <f t="shared" si="58"/>
        <v>CZK</v>
      </c>
      <c r="I1050" s="409" t="s">
        <v>47</v>
      </c>
      <c r="J1050" s="625" t="s">
        <v>1323</v>
      </c>
      <c r="L1050" s="86" t="e">
        <f>VLOOKUP(B1050,$B$11:B1049,1,FALSE)</f>
        <v>#N/A</v>
      </c>
      <c r="M1050" s="256">
        <f>G1050*(1-FORM!$AE$28/100)</f>
        <v>129.61077</v>
      </c>
      <c r="AA1050" s="463"/>
      <c r="AB1050" s="462"/>
      <c r="AC1050" s="462"/>
      <c r="AD1050" s="464"/>
      <c r="AE1050" s="465"/>
    </row>
    <row r="1051" spans="2:31" ht="14.4">
      <c r="B1051" s="298">
        <v>9099660</v>
      </c>
      <c r="C1051" s="216" t="s">
        <v>1126</v>
      </c>
      <c r="D1051" s="217">
        <v>50</v>
      </c>
      <c r="E1051" s="391"/>
      <c r="F1051" s="262"/>
      <c r="G1051" s="272">
        <v>134.40997999999999</v>
      </c>
      <c r="H1051" s="141" t="str">
        <f t="shared" si="58"/>
        <v>CZK</v>
      </c>
      <c r="I1051" s="409" t="s">
        <v>47</v>
      </c>
      <c r="J1051" s="625" t="s">
        <v>1324</v>
      </c>
      <c r="L1051" s="86" t="e">
        <f>VLOOKUP(B1051,$B$11:B1050,1,FALSE)</f>
        <v>#N/A</v>
      </c>
      <c r="M1051" s="256">
        <f>G1051*(1-FORM!$AE$28/100)</f>
        <v>134.40997999999999</v>
      </c>
      <c r="AA1051" s="463"/>
      <c r="AB1051" s="462"/>
      <c r="AC1051" s="462"/>
      <c r="AD1051" s="464"/>
      <c r="AE1051" s="465"/>
    </row>
    <row r="1052" spans="2:31" ht="14.4">
      <c r="B1052" s="298">
        <v>9071576</v>
      </c>
      <c r="C1052" s="216" t="s">
        <v>1127</v>
      </c>
      <c r="D1052" s="217">
        <v>200</v>
      </c>
      <c r="E1052" s="391"/>
      <c r="F1052" s="262"/>
      <c r="G1052" s="272">
        <v>8.1449099999999994</v>
      </c>
      <c r="H1052" s="141" t="str">
        <f t="shared" si="58"/>
        <v>CZK</v>
      </c>
      <c r="I1052" s="409" t="s">
        <v>47</v>
      </c>
      <c r="J1052" s="625" t="s">
        <v>1320</v>
      </c>
      <c r="L1052" s="86" t="e">
        <f>VLOOKUP(B1052,$B$11:B1051,1,FALSE)</f>
        <v>#N/A</v>
      </c>
      <c r="M1052" s="256">
        <f>G1052*(1-FORM!$AE$28/100)</f>
        <v>8.1449099999999994</v>
      </c>
      <c r="AA1052" s="463"/>
      <c r="AB1052" s="462"/>
      <c r="AC1052" s="462"/>
      <c r="AD1052" s="464"/>
      <c r="AE1052" s="465"/>
    </row>
    <row r="1053" spans="2:31" ht="14.4">
      <c r="B1053" s="298">
        <v>9071671</v>
      </c>
      <c r="C1053" s="216" t="s">
        <v>1128</v>
      </c>
      <c r="D1053" s="217">
        <v>200</v>
      </c>
      <c r="E1053" s="391"/>
      <c r="F1053" s="262"/>
      <c r="G1053" s="272">
        <v>17.145990000000001</v>
      </c>
      <c r="H1053" s="141" t="str">
        <f t="shared" si="58"/>
        <v>CZK</v>
      </c>
      <c r="I1053" s="409" t="s">
        <v>47</v>
      </c>
      <c r="J1053" s="625" t="s">
        <v>1321</v>
      </c>
      <c r="L1053" s="86" t="e">
        <f>VLOOKUP(B1053,$B$11:B1052,1,FALSE)</f>
        <v>#N/A</v>
      </c>
      <c r="M1053" s="256">
        <f>G1053*(1-FORM!$AE$28/100)</f>
        <v>17.145990000000001</v>
      </c>
      <c r="AA1053" s="463"/>
      <c r="AB1053" s="462"/>
      <c r="AC1053" s="462"/>
      <c r="AD1053" s="464"/>
      <c r="AE1053" s="465"/>
    </row>
    <row r="1054" spans="2:31" ht="14.4">
      <c r="B1054" s="298"/>
      <c r="C1054" s="216"/>
      <c r="D1054" s="217"/>
      <c r="E1054" s="391"/>
      <c r="F1054" s="262"/>
      <c r="G1054" s="273"/>
      <c r="H1054" s="141"/>
      <c r="I1054" s="409"/>
      <c r="J1054" s="410" t="s">
        <v>47</v>
      </c>
      <c r="AA1054" s="463"/>
      <c r="AB1054" s="462"/>
      <c r="AC1054" s="462"/>
      <c r="AD1054" s="464"/>
      <c r="AE1054" s="465"/>
    </row>
    <row r="1055" spans="2:31" ht="14.4">
      <c r="B1055" s="298"/>
      <c r="C1055" s="216"/>
      <c r="D1055" s="217"/>
      <c r="E1055" s="391"/>
      <c r="F1055" s="262"/>
      <c r="G1055" s="273"/>
      <c r="H1055" s="141"/>
      <c r="I1055" s="409"/>
      <c r="J1055" s="410" t="s">
        <v>47</v>
      </c>
      <c r="AA1055" s="463"/>
      <c r="AB1055" s="462"/>
      <c r="AC1055" s="462"/>
      <c r="AD1055" s="464"/>
      <c r="AE1055" s="465"/>
    </row>
    <row r="1056" spans="2:31" ht="14.4">
      <c r="B1056" s="18"/>
      <c r="C1056" s="14"/>
      <c r="D1056" s="19"/>
      <c r="E1056" s="388"/>
      <c r="F1056" s="259"/>
      <c r="G1056" s="260"/>
      <c r="H1056" s="132"/>
      <c r="I1056" s="405"/>
      <c r="J1056" s="406" t="s">
        <v>47</v>
      </c>
      <c r="AA1056" s="463"/>
      <c r="AB1056" s="462"/>
      <c r="AC1056" s="462"/>
      <c r="AD1056" s="464"/>
      <c r="AE1056" s="465"/>
    </row>
    <row r="1057" spans="3:31" ht="14.4">
      <c r="AA1057" s="463"/>
      <c r="AB1057" s="462"/>
      <c r="AC1057" s="462"/>
      <c r="AD1057" s="464"/>
      <c r="AE1057" s="465"/>
    </row>
    <row r="1058" spans="3:31" ht="14.4">
      <c r="AA1058" s="463"/>
      <c r="AB1058" s="462"/>
      <c r="AC1058" s="462"/>
      <c r="AD1058" s="464"/>
      <c r="AE1058" s="465"/>
    </row>
    <row r="1059" spans="3:31" ht="14.4">
      <c r="AA1059" s="463"/>
      <c r="AB1059" s="462"/>
      <c r="AC1059" s="462"/>
      <c r="AD1059" s="464"/>
      <c r="AE1059" s="465"/>
    </row>
    <row r="1060" spans="3:31" ht="14.4">
      <c r="AA1060" s="463"/>
      <c r="AB1060" s="462"/>
      <c r="AC1060" s="462"/>
      <c r="AD1060" s="464"/>
      <c r="AE1060" s="465"/>
    </row>
    <row r="1061" spans="3:31" ht="14.4">
      <c r="AA1061" s="463"/>
      <c r="AB1061" s="462"/>
      <c r="AC1061" s="462"/>
      <c r="AD1061" s="464"/>
      <c r="AE1061" s="465"/>
    </row>
    <row r="1062" spans="3:31" ht="14.4">
      <c r="AA1062" s="463"/>
      <c r="AB1062" s="462"/>
      <c r="AC1062" s="462"/>
      <c r="AD1062" s="464"/>
      <c r="AE1062" s="465"/>
    </row>
    <row r="1063" spans="3:31" ht="14.4">
      <c r="C1063" s="236" t="s">
        <v>281</v>
      </c>
      <c r="D1063" s="236" t="s">
        <v>282</v>
      </c>
      <c r="G1063" s="236"/>
      <c r="AA1063" s="463"/>
      <c r="AB1063" s="462"/>
      <c r="AC1063" s="462"/>
      <c r="AD1063" s="464"/>
      <c r="AE1063" s="465"/>
    </row>
    <row r="1064" spans="3:31" ht="14.4">
      <c r="C1064" s="236"/>
      <c r="D1064" s="237"/>
      <c r="E1064" s="269"/>
      <c r="F1064" s="270"/>
      <c r="G1064" s="271"/>
      <c r="AA1064" s="463"/>
      <c r="AB1064" s="462"/>
      <c r="AC1064" s="462"/>
      <c r="AD1064" s="464"/>
      <c r="AE1064" s="465"/>
    </row>
    <row r="1065" spans="3:31" ht="14.4">
      <c r="AA1065" s="463"/>
      <c r="AB1065" s="462"/>
      <c r="AC1065" s="462"/>
      <c r="AD1065" s="464"/>
      <c r="AE1065" s="465"/>
    </row>
    <row r="1066" spans="3:31" ht="14.4">
      <c r="AA1066" s="463"/>
      <c r="AB1066" s="462"/>
      <c r="AC1066" s="462"/>
      <c r="AD1066" s="464"/>
      <c r="AE1066" s="465"/>
    </row>
    <row r="1067" spans="3:31" ht="14.4">
      <c r="AA1067" s="463"/>
      <c r="AB1067" s="462"/>
      <c r="AC1067" s="462"/>
      <c r="AD1067" s="464"/>
      <c r="AE1067" s="465"/>
    </row>
    <row r="1068" spans="3:31" ht="14.4">
      <c r="AA1068" s="463"/>
      <c r="AB1068" s="462"/>
      <c r="AC1068" s="462"/>
      <c r="AD1068" s="464"/>
      <c r="AE1068" s="465"/>
    </row>
    <row r="1069" spans="3:31" ht="14.4">
      <c r="AA1069" s="463"/>
      <c r="AB1069" s="462"/>
      <c r="AC1069" s="462"/>
      <c r="AD1069" s="464"/>
      <c r="AE1069" s="465"/>
    </row>
    <row r="1070" spans="3:31" ht="14.4">
      <c r="AA1070" s="463"/>
      <c r="AB1070" s="462"/>
      <c r="AC1070" s="462"/>
      <c r="AD1070" s="464"/>
      <c r="AE1070" s="465"/>
    </row>
    <row r="1071" spans="3:31" ht="14.4">
      <c r="AA1071" s="463"/>
      <c r="AB1071" s="462"/>
      <c r="AC1071" s="462"/>
      <c r="AD1071" s="464"/>
      <c r="AE1071" s="465"/>
    </row>
    <row r="1072" spans="3:31" ht="14.4">
      <c r="AA1072" s="463"/>
      <c r="AB1072" s="462"/>
      <c r="AC1072" s="462"/>
      <c r="AD1072" s="464"/>
      <c r="AE1072" s="465"/>
    </row>
    <row r="1073" spans="27:31" ht="14.4">
      <c r="AA1073" s="463"/>
      <c r="AB1073" s="462"/>
      <c r="AC1073" s="462"/>
      <c r="AD1073" s="464"/>
      <c r="AE1073" s="465"/>
    </row>
    <row r="1074" spans="27:31" ht="14.4">
      <c r="AA1074" s="463"/>
      <c r="AB1074" s="462"/>
      <c r="AC1074" s="462"/>
      <c r="AD1074" s="464"/>
      <c r="AE1074" s="465"/>
    </row>
    <row r="1075" spans="27:31" ht="14.4">
      <c r="AA1075" s="463"/>
      <c r="AB1075" s="462"/>
      <c r="AC1075" s="462"/>
      <c r="AD1075" s="464"/>
      <c r="AE1075" s="465"/>
    </row>
    <row r="1076" spans="27:31" ht="14.4">
      <c r="AA1076" s="463"/>
      <c r="AB1076" s="462"/>
      <c r="AC1076" s="462"/>
      <c r="AD1076" s="464"/>
      <c r="AE1076" s="465"/>
    </row>
    <row r="1077" spans="27:31" ht="14.4">
      <c r="AA1077" s="463"/>
      <c r="AB1077" s="462"/>
      <c r="AC1077" s="462"/>
      <c r="AD1077" s="464"/>
      <c r="AE1077" s="465"/>
    </row>
    <row r="1078" spans="27:31" ht="14.4">
      <c r="AA1078" s="463"/>
      <c r="AB1078" s="462"/>
      <c r="AC1078" s="462"/>
      <c r="AD1078" s="464"/>
      <c r="AE1078" s="465"/>
    </row>
    <row r="1079" spans="27:31" ht="14.4">
      <c r="AA1079" s="463"/>
      <c r="AB1079" s="462"/>
      <c r="AC1079" s="462"/>
      <c r="AD1079" s="464"/>
      <c r="AE1079" s="465"/>
    </row>
    <row r="1080" spans="27:31" ht="14.4">
      <c r="AA1080" s="463"/>
      <c r="AB1080" s="462"/>
      <c r="AC1080" s="462"/>
      <c r="AD1080" s="464"/>
      <c r="AE1080" s="465"/>
    </row>
    <row r="1081" spans="27:31" ht="14.4">
      <c r="AA1081" s="463"/>
      <c r="AB1081" s="462"/>
      <c r="AC1081" s="462"/>
      <c r="AD1081" s="464"/>
      <c r="AE1081" s="465"/>
    </row>
    <row r="1082" spans="27:31" ht="14.4">
      <c r="AA1082" s="463"/>
      <c r="AB1082" s="462"/>
      <c r="AC1082" s="462"/>
      <c r="AD1082" s="464"/>
      <c r="AE1082" s="465"/>
    </row>
    <row r="1083" spans="27:31" ht="14.4">
      <c r="AA1083" s="463"/>
      <c r="AB1083" s="462"/>
      <c r="AC1083" s="462"/>
      <c r="AD1083" s="464"/>
      <c r="AE1083" s="465"/>
    </row>
    <row r="1084" spans="27:31" ht="14.4">
      <c r="AA1084" s="463"/>
      <c r="AB1084" s="462"/>
      <c r="AC1084" s="462"/>
      <c r="AD1084" s="464"/>
      <c r="AE1084" s="465"/>
    </row>
    <row r="1085" spans="27:31" ht="14.4">
      <c r="AA1085" s="463"/>
      <c r="AB1085" s="462"/>
      <c r="AC1085" s="462"/>
      <c r="AD1085" s="464"/>
      <c r="AE1085" s="465"/>
    </row>
    <row r="1086" spans="27:31" ht="14.4">
      <c r="AA1086" s="463"/>
      <c r="AB1086" s="462"/>
      <c r="AC1086" s="462"/>
      <c r="AD1086" s="464"/>
      <c r="AE1086" s="465"/>
    </row>
    <row r="1087" spans="27:31" ht="14.4">
      <c r="AA1087" s="463"/>
      <c r="AB1087" s="462"/>
      <c r="AC1087" s="462"/>
      <c r="AD1087" s="464"/>
      <c r="AE1087" s="465"/>
    </row>
    <row r="1088" spans="27:31" ht="14.4">
      <c r="AA1088" s="463"/>
      <c r="AB1088" s="462"/>
      <c r="AC1088" s="462"/>
      <c r="AD1088" s="464"/>
      <c r="AE1088" s="465"/>
    </row>
    <row r="1089" spans="27:31" ht="14.4">
      <c r="AA1089" s="463"/>
      <c r="AB1089" s="462"/>
      <c r="AC1089" s="462"/>
      <c r="AD1089" s="464"/>
      <c r="AE1089" s="465"/>
    </row>
    <row r="1090" spans="27:31" ht="14.4">
      <c r="AA1090" s="463"/>
      <c r="AB1090" s="462"/>
      <c r="AC1090" s="462"/>
      <c r="AD1090" s="464"/>
      <c r="AE1090" s="465"/>
    </row>
    <row r="1091" spans="27:31" ht="14.4">
      <c r="AA1091" s="463"/>
      <c r="AB1091" s="462"/>
      <c r="AC1091" s="462"/>
      <c r="AD1091" s="464"/>
      <c r="AE1091" s="465"/>
    </row>
    <row r="1092" spans="27:31" ht="14.4">
      <c r="AA1092" s="463"/>
      <c r="AB1092" s="462"/>
      <c r="AC1092" s="462"/>
      <c r="AD1092" s="464"/>
      <c r="AE1092" s="465"/>
    </row>
    <row r="1093" spans="27:31" ht="14.4">
      <c r="AA1093" s="463"/>
      <c r="AB1093" s="462"/>
      <c r="AC1093" s="462"/>
      <c r="AD1093" s="464"/>
      <c r="AE1093" s="465"/>
    </row>
    <row r="1094" spans="27:31" ht="14.4">
      <c r="AA1094" s="463"/>
      <c r="AB1094" s="462"/>
      <c r="AC1094" s="462"/>
      <c r="AD1094" s="464"/>
      <c r="AE1094" s="465"/>
    </row>
    <row r="1095" spans="27:31" ht="14.4">
      <c r="AA1095" s="463"/>
      <c r="AB1095" s="462"/>
      <c r="AC1095" s="462"/>
      <c r="AD1095" s="464"/>
      <c r="AE1095" s="465"/>
    </row>
    <row r="1096" spans="27:31" ht="14.4">
      <c r="AA1096" s="463"/>
      <c r="AB1096" s="462"/>
      <c r="AC1096" s="462"/>
      <c r="AD1096" s="464"/>
      <c r="AE1096" s="465"/>
    </row>
    <row r="1097" spans="27:31" ht="14.4">
      <c r="AA1097" s="463"/>
      <c r="AB1097" s="462"/>
      <c r="AC1097" s="462"/>
      <c r="AD1097" s="464"/>
      <c r="AE1097" s="465"/>
    </row>
    <row r="1098" spans="27:31" ht="14.4">
      <c r="AA1098" s="463"/>
      <c r="AB1098" s="462"/>
      <c r="AC1098" s="462"/>
      <c r="AD1098" s="464"/>
      <c r="AE1098" s="465"/>
    </row>
    <row r="1099" spans="27:31" ht="14.4">
      <c r="AA1099" s="463"/>
      <c r="AB1099" s="462"/>
      <c r="AC1099" s="462"/>
      <c r="AD1099" s="464"/>
      <c r="AE1099" s="465"/>
    </row>
    <row r="1100" spans="27:31" ht="14.4">
      <c r="AA1100" s="463"/>
      <c r="AB1100" s="462"/>
      <c r="AC1100" s="462"/>
      <c r="AD1100" s="464"/>
      <c r="AE1100" s="465"/>
    </row>
    <row r="1101" spans="27:31" ht="14.4">
      <c r="AA1101" s="463"/>
      <c r="AB1101" s="462"/>
      <c r="AC1101" s="462"/>
      <c r="AD1101" s="464"/>
      <c r="AE1101" s="465"/>
    </row>
    <row r="1102" spans="27:31" ht="14.4">
      <c r="AA1102" s="463"/>
      <c r="AB1102" s="462"/>
      <c r="AC1102" s="462"/>
      <c r="AD1102" s="464"/>
      <c r="AE1102" s="465"/>
    </row>
    <row r="1103" spans="27:31" ht="14.4">
      <c r="AA1103" s="463"/>
      <c r="AB1103" s="462"/>
      <c r="AC1103" s="462"/>
      <c r="AD1103" s="464"/>
      <c r="AE1103" s="465"/>
    </row>
    <row r="1104" spans="27:31" ht="14.4">
      <c r="AA1104" s="463"/>
      <c r="AB1104" s="462"/>
      <c r="AC1104" s="462"/>
      <c r="AD1104" s="464"/>
      <c r="AE1104" s="465"/>
    </row>
    <row r="1105" spans="27:31" ht="14.4">
      <c r="AA1105" s="463"/>
      <c r="AB1105" s="462"/>
      <c r="AC1105" s="462"/>
      <c r="AD1105" s="464"/>
      <c r="AE1105" s="465"/>
    </row>
    <row r="1106" spans="27:31" ht="14.4">
      <c r="AA1106" s="463"/>
      <c r="AB1106" s="462"/>
      <c r="AC1106" s="462"/>
      <c r="AD1106" s="464"/>
      <c r="AE1106" s="465"/>
    </row>
    <row r="1107" spans="27:31" ht="14.4">
      <c r="AA1107" s="463"/>
      <c r="AB1107" s="462"/>
      <c r="AC1107" s="462"/>
      <c r="AD1107" s="464"/>
      <c r="AE1107" s="465"/>
    </row>
    <row r="1108" spans="27:31" ht="14.4">
      <c r="AA1108" s="463"/>
      <c r="AB1108" s="462"/>
      <c r="AC1108" s="462"/>
      <c r="AD1108" s="464"/>
      <c r="AE1108" s="465"/>
    </row>
    <row r="1109" spans="27:31" ht="14.4">
      <c r="AA1109" s="463"/>
      <c r="AB1109" s="462"/>
      <c r="AC1109" s="462"/>
      <c r="AD1109" s="464"/>
      <c r="AE1109" s="465"/>
    </row>
    <row r="1110" spans="27:31" ht="14.4">
      <c r="AA1110" s="463"/>
      <c r="AB1110" s="462"/>
      <c r="AC1110" s="462"/>
      <c r="AD1110" s="464"/>
      <c r="AE1110" s="465"/>
    </row>
    <row r="1111" spans="27:31" ht="14.4">
      <c r="AA1111" s="463"/>
      <c r="AB1111" s="462"/>
      <c r="AC1111" s="462"/>
      <c r="AD1111" s="464"/>
      <c r="AE1111" s="465"/>
    </row>
    <row r="1112" spans="27:31" ht="14.4">
      <c r="AA1112" s="463"/>
      <c r="AB1112" s="462"/>
      <c r="AC1112" s="462"/>
      <c r="AD1112" s="464"/>
      <c r="AE1112" s="465"/>
    </row>
    <row r="1113" spans="27:31" ht="14.4">
      <c r="AA1113" s="463"/>
      <c r="AB1113" s="462"/>
      <c r="AC1113" s="462"/>
      <c r="AD1113" s="464"/>
      <c r="AE1113" s="465"/>
    </row>
    <row r="1114" spans="27:31" ht="14.4">
      <c r="AA1114" s="463"/>
      <c r="AB1114" s="462"/>
      <c r="AC1114" s="462"/>
      <c r="AD1114" s="464"/>
      <c r="AE1114" s="465"/>
    </row>
    <row r="1115" spans="27:31" ht="14.4">
      <c r="AA1115" s="463"/>
      <c r="AB1115" s="462"/>
      <c r="AC1115" s="462"/>
      <c r="AD1115" s="464"/>
      <c r="AE1115" s="465"/>
    </row>
    <row r="1116" spans="27:31" ht="14.4">
      <c r="AA1116" s="463"/>
      <c r="AB1116" s="462"/>
      <c r="AC1116" s="462"/>
      <c r="AD1116" s="464"/>
      <c r="AE1116" s="465"/>
    </row>
    <row r="1117" spans="27:31" ht="14.4">
      <c r="AA1117" s="463"/>
      <c r="AB1117" s="462"/>
      <c r="AC1117" s="462"/>
      <c r="AD1117" s="464"/>
      <c r="AE1117" s="465"/>
    </row>
    <row r="1118" spans="27:31" ht="14.4">
      <c r="AA1118" s="463"/>
      <c r="AB1118" s="462"/>
      <c r="AC1118" s="462"/>
      <c r="AD1118" s="464"/>
      <c r="AE1118" s="465"/>
    </row>
    <row r="1119" spans="27:31" ht="14.4">
      <c r="AA1119" s="463"/>
      <c r="AB1119" s="462"/>
      <c r="AC1119" s="462"/>
      <c r="AD1119" s="464"/>
      <c r="AE1119" s="465"/>
    </row>
    <row r="1120" spans="27:31" ht="14.4">
      <c r="AA1120" s="463"/>
      <c r="AB1120" s="462"/>
      <c r="AC1120" s="462"/>
      <c r="AD1120" s="464"/>
      <c r="AE1120" s="465"/>
    </row>
    <row r="1121" spans="27:31" ht="14.4">
      <c r="AA1121" s="463"/>
      <c r="AB1121" s="462"/>
      <c r="AC1121" s="462"/>
      <c r="AD1121" s="464"/>
      <c r="AE1121" s="465"/>
    </row>
    <row r="1122" spans="27:31" ht="14.4">
      <c r="AA1122" s="463"/>
      <c r="AB1122" s="462"/>
      <c r="AC1122" s="462"/>
      <c r="AD1122" s="464"/>
      <c r="AE1122" s="465"/>
    </row>
    <row r="1123" spans="27:31" ht="14.4">
      <c r="AA1123" s="463"/>
      <c r="AB1123" s="462"/>
      <c r="AC1123" s="462"/>
      <c r="AD1123" s="464"/>
      <c r="AE1123" s="465"/>
    </row>
    <row r="1124" spans="27:31" ht="14.4">
      <c r="AA1124" s="463"/>
      <c r="AB1124" s="462"/>
      <c r="AC1124" s="462"/>
      <c r="AD1124" s="464"/>
      <c r="AE1124" s="465"/>
    </row>
    <row r="1125" spans="27:31" ht="14.4">
      <c r="AA1125" s="463"/>
      <c r="AB1125" s="462"/>
      <c r="AC1125" s="462"/>
      <c r="AD1125" s="464"/>
      <c r="AE1125" s="465"/>
    </row>
    <row r="1126" spans="27:31" ht="14.4">
      <c r="AA1126" s="463"/>
      <c r="AB1126" s="462"/>
      <c r="AC1126" s="462"/>
      <c r="AD1126" s="464"/>
      <c r="AE1126" s="465"/>
    </row>
    <row r="1127" spans="27:31" ht="14.4">
      <c r="AA1127" s="463"/>
      <c r="AB1127" s="462"/>
      <c r="AC1127" s="462"/>
      <c r="AD1127" s="464"/>
      <c r="AE1127" s="465"/>
    </row>
    <row r="1128" spans="27:31" ht="14.4">
      <c r="AA1128" s="463"/>
      <c r="AB1128" s="462"/>
      <c r="AC1128" s="462"/>
      <c r="AD1128" s="464"/>
      <c r="AE1128" s="465"/>
    </row>
    <row r="1129" spans="27:31" ht="14.4">
      <c r="AA1129" s="463"/>
      <c r="AB1129" s="462"/>
      <c r="AC1129" s="462"/>
      <c r="AD1129" s="464"/>
      <c r="AE1129" s="465"/>
    </row>
    <row r="1130" spans="27:31" ht="14.4">
      <c r="AA1130" s="463"/>
      <c r="AB1130" s="462"/>
      <c r="AC1130" s="462"/>
      <c r="AD1130" s="464"/>
      <c r="AE1130" s="465"/>
    </row>
    <row r="1131" spans="27:31" ht="14.4">
      <c r="AA1131" s="463"/>
      <c r="AB1131" s="462"/>
      <c r="AC1131" s="462"/>
      <c r="AD1131" s="464"/>
      <c r="AE1131" s="465"/>
    </row>
    <row r="1132" spans="27:31" ht="14.4">
      <c r="AA1132" s="463"/>
      <c r="AB1132" s="462"/>
      <c r="AC1132" s="462"/>
      <c r="AD1132" s="464"/>
      <c r="AE1132" s="465"/>
    </row>
    <row r="1133" spans="27:31" ht="14.4">
      <c r="AA1133" s="463"/>
      <c r="AB1133" s="462"/>
      <c r="AC1133" s="462"/>
      <c r="AD1133" s="464"/>
      <c r="AE1133" s="465"/>
    </row>
    <row r="1134" spans="27:31" ht="14.4">
      <c r="AA1134" s="463"/>
      <c r="AB1134" s="462"/>
      <c r="AC1134" s="462"/>
      <c r="AD1134" s="464"/>
      <c r="AE1134" s="465"/>
    </row>
    <row r="1135" spans="27:31" ht="14.4">
      <c r="AA1135" s="463"/>
      <c r="AB1135" s="462"/>
      <c r="AC1135" s="462"/>
      <c r="AD1135" s="464"/>
      <c r="AE1135" s="465"/>
    </row>
    <row r="1136" spans="27:31" ht="14.4">
      <c r="AA1136" s="463"/>
      <c r="AB1136" s="462"/>
      <c r="AC1136" s="462"/>
      <c r="AD1136" s="464"/>
      <c r="AE1136" s="465"/>
    </row>
    <row r="1137" spans="27:31" ht="14.4">
      <c r="AA1137" s="463"/>
      <c r="AB1137" s="462"/>
      <c r="AC1137" s="462"/>
      <c r="AD1137" s="464"/>
      <c r="AE1137" s="465"/>
    </row>
    <row r="1138" spans="27:31" ht="14.4">
      <c r="AA1138" s="463"/>
      <c r="AB1138" s="462"/>
      <c r="AC1138" s="462"/>
      <c r="AD1138" s="464"/>
      <c r="AE1138" s="465"/>
    </row>
    <row r="1139" spans="27:31" ht="14.4">
      <c r="AA1139" s="463"/>
      <c r="AB1139" s="462"/>
      <c r="AC1139" s="462"/>
      <c r="AD1139" s="464"/>
      <c r="AE1139" s="465"/>
    </row>
    <row r="1140" spans="27:31" ht="14.4">
      <c r="AA1140" s="463"/>
      <c r="AB1140" s="462"/>
      <c r="AC1140" s="462"/>
      <c r="AD1140" s="464"/>
      <c r="AE1140" s="465"/>
    </row>
    <row r="1141" spans="27:31" ht="14.4">
      <c r="AA1141" s="463"/>
      <c r="AB1141" s="462"/>
      <c r="AC1141" s="462"/>
      <c r="AD1141" s="464"/>
      <c r="AE1141" s="465"/>
    </row>
    <row r="1142" spans="27:31" ht="14.4">
      <c r="AA1142" s="463"/>
      <c r="AB1142" s="462"/>
      <c r="AC1142" s="462"/>
      <c r="AD1142" s="464"/>
      <c r="AE1142" s="465"/>
    </row>
    <row r="1143" spans="27:31" ht="14.4">
      <c r="AA1143" s="463"/>
      <c r="AB1143" s="462"/>
      <c r="AC1143" s="462"/>
      <c r="AD1143" s="464"/>
      <c r="AE1143" s="465"/>
    </row>
    <row r="1144" spans="27:31" ht="14.4">
      <c r="AA1144" s="463"/>
      <c r="AB1144" s="462"/>
      <c r="AC1144" s="462"/>
      <c r="AD1144" s="464"/>
      <c r="AE1144" s="465"/>
    </row>
    <row r="1145" spans="27:31" ht="14.4">
      <c r="AA1145" s="463"/>
      <c r="AB1145" s="462"/>
      <c r="AC1145" s="462"/>
      <c r="AD1145" s="464"/>
      <c r="AE1145" s="465"/>
    </row>
    <row r="1146" spans="27:31" ht="14.4">
      <c r="AA1146" s="463"/>
      <c r="AB1146" s="462"/>
      <c r="AC1146" s="462"/>
      <c r="AD1146" s="464"/>
      <c r="AE1146" s="465"/>
    </row>
    <row r="1147" spans="27:31" ht="14.4">
      <c r="AA1147" s="463"/>
      <c r="AB1147" s="462"/>
      <c r="AC1147" s="462"/>
      <c r="AD1147" s="464"/>
      <c r="AE1147" s="465"/>
    </row>
    <row r="1148" spans="27:31" ht="14.4">
      <c r="AA1148" s="463"/>
      <c r="AB1148" s="462"/>
      <c r="AC1148" s="462"/>
      <c r="AD1148" s="464"/>
      <c r="AE1148" s="465"/>
    </row>
    <row r="1149" spans="27:31" ht="14.4">
      <c r="AA1149" s="463"/>
      <c r="AB1149" s="462"/>
      <c r="AC1149" s="462"/>
      <c r="AD1149" s="464"/>
      <c r="AE1149" s="465"/>
    </row>
    <row r="1150" spans="27:31" ht="14.4">
      <c r="AA1150" s="463"/>
      <c r="AB1150" s="462"/>
      <c r="AC1150" s="462"/>
      <c r="AD1150" s="464"/>
      <c r="AE1150" s="465"/>
    </row>
    <row r="1151" spans="27:31" ht="14.4">
      <c r="AA1151" s="463"/>
      <c r="AB1151" s="462"/>
      <c r="AC1151" s="462"/>
      <c r="AD1151" s="464"/>
      <c r="AE1151" s="465"/>
    </row>
    <row r="1152" spans="27:31" ht="14.4">
      <c r="AA1152" s="463"/>
      <c r="AB1152" s="462"/>
      <c r="AC1152" s="462"/>
      <c r="AD1152" s="464"/>
      <c r="AE1152" s="465"/>
    </row>
    <row r="1153" spans="27:31" ht="14.4">
      <c r="AA1153" s="463"/>
      <c r="AB1153" s="462"/>
      <c r="AC1153" s="462"/>
      <c r="AD1153" s="464"/>
      <c r="AE1153" s="465"/>
    </row>
    <row r="1154" spans="27:31" ht="14.4">
      <c r="AA1154" s="463"/>
      <c r="AB1154" s="462"/>
      <c r="AC1154" s="462"/>
      <c r="AD1154" s="464"/>
      <c r="AE1154" s="465"/>
    </row>
    <row r="1155" spans="27:31" ht="14.4">
      <c r="AA1155" s="463"/>
      <c r="AB1155" s="462"/>
      <c r="AC1155" s="462"/>
      <c r="AD1155" s="464"/>
      <c r="AE1155" s="465"/>
    </row>
    <row r="1156" spans="27:31" ht="14.4">
      <c r="AA1156" s="463"/>
      <c r="AB1156" s="462"/>
      <c r="AC1156" s="462"/>
      <c r="AD1156" s="464"/>
      <c r="AE1156" s="465"/>
    </row>
    <row r="1157" spans="27:31" ht="14.4">
      <c r="AA1157" s="463"/>
      <c r="AB1157" s="462"/>
      <c r="AC1157" s="462"/>
      <c r="AD1157" s="464"/>
      <c r="AE1157" s="465"/>
    </row>
    <row r="1158" spans="27:31" ht="14.4">
      <c r="AA1158" s="463"/>
      <c r="AB1158" s="462"/>
      <c r="AC1158" s="462"/>
      <c r="AD1158" s="464"/>
      <c r="AE1158" s="465"/>
    </row>
    <row r="1159" spans="27:31" ht="14.4">
      <c r="AA1159" s="463"/>
      <c r="AB1159" s="462"/>
      <c r="AC1159" s="462"/>
      <c r="AD1159" s="464"/>
      <c r="AE1159" s="465"/>
    </row>
    <row r="1160" spans="27:31" ht="14.4">
      <c r="AA1160" s="463"/>
      <c r="AB1160" s="462"/>
      <c r="AC1160" s="462"/>
      <c r="AD1160" s="464"/>
      <c r="AE1160" s="465"/>
    </row>
    <row r="1161" spans="27:31" ht="14.4">
      <c r="AA1161" s="463"/>
      <c r="AB1161" s="462"/>
      <c r="AC1161" s="462"/>
      <c r="AD1161" s="464"/>
      <c r="AE1161" s="465"/>
    </row>
    <row r="1162" spans="27:31" ht="14.4">
      <c r="AA1162" s="463"/>
      <c r="AB1162" s="462"/>
      <c r="AC1162" s="462"/>
      <c r="AD1162" s="464"/>
      <c r="AE1162" s="465"/>
    </row>
    <row r="1163" spans="27:31" ht="14.4">
      <c r="AA1163" s="463"/>
      <c r="AB1163" s="462"/>
      <c r="AC1163" s="462"/>
      <c r="AD1163" s="464"/>
      <c r="AE1163" s="465"/>
    </row>
    <row r="1164" spans="27:31" ht="14.4">
      <c r="AA1164" s="463"/>
      <c r="AB1164" s="462"/>
      <c r="AC1164" s="462"/>
      <c r="AD1164" s="464"/>
      <c r="AE1164" s="465"/>
    </row>
    <row r="1165" spans="27:31" ht="14.4">
      <c r="AA1165" s="463"/>
      <c r="AB1165" s="462"/>
      <c r="AC1165" s="462"/>
      <c r="AD1165" s="464"/>
      <c r="AE1165" s="465"/>
    </row>
    <row r="1166" spans="27:31" ht="14.4">
      <c r="AA1166" s="463"/>
      <c r="AB1166" s="462"/>
      <c r="AC1166" s="462"/>
      <c r="AD1166" s="464"/>
      <c r="AE1166" s="465"/>
    </row>
    <row r="1167" spans="27:31" ht="14.4">
      <c r="AA1167" s="463"/>
      <c r="AB1167" s="462"/>
      <c r="AC1167" s="462"/>
      <c r="AD1167" s="464"/>
      <c r="AE1167" s="465"/>
    </row>
    <row r="1168" spans="27:31" ht="14.4">
      <c r="AA1168" s="463"/>
      <c r="AB1168" s="462"/>
      <c r="AC1168" s="462"/>
      <c r="AD1168" s="464"/>
      <c r="AE1168" s="465"/>
    </row>
    <row r="1169" spans="27:31" ht="14.4">
      <c r="AA1169" s="463"/>
      <c r="AB1169" s="462"/>
      <c r="AC1169" s="462"/>
      <c r="AD1169" s="464"/>
      <c r="AE1169" s="465"/>
    </row>
    <row r="1170" spans="27:31" ht="14.4">
      <c r="AA1170" s="463"/>
      <c r="AB1170" s="462"/>
      <c r="AC1170" s="462"/>
      <c r="AD1170" s="464"/>
      <c r="AE1170" s="465"/>
    </row>
    <row r="1171" spans="27:31" ht="14.4">
      <c r="AA1171" s="463"/>
      <c r="AB1171" s="462"/>
      <c r="AC1171" s="462"/>
      <c r="AD1171" s="464"/>
      <c r="AE1171" s="465"/>
    </row>
    <row r="1172" spans="27:31" ht="14.4">
      <c r="AA1172" s="463"/>
      <c r="AB1172" s="462"/>
      <c r="AC1172" s="462"/>
      <c r="AD1172" s="464"/>
      <c r="AE1172" s="465"/>
    </row>
    <row r="1173" spans="27:31" ht="14.4">
      <c r="AA1173" s="463"/>
      <c r="AB1173" s="462"/>
      <c r="AC1173" s="462"/>
      <c r="AD1173" s="464"/>
      <c r="AE1173" s="465"/>
    </row>
    <row r="1174" spans="27:31" ht="14.4">
      <c r="AA1174" s="463"/>
      <c r="AB1174" s="462"/>
      <c r="AC1174" s="462"/>
      <c r="AD1174" s="464"/>
      <c r="AE1174" s="465"/>
    </row>
    <row r="1175" spans="27:31" ht="14.4">
      <c r="AA1175" s="463"/>
      <c r="AB1175" s="462"/>
      <c r="AC1175" s="462"/>
      <c r="AD1175" s="464"/>
      <c r="AE1175" s="465"/>
    </row>
    <row r="1176" spans="27:31" ht="14.4">
      <c r="AA1176" s="463"/>
      <c r="AB1176" s="462"/>
      <c r="AC1176" s="462"/>
      <c r="AD1176" s="464"/>
      <c r="AE1176" s="465"/>
    </row>
    <row r="1177" spans="27:31" ht="14.4">
      <c r="AA1177" s="463"/>
      <c r="AB1177" s="462"/>
      <c r="AC1177" s="462"/>
      <c r="AD1177" s="464"/>
      <c r="AE1177" s="465"/>
    </row>
    <row r="1178" spans="27:31" ht="14.4">
      <c r="AA1178" s="463"/>
      <c r="AB1178" s="462"/>
      <c r="AC1178" s="462"/>
      <c r="AD1178" s="464"/>
      <c r="AE1178" s="465"/>
    </row>
    <row r="1179" spans="27:31" ht="14.4">
      <c r="AA1179" s="463"/>
      <c r="AB1179" s="462"/>
      <c r="AC1179" s="462"/>
      <c r="AD1179" s="464"/>
      <c r="AE1179" s="465"/>
    </row>
    <row r="1180" spans="27:31" ht="14.4">
      <c r="AA1180" s="463"/>
      <c r="AB1180" s="462"/>
      <c r="AC1180" s="462"/>
      <c r="AD1180" s="464"/>
      <c r="AE1180" s="465"/>
    </row>
    <row r="1181" spans="27:31" ht="14.4">
      <c r="AA1181" s="463"/>
      <c r="AB1181" s="462"/>
      <c r="AC1181" s="462"/>
      <c r="AD1181" s="464"/>
      <c r="AE1181" s="465"/>
    </row>
    <row r="1182" spans="27:31" ht="14.4">
      <c r="AA1182" s="463"/>
      <c r="AB1182" s="462"/>
      <c r="AC1182" s="462"/>
      <c r="AD1182" s="464"/>
      <c r="AE1182" s="465"/>
    </row>
    <row r="1183" spans="27:31" ht="14.4">
      <c r="AA1183" s="463"/>
      <c r="AB1183" s="462"/>
      <c r="AC1183" s="462"/>
      <c r="AD1183" s="464"/>
      <c r="AE1183" s="465"/>
    </row>
    <row r="1184" spans="27:31" ht="14.4">
      <c r="AA1184" s="463"/>
      <c r="AB1184" s="462"/>
      <c r="AC1184" s="462"/>
      <c r="AD1184" s="464"/>
      <c r="AE1184" s="465"/>
    </row>
    <row r="1185" spans="27:31" ht="14.4">
      <c r="AA1185" s="463"/>
      <c r="AB1185" s="462"/>
      <c r="AC1185" s="462"/>
      <c r="AD1185" s="464"/>
      <c r="AE1185" s="465"/>
    </row>
    <row r="1186" spans="27:31" ht="14.4">
      <c r="AA1186" s="463"/>
      <c r="AB1186" s="462"/>
      <c r="AC1186" s="462"/>
      <c r="AD1186" s="464"/>
      <c r="AE1186" s="465"/>
    </row>
    <row r="1187" spans="27:31" ht="14.4">
      <c r="AA1187" s="463"/>
      <c r="AB1187" s="462"/>
      <c r="AC1187" s="462"/>
      <c r="AD1187" s="464"/>
      <c r="AE1187" s="465"/>
    </row>
    <row r="1188" spans="27:31" ht="14.4">
      <c r="AA1188" s="463"/>
      <c r="AB1188" s="462"/>
      <c r="AC1188" s="462"/>
      <c r="AD1188" s="464"/>
      <c r="AE1188" s="465"/>
    </row>
    <row r="1189" spans="27:31" ht="14.4">
      <c r="AA1189" s="463"/>
      <c r="AB1189" s="462"/>
      <c r="AC1189" s="462"/>
      <c r="AD1189" s="464"/>
      <c r="AE1189" s="465"/>
    </row>
    <row r="1190" spans="27:31" ht="14.4">
      <c r="AA1190" s="463"/>
      <c r="AB1190" s="462"/>
      <c r="AC1190" s="462"/>
      <c r="AD1190" s="464"/>
      <c r="AE1190" s="465"/>
    </row>
    <row r="1191" spans="27:31" ht="14.4">
      <c r="AA1191" s="463"/>
      <c r="AB1191" s="462"/>
      <c r="AC1191" s="462"/>
      <c r="AD1191" s="464"/>
      <c r="AE1191" s="465"/>
    </row>
    <row r="1192" spans="27:31" ht="14.4">
      <c r="AA1192" s="463"/>
      <c r="AB1192" s="462"/>
      <c r="AC1192" s="462"/>
      <c r="AD1192" s="464"/>
      <c r="AE1192" s="465"/>
    </row>
    <row r="1193" spans="27:31" ht="14.4">
      <c r="AA1193" s="463"/>
      <c r="AB1193" s="462"/>
      <c r="AC1193" s="462"/>
      <c r="AD1193" s="464"/>
      <c r="AE1193" s="465"/>
    </row>
    <row r="1194" spans="27:31" ht="14.4">
      <c r="AA1194" s="463"/>
      <c r="AB1194" s="462"/>
      <c r="AC1194" s="462"/>
      <c r="AD1194" s="464"/>
      <c r="AE1194" s="465"/>
    </row>
    <row r="1195" spans="27:31" ht="14.4">
      <c r="AA1195" s="463"/>
      <c r="AB1195" s="462"/>
      <c r="AC1195" s="462"/>
      <c r="AD1195" s="464"/>
      <c r="AE1195" s="465"/>
    </row>
    <row r="1196" spans="27:31" ht="14.4">
      <c r="AA1196" s="463"/>
      <c r="AB1196" s="462"/>
      <c r="AC1196" s="462"/>
      <c r="AD1196" s="464"/>
      <c r="AE1196" s="465"/>
    </row>
    <row r="1197" spans="27:31" ht="14.4">
      <c r="AA1197" s="463"/>
      <c r="AB1197" s="462"/>
      <c r="AC1197" s="462"/>
      <c r="AD1197" s="464"/>
      <c r="AE1197" s="465"/>
    </row>
    <row r="1198" spans="27:31" ht="14.4">
      <c r="AA1198" s="463"/>
      <c r="AB1198" s="462"/>
      <c r="AC1198" s="462"/>
      <c r="AD1198" s="464"/>
      <c r="AE1198" s="465"/>
    </row>
    <row r="1199" spans="27:31" ht="14.4">
      <c r="AA1199" s="463"/>
      <c r="AB1199" s="462"/>
      <c r="AC1199" s="462"/>
      <c r="AD1199" s="464"/>
      <c r="AE1199" s="465"/>
    </row>
    <row r="1200" spans="27:31" ht="14.4">
      <c r="AA1200" s="463"/>
      <c r="AB1200" s="462"/>
      <c r="AC1200" s="462"/>
      <c r="AD1200" s="464"/>
      <c r="AE1200" s="465"/>
    </row>
    <row r="1201" spans="27:31" ht="14.4">
      <c r="AA1201" s="463"/>
      <c r="AB1201" s="462"/>
      <c r="AC1201" s="462"/>
      <c r="AD1201" s="464"/>
      <c r="AE1201" s="465"/>
    </row>
    <row r="1202" spans="27:31" ht="14.4">
      <c r="AA1202" s="463"/>
      <c r="AB1202" s="462"/>
      <c r="AC1202" s="462"/>
      <c r="AD1202" s="464"/>
      <c r="AE1202" s="465"/>
    </row>
    <row r="1203" spans="27:31" ht="14.4">
      <c r="AA1203" s="463"/>
      <c r="AB1203" s="462"/>
      <c r="AC1203" s="462"/>
      <c r="AD1203" s="464"/>
      <c r="AE1203" s="465"/>
    </row>
    <row r="1204" spans="27:31" ht="14.4">
      <c r="AA1204" s="463"/>
      <c r="AB1204" s="462"/>
      <c r="AC1204" s="462"/>
      <c r="AD1204" s="464"/>
      <c r="AE1204" s="465"/>
    </row>
    <row r="1205" spans="27:31" ht="14.4">
      <c r="AA1205" s="463"/>
      <c r="AB1205" s="462"/>
      <c r="AC1205" s="462"/>
      <c r="AD1205" s="464"/>
      <c r="AE1205" s="465"/>
    </row>
    <row r="1206" spans="27:31" ht="14.4">
      <c r="AA1206" s="463"/>
      <c r="AB1206" s="462"/>
      <c r="AC1206" s="462"/>
      <c r="AD1206" s="464"/>
      <c r="AE1206" s="465"/>
    </row>
    <row r="1207" spans="27:31" ht="14.4">
      <c r="AA1207" s="463"/>
      <c r="AB1207" s="462"/>
      <c r="AC1207" s="462"/>
      <c r="AD1207" s="464"/>
      <c r="AE1207" s="465"/>
    </row>
    <row r="1208" spans="27:31" ht="14.4">
      <c r="AA1208" s="463"/>
      <c r="AB1208" s="462"/>
      <c r="AC1208" s="462"/>
      <c r="AD1208" s="464"/>
      <c r="AE1208" s="465"/>
    </row>
    <row r="1209" spans="27:31" ht="14.4">
      <c r="AA1209" s="463"/>
      <c r="AB1209" s="462"/>
      <c r="AC1209" s="462"/>
      <c r="AD1209" s="464"/>
      <c r="AE1209" s="465"/>
    </row>
    <row r="1210" spans="27:31" ht="14.4">
      <c r="AA1210" s="463"/>
      <c r="AB1210" s="462"/>
      <c r="AC1210" s="462"/>
      <c r="AD1210" s="464"/>
      <c r="AE1210" s="465"/>
    </row>
    <row r="1211" spans="27:31" ht="14.4">
      <c r="AA1211" s="463"/>
      <c r="AB1211" s="462"/>
      <c r="AC1211" s="462"/>
      <c r="AD1211" s="464"/>
      <c r="AE1211" s="465"/>
    </row>
    <row r="1212" spans="27:31" ht="14.4">
      <c r="AA1212" s="463"/>
      <c r="AB1212" s="462"/>
      <c r="AC1212" s="462"/>
      <c r="AD1212" s="464"/>
      <c r="AE1212" s="465"/>
    </row>
    <row r="1213" spans="27:31" ht="14.4">
      <c r="AA1213" s="463"/>
      <c r="AB1213" s="462"/>
      <c r="AC1213" s="462"/>
      <c r="AD1213" s="464"/>
      <c r="AE1213" s="465"/>
    </row>
    <row r="1214" spans="27:31" ht="14.4">
      <c r="AA1214" s="463"/>
      <c r="AB1214" s="462"/>
      <c r="AC1214" s="462"/>
      <c r="AD1214" s="464"/>
      <c r="AE1214" s="465"/>
    </row>
    <row r="1215" spans="27:31" ht="14.4">
      <c r="AA1215" s="463"/>
      <c r="AB1215" s="462"/>
      <c r="AC1215" s="462"/>
      <c r="AD1215" s="464"/>
      <c r="AE1215" s="465"/>
    </row>
    <row r="1216" spans="27:31" ht="14.4">
      <c r="AA1216" s="463"/>
      <c r="AB1216" s="462"/>
      <c r="AC1216" s="462"/>
      <c r="AD1216" s="464"/>
      <c r="AE1216" s="465"/>
    </row>
    <row r="1217" spans="27:31" ht="14.4">
      <c r="AA1217" s="463"/>
      <c r="AB1217" s="462"/>
      <c r="AC1217" s="462"/>
      <c r="AD1217" s="464"/>
      <c r="AE1217" s="465"/>
    </row>
    <row r="1218" spans="27:31" ht="14.4">
      <c r="AA1218" s="463"/>
      <c r="AB1218" s="462"/>
      <c r="AC1218" s="462"/>
      <c r="AD1218" s="464"/>
      <c r="AE1218" s="465"/>
    </row>
    <row r="1219" spans="27:31" ht="14.4">
      <c r="AA1219" s="463"/>
      <c r="AB1219" s="462"/>
      <c r="AC1219" s="462"/>
      <c r="AD1219" s="464"/>
      <c r="AE1219" s="465"/>
    </row>
    <row r="1220" spans="27:31" ht="14.4">
      <c r="AA1220" s="463"/>
      <c r="AB1220" s="462"/>
      <c r="AC1220" s="462"/>
      <c r="AD1220" s="464"/>
      <c r="AE1220" s="465"/>
    </row>
    <row r="1221" spans="27:31" ht="14.4">
      <c r="AA1221" s="463"/>
      <c r="AB1221" s="462"/>
      <c r="AC1221" s="462"/>
      <c r="AD1221" s="464"/>
      <c r="AE1221" s="465"/>
    </row>
    <row r="1222" spans="27:31" ht="14.4">
      <c r="AA1222" s="463"/>
      <c r="AB1222" s="462"/>
      <c r="AC1222" s="462"/>
      <c r="AD1222" s="464"/>
      <c r="AE1222" s="465"/>
    </row>
    <row r="1223" spans="27:31" ht="14.4">
      <c r="AA1223" s="463"/>
      <c r="AB1223" s="462"/>
      <c r="AC1223" s="462"/>
      <c r="AD1223" s="464"/>
      <c r="AE1223" s="465"/>
    </row>
    <row r="1224" spans="27:31" ht="14.4">
      <c r="AA1224" s="463"/>
      <c r="AB1224" s="462"/>
      <c r="AC1224" s="462"/>
      <c r="AD1224" s="464"/>
      <c r="AE1224" s="465"/>
    </row>
    <row r="1225" spans="27:31" ht="14.4">
      <c r="AA1225" s="463"/>
      <c r="AB1225" s="462"/>
      <c r="AC1225" s="462"/>
      <c r="AD1225" s="464"/>
      <c r="AE1225" s="465"/>
    </row>
    <row r="1226" spans="27:31" ht="14.4">
      <c r="AA1226" s="463"/>
      <c r="AB1226" s="462"/>
      <c r="AC1226" s="462"/>
      <c r="AD1226" s="464"/>
      <c r="AE1226" s="465"/>
    </row>
    <row r="1227" spans="27:31" ht="14.4">
      <c r="AA1227" s="463"/>
      <c r="AB1227" s="462"/>
      <c r="AC1227" s="462"/>
      <c r="AD1227" s="464"/>
      <c r="AE1227" s="465"/>
    </row>
    <row r="1228" spans="27:31" ht="14.4">
      <c r="AA1228" s="463"/>
      <c r="AB1228" s="462"/>
      <c r="AC1228" s="462"/>
      <c r="AD1228" s="464"/>
      <c r="AE1228" s="465"/>
    </row>
    <row r="1229" spans="27:31" ht="14.4">
      <c r="AA1229" s="463"/>
      <c r="AB1229" s="462"/>
      <c r="AC1229" s="462"/>
      <c r="AD1229" s="464"/>
      <c r="AE1229" s="465"/>
    </row>
    <row r="1230" spans="27:31" ht="14.4">
      <c r="AA1230" s="463"/>
      <c r="AB1230" s="462"/>
      <c r="AC1230" s="462"/>
      <c r="AD1230" s="464"/>
      <c r="AE1230" s="465"/>
    </row>
    <row r="1231" spans="27:31" ht="14.4">
      <c r="AA1231" s="463"/>
      <c r="AB1231" s="462"/>
      <c r="AC1231" s="462"/>
      <c r="AD1231" s="464"/>
      <c r="AE1231" s="465"/>
    </row>
    <row r="1232" spans="27:31" ht="14.4">
      <c r="AA1232" s="463"/>
      <c r="AB1232" s="462"/>
      <c r="AC1232" s="462"/>
      <c r="AD1232" s="464"/>
      <c r="AE1232" s="465"/>
    </row>
    <row r="1233" spans="27:31" ht="14.4">
      <c r="AA1233" s="463"/>
      <c r="AB1233" s="462"/>
      <c r="AC1233" s="462"/>
      <c r="AD1233" s="464"/>
      <c r="AE1233" s="465"/>
    </row>
    <row r="1234" spans="27:31" ht="14.4">
      <c r="AA1234" s="463"/>
      <c r="AB1234" s="462"/>
      <c r="AC1234" s="462"/>
      <c r="AD1234" s="464"/>
      <c r="AE1234" s="465"/>
    </row>
    <row r="1235" spans="27:31" ht="14.4">
      <c r="AA1235" s="463"/>
      <c r="AB1235" s="462"/>
      <c r="AC1235" s="462"/>
      <c r="AD1235" s="464"/>
      <c r="AE1235" s="465"/>
    </row>
    <row r="1236" spans="27:31" ht="14.4">
      <c r="AA1236" s="463"/>
      <c r="AB1236" s="462"/>
      <c r="AC1236" s="462"/>
      <c r="AD1236" s="464"/>
      <c r="AE1236" s="465"/>
    </row>
    <row r="1237" spans="27:31" ht="14.4">
      <c r="AA1237" s="463"/>
      <c r="AB1237" s="462"/>
      <c r="AC1237" s="462"/>
      <c r="AD1237" s="464"/>
      <c r="AE1237" s="465"/>
    </row>
    <row r="1238" spans="27:31" ht="14.4">
      <c r="AA1238" s="463"/>
      <c r="AB1238" s="462"/>
      <c r="AC1238" s="462"/>
      <c r="AD1238" s="464"/>
      <c r="AE1238" s="465"/>
    </row>
    <row r="1239" spans="27:31" ht="14.4">
      <c r="AA1239" s="463"/>
      <c r="AB1239" s="462"/>
      <c r="AC1239" s="462"/>
      <c r="AD1239" s="464"/>
      <c r="AE1239" s="465"/>
    </row>
    <row r="1240" spans="27:31" ht="14.4">
      <c r="AA1240" s="463"/>
      <c r="AB1240" s="462"/>
      <c r="AC1240" s="462"/>
      <c r="AD1240" s="464"/>
      <c r="AE1240" s="465"/>
    </row>
    <row r="1241" spans="27:31" ht="14.4">
      <c r="AA1241" s="463"/>
      <c r="AB1241" s="462"/>
      <c r="AC1241" s="462"/>
      <c r="AD1241" s="464"/>
      <c r="AE1241" s="465"/>
    </row>
    <row r="1242" spans="27:31" ht="14.4">
      <c r="AA1242" s="463"/>
      <c r="AB1242" s="462"/>
      <c r="AC1242" s="462"/>
      <c r="AD1242" s="464"/>
      <c r="AE1242" s="465"/>
    </row>
    <row r="1243" spans="27:31" ht="14.4">
      <c r="AA1243" s="463"/>
      <c r="AB1243" s="462"/>
      <c r="AC1243" s="462"/>
      <c r="AD1243" s="464"/>
      <c r="AE1243" s="465"/>
    </row>
    <row r="1244" spans="27:31" ht="14.4">
      <c r="AA1244" s="463"/>
      <c r="AB1244" s="462"/>
      <c r="AC1244" s="462"/>
      <c r="AD1244" s="464"/>
      <c r="AE1244" s="465"/>
    </row>
    <row r="1245" spans="27:31" ht="14.4">
      <c r="AA1245" s="463"/>
      <c r="AB1245" s="462"/>
      <c r="AC1245" s="462"/>
      <c r="AD1245" s="464"/>
      <c r="AE1245" s="465"/>
    </row>
    <row r="1246" spans="27:31" ht="14.4">
      <c r="AA1246" s="463"/>
      <c r="AB1246" s="462"/>
      <c r="AC1246" s="462"/>
      <c r="AD1246" s="464"/>
      <c r="AE1246" s="465"/>
    </row>
    <row r="1247" spans="27:31" ht="14.4">
      <c r="AA1247" s="463"/>
      <c r="AB1247" s="462"/>
      <c r="AC1247" s="462"/>
      <c r="AD1247" s="464"/>
      <c r="AE1247" s="465"/>
    </row>
    <row r="1248" spans="27:31" ht="14.4">
      <c r="AA1248" s="463"/>
      <c r="AB1248" s="462"/>
      <c r="AC1248" s="462"/>
      <c r="AD1248" s="464"/>
      <c r="AE1248" s="465"/>
    </row>
    <row r="1249" spans="27:31" ht="14.4">
      <c r="AA1249" s="463"/>
      <c r="AB1249" s="462"/>
      <c r="AC1249" s="462"/>
      <c r="AD1249" s="464"/>
      <c r="AE1249" s="465"/>
    </row>
    <row r="1250" spans="27:31" ht="14.4">
      <c r="AA1250" s="463"/>
      <c r="AB1250" s="462"/>
      <c r="AC1250" s="462"/>
      <c r="AD1250" s="464"/>
      <c r="AE1250" s="465"/>
    </row>
    <row r="1251" spans="27:31" ht="14.4">
      <c r="AA1251" s="463"/>
      <c r="AB1251" s="462"/>
      <c r="AC1251" s="462"/>
      <c r="AD1251" s="464"/>
      <c r="AE1251" s="465"/>
    </row>
    <row r="1252" spans="27:31" ht="14.4">
      <c r="AA1252" s="463"/>
      <c r="AB1252" s="462"/>
      <c r="AC1252" s="462"/>
      <c r="AD1252" s="464"/>
      <c r="AE1252" s="465"/>
    </row>
    <row r="1253" spans="27:31" ht="14.4">
      <c r="AA1253" s="463"/>
      <c r="AB1253" s="462"/>
      <c r="AC1253" s="462"/>
      <c r="AD1253" s="464"/>
      <c r="AE1253" s="465"/>
    </row>
    <row r="1254" spans="27:31" ht="14.4">
      <c r="AA1254" s="463"/>
      <c r="AB1254" s="462"/>
      <c r="AC1254" s="462"/>
      <c r="AD1254" s="464"/>
      <c r="AE1254" s="465"/>
    </row>
    <row r="1255" spans="27:31" ht="14.4">
      <c r="AA1255" s="463"/>
      <c r="AB1255" s="462"/>
      <c r="AC1255" s="462"/>
      <c r="AD1255" s="464"/>
      <c r="AE1255" s="465"/>
    </row>
    <row r="1256" spans="27:31" ht="14.4">
      <c r="AA1256" s="463"/>
      <c r="AB1256" s="462"/>
      <c r="AC1256" s="462"/>
      <c r="AD1256" s="464"/>
      <c r="AE1256" s="465"/>
    </row>
    <row r="1257" spans="27:31" ht="14.4">
      <c r="AA1257" s="463"/>
      <c r="AB1257" s="462"/>
      <c r="AC1257" s="462"/>
      <c r="AD1257" s="464"/>
      <c r="AE1257" s="465"/>
    </row>
    <row r="1258" spans="27:31" ht="14.4">
      <c r="AA1258" s="463"/>
      <c r="AB1258" s="462"/>
      <c r="AC1258" s="462"/>
      <c r="AD1258" s="464"/>
      <c r="AE1258" s="465"/>
    </row>
    <row r="1259" spans="27:31" ht="14.4">
      <c r="AA1259" s="463"/>
      <c r="AB1259" s="462"/>
      <c r="AC1259" s="462"/>
      <c r="AD1259" s="464"/>
      <c r="AE1259" s="465"/>
    </row>
    <row r="1260" spans="27:31" ht="14.4">
      <c r="AA1260" s="463"/>
      <c r="AB1260" s="462"/>
      <c r="AC1260" s="462"/>
      <c r="AD1260" s="464"/>
      <c r="AE1260" s="465"/>
    </row>
    <row r="1261" spans="27:31" ht="14.4">
      <c r="AA1261" s="463"/>
      <c r="AB1261" s="462"/>
      <c r="AC1261" s="462"/>
      <c r="AD1261" s="464"/>
      <c r="AE1261" s="465"/>
    </row>
    <row r="1262" spans="27:31" ht="14.4">
      <c r="AA1262" s="463"/>
      <c r="AB1262" s="462"/>
      <c r="AC1262" s="462"/>
      <c r="AD1262" s="464"/>
      <c r="AE1262" s="465"/>
    </row>
    <row r="1263" spans="27:31" ht="14.4">
      <c r="AA1263" s="463"/>
      <c r="AB1263" s="462"/>
      <c r="AC1263" s="462"/>
      <c r="AD1263" s="464"/>
      <c r="AE1263" s="465"/>
    </row>
    <row r="1264" spans="27:31" ht="14.4">
      <c r="AA1264" s="463"/>
      <c r="AB1264" s="462"/>
      <c r="AC1264" s="462"/>
      <c r="AD1264" s="464"/>
      <c r="AE1264" s="465"/>
    </row>
    <row r="1265" spans="27:31" ht="14.4">
      <c r="AA1265" s="463"/>
      <c r="AB1265" s="462"/>
      <c r="AC1265" s="462"/>
      <c r="AD1265" s="464"/>
      <c r="AE1265" s="465"/>
    </row>
    <row r="1266" spans="27:31" ht="14.4">
      <c r="AA1266" s="463"/>
      <c r="AB1266" s="462"/>
      <c r="AC1266" s="462"/>
      <c r="AD1266" s="464"/>
      <c r="AE1266" s="465"/>
    </row>
    <row r="1267" spans="27:31" ht="14.4">
      <c r="AA1267" s="463"/>
      <c r="AB1267" s="462"/>
      <c r="AC1267" s="462"/>
      <c r="AD1267" s="464"/>
      <c r="AE1267" s="465"/>
    </row>
    <row r="1268" spans="27:31" ht="14.4">
      <c r="AA1268" s="463"/>
      <c r="AB1268" s="462"/>
      <c r="AC1268" s="462"/>
      <c r="AD1268" s="464"/>
      <c r="AE1268" s="465"/>
    </row>
    <row r="1269" spans="27:31" ht="14.4">
      <c r="AA1269" s="463"/>
      <c r="AB1269" s="462"/>
      <c r="AC1269" s="462"/>
      <c r="AD1269" s="464"/>
      <c r="AE1269" s="465"/>
    </row>
    <row r="1270" spans="27:31" ht="14.4">
      <c r="AA1270" s="463"/>
      <c r="AB1270" s="462"/>
      <c r="AC1270" s="462"/>
      <c r="AD1270" s="464"/>
      <c r="AE1270" s="465"/>
    </row>
    <row r="1271" spans="27:31" ht="14.4">
      <c r="AA1271" s="463"/>
      <c r="AB1271" s="462"/>
      <c r="AC1271" s="462"/>
      <c r="AD1271" s="464"/>
      <c r="AE1271" s="465"/>
    </row>
    <row r="1272" spans="27:31" ht="14.4">
      <c r="AA1272" s="463"/>
      <c r="AB1272" s="462"/>
      <c r="AC1272" s="462"/>
      <c r="AD1272" s="464"/>
      <c r="AE1272" s="465"/>
    </row>
    <row r="1273" spans="27:31" ht="14.4">
      <c r="AA1273" s="463"/>
      <c r="AB1273" s="462"/>
      <c r="AC1273" s="462"/>
      <c r="AD1273" s="464"/>
      <c r="AE1273" s="465"/>
    </row>
    <row r="1274" spans="27:31" ht="14.4">
      <c r="AA1274" s="463"/>
      <c r="AB1274" s="462"/>
      <c r="AC1274" s="462"/>
      <c r="AD1274" s="464"/>
      <c r="AE1274" s="465"/>
    </row>
    <row r="1275" spans="27:31" ht="14.4">
      <c r="AA1275" s="463"/>
      <c r="AB1275" s="462"/>
      <c r="AC1275" s="462"/>
      <c r="AD1275" s="464"/>
      <c r="AE1275" s="465"/>
    </row>
    <row r="1276" spans="27:31" ht="14.4">
      <c r="AA1276" s="463"/>
      <c r="AB1276" s="462"/>
      <c r="AC1276" s="462"/>
      <c r="AD1276" s="464"/>
      <c r="AE1276" s="465"/>
    </row>
    <row r="1277" spans="27:31" ht="14.4">
      <c r="AA1277" s="463"/>
      <c r="AB1277" s="462"/>
      <c r="AC1277" s="462"/>
      <c r="AD1277" s="464"/>
      <c r="AE1277" s="465"/>
    </row>
    <row r="1278" spans="27:31" ht="14.4">
      <c r="AA1278" s="463"/>
      <c r="AB1278" s="462"/>
      <c r="AC1278" s="462"/>
      <c r="AD1278" s="464"/>
      <c r="AE1278" s="465"/>
    </row>
    <row r="1279" spans="27:31" ht="14.4">
      <c r="AA1279" s="463"/>
      <c r="AB1279" s="462"/>
      <c r="AC1279" s="462"/>
      <c r="AD1279" s="464"/>
      <c r="AE1279" s="465"/>
    </row>
    <row r="1280" spans="27:31" ht="14.4">
      <c r="AA1280" s="463"/>
      <c r="AB1280" s="462"/>
      <c r="AC1280" s="462"/>
      <c r="AD1280" s="464"/>
      <c r="AE1280" s="465"/>
    </row>
    <row r="1281" spans="27:31" ht="14.4">
      <c r="AA1281" s="463"/>
      <c r="AB1281" s="462"/>
      <c r="AC1281" s="462"/>
      <c r="AD1281" s="464"/>
      <c r="AE1281" s="465"/>
    </row>
    <row r="1282" spans="27:31" ht="14.4">
      <c r="AA1282" s="463"/>
      <c r="AB1282" s="462"/>
      <c r="AC1282" s="462"/>
      <c r="AD1282" s="464"/>
      <c r="AE1282" s="465"/>
    </row>
    <row r="1283" spans="27:31" ht="14.4">
      <c r="AA1283" s="463"/>
      <c r="AB1283" s="462"/>
      <c r="AC1283" s="462"/>
      <c r="AD1283" s="464"/>
      <c r="AE1283" s="465"/>
    </row>
    <row r="1284" spans="27:31" ht="14.4">
      <c r="AA1284" s="463"/>
      <c r="AB1284" s="462"/>
      <c r="AC1284" s="462"/>
      <c r="AD1284" s="464"/>
      <c r="AE1284" s="465"/>
    </row>
    <row r="1285" spans="27:31" ht="14.4">
      <c r="AA1285" s="463"/>
      <c r="AB1285" s="462"/>
      <c r="AC1285" s="462"/>
      <c r="AD1285" s="464"/>
      <c r="AE1285" s="465"/>
    </row>
    <row r="1286" spans="27:31" ht="14.4">
      <c r="AA1286" s="463"/>
      <c r="AB1286" s="462"/>
      <c r="AC1286" s="462"/>
      <c r="AD1286" s="464"/>
      <c r="AE1286" s="465"/>
    </row>
    <row r="1287" spans="27:31" ht="14.4">
      <c r="AA1287" s="463"/>
      <c r="AB1287" s="462"/>
      <c r="AC1287" s="462"/>
      <c r="AD1287" s="464"/>
      <c r="AE1287" s="465"/>
    </row>
    <row r="1288" spans="27:31" ht="14.4">
      <c r="AA1288" s="463"/>
      <c r="AB1288" s="462"/>
      <c r="AC1288" s="462"/>
      <c r="AD1288" s="464"/>
      <c r="AE1288" s="465"/>
    </row>
    <row r="1289" spans="27:31" ht="14.4">
      <c r="AA1289" s="463"/>
      <c r="AB1289" s="462"/>
      <c r="AC1289" s="462"/>
      <c r="AD1289" s="464"/>
      <c r="AE1289" s="465"/>
    </row>
    <row r="1290" spans="27:31" ht="14.4">
      <c r="AA1290" s="463"/>
      <c r="AB1290" s="462"/>
      <c r="AC1290" s="462"/>
      <c r="AD1290" s="464"/>
      <c r="AE1290" s="465"/>
    </row>
    <row r="1291" spans="27:31" ht="14.4">
      <c r="AA1291" s="463"/>
      <c r="AB1291" s="462"/>
      <c r="AC1291" s="462"/>
      <c r="AD1291" s="464"/>
      <c r="AE1291" s="465"/>
    </row>
    <row r="1292" spans="27:31" ht="14.4">
      <c r="AA1292" s="463"/>
      <c r="AB1292" s="462"/>
      <c r="AC1292" s="462"/>
      <c r="AD1292" s="464"/>
      <c r="AE1292" s="465"/>
    </row>
    <row r="1293" spans="27:31" ht="14.4">
      <c r="AA1293" s="463"/>
      <c r="AB1293" s="462"/>
      <c r="AC1293" s="462"/>
      <c r="AD1293" s="464"/>
      <c r="AE1293" s="465"/>
    </row>
    <row r="1294" spans="27:31" ht="14.4">
      <c r="AA1294" s="463"/>
      <c r="AB1294" s="462"/>
      <c r="AC1294" s="462"/>
      <c r="AD1294" s="464"/>
      <c r="AE1294" s="465"/>
    </row>
    <row r="1295" spans="27:31" ht="14.4">
      <c r="AA1295" s="463"/>
      <c r="AB1295" s="462"/>
      <c r="AC1295" s="462"/>
      <c r="AD1295" s="464"/>
      <c r="AE1295" s="465"/>
    </row>
    <row r="1296" spans="27:31" ht="14.4">
      <c r="AA1296" s="463"/>
      <c r="AB1296" s="462"/>
      <c r="AC1296" s="462"/>
      <c r="AD1296" s="464"/>
      <c r="AE1296" s="465"/>
    </row>
    <row r="1297" spans="27:31" ht="14.4">
      <c r="AA1297" s="463"/>
      <c r="AB1297" s="462"/>
      <c r="AC1297" s="462"/>
      <c r="AD1297" s="464"/>
      <c r="AE1297" s="465"/>
    </row>
    <row r="1298" spans="27:31" ht="14.4">
      <c r="AA1298" s="463"/>
      <c r="AB1298" s="462"/>
      <c r="AC1298" s="462"/>
      <c r="AD1298" s="464"/>
      <c r="AE1298" s="465"/>
    </row>
    <row r="1299" spans="27:31" ht="14.4">
      <c r="AA1299" s="463"/>
      <c r="AB1299" s="462"/>
      <c r="AC1299" s="462"/>
      <c r="AD1299" s="464"/>
      <c r="AE1299" s="465"/>
    </row>
    <row r="1300" spans="27:31" ht="14.4">
      <c r="AA1300" s="463"/>
      <c r="AB1300" s="462"/>
      <c r="AC1300" s="462"/>
      <c r="AD1300" s="464"/>
      <c r="AE1300" s="465"/>
    </row>
    <row r="1301" spans="27:31" ht="14.4">
      <c r="AA1301" s="463"/>
      <c r="AB1301" s="462"/>
      <c r="AC1301" s="462"/>
      <c r="AD1301" s="464"/>
      <c r="AE1301" s="465"/>
    </row>
    <row r="1302" spans="27:31" ht="14.4">
      <c r="AA1302" s="463"/>
      <c r="AB1302" s="462"/>
      <c r="AC1302" s="462"/>
      <c r="AD1302" s="464"/>
      <c r="AE1302" s="465"/>
    </row>
    <row r="1303" spans="27:31" ht="14.4">
      <c r="AA1303" s="463"/>
      <c r="AB1303" s="462"/>
      <c r="AC1303" s="462"/>
      <c r="AD1303" s="464"/>
      <c r="AE1303" s="465"/>
    </row>
    <row r="1304" spans="27:31" ht="14.4">
      <c r="AA1304" s="463"/>
      <c r="AB1304" s="462"/>
      <c r="AC1304" s="462"/>
      <c r="AD1304" s="464"/>
      <c r="AE1304" s="465"/>
    </row>
    <row r="1305" spans="27:31" ht="14.4">
      <c r="AA1305" s="463"/>
      <c r="AB1305" s="462"/>
      <c r="AC1305" s="462"/>
      <c r="AD1305" s="464"/>
      <c r="AE1305" s="465"/>
    </row>
    <row r="1306" spans="27:31" ht="14.4">
      <c r="AA1306" s="463"/>
      <c r="AB1306" s="462"/>
      <c r="AC1306" s="462"/>
      <c r="AD1306" s="464"/>
      <c r="AE1306" s="465"/>
    </row>
    <row r="1307" spans="27:31" ht="14.4">
      <c r="AA1307" s="463"/>
      <c r="AB1307" s="462"/>
      <c r="AC1307" s="462"/>
      <c r="AD1307" s="464"/>
      <c r="AE1307" s="465"/>
    </row>
    <row r="1308" spans="27:31" ht="14.4">
      <c r="AA1308" s="463"/>
      <c r="AB1308" s="462"/>
      <c r="AC1308" s="462"/>
      <c r="AD1308" s="464"/>
      <c r="AE1308" s="465"/>
    </row>
    <row r="1309" spans="27:31" ht="14.4">
      <c r="AA1309" s="463"/>
      <c r="AB1309" s="462"/>
      <c r="AC1309" s="462"/>
      <c r="AD1309" s="464"/>
      <c r="AE1309" s="465"/>
    </row>
    <row r="1310" spans="27:31" ht="14.4">
      <c r="AA1310" s="463"/>
      <c r="AB1310" s="462"/>
      <c r="AC1310" s="462"/>
      <c r="AD1310" s="464"/>
      <c r="AE1310" s="465"/>
    </row>
    <row r="1311" spans="27:31" ht="14.4">
      <c r="AA1311" s="463"/>
      <c r="AB1311" s="462"/>
      <c r="AC1311" s="462"/>
      <c r="AD1311" s="464"/>
      <c r="AE1311" s="465"/>
    </row>
    <row r="1312" spans="27:31" ht="14.4">
      <c r="AA1312" s="463"/>
      <c r="AB1312" s="462"/>
      <c r="AC1312" s="462"/>
      <c r="AD1312" s="464"/>
      <c r="AE1312" s="465"/>
    </row>
    <row r="1313" spans="27:31" ht="14.4">
      <c r="AA1313" s="463"/>
      <c r="AB1313" s="462"/>
      <c r="AC1313" s="462"/>
      <c r="AD1313" s="464"/>
      <c r="AE1313" s="465"/>
    </row>
    <row r="1314" spans="27:31" ht="14.4">
      <c r="AA1314" s="463"/>
      <c r="AB1314" s="462"/>
      <c r="AC1314" s="462"/>
      <c r="AD1314" s="464"/>
      <c r="AE1314" s="465"/>
    </row>
    <row r="1315" spans="27:31" ht="14.4">
      <c r="AA1315" s="463"/>
      <c r="AB1315" s="462"/>
      <c r="AC1315" s="462"/>
      <c r="AD1315" s="464"/>
      <c r="AE1315" s="465"/>
    </row>
    <row r="1316" spans="27:31" ht="14.4">
      <c r="AA1316" s="463"/>
      <c r="AB1316" s="462"/>
      <c r="AC1316" s="462"/>
      <c r="AD1316" s="464"/>
      <c r="AE1316" s="465"/>
    </row>
    <row r="1317" spans="27:31" ht="14.4">
      <c r="AA1317" s="463"/>
      <c r="AB1317" s="462"/>
      <c r="AC1317" s="462"/>
      <c r="AD1317" s="464"/>
      <c r="AE1317" s="465"/>
    </row>
    <row r="1318" spans="27:31" ht="14.4">
      <c r="AA1318" s="463"/>
      <c r="AB1318" s="462"/>
      <c r="AC1318" s="462"/>
      <c r="AD1318" s="464"/>
      <c r="AE1318" s="465"/>
    </row>
    <row r="1319" spans="27:31" ht="14.4">
      <c r="AA1319" s="463"/>
      <c r="AB1319" s="462"/>
      <c r="AC1319" s="462"/>
      <c r="AD1319" s="464"/>
      <c r="AE1319" s="465"/>
    </row>
    <row r="1320" spans="27:31" ht="14.4">
      <c r="AA1320" s="463"/>
      <c r="AB1320" s="462"/>
      <c r="AC1320" s="462"/>
      <c r="AD1320" s="464"/>
      <c r="AE1320" s="465"/>
    </row>
    <row r="1321" spans="27:31" ht="14.4">
      <c r="AA1321" s="463"/>
      <c r="AB1321" s="462"/>
      <c r="AC1321" s="462"/>
      <c r="AD1321" s="464"/>
      <c r="AE1321" s="465"/>
    </row>
    <row r="1322" spans="27:31" ht="14.4">
      <c r="AA1322" s="463"/>
      <c r="AB1322" s="462"/>
      <c r="AC1322" s="462"/>
      <c r="AD1322" s="464"/>
      <c r="AE1322" s="465"/>
    </row>
    <row r="1323" spans="27:31" ht="14.4">
      <c r="AA1323" s="463"/>
      <c r="AB1323" s="462"/>
      <c r="AC1323" s="462"/>
      <c r="AD1323" s="464"/>
      <c r="AE1323" s="465"/>
    </row>
    <row r="1324" spans="27:31" ht="14.4">
      <c r="AA1324" s="463"/>
      <c r="AB1324" s="462"/>
      <c r="AC1324" s="462"/>
      <c r="AD1324" s="464"/>
      <c r="AE1324" s="465"/>
    </row>
    <row r="1325" spans="27:31" ht="14.4">
      <c r="AA1325" s="463"/>
      <c r="AB1325" s="462"/>
      <c r="AC1325" s="462"/>
      <c r="AD1325" s="464"/>
      <c r="AE1325" s="465"/>
    </row>
    <row r="1326" spans="27:31" ht="14.4">
      <c r="AA1326" s="463"/>
      <c r="AB1326" s="462"/>
      <c r="AC1326" s="462"/>
      <c r="AD1326" s="464"/>
      <c r="AE1326" s="465"/>
    </row>
    <row r="1327" spans="27:31" ht="14.4">
      <c r="AA1327" s="463"/>
      <c r="AB1327" s="462"/>
      <c r="AC1327" s="462"/>
      <c r="AD1327" s="464"/>
      <c r="AE1327" s="465"/>
    </row>
    <row r="1328" spans="27:31" ht="14.4">
      <c r="AA1328" s="463"/>
      <c r="AB1328" s="462"/>
      <c r="AC1328" s="462"/>
      <c r="AD1328" s="464"/>
      <c r="AE1328" s="465"/>
    </row>
    <row r="1329" spans="27:31" ht="14.4">
      <c r="AA1329" s="463"/>
      <c r="AB1329" s="462"/>
      <c r="AC1329" s="462"/>
      <c r="AD1329" s="464"/>
      <c r="AE1329" s="465"/>
    </row>
    <row r="1330" spans="27:31" ht="14.4">
      <c r="AA1330" s="463"/>
      <c r="AB1330" s="462"/>
      <c r="AC1330" s="462"/>
      <c r="AD1330" s="464"/>
      <c r="AE1330" s="465"/>
    </row>
    <row r="1331" spans="27:31" ht="14.4">
      <c r="AA1331" s="463"/>
      <c r="AB1331" s="462"/>
      <c r="AC1331" s="462"/>
      <c r="AD1331" s="464"/>
      <c r="AE1331" s="465"/>
    </row>
    <row r="1332" spans="27:31" ht="14.4">
      <c r="AA1332" s="463"/>
      <c r="AB1332" s="462"/>
      <c r="AC1332" s="462"/>
      <c r="AD1332" s="464"/>
      <c r="AE1332" s="465"/>
    </row>
    <row r="1333" spans="27:31" ht="14.4">
      <c r="AA1333" s="463"/>
      <c r="AB1333" s="462"/>
      <c r="AC1333" s="462"/>
      <c r="AD1333" s="464"/>
      <c r="AE1333" s="465"/>
    </row>
    <row r="1334" spans="27:31" ht="14.4">
      <c r="AA1334" s="463"/>
      <c r="AB1334" s="462"/>
      <c r="AC1334" s="462"/>
      <c r="AD1334" s="464"/>
      <c r="AE1334" s="465"/>
    </row>
    <row r="1335" spans="27:31" ht="14.4">
      <c r="AA1335" s="463"/>
      <c r="AB1335" s="462"/>
      <c r="AC1335" s="462"/>
      <c r="AD1335" s="464"/>
      <c r="AE1335" s="465"/>
    </row>
    <row r="1336" spans="27:31" ht="14.4">
      <c r="AA1336" s="463"/>
      <c r="AB1336" s="462"/>
      <c r="AC1336" s="462"/>
      <c r="AD1336" s="464"/>
      <c r="AE1336" s="465"/>
    </row>
    <row r="1337" spans="27:31" ht="14.4">
      <c r="AA1337" s="463"/>
      <c r="AB1337" s="462"/>
      <c r="AC1337" s="462"/>
      <c r="AD1337" s="464"/>
      <c r="AE1337" s="465"/>
    </row>
    <row r="1338" spans="27:31" ht="14.4">
      <c r="AA1338" s="463"/>
      <c r="AB1338" s="462"/>
      <c r="AC1338" s="462"/>
      <c r="AD1338" s="464"/>
      <c r="AE1338" s="465"/>
    </row>
    <row r="1339" spans="27:31" ht="14.4">
      <c r="AA1339" s="463"/>
      <c r="AB1339" s="462"/>
      <c r="AC1339" s="462"/>
      <c r="AD1339" s="464"/>
      <c r="AE1339" s="465"/>
    </row>
    <row r="1340" spans="27:31" ht="14.4">
      <c r="AA1340" s="463"/>
      <c r="AB1340" s="462"/>
      <c r="AC1340" s="462"/>
      <c r="AD1340" s="464"/>
      <c r="AE1340" s="465"/>
    </row>
    <row r="1341" spans="27:31" ht="14.4">
      <c r="AA1341" s="463"/>
      <c r="AB1341" s="462"/>
      <c r="AC1341" s="462"/>
      <c r="AD1341" s="464"/>
      <c r="AE1341" s="465"/>
    </row>
    <row r="1342" spans="27:31" ht="14.4">
      <c r="AA1342" s="463"/>
      <c r="AB1342" s="462"/>
      <c r="AC1342" s="462"/>
      <c r="AD1342" s="464"/>
      <c r="AE1342" s="465"/>
    </row>
    <row r="1343" spans="27:31" ht="14.4">
      <c r="AA1343" s="463"/>
      <c r="AB1343" s="462"/>
      <c r="AC1343" s="462"/>
      <c r="AD1343" s="464"/>
      <c r="AE1343" s="465"/>
    </row>
    <row r="1344" spans="27:31" ht="14.4">
      <c r="AA1344" s="463"/>
      <c r="AB1344" s="462"/>
      <c r="AC1344" s="462"/>
      <c r="AD1344" s="464"/>
      <c r="AE1344" s="465"/>
    </row>
    <row r="1345" spans="27:31" ht="14.4">
      <c r="AA1345" s="463"/>
      <c r="AB1345" s="462"/>
      <c r="AC1345" s="462"/>
      <c r="AD1345" s="464"/>
      <c r="AE1345" s="465"/>
    </row>
    <row r="1346" spans="27:31" ht="14.4">
      <c r="AA1346" s="463"/>
      <c r="AB1346" s="462"/>
      <c r="AC1346" s="462"/>
      <c r="AD1346" s="464"/>
      <c r="AE1346" s="465"/>
    </row>
    <row r="1347" spans="27:31" ht="14.4">
      <c r="AA1347" s="463"/>
      <c r="AB1347" s="462"/>
      <c r="AC1347" s="462"/>
      <c r="AD1347" s="464"/>
      <c r="AE1347" s="465"/>
    </row>
    <row r="1348" spans="27:31" ht="14.4">
      <c r="AA1348" s="463"/>
      <c r="AB1348" s="462"/>
      <c r="AC1348" s="462"/>
      <c r="AD1348" s="464"/>
      <c r="AE1348" s="465"/>
    </row>
    <row r="1349" spans="27:31" ht="14.4">
      <c r="AA1349" s="463"/>
      <c r="AB1349" s="462"/>
      <c r="AC1349" s="462"/>
      <c r="AD1349" s="464"/>
      <c r="AE1349" s="465"/>
    </row>
    <row r="1350" spans="27:31" ht="14.4">
      <c r="AA1350" s="463"/>
      <c r="AB1350" s="462"/>
      <c r="AC1350" s="462"/>
      <c r="AD1350" s="464"/>
      <c r="AE1350" s="465"/>
    </row>
    <row r="1351" spans="27:31" ht="14.4">
      <c r="AA1351" s="463"/>
      <c r="AB1351" s="462"/>
      <c r="AC1351" s="462"/>
      <c r="AD1351" s="464"/>
      <c r="AE1351" s="465"/>
    </row>
    <row r="1352" spans="27:31" ht="14.4">
      <c r="AA1352" s="463"/>
      <c r="AB1352" s="462"/>
      <c r="AC1352" s="462"/>
      <c r="AD1352" s="464"/>
      <c r="AE1352" s="465"/>
    </row>
    <row r="1353" spans="27:31" ht="14.4">
      <c r="AA1353" s="463"/>
      <c r="AB1353" s="462"/>
      <c r="AC1353" s="462"/>
      <c r="AD1353" s="464"/>
      <c r="AE1353" s="465"/>
    </row>
    <row r="1354" spans="27:31" ht="14.4">
      <c r="AA1354" s="463"/>
      <c r="AB1354" s="462"/>
      <c r="AC1354" s="462"/>
      <c r="AD1354" s="464"/>
      <c r="AE1354" s="465"/>
    </row>
    <row r="1355" spans="27:31" ht="14.4">
      <c r="AA1355" s="463"/>
      <c r="AB1355" s="462"/>
      <c r="AC1355" s="462"/>
      <c r="AD1355" s="464"/>
      <c r="AE1355" s="465"/>
    </row>
    <row r="1356" spans="27:31" ht="14.4">
      <c r="AA1356" s="463"/>
      <c r="AB1356" s="462"/>
      <c r="AC1356" s="462"/>
      <c r="AD1356" s="464"/>
      <c r="AE1356" s="465"/>
    </row>
    <row r="1357" spans="27:31" ht="14.4">
      <c r="AA1357" s="463"/>
      <c r="AB1357" s="462"/>
      <c r="AC1357" s="462"/>
      <c r="AD1357" s="464"/>
      <c r="AE1357" s="465"/>
    </row>
    <row r="1358" spans="27:31" ht="14.4">
      <c r="AA1358" s="463"/>
      <c r="AB1358" s="462"/>
      <c r="AC1358" s="462"/>
      <c r="AD1358" s="464"/>
      <c r="AE1358" s="465"/>
    </row>
    <row r="1359" spans="27:31" ht="14.4">
      <c r="AA1359" s="463"/>
      <c r="AB1359" s="462"/>
      <c r="AC1359" s="462"/>
      <c r="AD1359" s="464"/>
      <c r="AE1359" s="465"/>
    </row>
    <row r="1360" spans="27:31" ht="14.4">
      <c r="AA1360" s="463"/>
      <c r="AB1360" s="462"/>
      <c r="AC1360" s="462"/>
      <c r="AD1360" s="464"/>
      <c r="AE1360" s="465"/>
    </row>
    <row r="1361" spans="27:31" ht="14.4">
      <c r="AA1361" s="463"/>
      <c r="AB1361" s="462"/>
      <c r="AC1361" s="462"/>
      <c r="AD1361" s="464"/>
      <c r="AE1361" s="465"/>
    </row>
    <row r="1362" spans="27:31" ht="14.4">
      <c r="AA1362" s="463"/>
      <c r="AB1362" s="462"/>
      <c r="AC1362" s="462"/>
      <c r="AD1362" s="464"/>
      <c r="AE1362" s="465"/>
    </row>
    <row r="1363" spans="27:31" ht="14.4">
      <c r="AA1363" s="463"/>
      <c r="AB1363" s="462"/>
      <c r="AC1363" s="462"/>
      <c r="AD1363" s="464"/>
      <c r="AE1363" s="465"/>
    </row>
    <row r="1364" spans="27:31" ht="14.4">
      <c r="AA1364" s="463"/>
      <c r="AB1364" s="462"/>
      <c r="AC1364" s="462"/>
      <c r="AD1364" s="464"/>
      <c r="AE1364" s="465"/>
    </row>
    <row r="1365" spans="27:31" ht="14.4">
      <c r="AA1365" s="463"/>
      <c r="AB1365" s="462"/>
      <c r="AC1365" s="462"/>
      <c r="AD1365" s="464"/>
      <c r="AE1365" s="465"/>
    </row>
    <row r="1366" spans="27:31" ht="14.4">
      <c r="AA1366" s="463"/>
      <c r="AB1366" s="462"/>
      <c r="AC1366" s="462"/>
      <c r="AD1366" s="464"/>
      <c r="AE1366" s="465"/>
    </row>
    <row r="1367" spans="27:31" ht="14.4">
      <c r="AA1367" s="463"/>
      <c r="AB1367" s="462"/>
      <c r="AC1367" s="462"/>
      <c r="AD1367" s="464"/>
      <c r="AE1367" s="465"/>
    </row>
    <row r="1368" spans="27:31" ht="14.4">
      <c r="AA1368" s="463"/>
      <c r="AB1368" s="462"/>
      <c r="AC1368" s="462"/>
      <c r="AD1368" s="464"/>
      <c r="AE1368" s="465"/>
    </row>
    <row r="1369" spans="27:31" ht="14.4">
      <c r="AA1369" s="463"/>
      <c r="AB1369" s="462"/>
      <c r="AC1369" s="462"/>
      <c r="AD1369" s="464"/>
      <c r="AE1369" s="465"/>
    </row>
    <row r="1370" spans="27:31" ht="14.4">
      <c r="AA1370" s="463"/>
      <c r="AB1370" s="462"/>
      <c r="AC1370" s="462"/>
      <c r="AD1370" s="464"/>
      <c r="AE1370" s="465"/>
    </row>
    <row r="1371" spans="27:31" ht="14.4">
      <c r="AA1371" s="463"/>
      <c r="AB1371" s="462"/>
      <c r="AC1371" s="462"/>
      <c r="AD1371" s="464"/>
      <c r="AE1371" s="465"/>
    </row>
    <row r="1372" spans="27:31" ht="14.4">
      <c r="AA1372" s="463"/>
      <c r="AB1372" s="462"/>
      <c r="AC1372" s="462"/>
      <c r="AD1372" s="464"/>
      <c r="AE1372" s="465"/>
    </row>
    <row r="1373" spans="27:31" ht="14.4">
      <c r="AA1373" s="463"/>
      <c r="AB1373" s="462"/>
      <c r="AC1373" s="462"/>
      <c r="AD1373" s="464"/>
      <c r="AE1373" s="465"/>
    </row>
    <row r="1374" spans="27:31" ht="14.4">
      <c r="AA1374" s="463"/>
      <c r="AB1374" s="462"/>
      <c r="AC1374" s="462"/>
      <c r="AD1374" s="464"/>
      <c r="AE1374" s="465"/>
    </row>
    <row r="1375" spans="27:31" ht="14.4">
      <c r="AA1375" s="463"/>
      <c r="AB1375" s="462"/>
      <c r="AC1375" s="462"/>
      <c r="AD1375" s="464"/>
      <c r="AE1375" s="465"/>
    </row>
    <row r="1376" spans="27:31" ht="14.4">
      <c r="AA1376" s="463"/>
      <c r="AB1376" s="462"/>
      <c r="AC1376" s="462"/>
      <c r="AD1376" s="464"/>
      <c r="AE1376" s="465"/>
    </row>
    <row r="1377" spans="27:31" ht="14.4">
      <c r="AA1377" s="463"/>
      <c r="AB1377" s="462"/>
      <c r="AC1377" s="462"/>
      <c r="AD1377" s="464"/>
      <c r="AE1377" s="465"/>
    </row>
    <row r="1378" spans="27:31" ht="14.4">
      <c r="AA1378" s="463"/>
      <c r="AB1378" s="462"/>
      <c r="AC1378" s="462"/>
      <c r="AD1378" s="464"/>
      <c r="AE1378" s="465"/>
    </row>
    <row r="1379" spans="27:31" ht="14.4">
      <c r="AA1379" s="463"/>
      <c r="AB1379" s="462"/>
      <c r="AC1379" s="462"/>
      <c r="AD1379" s="464"/>
      <c r="AE1379" s="465"/>
    </row>
    <row r="1380" spans="27:31" ht="14.4">
      <c r="AA1380" s="463"/>
      <c r="AB1380" s="462"/>
      <c r="AC1380" s="462"/>
      <c r="AD1380" s="464"/>
      <c r="AE1380" s="465"/>
    </row>
    <row r="1381" spans="27:31" ht="14.4">
      <c r="AA1381" s="463"/>
      <c r="AB1381" s="462"/>
      <c r="AC1381" s="462"/>
      <c r="AD1381" s="464"/>
      <c r="AE1381" s="465"/>
    </row>
    <row r="1382" spans="27:31" ht="14.4">
      <c r="AA1382" s="463"/>
      <c r="AB1382" s="462"/>
      <c r="AC1382" s="462"/>
      <c r="AD1382" s="464"/>
      <c r="AE1382" s="465"/>
    </row>
    <row r="1383" spans="27:31" ht="14.4">
      <c r="AA1383" s="463"/>
      <c r="AB1383" s="462"/>
      <c r="AC1383" s="462"/>
      <c r="AD1383" s="464"/>
      <c r="AE1383" s="465"/>
    </row>
    <row r="1384" spans="27:31" ht="14.4">
      <c r="AA1384" s="463"/>
      <c r="AB1384" s="462"/>
      <c r="AC1384" s="462"/>
      <c r="AD1384" s="464"/>
      <c r="AE1384" s="465"/>
    </row>
    <row r="1385" spans="27:31" ht="14.4">
      <c r="AA1385" s="463"/>
      <c r="AB1385" s="462"/>
      <c r="AC1385" s="462"/>
      <c r="AD1385" s="464"/>
      <c r="AE1385" s="465"/>
    </row>
    <row r="1386" spans="27:31" ht="14.4">
      <c r="AA1386" s="463"/>
      <c r="AB1386" s="462"/>
      <c r="AC1386" s="462"/>
      <c r="AD1386" s="464"/>
      <c r="AE1386" s="465"/>
    </row>
    <row r="1387" spans="27:31" ht="14.4">
      <c r="AA1387" s="463"/>
      <c r="AB1387" s="462"/>
      <c r="AC1387" s="462"/>
      <c r="AD1387" s="464"/>
      <c r="AE1387" s="465"/>
    </row>
    <row r="1388" spans="27:31" ht="14.4">
      <c r="AA1388" s="463"/>
      <c r="AB1388" s="462"/>
      <c r="AC1388" s="462"/>
      <c r="AD1388" s="464"/>
      <c r="AE1388" s="465"/>
    </row>
    <row r="1389" spans="27:31" ht="14.4">
      <c r="AA1389" s="463"/>
      <c r="AB1389" s="462"/>
      <c r="AC1389" s="462"/>
      <c r="AD1389" s="464"/>
      <c r="AE1389" s="465"/>
    </row>
    <row r="1390" spans="27:31" ht="14.4">
      <c r="AA1390" s="463"/>
      <c r="AB1390" s="462"/>
      <c r="AC1390" s="462"/>
      <c r="AD1390" s="464"/>
      <c r="AE1390" s="465"/>
    </row>
    <row r="1391" spans="27:31" ht="14.4">
      <c r="AA1391" s="463"/>
      <c r="AB1391" s="462"/>
      <c r="AC1391" s="462"/>
      <c r="AD1391" s="464"/>
      <c r="AE1391" s="465"/>
    </row>
    <row r="1392" spans="27:31" ht="14.4">
      <c r="AA1392" s="463"/>
      <c r="AB1392" s="462"/>
      <c r="AC1392" s="462"/>
      <c r="AD1392" s="464"/>
      <c r="AE1392" s="465"/>
    </row>
    <row r="1393" spans="27:31" ht="14.4">
      <c r="AA1393" s="463"/>
      <c r="AB1393" s="462"/>
      <c r="AC1393" s="462"/>
      <c r="AD1393" s="464"/>
      <c r="AE1393" s="465"/>
    </row>
    <row r="1394" spans="27:31" ht="14.4">
      <c r="AA1394" s="463"/>
      <c r="AB1394" s="462"/>
      <c r="AC1394" s="462"/>
      <c r="AD1394" s="464"/>
      <c r="AE1394" s="465"/>
    </row>
    <row r="1395" spans="27:31" ht="14.4">
      <c r="AA1395" s="463"/>
      <c r="AB1395" s="462"/>
      <c r="AC1395" s="462"/>
      <c r="AD1395" s="464"/>
      <c r="AE1395" s="465"/>
    </row>
    <row r="1396" spans="27:31" ht="14.4">
      <c r="AA1396" s="463"/>
      <c r="AB1396" s="462"/>
      <c r="AC1396" s="462"/>
      <c r="AD1396" s="464"/>
      <c r="AE1396" s="465"/>
    </row>
    <row r="1397" spans="27:31" ht="14.4">
      <c r="AA1397" s="463"/>
      <c r="AB1397" s="462"/>
      <c r="AC1397" s="462"/>
      <c r="AD1397" s="464"/>
      <c r="AE1397" s="465"/>
    </row>
    <row r="1398" spans="27:31" ht="14.4">
      <c r="AA1398" s="463"/>
      <c r="AB1398" s="462"/>
      <c r="AC1398" s="462"/>
      <c r="AD1398" s="464"/>
      <c r="AE1398" s="465"/>
    </row>
    <row r="1399" spans="27:31" ht="14.4">
      <c r="AA1399" s="463"/>
      <c r="AB1399" s="462"/>
      <c r="AC1399" s="462"/>
      <c r="AD1399" s="464"/>
      <c r="AE1399" s="465"/>
    </row>
    <row r="1400" spans="27:31" ht="14.4">
      <c r="AA1400" s="463"/>
      <c r="AB1400" s="462"/>
      <c r="AC1400" s="462"/>
      <c r="AD1400" s="464"/>
      <c r="AE1400" s="465"/>
    </row>
    <row r="1401" spans="27:31" ht="14.4">
      <c r="AA1401" s="463"/>
      <c r="AB1401" s="462"/>
      <c r="AC1401" s="462"/>
      <c r="AD1401" s="464"/>
      <c r="AE1401" s="465"/>
    </row>
    <row r="1402" spans="27:31" ht="14.4">
      <c r="AA1402" s="463"/>
      <c r="AB1402" s="462"/>
      <c r="AC1402" s="462"/>
      <c r="AD1402" s="464"/>
      <c r="AE1402" s="465"/>
    </row>
    <row r="1403" spans="27:31" ht="14.4">
      <c r="AA1403" s="463"/>
      <c r="AB1403" s="462"/>
      <c r="AC1403" s="462"/>
      <c r="AD1403" s="464"/>
      <c r="AE1403" s="465"/>
    </row>
    <row r="1404" spans="27:31" ht="14.4">
      <c r="AA1404" s="463"/>
      <c r="AB1404" s="462"/>
      <c r="AC1404" s="462"/>
      <c r="AD1404" s="464"/>
      <c r="AE1404" s="465"/>
    </row>
    <row r="1405" spans="27:31" ht="14.4">
      <c r="AA1405" s="463"/>
      <c r="AB1405" s="462"/>
      <c r="AC1405" s="462"/>
      <c r="AD1405" s="464"/>
      <c r="AE1405" s="465"/>
    </row>
    <row r="1406" spans="27:31" ht="14.4">
      <c r="AA1406" s="463"/>
      <c r="AB1406" s="462"/>
      <c r="AC1406" s="462"/>
      <c r="AD1406" s="464"/>
      <c r="AE1406" s="465"/>
    </row>
    <row r="1407" spans="27:31" ht="14.4">
      <c r="AA1407" s="463"/>
      <c r="AB1407" s="462"/>
      <c r="AC1407" s="462"/>
      <c r="AD1407" s="464"/>
      <c r="AE1407" s="465"/>
    </row>
    <row r="1408" spans="27:31" ht="14.4">
      <c r="AA1408" s="463"/>
      <c r="AB1408" s="462"/>
      <c r="AC1408" s="462"/>
      <c r="AD1408" s="464"/>
      <c r="AE1408" s="465"/>
    </row>
    <row r="1409" spans="27:31" ht="14.4">
      <c r="AA1409" s="463"/>
      <c r="AB1409" s="462"/>
      <c r="AC1409" s="462"/>
      <c r="AD1409" s="464"/>
      <c r="AE1409" s="465"/>
    </row>
    <row r="1410" spans="27:31" ht="14.4">
      <c r="AA1410" s="463"/>
      <c r="AB1410" s="462"/>
      <c r="AC1410" s="462"/>
      <c r="AD1410" s="464"/>
      <c r="AE1410" s="465"/>
    </row>
    <row r="1411" spans="27:31" ht="14.4">
      <c r="AA1411" s="463"/>
      <c r="AB1411" s="462"/>
      <c r="AC1411" s="462"/>
      <c r="AD1411" s="464"/>
      <c r="AE1411" s="465"/>
    </row>
    <row r="1412" spans="27:31" ht="14.4">
      <c r="AA1412" s="463"/>
      <c r="AB1412" s="462"/>
      <c r="AC1412" s="462"/>
      <c r="AD1412" s="464"/>
      <c r="AE1412" s="465"/>
    </row>
    <row r="1413" spans="27:31" ht="14.4">
      <c r="AA1413" s="463"/>
      <c r="AB1413" s="462"/>
      <c r="AC1413" s="462"/>
      <c r="AD1413" s="464"/>
      <c r="AE1413" s="465"/>
    </row>
    <row r="1414" spans="27:31" ht="14.4">
      <c r="AA1414" s="463"/>
      <c r="AB1414" s="462"/>
      <c r="AC1414" s="462"/>
      <c r="AD1414" s="464"/>
      <c r="AE1414" s="465"/>
    </row>
    <row r="1415" spans="27:31" ht="14.4">
      <c r="AA1415" s="463"/>
      <c r="AB1415" s="462"/>
      <c r="AC1415" s="462"/>
      <c r="AD1415" s="464"/>
      <c r="AE1415" s="465"/>
    </row>
    <row r="1416" spans="27:31" ht="14.4">
      <c r="AA1416" s="463"/>
      <c r="AB1416" s="462"/>
      <c r="AC1416" s="462"/>
      <c r="AD1416" s="464"/>
      <c r="AE1416" s="465"/>
    </row>
    <row r="1417" spans="27:31" ht="14.4">
      <c r="AA1417" s="463"/>
      <c r="AB1417" s="462"/>
      <c r="AC1417" s="462"/>
      <c r="AD1417" s="464"/>
      <c r="AE1417" s="465"/>
    </row>
    <row r="1418" spans="27:31" ht="14.4">
      <c r="AA1418" s="463"/>
      <c r="AB1418" s="462"/>
      <c r="AC1418" s="462"/>
      <c r="AD1418" s="464"/>
      <c r="AE1418" s="465"/>
    </row>
    <row r="1419" spans="27:31" ht="14.4">
      <c r="AA1419" s="463"/>
      <c r="AB1419" s="462"/>
      <c r="AC1419" s="462"/>
      <c r="AD1419" s="464"/>
      <c r="AE1419" s="465"/>
    </row>
    <row r="1420" spans="27:31" ht="14.4">
      <c r="AA1420" s="463"/>
      <c r="AB1420" s="462"/>
      <c r="AC1420" s="462"/>
      <c r="AD1420" s="464"/>
      <c r="AE1420" s="465"/>
    </row>
    <row r="1421" spans="27:31" ht="14.4">
      <c r="AA1421" s="463"/>
      <c r="AB1421" s="462"/>
      <c r="AC1421" s="462"/>
      <c r="AD1421" s="464"/>
      <c r="AE1421" s="465"/>
    </row>
    <row r="1422" spans="27:31" ht="14.4">
      <c r="AA1422" s="463"/>
      <c r="AB1422" s="462"/>
      <c r="AC1422" s="462"/>
      <c r="AD1422" s="464"/>
      <c r="AE1422" s="465"/>
    </row>
    <row r="1423" spans="27:31" ht="14.4">
      <c r="AA1423" s="463"/>
      <c r="AB1423" s="462"/>
      <c r="AC1423" s="462"/>
      <c r="AD1423" s="464"/>
      <c r="AE1423" s="465"/>
    </row>
    <row r="1424" spans="27:31" ht="14.4">
      <c r="AA1424" s="463"/>
      <c r="AB1424" s="462"/>
      <c r="AC1424" s="462"/>
      <c r="AD1424" s="464"/>
      <c r="AE1424" s="465"/>
    </row>
    <row r="1425" spans="27:31" ht="14.4">
      <c r="AA1425" s="463"/>
      <c r="AB1425" s="462"/>
      <c r="AC1425" s="462"/>
      <c r="AD1425" s="464"/>
      <c r="AE1425" s="465"/>
    </row>
    <row r="1426" spans="27:31" ht="14.4">
      <c r="AA1426" s="463"/>
      <c r="AB1426" s="462"/>
      <c r="AC1426" s="462"/>
      <c r="AD1426" s="464"/>
      <c r="AE1426" s="465"/>
    </row>
    <row r="1427" spans="27:31" ht="14.4">
      <c r="AA1427" s="463"/>
      <c r="AB1427" s="462"/>
      <c r="AC1427" s="462"/>
      <c r="AD1427" s="464"/>
      <c r="AE1427" s="465"/>
    </row>
    <row r="1428" spans="27:31" ht="14.4">
      <c r="AA1428" s="463"/>
      <c r="AB1428" s="462"/>
      <c r="AC1428" s="462"/>
      <c r="AD1428" s="464"/>
      <c r="AE1428" s="465"/>
    </row>
    <row r="1429" spans="27:31" ht="14.4">
      <c r="AA1429" s="463"/>
      <c r="AB1429" s="462"/>
      <c r="AC1429" s="462"/>
      <c r="AD1429" s="464"/>
      <c r="AE1429" s="465"/>
    </row>
    <row r="1430" spans="27:31" ht="14.4">
      <c r="AA1430" s="463"/>
      <c r="AB1430" s="462"/>
      <c r="AC1430" s="462"/>
      <c r="AD1430" s="464"/>
      <c r="AE1430" s="465"/>
    </row>
    <row r="1431" spans="27:31" ht="14.4">
      <c r="AA1431" s="463"/>
      <c r="AB1431" s="462"/>
      <c r="AC1431" s="462"/>
      <c r="AD1431" s="464"/>
      <c r="AE1431" s="465"/>
    </row>
    <row r="1432" spans="27:31" ht="14.4">
      <c r="AA1432" s="463"/>
      <c r="AB1432" s="462"/>
      <c r="AC1432" s="462"/>
      <c r="AD1432" s="464"/>
      <c r="AE1432" s="465"/>
    </row>
    <row r="1433" spans="27:31" ht="14.4">
      <c r="AA1433" s="463"/>
      <c r="AB1433" s="462"/>
      <c r="AC1433" s="462"/>
      <c r="AD1433" s="464"/>
      <c r="AE1433" s="465"/>
    </row>
    <row r="1434" spans="27:31" ht="14.4">
      <c r="AA1434" s="463"/>
      <c r="AB1434" s="462"/>
      <c r="AC1434" s="462"/>
      <c r="AD1434" s="464"/>
      <c r="AE1434" s="465"/>
    </row>
    <row r="1435" spans="27:31" ht="14.4">
      <c r="AA1435" s="463"/>
      <c r="AB1435" s="462"/>
      <c r="AC1435" s="462"/>
      <c r="AD1435" s="464"/>
      <c r="AE1435" s="465"/>
    </row>
    <row r="1436" spans="27:31" ht="14.4">
      <c r="AA1436" s="463"/>
      <c r="AB1436" s="462"/>
      <c r="AC1436" s="462"/>
      <c r="AD1436" s="464"/>
      <c r="AE1436" s="465"/>
    </row>
    <row r="1437" spans="27:31" ht="14.4">
      <c r="AA1437" s="463"/>
      <c r="AB1437" s="462"/>
      <c r="AC1437" s="462"/>
      <c r="AD1437" s="464"/>
      <c r="AE1437" s="465"/>
    </row>
    <row r="1438" spans="27:31" ht="14.4">
      <c r="AA1438" s="463"/>
      <c r="AB1438" s="462"/>
      <c r="AC1438" s="462"/>
      <c r="AD1438" s="464"/>
      <c r="AE1438" s="465"/>
    </row>
    <row r="1439" spans="27:31" ht="14.4">
      <c r="AA1439" s="463"/>
      <c r="AB1439" s="462"/>
      <c r="AC1439" s="462"/>
      <c r="AD1439" s="464"/>
      <c r="AE1439" s="465"/>
    </row>
    <row r="1440" spans="27:31" ht="14.4">
      <c r="AA1440" s="463"/>
      <c r="AB1440" s="462"/>
      <c r="AC1440" s="462"/>
      <c r="AD1440" s="464"/>
      <c r="AE1440" s="465"/>
    </row>
    <row r="1441" spans="27:31" ht="14.4">
      <c r="AA1441" s="463"/>
      <c r="AB1441" s="462"/>
      <c r="AC1441" s="462"/>
      <c r="AD1441" s="464"/>
      <c r="AE1441" s="465"/>
    </row>
    <row r="1442" spans="27:31" ht="14.4">
      <c r="AA1442" s="463"/>
      <c r="AB1442" s="462"/>
      <c r="AC1442" s="462"/>
      <c r="AD1442" s="464"/>
      <c r="AE1442" s="465"/>
    </row>
    <row r="1443" spans="27:31" ht="14.4">
      <c r="AA1443" s="463"/>
      <c r="AB1443" s="462"/>
      <c r="AC1443" s="462"/>
      <c r="AD1443" s="464"/>
      <c r="AE1443" s="465"/>
    </row>
    <row r="1444" spans="27:31" ht="14.4">
      <c r="AA1444" s="463"/>
      <c r="AB1444" s="462"/>
      <c r="AC1444" s="462"/>
      <c r="AD1444" s="464"/>
      <c r="AE1444" s="465"/>
    </row>
    <row r="1445" spans="27:31" ht="14.4">
      <c r="AA1445" s="463"/>
      <c r="AB1445" s="462"/>
      <c r="AC1445" s="462"/>
      <c r="AD1445" s="464"/>
      <c r="AE1445" s="465"/>
    </row>
    <row r="1446" spans="27:31" ht="14.4">
      <c r="AA1446" s="463"/>
      <c r="AB1446" s="462"/>
      <c r="AC1446" s="462"/>
      <c r="AD1446" s="464"/>
      <c r="AE1446" s="465"/>
    </row>
    <row r="1447" spans="27:31" ht="14.4">
      <c r="AA1447" s="463"/>
      <c r="AB1447" s="462"/>
      <c r="AC1447" s="462"/>
      <c r="AD1447" s="464"/>
      <c r="AE1447" s="465"/>
    </row>
    <row r="1448" spans="27:31" ht="14.4">
      <c r="AA1448" s="463"/>
      <c r="AB1448" s="462"/>
      <c r="AC1448" s="462"/>
      <c r="AD1448" s="464"/>
      <c r="AE1448" s="465"/>
    </row>
    <row r="1449" spans="27:31" ht="14.4">
      <c r="AA1449" s="463"/>
      <c r="AB1449" s="462"/>
      <c r="AC1449" s="462"/>
      <c r="AD1449" s="464"/>
      <c r="AE1449" s="465"/>
    </row>
    <row r="1450" spans="27:31" ht="14.4">
      <c r="AA1450" s="463"/>
      <c r="AB1450" s="462"/>
      <c r="AC1450" s="462"/>
      <c r="AD1450" s="464"/>
      <c r="AE1450" s="465"/>
    </row>
    <row r="1451" spans="27:31" ht="14.4">
      <c r="AA1451" s="463"/>
      <c r="AB1451" s="462"/>
      <c r="AC1451" s="462"/>
      <c r="AD1451" s="464"/>
      <c r="AE1451" s="465"/>
    </row>
    <row r="1452" spans="27:31" ht="14.4">
      <c r="AA1452" s="463"/>
      <c r="AB1452" s="462"/>
      <c r="AC1452" s="462"/>
      <c r="AD1452" s="464"/>
      <c r="AE1452" s="465"/>
    </row>
    <row r="1453" spans="27:31" ht="14.4">
      <c r="AA1453" s="463"/>
      <c r="AB1453" s="462"/>
      <c r="AC1453" s="462"/>
      <c r="AD1453" s="464"/>
      <c r="AE1453" s="465"/>
    </row>
    <row r="1454" spans="27:31" ht="14.4">
      <c r="AA1454" s="463"/>
      <c r="AB1454" s="462"/>
      <c r="AC1454" s="462"/>
      <c r="AD1454" s="464"/>
      <c r="AE1454" s="465"/>
    </row>
    <row r="1455" spans="27:31" ht="14.4">
      <c r="AA1455" s="463"/>
      <c r="AB1455" s="462"/>
      <c r="AC1455" s="462"/>
      <c r="AD1455" s="464"/>
      <c r="AE1455" s="465"/>
    </row>
    <row r="1456" spans="27:31" ht="14.4">
      <c r="AA1456" s="463"/>
      <c r="AB1456" s="462"/>
      <c r="AC1456" s="462"/>
      <c r="AD1456" s="464"/>
      <c r="AE1456" s="465"/>
    </row>
    <row r="1457" spans="27:31" ht="14.4">
      <c r="AA1457" s="463"/>
      <c r="AB1457" s="462"/>
      <c r="AC1457" s="462"/>
      <c r="AD1457" s="464"/>
      <c r="AE1457" s="465"/>
    </row>
    <row r="1458" spans="27:31" ht="14.4">
      <c r="AA1458" s="463"/>
      <c r="AB1458" s="462"/>
      <c r="AC1458" s="462"/>
      <c r="AD1458" s="464"/>
      <c r="AE1458" s="465"/>
    </row>
    <row r="1459" spans="27:31" ht="14.4">
      <c r="AA1459" s="463"/>
      <c r="AB1459" s="462"/>
      <c r="AC1459" s="462"/>
      <c r="AD1459" s="464"/>
      <c r="AE1459" s="465"/>
    </row>
    <row r="1460" spans="27:31" ht="14.4">
      <c r="AA1460" s="463"/>
      <c r="AB1460" s="462"/>
      <c r="AC1460" s="462"/>
      <c r="AD1460" s="464"/>
      <c r="AE1460" s="465"/>
    </row>
    <row r="1461" spans="27:31" ht="14.4">
      <c r="AA1461" s="463"/>
      <c r="AB1461" s="462"/>
      <c r="AC1461" s="462"/>
      <c r="AD1461" s="464"/>
      <c r="AE1461" s="465"/>
    </row>
    <row r="1462" spans="27:31" ht="14.4">
      <c r="AA1462" s="463"/>
      <c r="AB1462" s="462"/>
      <c r="AC1462" s="462"/>
      <c r="AD1462" s="464"/>
      <c r="AE1462" s="465"/>
    </row>
    <row r="1463" spans="27:31" ht="14.4">
      <c r="AA1463" s="463"/>
      <c r="AB1463" s="462"/>
      <c r="AC1463" s="462"/>
      <c r="AD1463" s="464"/>
      <c r="AE1463" s="465"/>
    </row>
    <row r="1464" spans="27:31" ht="14.4">
      <c r="AA1464" s="463"/>
      <c r="AB1464" s="462"/>
      <c r="AC1464" s="462"/>
      <c r="AD1464" s="464"/>
      <c r="AE1464" s="465"/>
    </row>
    <row r="1465" spans="27:31" ht="14.4">
      <c r="AA1465" s="463"/>
      <c r="AB1465" s="462"/>
      <c r="AC1465" s="462"/>
      <c r="AD1465" s="464"/>
      <c r="AE1465" s="465"/>
    </row>
    <row r="1466" spans="27:31" ht="14.4">
      <c r="AA1466" s="463"/>
      <c r="AB1466" s="462"/>
      <c r="AC1466" s="462"/>
      <c r="AD1466" s="464"/>
      <c r="AE1466" s="465"/>
    </row>
    <row r="1467" spans="27:31" ht="14.4">
      <c r="AA1467" s="463"/>
      <c r="AB1467" s="462"/>
      <c r="AC1467" s="462"/>
      <c r="AD1467" s="464"/>
      <c r="AE1467" s="465"/>
    </row>
    <row r="1468" spans="27:31" ht="14.4">
      <c r="AA1468" s="463"/>
      <c r="AB1468" s="462"/>
      <c r="AC1468" s="462"/>
      <c r="AD1468" s="464"/>
      <c r="AE1468" s="465"/>
    </row>
    <row r="1469" spans="27:31" ht="14.4">
      <c r="AA1469" s="463"/>
      <c r="AB1469" s="462"/>
      <c r="AC1469" s="462"/>
      <c r="AD1469" s="464"/>
      <c r="AE1469" s="465"/>
    </row>
    <row r="1470" spans="27:31" ht="14.4">
      <c r="AA1470" s="463"/>
      <c r="AB1470" s="462"/>
      <c r="AC1470" s="462"/>
      <c r="AD1470" s="464"/>
      <c r="AE1470" s="465"/>
    </row>
    <row r="1471" spans="27:31" ht="14.4">
      <c r="AA1471" s="463"/>
      <c r="AB1471" s="462"/>
      <c r="AC1471" s="462"/>
      <c r="AD1471" s="464"/>
      <c r="AE1471" s="465"/>
    </row>
    <row r="1472" spans="27:31" ht="14.4">
      <c r="AA1472" s="463"/>
      <c r="AB1472" s="462"/>
      <c r="AC1472" s="462"/>
      <c r="AD1472" s="464"/>
      <c r="AE1472" s="465"/>
    </row>
    <row r="1473" spans="27:31" ht="14.4">
      <c r="AA1473" s="463"/>
      <c r="AB1473" s="462"/>
      <c r="AC1473" s="462"/>
      <c r="AD1473" s="464"/>
      <c r="AE1473" s="465"/>
    </row>
    <row r="1474" spans="27:31" ht="14.4">
      <c r="AA1474" s="463"/>
      <c r="AB1474" s="462"/>
      <c r="AC1474" s="462"/>
      <c r="AD1474" s="464"/>
      <c r="AE1474" s="465"/>
    </row>
    <row r="1475" spans="27:31" ht="14.4">
      <c r="AA1475" s="463"/>
      <c r="AB1475" s="462"/>
      <c r="AC1475" s="462"/>
      <c r="AD1475" s="464"/>
      <c r="AE1475" s="465"/>
    </row>
    <row r="1476" spans="27:31" ht="14.4">
      <c r="AA1476" s="463"/>
      <c r="AB1476" s="462"/>
      <c r="AC1476" s="462"/>
      <c r="AD1476" s="464"/>
      <c r="AE1476" s="465"/>
    </row>
    <row r="1477" spans="27:31" ht="14.4">
      <c r="AA1477" s="463"/>
      <c r="AB1477" s="462"/>
      <c r="AC1477" s="462"/>
      <c r="AD1477" s="464"/>
      <c r="AE1477" s="465"/>
    </row>
    <row r="1478" spans="27:31" ht="14.4">
      <c r="AA1478" s="463"/>
      <c r="AB1478" s="462"/>
      <c r="AC1478" s="462"/>
      <c r="AD1478" s="464"/>
      <c r="AE1478" s="465"/>
    </row>
    <row r="1479" spans="27:31" ht="14.4">
      <c r="AA1479" s="463"/>
      <c r="AB1479" s="462"/>
      <c r="AC1479" s="462"/>
      <c r="AD1479" s="464"/>
      <c r="AE1479" s="465"/>
    </row>
    <row r="1480" spans="27:31" ht="14.4">
      <c r="AA1480" s="463"/>
      <c r="AB1480" s="462"/>
      <c r="AC1480" s="462"/>
      <c r="AD1480" s="464"/>
      <c r="AE1480" s="465"/>
    </row>
    <row r="1481" spans="27:31" ht="14.4">
      <c r="AA1481" s="463"/>
      <c r="AB1481" s="462"/>
      <c r="AC1481" s="462"/>
      <c r="AD1481" s="464"/>
      <c r="AE1481" s="465"/>
    </row>
    <row r="1482" spans="27:31" ht="14.4">
      <c r="AA1482" s="463"/>
      <c r="AB1482" s="462"/>
      <c r="AC1482" s="462"/>
      <c r="AD1482" s="464"/>
      <c r="AE1482" s="465"/>
    </row>
    <row r="1483" spans="27:31" ht="14.4">
      <c r="AA1483" s="463"/>
      <c r="AB1483" s="462"/>
      <c r="AC1483" s="462"/>
      <c r="AD1483" s="464"/>
      <c r="AE1483" s="465"/>
    </row>
    <row r="1484" spans="27:31" ht="14.4">
      <c r="AA1484" s="463"/>
      <c r="AB1484" s="462"/>
      <c r="AC1484" s="462"/>
      <c r="AD1484" s="464"/>
      <c r="AE1484" s="465"/>
    </row>
    <row r="1485" spans="27:31" ht="14.4">
      <c r="AA1485" s="463"/>
      <c r="AB1485" s="462"/>
      <c r="AC1485" s="462"/>
      <c r="AD1485" s="464"/>
      <c r="AE1485" s="465"/>
    </row>
    <row r="1486" spans="27:31" ht="14.4">
      <c r="AA1486" s="463"/>
      <c r="AB1486" s="462"/>
      <c r="AC1486" s="462"/>
      <c r="AD1486" s="464"/>
      <c r="AE1486" s="465"/>
    </row>
    <row r="1487" spans="27:31" ht="14.4">
      <c r="AA1487" s="463"/>
      <c r="AB1487" s="462"/>
      <c r="AC1487" s="462"/>
      <c r="AD1487" s="464"/>
      <c r="AE1487" s="465"/>
    </row>
    <row r="1488" spans="27:31" ht="14.4">
      <c r="AA1488" s="463"/>
      <c r="AB1488" s="462"/>
      <c r="AC1488" s="462"/>
      <c r="AD1488" s="464"/>
      <c r="AE1488" s="465"/>
    </row>
    <row r="1489" spans="27:31" ht="14.4">
      <c r="AA1489" s="463"/>
      <c r="AB1489" s="462"/>
      <c r="AC1489" s="462"/>
      <c r="AD1489" s="464"/>
      <c r="AE1489" s="465"/>
    </row>
    <row r="1490" spans="27:31" ht="14.4">
      <c r="AA1490" s="463"/>
      <c r="AB1490" s="462"/>
      <c r="AC1490" s="462"/>
      <c r="AD1490" s="464"/>
      <c r="AE1490" s="465"/>
    </row>
    <row r="1491" spans="27:31" ht="14.4">
      <c r="AA1491" s="463"/>
      <c r="AB1491" s="462"/>
      <c r="AC1491" s="462"/>
      <c r="AD1491" s="464"/>
      <c r="AE1491" s="465"/>
    </row>
    <row r="1492" spans="27:31" ht="14.4">
      <c r="AA1492" s="463"/>
      <c r="AB1492" s="462"/>
      <c r="AC1492" s="462"/>
      <c r="AD1492" s="464"/>
      <c r="AE1492" s="465"/>
    </row>
    <row r="1493" spans="27:31" ht="14.4">
      <c r="AA1493" s="463"/>
      <c r="AB1493" s="462"/>
      <c r="AC1493" s="462"/>
      <c r="AD1493" s="464"/>
      <c r="AE1493" s="465"/>
    </row>
    <row r="1494" spans="27:31" ht="14.4">
      <c r="AA1494" s="463"/>
      <c r="AB1494" s="462"/>
      <c r="AC1494" s="462"/>
      <c r="AD1494" s="464"/>
      <c r="AE1494" s="465"/>
    </row>
    <row r="1495" spans="27:31" ht="14.4">
      <c r="AA1495" s="463"/>
      <c r="AB1495" s="462"/>
      <c r="AC1495" s="462"/>
      <c r="AD1495" s="464"/>
      <c r="AE1495" s="465"/>
    </row>
    <row r="1496" spans="27:31" ht="14.4">
      <c r="AA1496" s="463"/>
      <c r="AB1496" s="462"/>
      <c r="AC1496" s="462"/>
      <c r="AD1496" s="464"/>
      <c r="AE1496" s="465"/>
    </row>
    <row r="1497" spans="27:31" ht="14.4">
      <c r="AA1497" s="463"/>
      <c r="AB1497" s="462"/>
      <c r="AC1497" s="462"/>
      <c r="AD1497" s="464"/>
      <c r="AE1497" s="465"/>
    </row>
    <row r="1498" spans="27:31" ht="14.4">
      <c r="AA1498" s="463"/>
      <c r="AB1498" s="462"/>
      <c r="AC1498" s="462"/>
      <c r="AD1498" s="464"/>
      <c r="AE1498" s="465"/>
    </row>
    <row r="1499" spans="27:31" ht="14.4">
      <c r="AA1499" s="463"/>
      <c r="AB1499" s="462"/>
      <c r="AC1499" s="462"/>
      <c r="AD1499" s="464"/>
      <c r="AE1499" s="465"/>
    </row>
    <row r="1500" spans="27:31" ht="14.4">
      <c r="AA1500" s="463"/>
      <c r="AB1500" s="462"/>
      <c r="AC1500" s="462"/>
      <c r="AD1500" s="464"/>
      <c r="AE1500" s="465"/>
    </row>
    <row r="1501" spans="27:31" ht="14.4">
      <c r="AA1501" s="463"/>
      <c r="AB1501" s="462"/>
      <c r="AC1501" s="462"/>
      <c r="AD1501" s="464"/>
      <c r="AE1501" s="465"/>
    </row>
    <row r="1502" spans="27:31" ht="14.4">
      <c r="AA1502" s="463"/>
      <c r="AB1502" s="462"/>
      <c r="AC1502" s="462"/>
      <c r="AD1502" s="464"/>
      <c r="AE1502" s="465"/>
    </row>
    <row r="1503" spans="27:31" ht="14.4">
      <c r="AA1503" s="463"/>
      <c r="AB1503" s="462"/>
      <c r="AC1503" s="462"/>
      <c r="AD1503" s="464"/>
      <c r="AE1503" s="465"/>
    </row>
    <row r="1504" spans="27:31" ht="14.4">
      <c r="AA1504" s="463"/>
      <c r="AB1504" s="462"/>
      <c r="AC1504" s="462"/>
      <c r="AD1504" s="464"/>
      <c r="AE1504" s="465"/>
    </row>
    <row r="1505" spans="27:31" ht="14.4">
      <c r="AA1505" s="463"/>
      <c r="AB1505" s="462"/>
      <c r="AC1505" s="462"/>
      <c r="AD1505" s="464"/>
      <c r="AE1505" s="465"/>
    </row>
    <row r="1506" spans="27:31" ht="14.4">
      <c r="AA1506" s="463"/>
      <c r="AB1506" s="462"/>
      <c r="AC1506" s="462"/>
      <c r="AD1506" s="464"/>
      <c r="AE1506" s="465"/>
    </row>
    <row r="1507" spans="27:31" ht="14.4">
      <c r="AA1507" s="463"/>
      <c r="AB1507" s="462"/>
      <c r="AC1507" s="462"/>
      <c r="AD1507" s="464"/>
      <c r="AE1507" s="465"/>
    </row>
    <row r="1508" spans="27:31" ht="14.4">
      <c r="AA1508" s="463"/>
      <c r="AB1508" s="462"/>
      <c r="AC1508" s="462"/>
      <c r="AD1508" s="464"/>
      <c r="AE1508" s="465"/>
    </row>
    <row r="1509" spans="27:31" ht="14.4">
      <c r="AA1509" s="463"/>
      <c r="AB1509" s="462"/>
      <c r="AC1509" s="462"/>
      <c r="AD1509" s="464"/>
      <c r="AE1509" s="465"/>
    </row>
    <row r="1510" spans="27:31" ht="14.4">
      <c r="AA1510" s="463"/>
      <c r="AB1510" s="462"/>
      <c r="AC1510" s="462"/>
      <c r="AD1510" s="464"/>
      <c r="AE1510" s="465"/>
    </row>
    <row r="1511" spans="27:31" ht="14.4">
      <c r="AA1511" s="463"/>
      <c r="AB1511" s="462"/>
      <c r="AC1511" s="462"/>
      <c r="AD1511" s="464"/>
      <c r="AE1511" s="465"/>
    </row>
    <row r="1512" spans="27:31" ht="14.4">
      <c r="AA1512" s="463"/>
      <c r="AB1512" s="462"/>
      <c r="AC1512" s="462"/>
      <c r="AD1512" s="464"/>
      <c r="AE1512" s="465"/>
    </row>
    <row r="1513" spans="27:31" ht="14.4">
      <c r="AA1513" s="463"/>
      <c r="AB1513" s="462"/>
      <c r="AC1513" s="462"/>
      <c r="AD1513" s="464"/>
      <c r="AE1513" s="465"/>
    </row>
    <row r="1514" spans="27:31" ht="14.4">
      <c r="AA1514" s="463"/>
      <c r="AB1514" s="462"/>
      <c r="AC1514" s="462"/>
      <c r="AD1514" s="464"/>
      <c r="AE1514" s="465"/>
    </row>
    <row r="1515" spans="27:31" ht="14.4">
      <c r="AA1515" s="463"/>
      <c r="AB1515" s="462"/>
      <c r="AC1515" s="462"/>
      <c r="AD1515" s="464"/>
      <c r="AE1515" s="465"/>
    </row>
    <row r="1516" spans="27:31" ht="14.4">
      <c r="AA1516" s="463"/>
      <c r="AB1516" s="462"/>
      <c r="AC1516" s="462"/>
      <c r="AD1516" s="464"/>
      <c r="AE1516" s="465"/>
    </row>
    <row r="1517" spans="27:31" ht="14.4">
      <c r="AA1517" s="463"/>
      <c r="AB1517" s="462"/>
      <c r="AC1517" s="462"/>
      <c r="AD1517" s="464"/>
      <c r="AE1517" s="465"/>
    </row>
    <row r="1518" spans="27:31" ht="14.4">
      <c r="AA1518" s="463"/>
      <c r="AB1518" s="462"/>
      <c r="AC1518" s="462"/>
      <c r="AD1518" s="464"/>
      <c r="AE1518" s="465"/>
    </row>
    <row r="1519" spans="27:31" ht="14.4">
      <c r="AA1519" s="463"/>
      <c r="AB1519" s="462"/>
      <c r="AC1519" s="462"/>
      <c r="AD1519" s="464"/>
      <c r="AE1519" s="465"/>
    </row>
    <row r="1520" spans="27:31" ht="14.4">
      <c r="AA1520" s="463"/>
      <c r="AB1520" s="462"/>
      <c r="AC1520" s="462"/>
      <c r="AD1520" s="464"/>
      <c r="AE1520" s="465"/>
    </row>
    <row r="1521" spans="27:31" ht="14.4">
      <c r="AA1521" s="463"/>
      <c r="AB1521" s="462"/>
      <c r="AC1521" s="462"/>
      <c r="AD1521" s="464"/>
      <c r="AE1521" s="465"/>
    </row>
    <row r="1522" spans="27:31" ht="14.4">
      <c r="AA1522" s="463"/>
      <c r="AB1522" s="462"/>
      <c r="AC1522" s="462"/>
      <c r="AD1522" s="464"/>
      <c r="AE1522" s="465"/>
    </row>
    <row r="1523" spans="27:31" ht="14.4">
      <c r="AA1523" s="463"/>
      <c r="AB1523" s="462"/>
      <c r="AC1523" s="462"/>
      <c r="AD1523" s="464"/>
      <c r="AE1523" s="465"/>
    </row>
    <row r="1524" spans="27:31" ht="14.4">
      <c r="AA1524" s="463"/>
      <c r="AB1524" s="462"/>
      <c r="AC1524" s="462"/>
      <c r="AD1524" s="464"/>
      <c r="AE1524" s="465"/>
    </row>
    <row r="1525" spans="27:31" ht="14.4">
      <c r="AA1525" s="463"/>
      <c r="AB1525" s="462"/>
      <c r="AC1525" s="462"/>
      <c r="AD1525" s="464"/>
      <c r="AE1525" s="465"/>
    </row>
    <row r="1526" spans="27:31" ht="14.4">
      <c r="AA1526" s="463"/>
      <c r="AB1526" s="462"/>
      <c r="AC1526" s="462"/>
      <c r="AD1526" s="464"/>
      <c r="AE1526" s="465"/>
    </row>
    <row r="1527" spans="27:31" ht="14.4">
      <c r="AA1527" s="463"/>
      <c r="AB1527" s="462"/>
      <c r="AC1527" s="462"/>
      <c r="AD1527" s="464"/>
      <c r="AE1527" s="465"/>
    </row>
    <row r="1528" spans="27:31" ht="14.4">
      <c r="AA1528" s="463"/>
      <c r="AB1528" s="462"/>
      <c r="AC1528" s="462"/>
      <c r="AD1528" s="464"/>
      <c r="AE1528" s="465"/>
    </row>
    <row r="1529" spans="27:31" ht="14.4">
      <c r="AA1529" s="463"/>
      <c r="AB1529" s="462"/>
      <c r="AC1529" s="462"/>
      <c r="AD1529" s="464"/>
      <c r="AE1529" s="465"/>
    </row>
    <row r="1530" spans="27:31" ht="14.4">
      <c r="AA1530" s="463"/>
      <c r="AB1530" s="462"/>
      <c r="AC1530" s="462"/>
      <c r="AD1530" s="464"/>
      <c r="AE1530" s="465"/>
    </row>
    <row r="1531" spans="27:31" ht="14.4">
      <c r="AA1531" s="463"/>
      <c r="AB1531" s="462"/>
      <c r="AC1531" s="462"/>
      <c r="AD1531" s="464"/>
      <c r="AE1531" s="465"/>
    </row>
    <row r="1532" spans="27:31" ht="14.4">
      <c r="AA1532" s="463"/>
      <c r="AB1532" s="462"/>
      <c r="AC1532" s="462"/>
      <c r="AD1532" s="464"/>
      <c r="AE1532" s="465"/>
    </row>
    <row r="1533" spans="27:31" ht="14.4">
      <c r="AA1533" s="463"/>
      <c r="AB1533" s="462"/>
      <c r="AC1533" s="462"/>
      <c r="AD1533" s="464"/>
      <c r="AE1533" s="465"/>
    </row>
    <row r="1534" spans="27:31" ht="14.4">
      <c r="AA1534" s="463"/>
      <c r="AB1534" s="462"/>
      <c r="AC1534" s="462"/>
      <c r="AD1534" s="464"/>
      <c r="AE1534" s="465"/>
    </row>
    <row r="1535" spans="27:31" ht="14.4">
      <c r="AA1535" s="463"/>
      <c r="AB1535" s="462"/>
      <c r="AC1535" s="462"/>
      <c r="AD1535" s="464"/>
      <c r="AE1535" s="465"/>
    </row>
    <row r="1536" spans="27:31" ht="14.4">
      <c r="AA1536" s="463"/>
      <c r="AB1536" s="462"/>
      <c r="AC1536" s="462"/>
      <c r="AD1536" s="464"/>
      <c r="AE1536" s="465"/>
    </row>
    <row r="1537" spans="27:31" ht="14.4">
      <c r="AA1537" s="463"/>
      <c r="AB1537" s="462"/>
      <c r="AC1537" s="462"/>
      <c r="AD1537" s="464"/>
      <c r="AE1537" s="465"/>
    </row>
    <row r="1538" spans="27:31" ht="14.4">
      <c r="AA1538" s="463"/>
      <c r="AB1538" s="462"/>
      <c r="AC1538" s="462"/>
      <c r="AD1538" s="464"/>
      <c r="AE1538" s="465"/>
    </row>
    <row r="1539" spans="27:31" ht="14.4">
      <c r="AA1539" s="463"/>
      <c r="AB1539" s="462"/>
      <c r="AC1539" s="462"/>
      <c r="AD1539" s="464"/>
      <c r="AE1539" s="465"/>
    </row>
    <row r="1540" spans="27:31" ht="14.4">
      <c r="AA1540" s="463"/>
      <c r="AB1540" s="462"/>
      <c r="AC1540" s="462"/>
      <c r="AD1540" s="464"/>
      <c r="AE1540" s="465"/>
    </row>
    <row r="1541" spans="27:31" ht="14.4">
      <c r="AA1541" s="463"/>
      <c r="AB1541" s="462"/>
      <c r="AC1541" s="462"/>
      <c r="AD1541" s="464"/>
      <c r="AE1541" s="465"/>
    </row>
    <row r="1542" spans="27:31" ht="14.4">
      <c r="AA1542" s="463"/>
      <c r="AB1542" s="462"/>
      <c r="AC1542" s="462"/>
      <c r="AD1542" s="464"/>
      <c r="AE1542" s="465"/>
    </row>
    <row r="1543" spans="27:31" ht="14.4">
      <c r="AA1543" s="463"/>
      <c r="AB1543" s="462"/>
      <c r="AC1543" s="462"/>
      <c r="AD1543" s="464"/>
      <c r="AE1543" s="465"/>
    </row>
    <row r="1544" spans="27:31" ht="14.4">
      <c r="AA1544" s="463"/>
      <c r="AB1544" s="462"/>
      <c r="AC1544" s="462"/>
      <c r="AD1544" s="464"/>
      <c r="AE1544" s="465"/>
    </row>
    <row r="1545" spans="27:31" ht="14.4">
      <c r="AA1545" s="463"/>
      <c r="AB1545" s="462"/>
      <c r="AC1545" s="462"/>
      <c r="AD1545" s="464"/>
      <c r="AE1545" s="465"/>
    </row>
    <row r="1546" spans="27:31" ht="14.4">
      <c r="AA1546" s="463"/>
      <c r="AB1546" s="462"/>
      <c r="AC1546" s="462"/>
      <c r="AD1546" s="464"/>
      <c r="AE1546" s="465"/>
    </row>
    <row r="1547" spans="27:31" ht="14.4">
      <c r="AA1547" s="463"/>
      <c r="AB1547" s="462"/>
      <c r="AC1547" s="462"/>
      <c r="AD1547" s="464"/>
      <c r="AE1547" s="465"/>
    </row>
    <row r="1548" spans="27:31" ht="14.4">
      <c r="AA1548" s="463"/>
      <c r="AB1548" s="462"/>
      <c r="AC1548" s="462"/>
      <c r="AD1548" s="464"/>
      <c r="AE1548" s="465"/>
    </row>
    <row r="1549" spans="27:31" ht="14.4">
      <c r="AA1549" s="463"/>
      <c r="AB1549" s="462"/>
      <c r="AC1549" s="462"/>
      <c r="AD1549" s="464"/>
      <c r="AE1549" s="465"/>
    </row>
    <row r="1550" spans="27:31" ht="14.4">
      <c r="AA1550" s="463"/>
      <c r="AB1550" s="462"/>
      <c r="AC1550" s="462"/>
      <c r="AD1550" s="464"/>
      <c r="AE1550" s="465"/>
    </row>
    <row r="1551" spans="27:31" ht="14.4">
      <c r="AA1551" s="463"/>
      <c r="AB1551" s="462"/>
      <c r="AC1551" s="462"/>
      <c r="AD1551" s="464"/>
      <c r="AE1551" s="465"/>
    </row>
    <row r="1552" spans="27:31" ht="14.4">
      <c r="AA1552" s="463"/>
      <c r="AB1552" s="462"/>
      <c r="AC1552" s="462"/>
      <c r="AD1552" s="464"/>
      <c r="AE1552" s="465"/>
    </row>
    <row r="1553" spans="27:31" ht="14.4">
      <c r="AA1553" s="463"/>
      <c r="AB1553" s="462"/>
      <c r="AC1553" s="462"/>
      <c r="AD1553" s="464"/>
      <c r="AE1553" s="465"/>
    </row>
    <row r="1554" spans="27:31" ht="14.4">
      <c r="AA1554" s="463"/>
      <c r="AB1554" s="462"/>
      <c r="AC1554" s="462"/>
      <c r="AD1554" s="464"/>
      <c r="AE1554" s="465"/>
    </row>
    <row r="1555" spans="27:31" ht="14.4">
      <c r="AA1555" s="463"/>
      <c r="AB1555" s="462"/>
      <c r="AC1555" s="462"/>
      <c r="AD1555" s="464"/>
      <c r="AE1555" s="465"/>
    </row>
    <row r="1556" spans="27:31" ht="14.4">
      <c r="AA1556" s="463"/>
      <c r="AB1556" s="462"/>
      <c r="AC1556" s="462"/>
      <c r="AD1556" s="464"/>
      <c r="AE1556" s="465"/>
    </row>
    <row r="1557" spans="27:31" ht="14.4">
      <c r="AA1557" s="463"/>
      <c r="AB1557" s="462"/>
      <c r="AC1557" s="462"/>
      <c r="AD1557" s="464"/>
      <c r="AE1557" s="465"/>
    </row>
    <row r="1558" spans="27:31" ht="14.4">
      <c r="AA1558" s="463"/>
      <c r="AB1558" s="462"/>
      <c r="AC1558" s="462"/>
      <c r="AD1558" s="464"/>
      <c r="AE1558" s="465"/>
    </row>
    <row r="1559" spans="27:31" ht="14.4">
      <c r="AA1559" s="463"/>
      <c r="AB1559" s="462"/>
      <c r="AC1559" s="462"/>
      <c r="AD1559" s="464"/>
      <c r="AE1559" s="465"/>
    </row>
    <row r="1560" spans="27:31" ht="14.4">
      <c r="AA1560" s="463"/>
      <c r="AB1560" s="462"/>
      <c r="AC1560" s="462"/>
      <c r="AD1560" s="464"/>
      <c r="AE1560" s="465"/>
    </row>
    <row r="1561" spans="27:31" ht="14.4">
      <c r="AA1561" s="463"/>
      <c r="AB1561" s="462"/>
      <c r="AC1561" s="462"/>
      <c r="AD1561" s="464"/>
      <c r="AE1561" s="465"/>
    </row>
    <row r="1562" spans="27:31" ht="14.4">
      <c r="AA1562" s="463"/>
      <c r="AB1562" s="462"/>
      <c r="AC1562" s="462"/>
      <c r="AD1562" s="464"/>
      <c r="AE1562" s="465"/>
    </row>
    <row r="1563" spans="27:31" ht="14.4">
      <c r="AA1563" s="463"/>
      <c r="AB1563" s="462"/>
      <c r="AC1563" s="462"/>
      <c r="AD1563" s="464"/>
      <c r="AE1563" s="465"/>
    </row>
    <row r="1564" spans="27:31" ht="14.4">
      <c r="AA1564" s="463"/>
      <c r="AB1564" s="462"/>
      <c r="AC1564" s="462"/>
      <c r="AD1564" s="464"/>
      <c r="AE1564" s="465"/>
    </row>
    <row r="1565" spans="27:31" ht="14.4">
      <c r="AA1565" s="463"/>
      <c r="AB1565" s="462"/>
      <c r="AC1565" s="462"/>
      <c r="AD1565" s="464"/>
      <c r="AE1565" s="465"/>
    </row>
    <row r="1566" spans="27:31" ht="14.4">
      <c r="AA1566" s="463"/>
      <c r="AB1566" s="462"/>
      <c r="AC1566" s="462"/>
      <c r="AD1566" s="464"/>
      <c r="AE1566" s="465"/>
    </row>
    <row r="1567" spans="27:31" ht="14.4">
      <c r="AA1567" s="463"/>
      <c r="AB1567" s="462"/>
      <c r="AC1567" s="462"/>
      <c r="AD1567" s="464"/>
      <c r="AE1567" s="465"/>
    </row>
    <row r="1568" spans="27:31" ht="14.4">
      <c r="AA1568" s="463"/>
      <c r="AB1568" s="462"/>
      <c r="AC1568" s="462"/>
      <c r="AD1568" s="464"/>
      <c r="AE1568" s="465"/>
    </row>
    <row r="1569" spans="27:31" ht="14.4">
      <c r="AA1569" s="463"/>
      <c r="AB1569" s="462"/>
      <c r="AC1569" s="462"/>
      <c r="AD1569" s="464"/>
      <c r="AE1569" s="465"/>
    </row>
    <row r="1570" spans="27:31" ht="14.4">
      <c r="AA1570" s="463"/>
      <c r="AB1570" s="462"/>
      <c r="AC1570" s="462"/>
      <c r="AD1570" s="464"/>
      <c r="AE1570" s="465"/>
    </row>
    <row r="1571" spans="27:31" ht="14.4">
      <c r="AA1571" s="463"/>
      <c r="AB1571" s="462"/>
      <c r="AC1571" s="462"/>
      <c r="AD1571" s="464"/>
      <c r="AE1571" s="465"/>
    </row>
    <row r="1572" spans="27:31" ht="14.4">
      <c r="AA1572" s="463"/>
      <c r="AB1572" s="462"/>
      <c r="AC1572" s="462"/>
      <c r="AD1572" s="464"/>
      <c r="AE1572" s="465"/>
    </row>
    <row r="1573" spans="27:31" ht="14.4">
      <c r="AA1573" s="463"/>
      <c r="AB1573" s="462"/>
      <c r="AC1573" s="462"/>
      <c r="AD1573" s="464"/>
      <c r="AE1573" s="465"/>
    </row>
    <row r="1574" spans="27:31" ht="14.4">
      <c r="AA1574" s="463"/>
      <c r="AB1574" s="462"/>
      <c r="AC1574" s="462"/>
      <c r="AD1574" s="464"/>
      <c r="AE1574" s="465"/>
    </row>
    <row r="1575" spans="27:31" ht="14.4">
      <c r="AA1575" s="463"/>
      <c r="AB1575" s="462"/>
      <c r="AC1575" s="462"/>
      <c r="AD1575" s="464"/>
      <c r="AE1575" s="465"/>
    </row>
    <row r="1576" spans="27:31" ht="14.4">
      <c r="AA1576" s="463"/>
      <c r="AB1576" s="462"/>
      <c r="AC1576" s="462"/>
      <c r="AD1576" s="464"/>
      <c r="AE1576" s="465"/>
    </row>
    <row r="1577" spans="27:31" ht="14.4">
      <c r="AA1577" s="463"/>
      <c r="AB1577" s="462"/>
      <c r="AC1577" s="462"/>
      <c r="AD1577" s="464"/>
      <c r="AE1577" s="465"/>
    </row>
    <row r="1578" spans="27:31" ht="14.4">
      <c r="AA1578" s="463"/>
      <c r="AB1578" s="462"/>
      <c r="AC1578" s="462"/>
      <c r="AD1578" s="464"/>
      <c r="AE1578" s="465"/>
    </row>
    <row r="1579" spans="27:31" ht="14.4">
      <c r="AA1579" s="463"/>
      <c r="AB1579" s="462"/>
      <c r="AC1579" s="462"/>
      <c r="AD1579" s="464"/>
      <c r="AE1579" s="465"/>
    </row>
    <row r="1580" spans="27:31" ht="14.4">
      <c r="AA1580" s="463"/>
      <c r="AB1580" s="462"/>
      <c r="AC1580" s="462"/>
      <c r="AD1580" s="464"/>
      <c r="AE1580" s="465"/>
    </row>
    <row r="1581" spans="27:31" ht="14.4">
      <c r="AA1581" s="463"/>
      <c r="AB1581" s="462"/>
      <c r="AC1581" s="462"/>
      <c r="AD1581" s="464"/>
      <c r="AE1581" s="465"/>
    </row>
    <row r="1582" spans="27:31" ht="14.4">
      <c r="AA1582" s="463"/>
      <c r="AB1582" s="462"/>
      <c r="AC1582" s="462"/>
      <c r="AD1582" s="464"/>
      <c r="AE1582" s="465"/>
    </row>
    <row r="1583" spans="27:31" ht="14.4">
      <c r="AA1583" s="463"/>
      <c r="AB1583" s="462"/>
      <c r="AC1583" s="462"/>
      <c r="AD1583" s="464"/>
      <c r="AE1583" s="465"/>
    </row>
    <row r="1584" spans="27:31" ht="14.4">
      <c r="AA1584" s="463"/>
      <c r="AB1584" s="462"/>
      <c r="AC1584" s="462"/>
      <c r="AD1584" s="464"/>
      <c r="AE1584" s="465"/>
    </row>
    <row r="1585" spans="27:31" ht="14.4">
      <c r="AA1585" s="463"/>
      <c r="AB1585" s="462"/>
      <c r="AC1585" s="462"/>
      <c r="AD1585" s="464"/>
      <c r="AE1585" s="465"/>
    </row>
    <row r="1586" spans="27:31" ht="14.4">
      <c r="AA1586" s="463"/>
      <c r="AB1586" s="462"/>
      <c r="AC1586" s="462"/>
      <c r="AD1586" s="464"/>
      <c r="AE1586" s="465"/>
    </row>
    <row r="1587" spans="27:31" ht="14.4">
      <c r="AA1587" s="463"/>
      <c r="AB1587" s="462"/>
      <c r="AC1587" s="462"/>
      <c r="AD1587" s="464"/>
      <c r="AE1587" s="465"/>
    </row>
    <row r="1588" spans="27:31" ht="14.4">
      <c r="AA1588" s="463"/>
      <c r="AB1588" s="462"/>
      <c r="AC1588" s="462"/>
      <c r="AD1588" s="464"/>
      <c r="AE1588" s="465"/>
    </row>
    <row r="1589" spans="27:31" ht="14.4">
      <c r="AA1589" s="463"/>
      <c r="AB1589" s="462"/>
      <c r="AC1589" s="462"/>
      <c r="AD1589" s="464"/>
      <c r="AE1589" s="465"/>
    </row>
    <row r="1590" spans="27:31" ht="14.4">
      <c r="AA1590" s="463"/>
      <c r="AB1590" s="462"/>
      <c r="AC1590" s="462"/>
      <c r="AD1590" s="464"/>
      <c r="AE1590" s="465"/>
    </row>
    <row r="1591" spans="27:31" ht="14.4">
      <c r="AA1591" s="463"/>
      <c r="AB1591" s="462"/>
      <c r="AC1591" s="462"/>
      <c r="AD1591" s="464"/>
      <c r="AE1591" s="465"/>
    </row>
    <row r="1592" spans="27:31" ht="14.4">
      <c r="AA1592" s="463"/>
      <c r="AB1592" s="462"/>
      <c r="AC1592" s="462"/>
      <c r="AD1592" s="464"/>
      <c r="AE1592" s="465"/>
    </row>
    <row r="1593" spans="27:31" ht="14.4">
      <c r="AA1593" s="463"/>
      <c r="AB1593" s="462"/>
      <c r="AC1593" s="462"/>
      <c r="AD1593" s="464"/>
      <c r="AE1593" s="465"/>
    </row>
    <row r="1594" spans="27:31" ht="14.4">
      <c r="AA1594" s="463"/>
      <c r="AB1594" s="462"/>
      <c r="AC1594" s="462"/>
      <c r="AD1594" s="464"/>
      <c r="AE1594" s="465"/>
    </row>
    <row r="1595" spans="27:31" ht="14.4">
      <c r="AA1595" s="463"/>
      <c r="AB1595" s="462"/>
      <c r="AC1595" s="462"/>
      <c r="AD1595" s="464"/>
      <c r="AE1595" s="465"/>
    </row>
    <row r="1596" spans="27:31" ht="14.4">
      <c r="AA1596" s="463"/>
      <c r="AB1596" s="462"/>
      <c r="AC1596" s="462"/>
      <c r="AD1596" s="464"/>
      <c r="AE1596" s="465"/>
    </row>
    <row r="1597" spans="27:31" ht="14.4">
      <c r="AA1597" s="463"/>
      <c r="AB1597" s="462"/>
      <c r="AC1597" s="462"/>
      <c r="AD1597" s="464"/>
      <c r="AE1597" s="465"/>
    </row>
    <row r="1598" spans="27:31" ht="14.4">
      <c r="AA1598" s="463"/>
      <c r="AB1598" s="462"/>
      <c r="AC1598" s="462"/>
      <c r="AD1598" s="464"/>
      <c r="AE1598" s="465"/>
    </row>
    <row r="1599" spans="27:31" ht="14.4">
      <c r="AA1599" s="463"/>
      <c r="AB1599" s="462"/>
      <c r="AC1599" s="462"/>
      <c r="AD1599" s="464"/>
      <c r="AE1599" s="465"/>
    </row>
    <row r="1600" spans="27:31" ht="14.4">
      <c r="AA1600" s="463"/>
      <c r="AB1600" s="462"/>
      <c r="AC1600" s="462"/>
      <c r="AD1600" s="464"/>
      <c r="AE1600" s="465"/>
    </row>
    <row r="1601" spans="27:31" ht="14.4">
      <c r="AA1601" s="463"/>
      <c r="AB1601" s="462"/>
      <c r="AC1601" s="462"/>
      <c r="AD1601" s="464"/>
      <c r="AE1601" s="465"/>
    </row>
    <row r="1602" spans="27:31" ht="14.4">
      <c r="AA1602" s="463"/>
      <c r="AB1602" s="462"/>
      <c r="AC1602" s="462"/>
      <c r="AD1602" s="464"/>
      <c r="AE1602" s="465"/>
    </row>
    <row r="1603" spans="27:31" ht="14.4">
      <c r="AA1603" s="463"/>
      <c r="AB1603" s="462"/>
      <c r="AC1603" s="462"/>
      <c r="AD1603" s="464"/>
      <c r="AE1603" s="465"/>
    </row>
    <row r="1604" spans="27:31" ht="14.4">
      <c r="AA1604" s="463"/>
      <c r="AB1604" s="462"/>
      <c r="AC1604" s="462"/>
      <c r="AD1604" s="464"/>
      <c r="AE1604" s="465"/>
    </row>
    <row r="1605" spans="27:31" ht="14.4">
      <c r="AA1605" s="463"/>
      <c r="AB1605" s="462"/>
      <c r="AC1605" s="462"/>
      <c r="AD1605" s="464"/>
      <c r="AE1605" s="465"/>
    </row>
    <row r="1606" spans="27:31" ht="14.4">
      <c r="AA1606" s="463"/>
      <c r="AB1606" s="462"/>
      <c r="AC1606" s="462"/>
      <c r="AD1606" s="464"/>
      <c r="AE1606" s="465"/>
    </row>
    <row r="1607" spans="27:31" ht="14.4">
      <c r="AA1607" s="463"/>
      <c r="AB1607" s="462"/>
      <c r="AC1607" s="462"/>
      <c r="AD1607" s="464"/>
      <c r="AE1607" s="465"/>
    </row>
    <row r="1608" spans="27:31" ht="14.4">
      <c r="AA1608" s="463"/>
      <c r="AB1608" s="462"/>
      <c r="AC1608" s="462"/>
      <c r="AD1608" s="464"/>
      <c r="AE1608" s="465"/>
    </row>
    <row r="1609" spans="27:31" ht="14.4">
      <c r="AA1609" s="463"/>
      <c r="AB1609" s="462"/>
      <c r="AC1609" s="462"/>
      <c r="AD1609" s="464"/>
      <c r="AE1609" s="465"/>
    </row>
    <row r="1610" spans="27:31" ht="14.4">
      <c r="AA1610" s="463"/>
      <c r="AB1610" s="462"/>
      <c r="AC1610" s="462"/>
      <c r="AD1610" s="464"/>
      <c r="AE1610" s="465"/>
    </row>
    <row r="1611" spans="27:31" ht="14.4">
      <c r="AA1611" s="463"/>
      <c r="AB1611" s="462"/>
      <c r="AC1611" s="462"/>
      <c r="AD1611" s="464"/>
      <c r="AE1611" s="465"/>
    </row>
    <row r="1612" spans="27:31" ht="14.4">
      <c r="AA1612" s="463"/>
      <c r="AB1612" s="462"/>
      <c r="AC1612" s="462"/>
      <c r="AD1612" s="464"/>
      <c r="AE1612" s="465"/>
    </row>
    <row r="1613" spans="27:31" ht="14.4">
      <c r="AA1613" s="463"/>
      <c r="AB1613" s="462"/>
      <c r="AC1613" s="462"/>
      <c r="AD1613" s="464"/>
      <c r="AE1613" s="465"/>
    </row>
    <row r="1614" spans="27:31" ht="14.4">
      <c r="AA1614" s="463"/>
      <c r="AB1614" s="462"/>
      <c r="AC1614" s="462"/>
      <c r="AD1614" s="464"/>
      <c r="AE1614" s="465"/>
    </row>
    <row r="1615" spans="27:31" ht="14.4">
      <c r="AA1615" s="463"/>
      <c r="AB1615" s="462"/>
      <c r="AC1615" s="462"/>
      <c r="AD1615" s="464"/>
      <c r="AE1615" s="465"/>
    </row>
    <row r="1616" spans="27:31" ht="14.4">
      <c r="AA1616" s="463"/>
      <c r="AB1616" s="462"/>
      <c r="AC1616" s="462"/>
      <c r="AD1616" s="464"/>
      <c r="AE1616" s="465"/>
    </row>
    <row r="1617" spans="27:31" ht="14.4">
      <c r="AA1617" s="463"/>
      <c r="AB1617" s="462"/>
      <c r="AC1617" s="462"/>
      <c r="AD1617" s="464"/>
      <c r="AE1617" s="465"/>
    </row>
    <row r="1618" spans="27:31" ht="14.4">
      <c r="AA1618" s="463"/>
      <c r="AB1618" s="462"/>
      <c r="AC1618" s="462"/>
      <c r="AD1618" s="464"/>
      <c r="AE1618" s="465"/>
    </row>
    <row r="1619" spans="27:31" ht="14.4">
      <c r="AA1619" s="463"/>
      <c r="AB1619" s="462"/>
      <c r="AC1619" s="462"/>
      <c r="AD1619" s="464"/>
      <c r="AE1619" s="465"/>
    </row>
    <row r="1620" spans="27:31" ht="14.4">
      <c r="AA1620" s="463"/>
      <c r="AB1620" s="462"/>
      <c r="AC1620" s="462"/>
      <c r="AD1620" s="464"/>
      <c r="AE1620" s="465"/>
    </row>
    <row r="1621" spans="27:31" ht="14.4">
      <c r="AA1621" s="463"/>
      <c r="AB1621" s="462"/>
      <c r="AC1621" s="462"/>
      <c r="AD1621" s="464"/>
      <c r="AE1621" s="465"/>
    </row>
    <row r="1622" spans="27:31" ht="14.4">
      <c r="AA1622" s="463"/>
      <c r="AB1622" s="462"/>
      <c r="AC1622" s="462"/>
      <c r="AD1622" s="464"/>
      <c r="AE1622" s="465"/>
    </row>
    <row r="1623" spans="27:31" ht="14.4">
      <c r="AA1623" s="463"/>
      <c r="AB1623" s="462"/>
      <c r="AC1623" s="462"/>
      <c r="AD1623" s="464"/>
      <c r="AE1623" s="465"/>
    </row>
    <row r="1624" spans="27:31" ht="14.4">
      <c r="AA1624" s="463"/>
      <c r="AB1624" s="462"/>
      <c r="AC1624" s="462"/>
      <c r="AD1624" s="464"/>
      <c r="AE1624" s="465"/>
    </row>
    <row r="1625" spans="27:31" ht="14.4">
      <c r="AA1625" s="463"/>
      <c r="AB1625" s="462"/>
      <c r="AC1625" s="462"/>
      <c r="AD1625" s="464"/>
      <c r="AE1625" s="465"/>
    </row>
    <row r="1626" spans="27:31" ht="14.4">
      <c r="AA1626" s="463"/>
      <c r="AB1626" s="462"/>
      <c r="AC1626" s="462"/>
      <c r="AD1626" s="464"/>
      <c r="AE1626" s="465"/>
    </row>
    <row r="1627" spans="27:31" ht="14.4">
      <c r="AA1627" s="463"/>
      <c r="AB1627" s="462"/>
      <c r="AC1627" s="462"/>
      <c r="AD1627" s="464"/>
      <c r="AE1627" s="465"/>
    </row>
    <row r="1628" spans="27:31" ht="14.4">
      <c r="AA1628" s="463"/>
      <c r="AB1628" s="462"/>
      <c r="AC1628" s="462"/>
      <c r="AD1628" s="464"/>
      <c r="AE1628" s="465"/>
    </row>
    <row r="1629" spans="27:31" ht="14.4">
      <c r="AA1629" s="463"/>
      <c r="AB1629" s="462"/>
      <c r="AC1629" s="462"/>
      <c r="AD1629" s="464"/>
      <c r="AE1629" s="465"/>
    </row>
    <row r="1630" spans="27:31" ht="14.4">
      <c r="AA1630" s="463"/>
      <c r="AB1630" s="462"/>
      <c r="AC1630" s="462"/>
      <c r="AD1630" s="464"/>
      <c r="AE1630" s="465"/>
    </row>
    <row r="1631" spans="27:31" ht="14.4">
      <c r="AA1631" s="463"/>
      <c r="AB1631" s="462"/>
      <c r="AC1631" s="462"/>
      <c r="AD1631" s="464"/>
      <c r="AE1631" s="465"/>
    </row>
    <row r="1632" spans="27:31" ht="14.4">
      <c r="AA1632" s="463"/>
      <c r="AB1632" s="462"/>
      <c r="AC1632" s="462"/>
      <c r="AD1632" s="464"/>
      <c r="AE1632" s="465"/>
    </row>
    <row r="1633" spans="27:31" ht="14.4">
      <c r="AA1633" s="463"/>
      <c r="AB1633" s="462"/>
      <c r="AC1633" s="462"/>
      <c r="AD1633" s="464"/>
      <c r="AE1633" s="465"/>
    </row>
    <row r="1634" spans="27:31" ht="14.4">
      <c r="AA1634" s="463"/>
      <c r="AB1634" s="462"/>
      <c r="AC1634" s="462"/>
      <c r="AD1634" s="464"/>
      <c r="AE1634" s="465"/>
    </row>
    <row r="1635" spans="27:31" ht="14.4">
      <c r="AA1635" s="463"/>
      <c r="AB1635" s="462"/>
      <c r="AC1635" s="462"/>
      <c r="AD1635" s="464"/>
      <c r="AE1635" s="465"/>
    </row>
    <row r="1636" spans="27:31" ht="14.4">
      <c r="AA1636" s="463"/>
      <c r="AB1636" s="462"/>
      <c r="AC1636" s="462"/>
      <c r="AD1636" s="464"/>
      <c r="AE1636" s="465"/>
    </row>
    <row r="1637" spans="27:31" ht="14.4">
      <c r="AA1637" s="463"/>
      <c r="AB1637" s="462"/>
      <c r="AC1637" s="462"/>
      <c r="AD1637" s="464"/>
      <c r="AE1637" s="465"/>
    </row>
    <row r="1638" spans="27:31" ht="14.4">
      <c r="AA1638" s="463"/>
      <c r="AB1638" s="462"/>
      <c r="AC1638" s="462"/>
      <c r="AD1638" s="464"/>
      <c r="AE1638" s="465"/>
    </row>
    <row r="1639" spans="27:31" ht="14.4">
      <c r="AA1639" s="463"/>
      <c r="AB1639" s="462"/>
      <c r="AC1639" s="462"/>
      <c r="AD1639" s="464"/>
      <c r="AE1639" s="465"/>
    </row>
    <row r="1640" spans="27:31" ht="14.4">
      <c r="AA1640" s="463"/>
      <c r="AB1640" s="462"/>
      <c r="AC1640" s="462"/>
      <c r="AD1640" s="464"/>
      <c r="AE1640" s="465"/>
    </row>
    <row r="1641" spans="27:31" ht="14.4">
      <c r="AA1641" s="463"/>
      <c r="AB1641" s="462"/>
      <c r="AC1641" s="462"/>
      <c r="AD1641" s="464"/>
      <c r="AE1641" s="465"/>
    </row>
    <row r="1642" spans="27:31" ht="14.4">
      <c r="AA1642" s="463"/>
      <c r="AB1642" s="462"/>
      <c r="AC1642" s="462"/>
      <c r="AD1642" s="464"/>
      <c r="AE1642" s="465"/>
    </row>
    <row r="1643" spans="27:31" ht="14.4">
      <c r="AA1643" s="463"/>
      <c r="AB1643" s="462"/>
      <c r="AC1643" s="462"/>
      <c r="AD1643" s="464"/>
      <c r="AE1643" s="465"/>
    </row>
    <row r="1644" spans="27:31" ht="14.4">
      <c r="AA1644" s="463"/>
      <c r="AB1644" s="462"/>
      <c r="AC1644" s="462"/>
      <c r="AD1644" s="464"/>
      <c r="AE1644" s="465"/>
    </row>
    <row r="1645" spans="27:31" ht="14.4">
      <c r="AA1645" s="463"/>
      <c r="AB1645" s="462"/>
      <c r="AC1645" s="462"/>
      <c r="AD1645" s="464"/>
      <c r="AE1645" s="465"/>
    </row>
    <row r="1646" spans="27:31" ht="14.4">
      <c r="AA1646" s="463"/>
      <c r="AB1646" s="462"/>
      <c r="AC1646" s="462"/>
      <c r="AD1646" s="464"/>
      <c r="AE1646" s="465"/>
    </row>
    <row r="1647" spans="27:31" ht="14.4">
      <c r="AA1647" s="463"/>
      <c r="AB1647" s="462"/>
      <c r="AC1647" s="462"/>
      <c r="AD1647" s="464"/>
      <c r="AE1647" s="465"/>
    </row>
    <row r="1648" spans="27:31" ht="14.4">
      <c r="AA1648" s="463"/>
      <c r="AB1648" s="462"/>
      <c r="AC1648" s="462"/>
      <c r="AD1648" s="464"/>
      <c r="AE1648" s="465"/>
    </row>
    <row r="1649" spans="27:31" ht="14.4">
      <c r="AA1649" s="463"/>
      <c r="AB1649" s="462"/>
      <c r="AC1649" s="462"/>
      <c r="AD1649" s="464"/>
      <c r="AE1649" s="465"/>
    </row>
    <row r="1650" spans="27:31" ht="14.4">
      <c r="AA1650" s="463"/>
      <c r="AB1650" s="462"/>
      <c r="AC1650" s="462"/>
      <c r="AD1650" s="464"/>
      <c r="AE1650" s="465"/>
    </row>
    <row r="1651" spans="27:31" ht="14.4">
      <c r="AA1651" s="463"/>
      <c r="AB1651" s="462"/>
      <c r="AC1651" s="462"/>
      <c r="AD1651" s="464"/>
      <c r="AE1651" s="465"/>
    </row>
    <row r="1652" spans="27:31" ht="14.4">
      <c r="AA1652" s="463"/>
      <c r="AB1652" s="462"/>
      <c r="AC1652" s="462"/>
      <c r="AD1652" s="464"/>
      <c r="AE1652" s="465"/>
    </row>
    <row r="1653" spans="27:31" ht="14.4">
      <c r="AA1653" s="463"/>
      <c r="AB1653" s="462"/>
      <c r="AC1653" s="462"/>
      <c r="AD1653" s="464"/>
      <c r="AE1653" s="465"/>
    </row>
    <row r="1654" spans="27:31" ht="14.4">
      <c r="AA1654" s="463"/>
      <c r="AB1654" s="462"/>
      <c r="AC1654" s="462"/>
      <c r="AD1654" s="464"/>
      <c r="AE1654" s="465"/>
    </row>
    <row r="1655" spans="27:31" ht="14.4">
      <c r="AA1655" s="463"/>
      <c r="AB1655" s="462"/>
      <c r="AC1655" s="462"/>
      <c r="AD1655" s="464"/>
      <c r="AE1655" s="465"/>
    </row>
    <row r="1656" spans="27:31" ht="14.4">
      <c r="AA1656" s="463"/>
      <c r="AB1656" s="462"/>
      <c r="AC1656" s="462"/>
      <c r="AD1656" s="464"/>
      <c r="AE1656" s="465"/>
    </row>
    <row r="1657" spans="27:31" ht="14.4">
      <c r="AA1657" s="463"/>
      <c r="AB1657" s="462"/>
      <c r="AC1657" s="462"/>
      <c r="AD1657" s="464"/>
      <c r="AE1657" s="465"/>
    </row>
    <row r="1658" spans="27:31" ht="14.4">
      <c r="AA1658" s="463"/>
      <c r="AB1658" s="462"/>
      <c r="AC1658" s="462"/>
      <c r="AD1658" s="464"/>
      <c r="AE1658" s="465"/>
    </row>
    <row r="1659" spans="27:31" ht="14.4">
      <c r="AA1659" s="463"/>
      <c r="AB1659" s="462"/>
      <c r="AC1659" s="462"/>
      <c r="AD1659" s="464"/>
      <c r="AE1659" s="465"/>
    </row>
    <row r="1660" spans="27:31" ht="14.4">
      <c r="AA1660" s="463"/>
      <c r="AB1660" s="462"/>
      <c r="AC1660" s="462"/>
      <c r="AD1660" s="464"/>
      <c r="AE1660" s="465"/>
    </row>
    <row r="1661" spans="27:31" ht="14.4">
      <c r="AA1661" s="463"/>
      <c r="AB1661" s="462"/>
      <c r="AC1661" s="462"/>
      <c r="AD1661" s="464"/>
      <c r="AE1661" s="465"/>
    </row>
    <row r="1662" spans="27:31" ht="14.4">
      <c r="AA1662" s="463"/>
      <c r="AB1662" s="462"/>
      <c r="AC1662" s="462"/>
      <c r="AD1662" s="464"/>
      <c r="AE1662" s="465"/>
    </row>
    <row r="1663" spans="27:31" ht="14.4">
      <c r="AA1663" s="463"/>
      <c r="AB1663" s="462"/>
      <c r="AC1663" s="462"/>
      <c r="AD1663" s="464"/>
      <c r="AE1663" s="465"/>
    </row>
    <row r="1664" spans="27:31" ht="14.4">
      <c r="AA1664" s="463"/>
      <c r="AB1664" s="462"/>
      <c r="AC1664" s="462"/>
      <c r="AD1664" s="464"/>
      <c r="AE1664" s="465"/>
    </row>
    <row r="1665" spans="27:31" ht="14.4">
      <c r="AA1665" s="463"/>
      <c r="AB1665" s="462"/>
      <c r="AC1665" s="462"/>
      <c r="AD1665" s="464"/>
      <c r="AE1665" s="465"/>
    </row>
    <row r="1666" spans="27:31" ht="14.4">
      <c r="AA1666" s="463"/>
      <c r="AB1666" s="462"/>
      <c r="AC1666" s="462"/>
      <c r="AD1666" s="464"/>
      <c r="AE1666" s="465"/>
    </row>
    <row r="1667" spans="27:31" ht="14.4">
      <c r="AA1667" s="463"/>
      <c r="AB1667" s="462"/>
      <c r="AC1667" s="462"/>
      <c r="AD1667" s="464"/>
      <c r="AE1667" s="465"/>
    </row>
    <row r="1668" spans="27:31" ht="14.4">
      <c r="AA1668" s="463"/>
      <c r="AB1668" s="462"/>
      <c r="AC1668" s="462"/>
      <c r="AD1668" s="464"/>
      <c r="AE1668" s="465"/>
    </row>
    <row r="1669" spans="27:31" ht="14.4">
      <c r="AA1669" s="463"/>
      <c r="AB1669" s="462"/>
      <c r="AC1669" s="462"/>
      <c r="AD1669" s="464"/>
      <c r="AE1669" s="465"/>
    </row>
    <row r="1670" spans="27:31" ht="14.4">
      <c r="AA1670" s="463"/>
      <c r="AB1670" s="462"/>
      <c r="AC1670" s="462"/>
      <c r="AD1670" s="464"/>
      <c r="AE1670" s="465"/>
    </row>
    <row r="1671" spans="27:31" ht="14.4">
      <c r="AA1671" s="463"/>
      <c r="AB1671" s="462"/>
      <c r="AC1671" s="462"/>
      <c r="AD1671" s="464"/>
      <c r="AE1671" s="465"/>
    </row>
    <row r="1672" spans="27:31" ht="14.4">
      <c r="AA1672" s="463"/>
      <c r="AB1672" s="462"/>
      <c r="AC1672" s="462"/>
      <c r="AD1672" s="464"/>
      <c r="AE1672" s="465"/>
    </row>
    <row r="1673" spans="27:31" ht="14.4">
      <c r="AA1673" s="463"/>
      <c r="AB1673" s="462"/>
      <c r="AC1673" s="462"/>
      <c r="AD1673" s="464"/>
      <c r="AE1673" s="465"/>
    </row>
    <row r="1674" spans="27:31" ht="14.4">
      <c r="AA1674" s="463"/>
      <c r="AB1674" s="462"/>
      <c r="AC1674" s="462"/>
      <c r="AD1674" s="464"/>
      <c r="AE1674" s="465"/>
    </row>
    <row r="1675" spans="27:31" ht="14.4">
      <c r="AA1675" s="463"/>
      <c r="AB1675" s="462"/>
      <c r="AC1675" s="462"/>
      <c r="AD1675" s="464"/>
      <c r="AE1675" s="465"/>
    </row>
    <row r="1676" spans="27:31" ht="14.4">
      <c r="AA1676" s="463"/>
      <c r="AB1676" s="462"/>
      <c r="AC1676" s="462"/>
      <c r="AD1676" s="464"/>
      <c r="AE1676" s="465"/>
    </row>
    <row r="1677" spans="27:31" ht="14.4">
      <c r="AA1677" s="463"/>
      <c r="AB1677" s="462"/>
      <c r="AC1677" s="462"/>
      <c r="AD1677" s="464"/>
      <c r="AE1677" s="465"/>
    </row>
    <row r="1678" spans="27:31" ht="14.4">
      <c r="AA1678" s="463"/>
      <c r="AB1678" s="462"/>
      <c r="AC1678" s="462"/>
      <c r="AD1678" s="464"/>
      <c r="AE1678" s="465"/>
    </row>
    <row r="1679" spans="27:31" ht="14.4">
      <c r="AA1679" s="463"/>
      <c r="AB1679" s="462"/>
      <c r="AC1679" s="462"/>
      <c r="AD1679" s="464"/>
      <c r="AE1679" s="465"/>
    </row>
    <row r="1680" spans="27:31" ht="14.4">
      <c r="AA1680" s="463"/>
      <c r="AB1680" s="462"/>
      <c r="AC1680" s="462"/>
      <c r="AD1680" s="464"/>
      <c r="AE1680" s="465"/>
    </row>
    <row r="1681" spans="27:31" ht="14.4">
      <c r="AA1681" s="463"/>
      <c r="AB1681" s="462"/>
      <c r="AC1681" s="462"/>
      <c r="AD1681" s="464"/>
      <c r="AE1681" s="465"/>
    </row>
    <row r="1682" spans="27:31" ht="14.4">
      <c r="AA1682" s="463"/>
      <c r="AB1682" s="462"/>
      <c r="AC1682" s="462"/>
      <c r="AD1682" s="464"/>
      <c r="AE1682" s="465"/>
    </row>
    <row r="1683" spans="27:31" ht="14.4">
      <c r="AA1683" s="463"/>
      <c r="AB1683" s="462"/>
      <c r="AC1683" s="462"/>
      <c r="AD1683" s="464"/>
      <c r="AE1683" s="465"/>
    </row>
    <row r="1684" spans="27:31" ht="14.4">
      <c r="AA1684" s="463"/>
      <c r="AB1684" s="462"/>
      <c r="AC1684" s="462"/>
      <c r="AD1684" s="464"/>
      <c r="AE1684" s="465"/>
    </row>
    <row r="1685" spans="27:31" ht="14.4">
      <c r="AA1685" s="463"/>
      <c r="AB1685" s="462"/>
      <c r="AC1685" s="462"/>
      <c r="AD1685" s="464"/>
      <c r="AE1685" s="465"/>
    </row>
    <row r="1686" spans="27:31" ht="14.4">
      <c r="AA1686" s="463"/>
      <c r="AB1686" s="462"/>
      <c r="AC1686" s="462"/>
      <c r="AD1686" s="464"/>
      <c r="AE1686" s="465"/>
    </row>
    <row r="1687" spans="27:31" ht="14.4">
      <c r="AA1687" s="463"/>
      <c r="AB1687" s="462"/>
      <c r="AC1687" s="462"/>
      <c r="AD1687" s="464"/>
      <c r="AE1687" s="465"/>
    </row>
    <row r="1688" spans="27:31" ht="14.4">
      <c r="AA1688" s="463"/>
      <c r="AB1688" s="462"/>
      <c r="AC1688" s="462"/>
      <c r="AD1688" s="464"/>
      <c r="AE1688" s="465"/>
    </row>
    <row r="1689" spans="27:31" ht="14.4">
      <c r="AA1689" s="463"/>
      <c r="AB1689" s="462"/>
      <c r="AC1689" s="462"/>
      <c r="AD1689" s="464"/>
      <c r="AE1689" s="465"/>
    </row>
    <row r="1690" spans="27:31" ht="14.4">
      <c r="AA1690" s="463"/>
      <c r="AB1690" s="462"/>
      <c r="AC1690" s="462"/>
      <c r="AD1690" s="464"/>
      <c r="AE1690" s="465"/>
    </row>
    <row r="1691" spans="27:31" ht="14.4">
      <c r="AA1691" s="463"/>
      <c r="AB1691" s="462"/>
      <c r="AC1691" s="462"/>
      <c r="AD1691" s="464"/>
      <c r="AE1691" s="465"/>
    </row>
    <row r="1692" spans="27:31" ht="14.4">
      <c r="AA1692" s="463"/>
      <c r="AB1692" s="462"/>
      <c r="AC1692" s="462"/>
      <c r="AD1692" s="464"/>
      <c r="AE1692" s="465"/>
    </row>
    <row r="1693" spans="27:31" ht="14.4">
      <c r="AA1693" s="463"/>
      <c r="AB1693" s="462"/>
      <c r="AC1693" s="462"/>
      <c r="AD1693" s="464"/>
      <c r="AE1693" s="465"/>
    </row>
    <row r="1694" spans="27:31" ht="14.4">
      <c r="AA1694" s="463"/>
      <c r="AB1694" s="462"/>
      <c r="AC1694" s="462"/>
      <c r="AD1694" s="464"/>
      <c r="AE1694" s="465"/>
    </row>
    <row r="1695" spans="27:31" ht="14.4">
      <c r="AA1695" s="463"/>
      <c r="AB1695" s="462"/>
      <c r="AC1695" s="462"/>
      <c r="AD1695" s="464"/>
      <c r="AE1695" s="465"/>
    </row>
    <row r="1696" spans="27:31" ht="14.4">
      <c r="AA1696" s="463"/>
      <c r="AB1696" s="462"/>
      <c r="AC1696" s="462"/>
      <c r="AD1696" s="464"/>
      <c r="AE1696" s="465"/>
    </row>
    <row r="1697" spans="27:31" ht="14.4">
      <c r="AA1697" s="463"/>
      <c r="AB1697" s="462"/>
      <c r="AC1697" s="462"/>
      <c r="AD1697" s="464"/>
      <c r="AE1697" s="465"/>
    </row>
    <row r="1698" spans="27:31" ht="14.4">
      <c r="AA1698" s="463"/>
      <c r="AB1698" s="462"/>
      <c r="AC1698" s="462"/>
      <c r="AD1698" s="464"/>
      <c r="AE1698" s="465"/>
    </row>
    <row r="1699" spans="27:31" ht="14.4">
      <c r="AA1699" s="463"/>
      <c r="AB1699" s="462"/>
      <c r="AC1699" s="462"/>
      <c r="AD1699" s="464"/>
      <c r="AE1699" s="465"/>
    </row>
    <row r="1700" spans="27:31" ht="14.4">
      <c r="AA1700" s="463"/>
      <c r="AB1700" s="462"/>
      <c r="AC1700" s="462"/>
      <c r="AD1700" s="464"/>
      <c r="AE1700" s="465"/>
    </row>
    <row r="1701" spans="27:31" ht="14.4">
      <c r="AA1701" s="463"/>
      <c r="AB1701" s="462"/>
      <c r="AC1701" s="462"/>
      <c r="AD1701" s="464"/>
      <c r="AE1701" s="465"/>
    </row>
    <row r="1702" spans="27:31" ht="14.4">
      <c r="AA1702" s="463"/>
      <c r="AB1702" s="462"/>
      <c r="AC1702" s="462"/>
      <c r="AD1702" s="464"/>
      <c r="AE1702" s="465"/>
    </row>
    <row r="1703" spans="27:31" ht="14.4">
      <c r="AA1703" s="463"/>
      <c r="AB1703" s="462"/>
      <c r="AC1703" s="462"/>
      <c r="AD1703" s="464"/>
      <c r="AE1703" s="465"/>
    </row>
    <row r="1704" spans="27:31" ht="14.4">
      <c r="AA1704" s="463"/>
      <c r="AB1704" s="462"/>
      <c r="AC1704" s="462"/>
      <c r="AD1704" s="464"/>
      <c r="AE1704" s="465"/>
    </row>
    <row r="1705" spans="27:31" ht="14.4">
      <c r="AA1705" s="463"/>
      <c r="AB1705" s="462"/>
      <c r="AC1705" s="462"/>
      <c r="AD1705" s="464"/>
      <c r="AE1705" s="465"/>
    </row>
    <row r="1706" spans="27:31" ht="14.4">
      <c r="AA1706" s="463"/>
      <c r="AB1706" s="462"/>
      <c r="AC1706" s="462"/>
      <c r="AD1706" s="464"/>
      <c r="AE1706" s="465"/>
    </row>
    <row r="1707" spans="27:31" ht="14.4">
      <c r="AA1707" s="463"/>
      <c r="AB1707" s="462"/>
      <c r="AC1707" s="462"/>
      <c r="AD1707" s="464"/>
      <c r="AE1707" s="465"/>
    </row>
    <row r="1708" spans="27:31" ht="14.4">
      <c r="AA1708" s="463"/>
      <c r="AB1708" s="462"/>
      <c r="AC1708" s="462"/>
      <c r="AD1708" s="464"/>
      <c r="AE1708" s="465"/>
    </row>
    <row r="1709" spans="27:31" ht="14.4">
      <c r="AA1709" s="463"/>
      <c r="AB1709" s="462"/>
      <c r="AC1709" s="462"/>
      <c r="AD1709" s="464"/>
      <c r="AE1709" s="465"/>
    </row>
    <row r="1710" spans="27:31" ht="14.4">
      <c r="AA1710" s="463"/>
      <c r="AB1710" s="462"/>
      <c r="AC1710" s="462"/>
      <c r="AD1710" s="464"/>
      <c r="AE1710" s="465"/>
    </row>
    <row r="1711" spans="27:31" ht="14.4">
      <c r="AA1711" s="463"/>
      <c r="AB1711" s="462"/>
      <c r="AC1711" s="462"/>
      <c r="AD1711" s="464"/>
      <c r="AE1711" s="465"/>
    </row>
    <row r="1712" spans="27:31" ht="14.4">
      <c r="AA1712" s="463"/>
      <c r="AB1712" s="462"/>
      <c r="AC1712" s="462"/>
      <c r="AD1712" s="464"/>
      <c r="AE1712" s="465"/>
    </row>
    <row r="1713" spans="27:31" ht="14.4">
      <c r="AA1713" s="463"/>
      <c r="AB1713" s="462"/>
      <c r="AC1713" s="462"/>
      <c r="AD1713" s="464"/>
      <c r="AE1713" s="465"/>
    </row>
    <row r="1714" spans="27:31" ht="14.4">
      <c r="AA1714" s="463"/>
      <c r="AB1714" s="462"/>
      <c r="AC1714" s="462"/>
      <c r="AD1714" s="464"/>
      <c r="AE1714" s="465"/>
    </row>
    <row r="1715" spans="27:31" ht="14.4">
      <c r="AA1715" s="463"/>
      <c r="AB1715" s="462"/>
      <c r="AC1715" s="462"/>
      <c r="AD1715" s="464"/>
      <c r="AE1715" s="465"/>
    </row>
    <row r="1716" spans="27:31" ht="14.4">
      <c r="AA1716" s="463"/>
      <c r="AB1716" s="462"/>
      <c r="AC1716" s="462"/>
      <c r="AD1716" s="464"/>
      <c r="AE1716" s="465"/>
    </row>
    <row r="1717" spans="27:31" ht="14.4">
      <c r="AA1717" s="463"/>
      <c r="AB1717" s="462"/>
      <c r="AC1717" s="462"/>
      <c r="AD1717" s="464"/>
      <c r="AE1717" s="465"/>
    </row>
    <row r="1718" spans="27:31" ht="14.4">
      <c r="AA1718" s="463"/>
      <c r="AB1718" s="462"/>
      <c r="AC1718" s="462"/>
      <c r="AD1718" s="464"/>
      <c r="AE1718" s="465"/>
    </row>
    <row r="1719" spans="27:31" ht="14.4">
      <c r="AA1719" s="463"/>
      <c r="AB1719" s="462"/>
      <c r="AC1719" s="462"/>
      <c r="AD1719" s="464"/>
      <c r="AE1719" s="465"/>
    </row>
    <row r="1720" spans="27:31" ht="14.4">
      <c r="AA1720" s="463"/>
      <c r="AB1720" s="462"/>
      <c r="AC1720" s="462"/>
      <c r="AD1720" s="464"/>
      <c r="AE1720" s="465"/>
    </row>
    <row r="1721" spans="27:31" ht="14.4">
      <c r="AA1721" s="463"/>
      <c r="AB1721" s="462"/>
      <c r="AC1721" s="462"/>
      <c r="AD1721" s="464"/>
      <c r="AE1721" s="465"/>
    </row>
    <row r="1722" spans="27:31" ht="14.4">
      <c r="AA1722" s="463"/>
      <c r="AB1722" s="462"/>
      <c r="AC1722" s="462"/>
      <c r="AD1722" s="464"/>
      <c r="AE1722" s="465"/>
    </row>
    <row r="1723" spans="27:31" ht="14.4">
      <c r="AA1723" s="463"/>
      <c r="AB1723" s="462"/>
      <c r="AC1723" s="462"/>
      <c r="AD1723" s="464"/>
      <c r="AE1723" s="465"/>
    </row>
    <row r="1724" spans="27:31" ht="14.4">
      <c r="AA1724" s="463"/>
      <c r="AB1724" s="462"/>
      <c r="AC1724" s="462"/>
      <c r="AD1724" s="464"/>
      <c r="AE1724" s="465"/>
    </row>
    <row r="1725" spans="27:31" ht="14.4">
      <c r="AA1725" s="463"/>
      <c r="AB1725" s="462"/>
      <c r="AC1725" s="462"/>
      <c r="AD1725" s="464"/>
      <c r="AE1725" s="465"/>
    </row>
    <row r="1726" spans="27:31" ht="14.4">
      <c r="AA1726" s="463"/>
      <c r="AB1726" s="462"/>
      <c r="AC1726" s="462"/>
      <c r="AD1726" s="464"/>
      <c r="AE1726" s="465"/>
    </row>
    <row r="1727" spans="27:31" ht="14.4">
      <c r="AA1727" s="463"/>
      <c r="AB1727" s="462"/>
      <c r="AC1727" s="462"/>
      <c r="AD1727" s="464"/>
      <c r="AE1727" s="465"/>
    </row>
    <row r="1728" spans="27:31" ht="14.4">
      <c r="AA1728" s="463"/>
      <c r="AB1728" s="462"/>
      <c r="AC1728" s="462"/>
      <c r="AD1728" s="464"/>
      <c r="AE1728" s="465"/>
    </row>
    <row r="1729" spans="27:31" ht="14.4">
      <c r="AA1729" s="463"/>
      <c r="AB1729" s="462"/>
      <c r="AC1729" s="462"/>
      <c r="AD1729" s="464"/>
      <c r="AE1729" s="465"/>
    </row>
    <row r="1730" spans="27:31" ht="14.4">
      <c r="AA1730" s="463"/>
      <c r="AB1730" s="462"/>
      <c r="AC1730" s="462"/>
      <c r="AD1730" s="464"/>
      <c r="AE1730" s="465"/>
    </row>
    <row r="1731" spans="27:31" ht="14.4">
      <c r="AA1731" s="463"/>
      <c r="AB1731" s="462"/>
      <c r="AC1731" s="462"/>
      <c r="AD1731" s="464"/>
      <c r="AE1731" s="465"/>
    </row>
    <row r="1732" spans="27:31" ht="14.4">
      <c r="AA1732" s="463"/>
      <c r="AB1732" s="462"/>
      <c r="AC1732" s="462"/>
      <c r="AD1732" s="464"/>
      <c r="AE1732" s="465"/>
    </row>
    <row r="1733" spans="27:31" ht="14.4">
      <c r="AA1733" s="463"/>
      <c r="AB1733" s="462"/>
      <c r="AC1733" s="462"/>
      <c r="AD1733" s="464"/>
      <c r="AE1733" s="465"/>
    </row>
    <row r="1734" spans="27:31" ht="14.4">
      <c r="AA1734" s="463"/>
      <c r="AB1734" s="462"/>
      <c r="AC1734" s="462"/>
      <c r="AD1734" s="464"/>
      <c r="AE1734" s="465"/>
    </row>
    <row r="1735" spans="27:31" ht="14.4">
      <c r="AA1735" s="463"/>
      <c r="AB1735" s="462"/>
      <c r="AC1735" s="462"/>
      <c r="AD1735" s="464"/>
      <c r="AE1735" s="465"/>
    </row>
    <row r="1736" spans="27:31" ht="14.4">
      <c r="AA1736" s="463"/>
      <c r="AB1736" s="462"/>
      <c r="AC1736" s="462"/>
      <c r="AD1736" s="464"/>
      <c r="AE1736" s="465"/>
    </row>
    <row r="1737" spans="27:31" ht="14.4">
      <c r="AA1737" s="463"/>
      <c r="AB1737" s="462"/>
      <c r="AC1737" s="462"/>
      <c r="AD1737" s="464"/>
      <c r="AE1737" s="465"/>
    </row>
    <row r="1738" spans="27:31" ht="14.4">
      <c r="AA1738" s="463"/>
      <c r="AB1738" s="462"/>
      <c r="AC1738" s="462"/>
      <c r="AD1738" s="464"/>
      <c r="AE1738" s="465"/>
    </row>
    <row r="1739" spans="27:31" ht="14.4">
      <c r="AA1739" s="463"/>
      <c r="AB1739" s="462"/>
      <c r="AC1739" s="462"/>
      <c r="AD1739" s="464"/>
      <c r="AE1739" s="465"/>
    </row>
    <row r="1740" spans="27:31" ht="14.4">
      <c r="AA1740" s="463"/>
      <c r="AB1740" s="462"/>
      <c r="AC1740" s="462"/>
      <c r="AD1740" s="464"/>
      <c r="AE1740" s="465"/>
    </row>
    <row r="1741" spans="27:31" ht="14.4">
      <c r="AA1741" s="463"/>
      <c r="AB1741" s="462"/>
      <c r="AC1741" s="462"/>
      <c r="AD1741" s="464"/>
      <c r="AE1741" s="465"/>
    </row>
    <row r="1742" spans="27:31" ht="14.4">
      <c r="AA1742" s="463"/>
      <c r="AB1742" s="462"/>
      <c r="AC1742" s="462"/>
      <c r="AD1742" s="464"/>
      <c r="AE1742" s="465"/>
    </row>
    <row r="1743" spans="27:31" ht="14.4">
      <c r="AA1743" s="463"/>
      <c r="AB1743" s="462"/>
      <c r="AC1743" s="462"/>
      <c r="AD1743" s="464"/>
      <c r="AE1743" s="465"/>
    </row>
    <row r="1744" spans="27:31" ht="14.4">
      <c r="AA1744" s="463"/>
      <c r="AB1744" s="462"/>
      <c r="AC1744" s="462"/>
      <c r="AD1744" s="464"/>
      <c r="AE1744" s="465"/>
    </row>
    <row r="1745" spans="27:31" ht="14.4">
      <c r="AA1745" s="463"/>
      <c r="AB1745" s="462"/>
      <c r="AC1745" s="462"/>
      <c r="AD1745" s="464"/>
      <c r="AE1745" s="465"/>
    </row>
    <row r="1746" spans="27:31" ht="14.4">
      <c r="AA1746" s="463"/>
      <c r="AB1746" s="462"/>
      <c r="AC1746" s="462"/>
      <c r="AD1746" s="464"/>
      <c r="AE1746" s="465"/>
    </row>
    <row r="1747" spans="27:31" ht="14.4">
      <c r="AA1747" s="463"/>
      <c r="AB1747" s="462"/>
      <c r="AC1747" s="462"/>
      <c r="AD1747" s="464"/>
      <c r="AE1747" s="465"/>
    </row>
    <row r="1748" spans="27:31" ht="14.4">
      <c r="AA1748" s="463"/>
      <c r="AB1748" s="462"/>
      <c r="AC1748" s="462"/>
      <c r="AD1748" s="464"/>
      <c r="AE1748" s="465"/>
    </row>
    <row r="1749" spans="27:31" ht="14.4">
      <c r="AA1749" s="463"/>
      <c r="AB1749" s="462"/>
      <c r="AC1749" s="462"/>
      <c r="AD1749" s="464"/>
      <c r="AE1749" s="465"/>
    </row>
    <row r="1750" spans="27:31" ht="14.4">
      <c r="AA1750" s="463"/>
      <c r="AB1750" s="462"/>
      <c r="AC1750" s="462"/>
      <c r="AD1750" s="464"/>
      <c r="AE1750" s="465"/>
    </row>
    <row r="1751" spans="27:31" ht="14.4">
      <c r="AA1751" s="463"/>
      <c r="AB1751" s="462"/>
      <c r="AC1751" s="462"/>
      <c r="AD1751" s="464"/>
      <c r="AE1751" s="465"/>
    </row>
    <row r="1752" spans="27:31" ht="14.4">
      <c r="AA1752" s="463"/>
      <c r="AB1752" s="462"/>
      <c r="AC1752" s="462"/>
      <c r="AD1752" s="464"/>
      <c r="AE1752" s="465"/>
    </row>
    <row r="1753" spans="27:31" ht="14.4">
      <c r="AA1753" s="463"/>
      <c r="AB1753" s="462"/>
      <c r="AC1753" s="462"/>
      <c r="AD1753" s="464"/>
      <c r="AE1753" s="465"/>
    </row>
    <row r="1754" spans="27:31" ht="14.4">
      <c r="AA1754" s="463"/>
      <c r="AB1754" s="462"/>
      <c r="AC1754" s="462"/>
      <c r="AD1754" s="464"/>
      <c r="AE1754" s="465"/>
    </row>
    <row r="1755" spans="27:31" ht="14.4">
      <c r="AA1755" s="463"/>
      <c r="AB1755" s="462"/>
      <c r="AC1755" s="462"/>
      <c r="AD1755" s="464"/>
      <c r="AE1755" s="465"/>
    </row>
    <row r="1756" spans="27:31" ht="14.4">
      <c r="AA1756" s="463"/>
      <c r="AB1756" s="462"/>
      <c r="AC1756" s="462"/>
      <c r="AD1756" s="464"/>
      <c r="AE1756" s="465"/>
    </row>
    <row r="1757" spans="27:31" ht="14.4">
      <c r="AA1757" s="463"/>
      <c r="AB1757" s="462"/>
      <c r="AC1757" s="462"/>
      <c r="AD1757" s="464"/>
      <c r="AE1757" s="465"/>
    </row>
    <row r="1758" spans="27:31" ht="14.4">
      <c r="AA1758" s="463"/>
      <c r="AB1758" s="462"/>
      <c r="AC1758" s="462"/>
      <c r="AD1758" s="464"/>
      <c r="AE1758" s="465"/>
    </row>
    <row r="1759" spans="27:31" ht="14.4">
      <c r="AA1759" s="463"/>
      <c r="AB1759" s="462"/>
      <c r="AC1759" s="462"/>
      <c r="AD1759" s="464"/>
      <c r="AE1759" s="465"/>
    </row>
    <row r="1760" spans="27:31" ht="14.4">
      <c r="AA1760" s="463"/>
      <c r="AB1760" s="462"/>
      <c r="AC1760" s="462"/>
      <c r="AD1760" s="464"/>
      <c r="AE1760" s="465"/>
    </row>
    <row r="1761" spans="27:31" ht="14.4">
      <c r="AA1761" s="463"/>
      <c r="AB1761" s="462"/>
      <c r="AC1761" s="462"/>
      <c r="AD1761" s="464"/>
      <c r="AE1761" s="465"/>
    </row>
    <row r="1762" spans="27:31" ht="14.4">
      <c r="AA1762" s="463"/>
      <c r="AB1762" s="462"/>
      <c r="AC1762" s="462"/>
      <c r="AD1762" s="464"/>
      <c r="AE1762" s="465"/>
    </row>
    <row r="1763" spans="27:31" ht="14.4">
      <c r="AA1763" s="463"/>
      <c r="AB1763" s="462"/>
      <c r="AC1763" s="462"/>
      <c r="AD1763" s="464"/>
      <c r="AE1763" s="465"/>
    </row>
    <row r="1764" spans="27:31" ht="14.4">
      <c r="AA1764" s="463"/>
      <c r="AB1764" s="462"/>
      <c r="AC1764" s="462"/>
      <c r="AD1764" s="464"/>
      <c r="AE1764" s="465"/>
    </row>
    <row r="1765" spans="27:31" ht="14.4">
      <c r="AA1765" s="463"/>
      <c r="AB1765" s="462"/>
      <c r="AC1765" s="462"/>
      <c r="AD1765" s="464"/>
      <c r="AE1765" s="465"/>
    </row>
    <row r="1766" spans="27:31" ht="14.4">
      <c r="AA1766" s="463"/>
      <c r="AB1766" s="462"/>
      <c r="AC1766" s="462"/>
      <c r="AD1766" s="464"/>
      <c r="AE1766" s="465"/>
    </row>
    <row r="1767" spans="27:31" ht="14.4">
      <c r="AA1767" s="463"/>
      <c r="AB1767" s="462"/>
      <c r="AC1767" s="462"/>
      <c r="AD1767" s="464"/>
      <c r="AE1767" s="465"/>
    </row>
    <row r="1768" spans="27:31" ht="14.4">
      <c r="AA1768" s="463"/>
      <c r="AB1768" s="462"/>
      <c r="AC1768" s="462"/>
      <c r="AD1768" s="464"/>
      <c r="AE1768" s="465"/>
    </row>
    <row r="1769" spans="27:31" ht="14.4">
      <c r="AA1769" s="463"/>
      <c r="AB1769" s="462"/>
      <c r="AC1769" s="462"/>
      <c r="AD1769" s="464"/>
      <c r="AE1769" s="465"/>
    </row>
    <row r="1770" spans="27:31" ht="14.4">
      <c r="AA1770" s="463"/>
      <c r="AB1770" s="462"/>
      <c r="AC1770" s="462"/>
      <c r="AD1770" s="464"/>
      <c r="AE1770" s="465"/>
    </row>
    <row r="1771" spans="27:31" ht="14.4">
      <c r="AA1771" s="463"/>
      <c r="AB1771" s="462"/>
      <c r="AC1771" s="462"/>
      <c r="AD1771" s="464"/>
      <c r="AE1771" s="465"/>
    </row>
    <row r="1772" spans="27:31" ht="14.4">
      <c r="AA1772" s="463"/>
      <c r="AB1772" s="462"/>
      <c r="AC1772" s="462"/>
      <c r="AD1772" s="464"/>
      <c r="AE1772" s="465"/>
    </row>
    <row r="1773" spans="27:31" ht="14.4">
      <c r="AA1773" s="463"/>
      <c r="AB1773" s="462"/>
      <c r="AC1773" s="462"/>
      <c r="AD1773" s="464"/>
      <c r="AE1773" s="465"/>
    </row>
    <row r="1774" spans="27:31" ht="14.4">
      <c r="AA1774" s="463"/>
      <c r="AB1774" s="462"/>
      <c r="AC1774" s="462"/>
      <c r="AD1774" s="464"/>
      <c r="AE1774" s="465"/>
    </row>
    <row r="1775" spans="27:31" ht="14.4">
      <c r="AA1775" s="463"/>
      <c r="AB1775" s="462"/>
      <c r="AC1775" s="462"/>
      <c r="AD1775" s="464"/>
      <c r="AE1775" s="465"/>
    </row>
    <row r="1776" spans="27:31" ht="14.4">
      <c r="AA1776" s="463"/>
      <c r="AB1776" s="462"/>
      <c r="AC1776" s="462"/>
      <c r="AD1776" s="464"/>
      <c r="AE1776" s="465"/>
    </row>
    <row r="1777" spans="27:31" ht="14.4">
      <c r="AA1777" s="463"/>
      <c r="AB1777" s="462"/>
      <c r="AC1777" s="462"/>
      <c r="AD1777" s="464"/>
      <c r="AE1777" s="465"/>
    </row>
    <row r="1778" spans="27:31" ht="14.4">
      <c r="AA1778" s="463"/>
      <c r="AB1778" s="462"/>
      <c r="AC1778" s="462"/>
      <c r="AD1778" s="464"/>
      <c r="AE1778" s="465"/>
    </row>
    <row r="1779" spans="27:31" ht="14.4">
      <c r="AA1779" s="463"/>
      <c r="AB1779" s="462"/>
      <c r="AC1779" s="462"/>
      <c r="AD1779" s="464"/>
      <c r="AE1779" s="465"/>
    </row>
    <row r="1780" spans="27:31" ht="14.4">
      <c r="AA1780" s="463"/>
      <c r="AB1780" s="462"/>
      <c r="AC1780" s="462"/>
      <c r="AD1780" s="464"/>
      <c r="AE1780" s="465"/>
    </row>
    <row r="1781" spans="27:31" ht="14.4">
      <c r="AA1781" s="463"/>
      <c r="AB1781" s="462"/>
      <c r="AC1781" s="462"/>
      <c r="AD1781" s="464"/>
      <c r="AE1781" s="465"/>
    </row>
    <row r="1782" spans="27:31" ht="14.4">
      <c r="AA1782" s="463"/>
      <c r="AB1782" s="462"/>
      <c r="AC1782" s="462"/>
      <c r="AD1782" s="464"/>
      <c r="AE1782" s="465"/>
    </row>
    <row r="1783" spans="27:31" ht="14.4">
      <c r="AA1783" s="463"/>
      <c r="AB1783" s="462"/>
      <c r="AC1783" s="462"/>
      <c r="AD1783" s="464"/>
      <c r="AE1783" s="465"/>
    </row>
    <row r="1784" spans="27:31" ht="14.4">
      <c r="AA1784" s="463"/>
      <c r="AB1784" s="462"/>
      <c r="AC1784" s="462"/>
      <c r="AD1784" s="464"/>
      <c r="AE1784" s="465"/>
    </row>
    <row r="1785" spans="27:31" ht="14.4">
      <c r="AA1785" s="463"/>
      <c r="AB1785" s="462"/>
      <c r="AC1785" s="462"/>
      <c r="AD1785" s="464"/>
      <c r="AE1785" s="465"/>
    </row>
    <row r="1786" spans="27:31" ht="14.4">
      <c r="AA1786" s="463"/>
      <c r="AB1786" s="462"/>
      <c r="AC1786" s="462"/>
      <c r="AD1786" s="464"/>
      <c r="AE1786" s="465"/>
    </row>
    <row r="1787" spans="27:31" ht="14.4">
      <c r="AA1787" s="463"/>
      <c r="AB1787" s="462"/>
      <c r="AC1787" s="462"/>
      <c r="AD1787" s="464"/>
      <c r="AE1787" s="465"/>
    </row>
    <row r="1788" spans="27:31" ht="14.4">
      <c r="AA1788" s="463"/>
      <c r="AB1788" s="462"/>
      <c r="AC1788" s="462"/>
      <c r="AD1788" s="464"/>
      <c r="AE1788" s="465"/>
    </row>
    <row r="1789" spans="27:31" ht="14.4">
      <c r="AA1789" s="463"/>
      <c r="AB1789" s="462"/>
      <c r="AC1789" s="462"/>
      <c r="AD1789" s="464"/>
      <c r="AE1789" s="465"/>
    </row>
    <row r="1790" spans="27:31" ht="14.4">
      <c r="AA1790" s="463"/>
      <c r="AB1790" s="462"/>
      <c r="AC1790" s="462"/>
      <c r="AD1790" s="464"/>
      <c r="AE1790" s="465"/>
    </row>
    <row r="1791" spans="27:31" ht="14.4">
      <c r="AA1791" s="463"/>
      <c r="AB1791" s="462"/>
      <c r="AC1791" s="462"/>
      <c r="AD1791" s="464"/>
      <c r="AE1791" s="465"/>
    </row>
    <row r="1792" spans="27:31" ht="14.4">
      <c r="AA1792" s="463"/>
      <c r="AB1792" s="462"/>
      <c r="AC1792" s="462"/>
      <c r="AD1792" s="464"/>
      <c r="AE1792" s="465"/>
    </row>
    <row r="1793" spans="27:31" ht="14.4">
      <c r="AA1793" s="463"/>
      <c r="AB1793" s="462"/>
      <c r="AC1793" s="462"/>
      <c r="AD1793" s="464"/>
      <c r="AE1793" s="465"/>
    </row>
    <row r="1794" spans="27:31" ht="14.4">
      <c r="AA1794" s="463"/>
      <c r="AB1794" s="462"/>
      <c r="AC1794" s="462"/>
      <c r="AD1794" s="464"/>
      <c r="AE1794" s="465"/>
    </row>
    <row r="1795" spans="27:31" ht="14.4">
      <c r="AA1795" s="463"/>
      <c r="AB1795" s="462"/>
      <c r="AC1795" s="462"/>
      <c r="AD1795" s="464"/>
      <c r="AE1795" s="465"/>
    </row>
    <row r="1796" spans="27:31" ht="14.4">
      <c r="AA1796" s="463"/>
      <c r="AB1796" s="462"/>
      <c r="AC1796" s="462"/>
      <c r="AD1796" s="464"/>
      <c r="AE1796" s="465"/>
    </row>
    <row r="1797" spans="27:31" ht="14.4">
      <c r="AA1797" s="463"/>
      <c r="AB1797" s="462"/>
      <c r="AC1797" s="462"/>
      <c r="AD1797" s="464"/>
      <c r="AE1797" s="465"/>
    </row>
    <row r="1798" spans="27:31" ht="14.4">
      <c r="AA1798" s="463"/>
      <c r="AB1798" s="462"/>
      <c r="AC1798" s="462"/>
      <c r="AD1798" s="464"/>
      <c r="AE1798" s="465"/>
    </row>
    <row r="1799" spans="27:31" ht="14.4">
      <c r="AA1799" s="463"/>
      <c r="AB1799" s="462"/>
      <c r="AC1799" s="462"/>
      <c r="AD1799" s="464"/>
      <c r="AE1799" s="465"/>
    </row>
    <row r="1800" spans="27:31" ht="14.4">
      <c r="AA1800" s="463"/>
      <c r="AB1800" s="462"/>
      <c r="AC1800" s="462"/>
      <c r="AD1800" s="464"/>
      <c r="AE1800" s="465"/>
    </row>
    <row r="1801" spans="27:31" ht="14.4">
      <c r="AA1801" s="463"/>
      <c r="AB1801" s="462"/>
      <c r="AC1801" s="462"/>
      <c r="AD1801" s="464"/>
      <c r="AE1801" s="465"/>
    </row>
    <row r="1802" spans="27:31" ht="14.4">
      <c r="AA1802" s="463"/>
      <c r="AB1802" s="462"/>
      <c r="AC1802" s="462"/>
      <c r="AD1802" s="464"/>
      <c r="AE1802" s="465"/>
    </row>
    <row r="1803" spans="27:31" ht="14.4">
      <c r="AA1803" s="463"/>
      <c r="AB1803" s="462"/>
      <c r="AC1803" s="462"/>
      <c r="AD1803" s="464"/>
      <c r="AE1803" s="465"/>
    </row>
    <row r="1804" spans="27:31" ht="14.4">
      <c r="AA1804" s="463"/>
      <c r="AB1804" s="462"/>
      <c r="AC1804" s="462"/>
      <c r="AD1804" s="464"/>
      <c r="AE1804" s="465"/>
    </row>
    <row r="1805" spans="27:31" ht="14.4">
      <c r="AA1805" s="463"/>
      <c r="AB1805" s="462"/>
      <c r="AC1805" s="462"/>
      <c r="AD1805" s="464"/>
      <c r="AE1805" s="465"/>
    </row>
    <row r="1806" spans="27:31" ht="14.4">
      <c r="AA1806" s="463"/>
      <c r="AB1806" s="462"/>
      <c r="AC1806" s="462"/>
      <c r="AD1806" s="464"/>
      <c r="AE1806" s="465"/>
    </row>
    <row r="1807" spans="27:31" ht="14.4">
      <c r="AA1807" s="463"/>
      <c r="AB1807" s="462"/>
      <c r="AC1807" s="462"/>
      <c r="AD1807" s="464"/>
      <c r="AE1807" s="465"/>
    </row>
    <row r="1808" spans="27:31" ht="14.4">
      <c r="AA1808" s="463"/>
      <c r="AB1808" s="462"/>
      <c r="AC1808" s="462"/>
      <c r="AD1808" s="464"/>
      <c r="AE1808" s="465"/>
    </row>
    <row r="1809" spans="27:31" ht="14.4">
      <c r="AA1809" s="463"/>
      <c r="AB1809" s="462"/>
      <c r="AC1809" s="462"/>
      <c r="AD1809" s="464"/>
      <c r="AE1809" s="465"/>
    </row>
    <row r="1810" spans="27:31" ht="14.4">
      <c r="AA1810" s="463"/>
      <c r="AB1810" s="462"/>
      <c r="AC1810" s="462"/>
      <c r="AD1810" s="464"/>
      <c r="AE1810" s="465"/>
    </row>
    <row r="1811" spans="27:31" ht="14.4">
      <c r="AA1811" s="463"/>
      <c r="AB1811" s="462"/>
      <c r="AC1811" s="462"/>
      <c r="AD1811" s="464"/>
      <c r="AE1811" s="465"/>
    </row>
    <row r="1812" spans="27:31" ht="14.4">
      <c r="AA1812" s="463"/>
      <c r="AB1812" s="462"/>
      <c r="AC1812" s="462"/>
      <c r="AD1812" s="464"/>
      <c r="AE1812" s="465"/>
    </row>
    <row r="1813" spans="27:31" ht="14.4">
      <c r="AA1813" s="463"/>
      <c r="AB1813" s="462"/>
      <c r="AC1813" s="462"/>
      <c r="AD1813" s="464"/>
      <c r="AE1813" s="465"/>
    </row>
    <row r="1814" spans="27:31" ht="14.4">
      <c r="AA1814" s="463"/>
      <c r="AB1814" s="462"/>
      <c r="AC1814" s="462"/>
      <c r="AD1814" s="464"/>
      <c r="AE1814" s="465"/>
    </row>
    <row r="1815" spans="27:31" ht="14.4">
      <c r="AA1815" s="463"/>
      <c r="AB1815" s="462"/>
      <c r="AC1815" s="462"/>
      <c r="AD1815" s="464"/>
      <c r="AE1815" s="465"/>
    </row>
    <row r="1816" spans="27:31" ht="14.4">
      <c r="AA1816" s="463"/>
      <c r="AB1816" s="462"/>
      <c r="AC1816" s="462"/>
      <c r="AD1816" s="464"/>
      <c r="AE1816" s="465"/>
    </row>
    <row r="1817" spans="27:31" ht="14.4">
      <c r="AA1817" s="463"/>
      <c r="AB1817" s="462"/>
      <c r="AC1817" s="462"/>
      <c r="AD1817" s="464"/>
      <c r="AE1817" s="465"/>
    </row>
    <row r="1818" spans="27:31" ht="14.4">
      <c r="AA1818" s="463"/>
      <c r="AB1818" s="462"/>
      <c r="AC1818" s="462"/>
      <c r="AD1818" s="464"/>
      <c r="AE1818" s="465"/>
    </row>
    <row r="1819" spans="27:31" ht="14.4">
      <c r="AA1819" s="463"/>
      <c r="AB1819" s="462"/>
      <c r="AC1819" s="462"/>
      <c r="AD1819" s="464"/>
      <c r="AE1819" s="465"/>
    </row>
    <row r="1820" spans="27:31" ht="14.4">
      <c r="AA1820" s="463"/>
      <c r="AB1820" s="462"/>
      <c r="AC1820" s="462"/>
      <c r="AD1820" s="464"/>
      <c r="AE1820" s="465"/>
    </row>
    <row r="1821" spans="27:31" ht="14.4">
      <c r="AA1821" s="463"/>
      <c r="AB1821" s="462"/>
      <c r="AC1821" s="462"/>
      <c r="AD1821" s="464"/>
      <c r="AE1821" s="465"/>
    </row>
    <row r="1822" spans="27:31" ht="14.4">
      <c r="AA1822" s="463"/>
      <c r="AB1822" s="462"/>
      <c r="AC1822" s="462"/>
      <c r="AD1822" s="464"/>
      <c r="AE1822" s="465"/>
    </row>
    <row r="1823" spans="27:31" ht="14.4">
      <c r="AA1823" s="463"/>
      <c r="AB1823" s="462"/>
      <c r="AC1823" s="462"/>
      <c r="AD1823" s="464"/>
      <c r="AE1823" s="465"/>
    </row>
    <row r="1824" spans="27:31" ht="14.4">
      <c r="AA1824" s="463"/>
      <c r="AB1824" s="462"/>
      <c r="AC1824" s="462"/>
      <c r="AD1824" s="464"/>
      <c r="AE1824" s="465"/>
    </row>
    <row r="1825" spans="27:31" ht="14.4">
      <c r="AA1825" s="463"/>
      <c r="AB1825" s="462"/>
      <c r="AC1825" s="462"/>
      <c r="AD1825" s="464"/>
      <c r="AE1825" s="465"/>
    </row>
    <row r="1826" spans="27:31" ht="14.4">
      <c r="AA1826" s="463"/>
      <c r="AB1826" s="462"/>
      <c r="AC1826" s="462"/>
      <c r="AD1826" s="464"/>
      <c r="AE1826" s="465"/>
    </row>
    <row r="1827" spans="27:31" ht="14.4">
      <c r="AA1827" s="463"/>
      <c r="AB1827" s="462"/>
      <c r="AC1827" s="462"/>
      <c r="AD1827" s="464"/>
      <c r="AE1827" s="465"/>
    </row>
    <row r="1828" spans="27:31" ht="14.4">
      <c r="AA1828" s="463"/>
      <c r="AB1828" s="462"/>
      <c r="AC1828" s="462"/>
      <c r="AD1828" s="464"/>
      <c r="AE1828" s="465"/>
    </row>
    <row r="1829" spans="27:31" ht="14.4">
      <c r="AA1829" s="463"/>
      <c r="AB1829" s="462"/>
      <c r="AC1829" s="462"/>
      <c r="AD1829" s="464"/>
      <c r="AE1829" s="465"/>
    </row>
    <row r="1830" spans="27:31" ht="14.4">
      <c r="AA1830" s="463"/>
      <c r="AB1830" s="462"/>
      <c r="AC1830" s="462"/>
      <c r="AD1830" s="464"/>
      <c r="AE1830" s="465"/>
    </row>
    <row r="1831" spans="27:31" ht="14.4">
      <c r="AA1831" s="463"/>
      <c r="AB1831" s="462"/>
      <c r="AC1831" s="462"/>
      <c r="AD1831" s="464"/>
      <c r="AE1831" s="465"/>
    </row>
    <row r="1832" spans="27:31" ht="14.4">
      <c r="AA1832" s="463"/>
      <c r="AB1832" s="462"/>
      <c r="AC1832" s="462"/>
      <c r="AD1832" s="464"/>
      <c r="AE1832" s="465"/>
    </row>
    <row r="1833" spans="27:31" ht="14.4">
      <c r="AA1833" s="463"/>
      <c r="AB1833" s="462"/>
      <c r="AC1833" s="462"/>
      <c r="AD1833" s="464"/>
      <c r="AE1833" s="465"/>
    </row>
    <row r="1834" spans="27:31" ht="14.4">
      <c r="AA1834" s="463"/>
      <c r="AB1834" s="462"/>
      <c r="AC1834" s="462"/>
      <c r="AD1834" s="464"/>
      <c r="AE1834" s="465"/>
    </row>
    <row r="1835" spans="27:31" ht="14.4">
      <c r="AA1835" s="463"/>
      <c r="AB1835" s="462"/>
      <c r="AC1835" s="462"/>
      <c r="AD1835" s="464"/>
      <c r="AE1835" s="465"/>
    </row>
    <row r="1836" spans="27:31" ht="14.4">
      <c r="AA1836" s="463"/>
      <c r="AB1836" s="462"/>
      <c r="AC1836" s="462"/>
      <c r="AD1836" s="464"/>
      <c r="AE1836" s="465"/>
    </row>
    <row r="1837" spans="27:31" ht="14.4">
      <c r="AA1837" s="463"/>
      <c r="AB1837" s="462"/>
      <c r="AC1837" s="462"/>
      <c r="AD1837" s="464"/>
      <c r="AE1837" s="465"/>
    </row>
    <row r="1838" spans="27:31" ht="14.4">
      <c r="AA1838" s="463"/>
      <c r="AB1838" s="462"/>
      <c r="AC1838" s="462"/>
      <c r="AD1838" s="464"/>
      <c r="AE1838" s="465"/>
    </row>
    <row r="1839" spans="27:31" ht="14.4">
      <c r="AA1839" s="463"/>
      <c r="AB1839" s="462"/>
      <c r="AC1839" s="462"/>
      <c r="AD1839" s="464"/>
      <c r="AE1839" s="465"/>
    </row>
    <row r="1840" spans="27:31" ht="14.4">
      <c r="AA1840" s="463"/>
      <c r="AB1840" s="462"/>
      <c r="AC1840" s="462"/>
      <c r="AD1840" s="464"/>
      <c r="AE1840" s="465"/>
    </row>
    <row r="1841" spans="27:31" ht="14.4">
      <c r="AA1841" s="463"/>
      <c r="AB1841" s="462"/>
      <c r="AC1841" s="462"/>
      <c r="AD1841" s="464"/>
      <c r="AE1841" s="465"/>
    </row>
    <row r="1842" spans="27:31" ht="14.4">
      <c r="AA1842" s="463"/>
      <c r="AB1842" s="462"/>
      <c r="AC1842" s="462"/>
      <c r="AD1842" s="464"/>
      <c r="AE1842" s="465"/>
    </row>
    <row r="1843" spans="27:31" ht="14.4">
      <c r="AA1843" s="463"/>
      <c r="AB1843" s="462"/>
      <c r="AC1843" s="462"/>
      <c r="AD1843" s="464"/>
      <c r="AE1843" s="465"/>
    </row>
    <row r="1844" spans="27:31" ht="14.4">
      <c r="AA1844" s="463"/>
      <c r="AB1844" s="462"/>
      <c r="AC1844" s="462"/>
      <c r="AD1844" s="464"/>
      <c r="AE1844" s="465"/>
    </row>
    <row r="1845" spans="27:31" ht="14.4">
      <c r="AA1845" s="463"/>
      <c r="AB1845" s="462"/>
      <c r="AC1845" s="462"/>
      <c r="AD1845" s="464"/>
      <c r="AE1845" s="465"/>
    </row>
    <row r="1846" spans="27:31" ht="14.4">
      <c r="AA1846" s="463"/>
      <c r="AB1846" s="462"/>
      <c r="AC1846" s="462"/>
      <c r="AD1846" s="464"/>
      <c r="AE1846" s="465"/>
    </row>
    <row r="1847" spans="27:31" ht="14.4">
      <c r="AA1847" s="463"/>
      <c r="AB1847" s="462"/>
      <c r="AC1847" s="462"/>
      <c r="AD1847" s="464"/>
      <c r="AE1847" s="465"/>
    </row>
    <row r="1848" spans="27:31" ht="14.4">
      <c r="AA1848" s="463"/>
      <c r="AB1848" s="462"/>
      <c r="AC1848" s="462"/>
      <c r="AD1848" s="464"/>
      <c r="AE1848" s="465"/>
    </row>
    <row r="1849" spans="27:31" ht="14.4">
      <c r="AA1849" s="463"/>
      <c r="AB1849" s="462"/>
      <c r="AC1849" s="462"/>
      <c r="AD1849" s="464"/>
      <c r="AE1849" s="465"/>
    </row>
    <row r="1850" spans="27:31" ht="14.4">
      <c r="AA1850" s="463"/>
      <c r="AB1850" s="462"/>
      <c r="AC1850" s="462"/>
      <c r="AD1850" s="464"/>
      <c r="AE1850" s="465"/>
    </row>
    <row r="1851" spans="27:31" ht="14.4">
      <c r="AA1851" s="463"/>
      <c r="AB1851" s="462"/>
      <c r="AC1851" s="462"/>
      <c r="AD1851" s="464"/>
      <c r="AE1851" s="465"/>
    </row>
    <row r="1852" spans="27:31" ht="14.4">
      <c r="AA1852" s="463"/>
      <c r="AB1852" s="462"/>
      <c r="AC1852" s="462"/>
      <c r="AD1852" s="464"/>
      <c r="AE1852" s="465"/>
    </row>
    <row r="1853" spans="27:31" ht="14.4">
      <c r="AA1853" s="463"/>
      <c r="AB1853" s="462"/>
      <c r="AC1853" s="462"/>
      <c r="AD1853" s="464"/>
      <c r="AE1853" s="465"/>
    </row>
    <row r="1854" spans="27:31" ht="14.4">
      <c r="AA1854" s="463"/>
      <c r="AB1854" s="462"/>
      <c r="AC1854" s="462"/>
      <c r="AD1854" s="464"/>
      <c r="AE1854" s="465"/>
    </row>
    <row r="1855" spans="27:31" ht="14.4">
      <c r="AA1855" s="463"/>
      <c r="AB1855" s="462"/>
      <c r="AC1855" s="462"/>
      <c r="AD1855" s="464"/>
      <c r="AE1855" s="465"/>
    </row>
    <row r="1856" spans="27:31" ht="14.4">
      <c r="AA1856" s="463"/>
      <c r="AB1856" s="462"/>
      <c r="AC1856" s="462"/>
      <c r="AD1856" s="464"/>
      <c r="AE1856" s="465"/>
    </row>
    <row r="1857" spans="27:31" ht="14.4">
      <c r="AA1857" s="463"/>
      <c r="AB1857" s="462"/>
      <c r="AC1857" s="462"/>
      <c r="AD1857" s="464"/>
      <c r="AE1857" s="465"/>
    </row>
    <row r="1858" spans="27:31" ht="14.4">
      <c r="AA1858" s="463"/>
      <c r="AB1858" s="462"/>
      <c r="AC1858" s="462"/>
      <c r="AD1858" s="464"/>
      <c r="AE1858" s="465"/>
    </row>
    <row r="1859" spans="27:31" ht="14.4">
      <c r="AA1859" s="463"/>
      <c r="AB1859" s="462"/>
      <c r="AC1859" s="462"/>
      <c r="AD1859" s="464"/>
      <c r="AE1859" s="465"/>
    </row>
    <row r="1860" spans="27:31" ht="14.4">
      <c r="AA1860" s="463"/>
      <c r="AB1860" s="462"/>
      <c r="AC1860" s="462"/>
      <c r="AD1860" s="464"/>
      <c r="AE1860" s="465"/>
    </row>
    <row r="1861" spans="27:31" ht="14.4">
      <c r="AA1861" s="463"/>
      <c r="AB1861" s="462"/>
      <c r="AC1861" s="462"/>
      <c r="AD1861" s="464"/>
      <c r="AE1861" s="465"/>
    </row>
    <row r="1862" spans="27:31" ht="14.4">
      <c r="AA1862" s="463"/>
      <c r="AB1862" s="462"/>
      <c r="AC1862" s="462"/>
      <c r="AD1862" s="464"/>
      <c r="AE1862" s="465"/>
    </row>
    <row r="1863" spans="27:31" ht="14.4">
      <c r="AA1863" s="463"/>
      <c r="AB1863" s="462"/>
      <c r="AC1863" s="462"/>
      <c r="AD1863" s="464"/>
      <c r="AE1863" s="465"/>
    </row>
    <row r="1864" spans="27:31" ht="14.4">
      <c r="AA1864" s="463"/>
      <c r="AB1864" s="462"/>
      <c r="AC1864" s="462"/>
      <c r="AD1864" s="464"/>
      <c r="AE1864" s="465"/>
    </row>
    <row r="1865" spans="27:31" ht="14.4">
      <c r="AA1865" s="463"/>
      <c r="AB1865" s="462"/>
      <c r="AC1865" s="462"/>
      <c r="AD1865" s="464"/>
      <c r="AE1865" s="465"/>
    </row>
    <row r="1866" spans="27:31" ht="14.4">
      <c r="AA1866" s="463"/>
      <c r="AB1866" s="462"/>
      <c r="AC1866" s="462"/>
      <c r="AD1866" s="464"/>
      <c r="AE1866" s="465"/>
    </row>
    <row r="1867" spans="27:31" ht="14.4">
      <c r="AA1867" s="463"/>
      <c r="AB1867" s="462"/>
      <c r="AC1867" s="462"/>
      <c r="AD1867" s="464"/>
      <c r="AE1867" s="465"/>
    </row>
    <row r="1868" spans="27:31" ht="14.4">
      <c r="AA1868" s="463"/>
      <c r="AB1868" s="462"/>
      <c r="AC1868" s="462"/>
      <c r="AD1868" s="464"/>
      <c r="AE1868" s="465"/>
    </row>
    <row r="1869" spans="27:31" ht="14.4">
      <c r="AA1869" s="463"/>
      <c r="AB1869" s="462"/>
      <c r="AC1869" s="462"/>
      <c r="AD1869" s="464"/>
      <c r="AE1869" s="465"/>
    </row>
    <row r="1870" spans="27:31" ht="14.4">
      <c r="AA1870" s="463"/>
      <c r="AB1870" s="462"/>
      <c r="AC1870" s="462"/>
      <c r="AD1870" s="464"/>
      <c r="AE1870" s="465"/>
    </row>
    <row r="1871" spans="27:31" ht="14.4">
      <c r="AA1871" s="463"/>
      <c r="AB1871" s="462"/>
      <c r="AC1871" s="462"/>
      <c r="AD1871" s="464"/>
      <c r="AE1871" s="465"/>
    </row>
    <row r="1872" spans="27:31" ht="14.4">
      <c r="AA1872" s="463"/>
      <c r="AB1872" s="462"/>
      <c r="AC1872" s="462"/>
      <c r="AD1872" s="464"/>
      <c r="AE1872" s="465"/>
    </row>
    <row r="1873" spans="27:31" ht="14.4">
      <c r="AA1873" s="463"/>
      <c r="AB1873" s="462"/>
      <c r="AC1873" s="462"/>
      <c r="AD1873" s="464"/>
      <c r="AE1873" s="465"/>
    </row>
    <row r="1874" spans="27:31" ht="14.4">
      <c r="AA1874" s="463"/>
      <c r="AB1874" s="462"/>
      <c r="AC1874" s="462"/>
      <c r="AD1874" s="464"/>
      <c r="AE1874" s="465"/>
    </row>
    <row r="1875" spans="27:31" ht="14.4">
      <c r="AA1875" s="463"/>
      <c r="AB1875" s="462"/>
      <c r="AC1875" s="462"/>
      <c r="AD1875" s="464"/>
      <c r="AE1875" s="465"/>
    </row>
    <row r="1876" spans="27:31" ht="14.4">
      <c r="AA1876" s="463"/>
      <c r="AB1876" s="462"/>
      <c r="AC1876" s="462"/>
      <c r="AD1876" s="464"/>
      <c r="AE1876" s="465"/>
    </row>
    <row r="1877" spans="27:31" ht="14.4">
      <c r="AA1877" s="463"/>
      <c r="AB1877" s="462"/>
      <c r="AC1877" s="462"/>
      <c r="AD1877" s="464"/>
      <c r="AE1877" s="465"/>
    </row>
    <row r="1878" spans="27:31" ht="14.4">
      <c r="AA1878" s="463"/>
      <c r="AB1878" s="462"/>
      <c r="AC1878" s="462"/>
      <c r="AD1878" s="464"/>
      <c r="AE1878" s="465"/>
    </row>
    <row r="1879" spans="27:31" ht="14.4">
      <c r="AA1879" s="463"/>
      <c r="AB1879" s="462"/>
      <c r="AC1879" s="462"/>
      <c r="AD1879" s="464"/>
      <c r="AE1879" s="465"/>
    </row>
    <row r="1880" spans="27:31" ht="14.4">
      <c r="AA1880" s="463"/>
      <c r="AB1880" s="462"/>
      <c r="AC1880" s="462"/>
      <c r="AD1880" s="464"/>
      <c r="AE1880" s="465"/>
    </row>
    <row r="1881" spans="27:31" ht="14.4">
      <c r="AA1881" s="463"/>
      <c r="AB1881" s="462"/>
      <c r="AC1881" s="462"/>
      <c r="AD1881" s="464"/>
      <c r="AE1881" s="465"/>
    </row>
    <row r="1882" spans="27:31" ht="14.4">
      <c r="AA1882" s="463"/>
      <c r="AB1882" s="462"/>
      <c r="AC1882" s="462"/>
      <c r="AD1882" s="464"/>
      <c r="AE1882" s="465"/>
    </row>
    <row r="1883" spans="27:31" ht="14.4">
      <c r="AA1883" s="463"/>
      <c r="AB1883" s="462"/>
      <c r="AC1883" s="462"/>
      <c r="AD1883" s="464"/>
      <c r="AE1883" s="465"/>
    </row>
    <row r="1884" spans="27:31" ht="14.4">
      <c r="AA1884" s="463"/>
      <c r="AB1884" s="462"/>
      <c r="AC1884" s="462"/>
      <c r="AD1884" s="464"/>
      <c r="AE1884" s="465"/>
    </row>
    <row r="1885" spans="27:31" ht="14.4">
      <c r="AA1885" s="463"/>
      <c r="AB1885" s="462"/>
      <c r="AC1885" s="462"/>
      <c r="AD1885" s="464"/>
      <c r="AE1885" s="465"/>
    </row>
    <row r="1886" spans="27:31" ht="14.4">
      <c r="AA1886" s="463"/>
      <c r="AB1886" s="462"/>
      <c r="AC1886" s="462"/>
      <c r="AD1886" s="464"/>
      <c r="AE1886" s="465"/>
    </row>
    <row r="1887" spans="27:31" ht="14.4">
      <c r="AA1887" s="463"/>
      <c r="AB1887" s="462"/>
      <c r="AC1887" s="462"/>
      <c r="AD1887" s="464"/>
      <c r="AE1887" s="465"/>
    </row>
    <row r="1888" spans="27:31" ht="14.4">
      <c r="AA1888" s="463"/>
      <c r="AB1888" s="462"/>
      <c r="AC1888" s="462"/>
      <c r="AD1888" s="464"/>
      <c r="AE1888" s="465"/>
    </row>
    <row r="1889" spans="27:31" ht="14.4">
      <c r="AA1889" s="463"/>
      <c r="AB1889" s="462"/>
      <c r="AC1889" s="462"/>
      <c r="AD1889" s="464"/>
      <c r="AE1889" s="465"/>
    </row>
    <row r="1890" spans="27:31" ht="14.4">
      <c r="AA1890" s="463"/>
      <c r="AB1890" s="462"/>
      <c r="AC1890" s="462"/>
      <c r="AD1890" s="464"/>
      <c r="AE1890" s="465"/>
    </row>
    <row r="1891" spans="27:31" ht="14.4">
      <c r="AA1891" s="463"/>
      <c r="AB1891" s="462"/>
      <c r="AC1891" s="462"/>
      <c r="AD1891" s="464"/>
      <c r="AE1891" s="465"/>
    </row>
    <row r="1892" spans="27:31" ht="14.4">
      <c r="AA1892" s="463"/>
      <c r="AB1892" s="462"/>
      <c r="AC1892" s="462"/>
      <c r="AD1892" s="464"/>
      <c r="AE1892" s="465"/>
    </row>
    <row r="1893" spans="27:31" ht="14.4">
      <c r="AA1893" s="463"/>
      <c r="AB1893" s="462"/>
      <c r="AC1893" s="462"/>
      <c r="AD1893" s="464"/>
      <c r="AE1893" s="465"/>
    </row>
    <row r="1894" spans="27:31" ht="14.4">
      <c r="AA1894" s="463"/>
      <c r="AB1894" s="462"/>
      <c r="AC1894" s="462"/>
      <c r="AD1894" s="464"/>
      <c r="AE1894" s="465"/>
    </row>
    <row r="1895" spans="27:31" ht="14.4">
      <c r="AA1895" s="463"/>
      <c r="AB1895" s="462"/>
      <c r="AC1895" s="462"/>
      <c r="AD1895" s="464"/>
      <c r="AE1895" s="465"/>
    </row>
    <row r="1896" spans="27:31" ht="14.4">
      <c r="AA1896" s="463"/>
      <c r="AB1896" s="462"/>
      <c r="AC1896" s="462"/>
      <c r="AD1896" s="464"/>
      <c r="AE1896" s="465"/>
    </row>
    <row r="1897" spans="27:31" ht="14.4">
      <c r="AA1897" s="463"/>
      <c r="AB1897" s="462"/>
      <c r="AC1897" s="462"/>
      <c r="AD1897" s="464"/>
      <c r="AE1897" s="465"/>
    </row>
    <row r="1898" spans="27:31" ht="14.4">
      <c r="AA1898" s="463"/>
      <c r="AB1898" s="462"/>
      <c r="AC1898" s="462"/>
      <c r="AD1898" s="464"/>
      <c r="AE1898" s="465"/>
    </row>
    <row r="1899" spans="27:31" ht="14.4">
      <c r="AA1899" s="463"/>
      <c r="AB1899" s="462"/>
      <c r="AC1899" s="462"/>
      <c r="AD1899" s="464"/>
      <c r="AE1899" s="465"/>
    </row>
    <row r="1900" spans="27:31" ht="14.4">
      <c r="AA1900" s="463"/>
      <c r="AB1900" s="462"/>
      <c r="AC1900" s="462"/>
      <c r="AD1900" s="464"/>
      <c r="AE1900" s="465"/>
    </row>
    <row r="1901" spans="27:31" ht="14.4">
      <c r="AA1901" s="463"/>
      <c r="AB1901" s="462"/>
      <c r="AC1901" s="462"/>
      <c r="AD1901" s="464"/>
      <c r="AE1901" s="465"/>
    </row>
    <row r="1902" spans="27:31" ht="14.4">
      <c r="AA1902" s="463"/>
      <c r="AB1902" s="462"/>
      <c r="AC1902" s="462"/>
      <c r="AD1902" s="464"/>
      <c r="AE1902" s="465"/>
    </row>
    <row r="1903" spans="27:31" ht="14.4">
      <c r="AA1903" s="463"/>
      <c r="AB1903" s="462"/>
      <c r="AC1903" s="462"/>
      <c r="AD1903" s="464"/>
      <c r="AE1903" s="465"/>
    </row>
    <row r="1904" spans="27:31" ht="14.4">
      <c r="AA1904" s="463"/>
      <c r="AB1904" s="462"/>
      <c r="AC1904" s="462"/>
      <c r="AD1904" s="464"/>
      <c r="AE1904" s="465"/>
    </row>
    <row r="1905" spans="27:31" ht="14.4">
      <c r="AA1905" s="463"/>
      <c r="AB1905" s="462"/>
      <c r="AC1905" s="462"/>
      <c r="AD1905" s="464"/>
      <c r="AE1905" s="465"/>
    </row>
    <row r="1906" spans="27:31" ht="14.4">
      <c r="AA1906" s="463"/>
      <c r="AB1906" s="462"/>
      <c r="AC1906" s="462"/>
      <c r="AD1906" s="464"/>
      <c r="AE1906" s="465"/>
    </row>
    <row r="1907" spans="27:31" ht="14.4">
      <c r="AA1907" s="463"/>
      <c r="AB1907" s="462"/>
      <c r="AC1907" s="462"/>
      <c r="AD1907" s="464"/>
      <c r="AE1907" s="465"/>
    </row>
    <row r="1908" spans="27:31" ht="14.4">
      <c r="AA1908" s="463"/>
      <c r="AB1908" s="462"/>
      <c r="AC1908" s="462"/>
      <c r="AD1908" s="464"/>
      <c r="AE1908" s="465"/>
    </row>
    <row r="1909" spans="27:31" ht="14.4">
      <c r="AA1909" s="463"/>
      <c r="AB1909" s="462"/>
      <c r="AC1909" s="462"/>
      <c r="AD1909" s="464"/>
      <c r="AE1909" s="465"/>
    </row>
    <row r="1910" spans="27:31" ht="14.4">
      <c r="AA1910" s="463"/>
      <c r="AB1910" s="462"/>
      <c r="AC1910" s="462"/>
      <c r="AD1910" s="464"/>
      <c r="AE1910" s="465"/>
    </row>
    <row r="1911" spans="27:31" ht="14.4">
      <c r="AA1911" s="463"/>
      <c r="AB1911" s="462"/>
      <c r="AC1911" s="462"/>
      <c r="AD1911" s="464"/>
      <c r="AE1911" s="465"/>
    </row>
    <row r="1912" spans="27:31" ht="14.4">
      <c r="AA1912" s="463"/>
      <c r="AB1912" s="462"/>
      <c r="AC1912" s="462"/>
      <c r="AD1912" s="464"/>
      <c r="AE1912" s="465"/>
    </row>
    <row r="1913" spans="27:31" ht="14.4">
      <c r="AA1913" s="463"/>
      <c r="AB1913" s="462"/>
      <c r="AC1913" s="462"/>
      <c r="AD1913" s="464"/>
      <c r="AE1913" s="465"/>
    </row>
    <row r="1914" spans="27:31" ht="14.4">
      <c r="AA1914" s="463"/>
      <c r="AB1914" s="462"/>
      <c r="AC1914" s="462"/>
      <c r="AD1914" s="464"/>
      <c r="AE1914" s="465"/>
    </row>
    <row r="1915" spans="27:31" ht="14.4">
      <c r="AA1915" s="463"/>
      <c r="AB1915" s="462"/>
      <c r="AC1915" s="462"/>
      <c r="AD1915" s="464"/>
      <c r="AE1915" s="465"/>
    </row>
    <row r="1916" spans="27:31" ht="14.4">
      <c r="AA1916" s="463"/>
      <c r="AB1916" s="462"/>
      <c r="AC1916" s="462"/>
      <c r="AD1916" s="464"/>
      <c r="AE1916" s="465"/>
    </row>
    <row r="1917" spans="27:31" ht="14.4">
      <c r="AA1917" s="463"/>
      <c r="AB1917" s="462"/>
      <c r="AC1917" s="462"/>
      <c r="AD1917" s="464"/>
      <c r="AE1917" s="465"/>
    </row>
    <row r="1918" spans="27:31" ht="14.4">
      <c r="AA1918" s="463"/>
      <c r="AB1918" s="462"/>
      <c r="AC1918" s="462"/>
      <c r="AD1918" s="464"/>
      <c r="AE1918" s="465"/>
    </row>
    <row r="1919" spans="27:31" ht="14.4">
      <c r="AA1919" s="463"/>
      <c r="AB1919" s="462"/>
      <c r="AC1919" s="462"/>
      <c r="AD1919" s="464"/>
      <c r="AE1919" s="465"/>
    </row>
    <row r="1920" spans="27:31" ht="14.4">
      <c r="AA1920" s="463"/>
      <c r="AB1920" s="462"/>
      <c r="AC1920" s="462"/>
      <c r="AD1920" s="464"/>
      <c r="AE1920" s="465"/>
    </row>
    <row r="1921" spans="27:31" ht="14.4">
      <c r="AA1921" s="463"/>
      <c r="AB1921" s="462"/>
      <c r="AC1921" s="462"/>
      <c r="AD1921" s="464"/>
      <c r="AE1921" s="465"/>
    </row>
    <row r="1922" spans="27:31" ht="14.4">
      <c r="AA1922" s="463"/>
      <c r="AB1922" s="462"/>
      <c r="AC1922" s="462"/>
      <c r="AD1922" s="464"/>
      <c r="AE1922" s="465"/>
    </row>
    <row r="1923" spans="27:31" ht="14.4">
      <c r="AA1923" s="463"/>
      <c r="AB1923" s="462"/>
      <c r="AC1923" s="462"/>
      <c r="AD1923" s="464"/>
      <c r="AE1923" s="465"/>
    </row>
    <row r="1924" spans="27:31" ht="14.4">
      <c r="AA1924" s="463"/>
      <c r="AB1924" s="462"/>
      <c r="AC1924" s="462"/>
      <c r="AD1924" s="464"/>
      <c r="AE1924" s="465"/>
    </row>
    <row r="1925" spans="27:31" ht="14.4">
      <c r="AA1925" s="463"/>
      <c r="AB1925" s="462"/>
      <c r="AC1925" s="462"/>
      <c r="AD1925" s="464"/>
      <c r="AE1925" s="465"/>
    </row>
    <row r="1926" spans="27:31" ht="14.4">
      <c r="AA1926" s="463"/>
      <c r="AB1926" s="462"/>
      <c r="AC1926" s="462"/>
      <c r="AD1926" s="464"/>
      <c r="AE1926" s="465"/>
    </row>
    <row r="1927" spans="27:31" ht="14.4">
      <c r="AA1927" s="463"/>
      <c r="AB1927" s="462"/>
      <c r="AC1927" s="462"/>
      <c r="AD1927" s="464"/>
      <c r="AE1927" s="465"/>
    </row>
    <row r="1928" spans="27:31" ht="14.4">
      <c r="AA1928" s="463"/>
      <c r="AB1928" s="462"/>
      <c r="AC1928" s="462"/>
      <c r="AD1928" s="464"/>
      <c r="AE1928" s="465"/>
    </row>
    <row r="1929" spans="27:31" ht="14.4">
      <c r="AA1929" s="463"/>
      <c r="AB1929" s="462"/>
      <c r="AC1929" s="462"/>
      <c r="AD1929" s="464"/>
      <c r="AE1929" s="465"/>
    </row>
    <row r="1930" spans="27:31" ht="14.4">
      <c r="AA1930" s="463"/>
      <c r="AB1930" s="462"/>
      <c r="AC1930" s="462"/>
      <c r="AD1930" s="464"/>
      <c r="AE1930" s="465"/>
    </row>
    <row r="1931" spans="27:31" ht="14.4">
      <c r="AA1931" s="463"/>
      <c r="AB1931" s="462"/>
      <c r="AC1931" s="462"/>
      <c r="AD1931" s="464"/>
      <c r="AE1931" s="465"/>
    </row>
    <row r="1932" spans="27:31" ht="14.4">
      <c r="AA1932" s="463"/>
      <c r="AB1932" s="462"/>
      <c r="AC1932" s="462"/>
      <c r="AD1932" s="464"/>
      <c r="AE1932" s="465"/>
    </row>
    <row r="1933" spans="27:31" ht="14.4">
      <c r="AA1933" s="463"/>
      <c r="AB1933" s="462"/>
      <c r="AC1933" s="462"/>
      <c r="AD1933" s="464"/>
      <c r="AE1933" s="465"/>
    </row>
    <row r="1934" spans="27:31" ht="14.4">
      <c r="AA1934" s="463"/>
      <c r="AB1934" s="462"/>
      <c r="AC1934" s="462"/>
      <c r="AD1934" s="464"/>
      <c r="AE1934" s="465"/>
    </row>
    <row r="1935" spans="27:31" ht="14.4">
      <c r="AA1935" s="463"/>
      <c r="AB1935" s="462"/>
      <c r="AC1935" s="462"/>
      <c r="AD1935" s="464"/>
      <c r="AE1935" s="465"/>
    </row>
    <row r="1936" spans="27:31" ht="14.4">
      <c r="AA1936" s="463"/>
      <c r="AB1936" s="462"/>
      <c r="AC1936" s="462"/>
      <c r="AD1936" s="464"/>
      <c r="AE1936" s="465"/>
    </row>
    <row r="1937" spans="27:31" ht="14.4">
      <c r="AA1937" s="463"/>
      <c r="AB1937" s="462"/>
      <c r="AC1937" s="462"/>
      <c r="AD1937" s="464"/>
      <c r="AE1937" s="465"/>
    </row>
    <row r="1938" spans="27:31" ht="14.4">
      <c r="AA1938" s="463"/>
      <c r="AB1938" s="462"/>
      <c r="AC1938" s="462"/>
      <c r="AD1938" s="464"/>
      <c r="AE1938" s="465"/>
    </row>
    <row r="1939" spans="27:31" ht="14.4">
      <c r="AA1939" s="463"/>
      <c r="AB1939" s="462"/>
      <c r="AC1939" s="462"/>
      <c r="AD1939" s="464"/>
      <c r="AE1939" s="465"/>
    </row>
    <row r="1940" spans="27:31" ht="14.4">
      <c r="AA1940" s="463"/>
      <c r="AB1940" s="462"/>
      <c r="AC1940" s="462"/>
      <c r="AD1940" s="464"/>
      <c r="AE1940" s="465"/>
    </row>
    <row r="1941" spans="27:31" ht="14.4">
      <c r="AA1941" s="463"/>
      <c r="AB1941" s="462"/>
      <c r="AC1941" s="462"/>
      <c r="AD1941" s="464"/>
      <c r="AE1941" s="465"/>
    </row>
    <row r="1942" spans="27:31" ht="14.4">
      <c r="AA1942" s="463"/>
      <c r="AB1942" s="462"/>
      <c r="AC1942" s="462"/>
      <c r="AD1942" s="464"/>
      <c r="AE1942" s="465"/>
    </row>
    <row r="1943" spans="27:31" ht="14.4">
      <c r="AA1943" s="463"/>
      <c r="AB1943" s="462"/>
      <c r="AC1943" s="462"/>
      <c r="AD1943" s="464"/>
      <c r="AE1943" s="465"/>
    </row>
    <row r="1944" spans="27:31" ht="14.4">
      <c r="AA1944" s="463"/>
      <c r="AB1944" s="462"/>
      <c r="AC1944" s="462"/>
      <c r="AD1944" s="464"/>
      <c r="AE1944" s="465"/>
    </row>
    <row r="1945" spans="27:31" ht="14.4">
      <c r="AA1945" s="463"/>
      <c r="AB1945" s="462"/>
      <c r="AC1945" s="462"/>
      <c r="AD1945" s="464"/>
      <c r="AE1945" s="465"/>
    </row>
    <row r="1946" spans="27:31" ht="14.4">
      <c r="AA1946" s="463"/>
      <c r="AB1946" s="462"/>
      <c r="AC1946" s="462"/>
      <c r="AD1946" s="464"/>
      <c r="AE1946" s="465"/>
    </row>
    <row r="1947" spans="27:31" ht="14.4">
      <c r="AA1947" s="463"/>
      <c r="AB1947" s="462"/>
      <c r="AC1947" s="462"/>
      <c r="AD1947" s="464"/>
      <c r="AE1947" s="465"/>
    </row>
    <row r="1948" spans="27:31" ht="14.4">
      <c r="AA1948" s="463"/>
      <c r="AB1948" s="462"/>
      <c r="AC1948" s="462"/>
      <c r="AD1948" s="464"/>
      <c r="AE1948" s="465"/>
    </row>
    <row r="1949" spans="27:31" ht="14.4">
      <c r="AA1949" s="463"/>
      <c r="AB1949" s="462"/>
      <c r="AC1949" s="462"/>
      <c r="AD1949" s="464"/>
      <c r="AE1949" s="465"/>
    </row>
    <row r="1950" spans="27:31" ht="14.4">
      <c r="AA1950" s="463"/>
      <c r="AB1950" s="462"/>
      <c r="AC1950" s="462"/>
      <c r="AD1950" s="464"/>
      <c r="AE1950" s="465"/>
    </row>
    <row r="1951" spans="27:31" ht="14.4">
      <c r="AA1951" s="463"/>
      <c r="AB1951" s="462"/>
      <c r="AC1951" s="462"/>
      <c r="AD1951" s="464"/>
      <c r="AE1951" s="465"/>
    </row>
    <row r="1952" spans="27:31" ht="14.4">
      <c r="AA1952" s="463"/>
      <c r="AB1952" s="462"/>
      <c r="AC1952" s="462"/>
      <c r="AD1952" s="464"/>
      <c r="AE1952" s="465"/>
    </row>
    <row r="1953" spans="27:31" ht="14.4">
      <c r="AA1953" s="463"/>
      <c r="AB1953" s="462"/>
      <c r="AC1953" s="462"/>
      <c r="AD1953" s="464"/>
      <c r="AE1953" s="465"/>
    </row>
    <row r="1954" spans="27:31" ht="14.4">
      <c r="AA1954" s="463"/>
      <c r="AB1954" s="462"/>
      <c r="AC1954" s="462"/>
      <c r="AD1954" s="464"/>
      <c r="AE1954" s="465"/>
    </row>
    <row r="1955" spans="27:31" ht="14.4">
      <c r="AA1955" s="463"/>
      <c r="AB1955" s="462"/>
      <c r="AC1955" s="462"/>
      <c r="AD1955" s="464"/>
      <c r="AE1955" s="465"/>
    </row>
    <row r="1956" spans="27:31" ht="14.4">
      <c r="AA1956" s="463"/>
      <c r="AB1956" s="462"/>
      <c r="AC1956" s="462"/>
      <c r="AD1956" s="464"/>
      <c r="AE1956" s="465"/>
    </row>
    <row r="1957" spans="27:31" ht="14.4">
      <c r="AA1957" s="463"/>
      <c r="AB1957" s="462"/>
      <c r="AC1957" s="462"/>
      <c r="AD1957" s="464"/>
      <c r="AE1957" s="465"/>
    </row>
    <row r="1958" spans="27:31" ht="14.4">
      <c r="AA1958" s="463"/>
      <c r="AB1958" s="462"/>
      <c r="AC1958" s="462"/>
      <c r="AD1958" s="464"/>
      <c r="AE1958" s="465"/>
    </row>
    <row r="1959" spans="27:31" ht="14.4">
      <c r="AA1959" s="463"/>
      <c r="AB1959" s="462"/>
      <c r="AC1959" s="462"/>
      <c r="AD1959" s="464"/>
      <c r="AE1959" s="465"/>
    </row>
    <row r="1960" spans="27:31" ht="14.4">
      <c r="AA1960" s="463"/>
      <c r="AB1960" s="462"/>
      <c r="AC1960" s="462"/>
      <c r="AD1960" s="464"/>
      <c r="AE1960" s="465"/>
    </row>
    <row r="1961" spans="27:31" ht="14.4">
      <c r="AA1961" s="463"/>
      <c r="AB1961" s="462"/>
      <c r="AC1961" s="462"/>
      <c r="AD1961" s="464"/>
      <c r="AE1961" s="465"/>
    </row>
    <row r="1962" spans="27:31" ht="14.4">
      <c r="AA1962" s="463"/>
      <c r="AB1962" s="462"/>
      <c r="AC1962" s="462"/>
      <c r="AD1962" s="464"/>
      <c r="AE1962" s="465"/>
    </row>
    <row r="1963" spans="27:31" ht="14.4">
      <c r="AA1963" s="463"/>
      <c r="AB1963" s="462"/>
      <c r="AC1963" s="462"/>
      <c r="AD1963" s="464"/>
      <c r="AE1963" s="465"/>
    </row>
    <row r="1964" spans="27:31" ht="14.4">
      <c r="AA1964" s="463"/>
      <c r="AB1964" s="462"/>
      <c r="AC1964" s="462"/>
      <c r="AD1964" s="464"/>
      <c r="AE1964" s="465"/>
    </row>
    <row r="1965" spans="27:31" ht="14.4">
      <c r="AA1965" s="463"/>
      <c r="AB1965" s="462"/>
      <c r="AC1965" s="462"/>
      <c r="AD1965" s="464"/>
      <c r="AE1965" s="465"/>
    </row>
    <row r="1966" spans="27:31" ht="14.4">
      <c r="AA1966" s="463"/>
      <c r="AB1966" s="462"/>
      <c r="AC1966" s="462"/>
      <c r="AD1966" s="464"/>
      <c r="AE1966" s="465"/>
    </row>
    <row r="1967" spans="27:31" ht="14.4">
      <c r="AA1967" s="463"/>
      <c r="AB1967" s="462"/>
      <c r="AC1967" s="462"/>
      <c r="AD1967" s="464"/>
      <c r="AE1967" s="465"/>
    </row>
    <row r="1968" spans="27:31" ht="14.4">
      <c r="AA1968" s="463"/>
      <c r="AB1968" s="462"/>
      <c r="AC1968" s="462"/>
      <c r="AD1968" s="464"/>
      <c r="AE1968" s="465"/>
    </row>
    <row r="1969" spans="27:31" ht="14.4">
      <c r="AA1969" s="463"/>
      <c r="AB1969" s="462"/>
      <c r="AC1969" s="462"/>
      <c r="AD1969" s="464"/>
      <c r="AE1969" s="465"/>
    </row>
    <row r="1970" spans="27:31" ht="14.4">
      <c r="AA1970" s="463"/>
      <c r="AB1970" s="462"/>
      <c r="AC1970" s="462"/>
      <c r="AD1970" s="464"/>
      <c r="AE1970" s="465"/>
    </row>
    <row r="1971" spans="27:31" ht="14.4">
      <c r="AA1971" s="463"/>
      <c r="AB1971" s="462"/>
      <c r="AC1971" s="462"/>
      <c r="AD1971" s="464"/>
      <c r="AE1971" s="465"/>
    </row>
    <row r="1972" spans="27:31" ht="14.4">
      <c r="AA1972" s="463"/>
      <c r="AB1972" s="462"/>
      <c r="AC1972" s="462"/>
      <c r="AD1972" s="464"/>
      <c r="AE1972" s="465"/>
    </row>
    <row r="1973" spans="27:31" ht="14.4">
      <c r="AA1973" s="463"/>
      <c r="AB1973" s="462"/>
      <c r="AC1973" s="462"/>
      <c r="AD1973" s="464"/>
      <c r="AE1973" s="465"/>
    </row>
    <row r="1974" spans="27:31" ht="14.4">
      <c r="AA1974" s="463"/>
      <c r="AB1974" s="462"/>
      <c r="AC1974" s="462"/>
      <c r="AD1974" s="464"/>
      <c r="AE1974" s="465"/>
    </row>
    <row r="1975" spans="27:31" ht="14.4">
      <c r="AA1975" s="463"/>
      <c r="AB1975" s="462"/>
      <c r="AC1975" s="462"/>
      <c r="AD1975" s="464"/>
      <c r="AE1975" s="465"/>
    </row>
    <row r="1976" spans="27:31" ht="14.4">
      <c r="AA1976" s="463"/>
      <c r="AB1976" s="462"/>
      <c r="AC1976" s="462"/>
      <c r="AD1976" s="464"/>
      <c r="AE1976" s="465"/>
    </row>
    <row r="1977" spans="27:31" ht="14.4">
      <c r="AA1977" s="463"/>
      <c r="AB1977" s="462"/>
      <c r="AC1977" s="462"/>
      <c r="AD1977" s="464"/>
      <c r="AE1977" s="465"/>
    </row>
    <row r="1978" spans="27:31" ht="14.4">
      <c r="AA1978" s="463"/>
      <c r="AB1978" s="462"/>
      <c r="AC1978" s="462"/>
      <c r="AD1978" s="464"/>
      <c r="AE1978" s="465"/>
    </row>
    <row r="1979" spans="27:31" ht="14.4">
      <c r="AA1979" s="463"/>
      <c r="AB1979" s="462"/>
      <c r="AC1979" s="462"/>
      <c r="AD1979" s="464"/>
      <c r="AE1979" s="465"/>
    </row>
    <row r="1980" spans="27:31" ht="14.4">
      <c r="AA1980" s="463"/>
      <c r="AB1980" s="462"/>
      <c r="AC1980" s="462"/>
      <c r="AD1980" s="464"/>
      <c r="AE1980" s="465"/>
    </row>
    <row r="1981" spans="27:31" ht="14.4">
      <c r="AA1981" s="463"/>
      <c r="AB1981" s="462"/>
      <c r="AC1981" s="462"/>
      <c r="AD1981" s="464"/>
      <c r="AE1981" s="465"/>
    </row>
    <row r="1982" spans="27:31" ht="14.4">
      <c r="AA1982" s="463"/>
      <c r="AB1982" s="462"/>
      <c r="AC1982" s="462"/>
      <c r="AD1982" s="464"/>
      <c r="AE1982" s="465"/>
    </row>
    <row r="1983" spans="27:31" ht="14.4">
      <c r="AA1983" s="463"/>
      <c r="AB1983" s="462"/>
      <c r="AC1983" s="462"/>
      <c r="AD1983" s="464"/>
      <c r="AE1983" s="465"/>
    </row>
    <row r="1984" spans="27:31" ht="14.4">
      <c r="AA1984" s="463"/>
      <c r="AB1984" s="462"/>
      <c r="AC1984" s="462"/>
      <c r="AD1984" s="464"/>
      <c r="AE1984" s="465"/>
    </row>
    <row r="1985" spans="27:31" ht="14.4">
      <c r="AA1985" s="463"/>
      <c r="AB1985" s="462"/>
      <c r="AC1985" s="462"/>
      <c r="AD1985" s="464"/>
      <c r="AE1985" s="465"/>
    </row>
    <row r="1986" spans="27:31" ht="14.4">
      <c r="AA1986" s="463"/>
      <c r="AB1986" s="462"/>
      <c r="AC1986" s="462"/>
      <c r="AD1986" s="464"/>
      <c r="AE1986" s="465"/>
    </row>
    <row r="1987" spans="27:31" ht="14.4">
      <c r="AA1987" s="463"/>
      <c r="AB1987" s="462"/>
      <c r="AC1987" s="462"/>
      <c r="AD1987" s="464"/>
      <c r="AE1987" s="465"/>
    </row>
    <row r="1988" spans="27:31" ht="14.4">
      <c r="AA1988" s="463"/>
      <c r="AB1988" s="462"/>
      <c r="AC1988" s="462"/>
      <c r="AD1988" s="464"/>
      <c r="AE1988" s="465"/>
    </row>
    <row r="1989" spans="27:31" ht="14.4">
      <c r="AA1989" s="463"/>
      <c r="AB1989" s="462"/>
      <c r="AC1989" s="462"/>
      <c r="AD1989" s="464"/>
      <c r="AE1989" s="465"/>
    </row>
    <row r="1990" spans="27:31" ht="14.4">
      <c r="AA1990" s="463"/>
      <c r="AB1990" s="462"/>
      <c r="AC1990" s="462"/>
      <c r="AD1990" s="464"/>
      <c r="AE1990" s="465"/>
    </row>
    <row r="1991" spans="27:31" ht="14.4">
      <c r="AA1991" s="463"/>
      <c r="AB1991" s="462"/>
      <c r="AC1991" s="462"/>
      <c r="AD1991" s="464"/>
      <c r="AE1991" s="465"/>
    </row>
    <row r="1992" spans="27:31" ht="14.4">
      <c r="AA1992" s="463"/>
      <c r="AB1992" s="462"/>
      <c r="AC1992" s="462"/>
      <c r="AD1992" s="464"/>
      <c r="AE1992" s="465"/>
    </row>
    <row r="1993" spans="27:31" ht="14.4">
      <c r="AA1993" s="463"/>
      <c r="AB1993" s="462"/>
      <c r="AC1993" s="462"/>
      <c r="AD1993" s="464"/>
      <c r="AE1993" s="465"/>
    </row>
    <row r="1994" spans="27:31" ht="14.4">
      <c r="AA1994" s="463"/>
      <c r="AB1994" s="462"/>
      <c r="AC1994" s="462"/>
      <c r="AD1994" s="464"/>
      <c r="AE1994" s="465"/>
    </row>
    <row r="1995" spans="27:31" ht="14.4">
      <c r="AA1995" s="463"/>
      <c r="AB1995" s="462"/>
      <c r="AC1995" s="462"/>
      <c r="AD1995" s="464"/>
      <c r="AE1995" s="465"/>
    </row>
    <row r="1996" spans="27:31" ht="14.4">
      <c r="AA1996" s="463"/>
      <c r="AB1996" s="462"/>
      <c r="AC1996" s="462"/>
      <c r="AD1996" s="464"/>
      <c r="AE1996" s="465"/>
    </row>
    <row r="1997" spans="27:31" ht="14.4">
      <c r="AA1997" s="463"/>
      <c r="AB1997" s="462"/>
      <c r="AC1997" s="462"/>
      <c r="AD1997" s="464"/>
      <c r="AE1997" s="465"/>
    </row>
    <row r="1998" spans="27:31" ht="14.4">
      <c r="AA1998" s="463"/>
      <c r="AB1998" s="462"/>
      <c r="AC1998" s="462"/>
      <c r="AD1998" s="464"/>
      <c r="AE1998" s="465"/>
    </row>
    <row r="1999" spans="27:31" ht="14.4">
      <c r="AA1999" s="463"/>
      <c r="AB1999" s="462"/>
      <c r="AC1999" s="462"/>
      <c r="AD1999" s="464"/>
      <c r="AE1999" s="465"/>
    </row>
    <row r="2000" spans="27:31" ht="14.4">
      <c r="AA2000" s="463"/>
      <c r="AB2000" s="462"/>
      <c r="AC2000" s="462"/>
      <c r="AD2000" s="464"/>
      <c r="AE2000" s="465"/>
    </row>
    <row r="2001" spans="27:31" ht="14.4">
      <c r="AA2001" s="463"/>
      <c r="AB2001" s="462"/>
      <c r="AC2001" s="462"/>
      <c r="AD2001" s="464"/>
      <c r="AE2001" s="465"/>
    </row>
    <row r="2002" spans="27:31" ht="14.4">
      <c r="AA2002" s="463"/>
      <c r="AB2002" s="462"/>
      <c r="AC2002" s="462"/>
      <c r="AD2002" s="464"/>
      <c r="AE2002" s="465"/>
    </row>
    <row r="2003" spans="27:31" ht="14.4">
      <c r="AA2003" s="463"/>
      <c r="AB2003" s="462"/>
      <c r="AC2003" s="462"/>
      <c r="AD2003" s="464"/>
      <c r="AE2003" s="465"/>
    </row>
    <row r="2004" spans="27:31" ht="14.4">
      <c r="AA2004" s="463"/>
      <c r="AB2004" s="462"/>
      <c r="AC2004" s="462"/>
      <c r="AD2004" s="464"/>
      <c r="AE2004" s="465"/>
    </row>
    <row r="2005" spans="27:31" ht="14.4">
      <c r="AA2005" s="463"/>
      <c r="AB2005" s="462"/>
      <c r="AC2005" s="462"/>
      <c r="AD2005" s="464"/>
      <c r="AE2005" s="465"/>
    </row>
    <row r="2006" spans="27:31" ht="14.4">
      <c r="AA2006" s="463"/>
      <c r="AB2006" s="462"/>
      <c r="AC2006" s="462"/>
      <c r="AD2006" s="464"/>
      <c r="AE2006" s="465"/>
    </row>
    <row r="2007" spans="27:31" ht="14.4">
      <c r="AA2007" s="463"/>
      <c r="AB2007" s="462"/>
      <c r="AC2007" s="462"/>
      <c r="AD2007" s="464"/>
      <c r="AE2007" s="465"/>
    </row>
    <row r="2008" spans="27:31" ht="14.4">
      <c r="AA2008" s="463"/>
      <c r="AB2008" s="462"/>
      <c r="AC2008" s="462"/>
      <c r="AD2008" s="464"/>
      <c r="AE2008" s="465"/>
    </row>
    <row r="2009" spans="27:31" ht="14.4">
      <c r="AA2009" s="463"/>
      <c r="AB2009" s="462"/>
      <c r="AC2009" s="462"/>
      <c r="AD2009" s="464"/>
      <c r="AE2009" s="465"/>
    </row>
    <row r="2010" spans="27:31" ht="14.4">
      <c r="AA2010" s="463"/>
      <c r="AB2010" s="462"/>
      <c r="AC2010" s="462"/>
      <c r="AD2010" s="464"/>
      <c r="AE2010" s="465"/>
    </row>
    <row r="2011" spans="27:31" ht="14.4">
      <c r="AA2011" s="463"/>
      <c r="AB2011" s="462"/>
      <c r="AC2011" s="462"/>
      <c r="AD2011" s="464"/>
      <c r="AE2011" s="465"/>
    </row>
    <row r="2012" spans="27:31" ht="14.4">
      <c r="AA2012" s="463"/>
      <c r="AB2012" s="462"/>
      <c r="AC2012" s="462"/>
      <c r="AD2012" s="464"/>
      <c r="AE2012" s="465"/>
    </row>
    <row r="2013" spans="27:31" ht="14.4">
      <c r="AA2013" s="463"/>
      <c r="AB2013" s="462"/>
      <c r="AC2013" s="462"/>
      <c r="AD2013" s="464"/>
      <c r="AE2013" s="465"/>
    </row>
    <row r="2014" spans="27:31" ht="14.4">
      <c r="AA2014" s="463"/>
      <c r="AB2014" s="462"/>
      <c r="AC2014" s="462"/>
      <c r="AD2014" s="464"/>
      <c r="AE2014" s="465"/>
    </row>
    <row r="2015" spans="27:31" ht="14.4">
      <c r="AA2015" s="463"/>
      <c r="AB2015" s="462"/>
      <c r="AC2015" s="462"/>
      <c r="AD2015" s="464"/>
      <c r="AE2015" s="465"/>
    </row>
    <row r="2016" spans="27:31" ht="14.4">
      <c r="AA2016" s="463"/>
      <c r="AB2016" s="462"/>
      <c r="AC2016" s="462"/>
      <c r="AD2016" s="464"/>
      <c r="AE2016" s="465"/>
    </row>
    <row r="2017" spans="27:31" ht="14.4">
      <c r="AA2017" s="463"/>
      <c r="AB2017" s="462"/>
      <c r="AC2017" s="462"/>
      <c r="AD2017" s="464"/>
      <c r="AE2017" s="465"/>
    </row>
    <row r="2018" spans="27:31" ht="14.4">
      <c r="AA2018" s="463"/>
      <c r="AB2018" s="462"/>
      <c r="AC2018" s="462"/>
      <c r="AD2018" s="464"/>
      <c r="AE2018" s="465"/>
    </row>
    <row r="2019" spans="27:31" ht="14.4">
      <c r="AA2019" s="463"/>
      <c r="AB2019" s="462"/>
      <c r="AC2019" s="462"/>
      <c r="AD2019" s="464"/>
      <c r="AE2019" s="465"/>
    </row>
    <row r="2020" spans="27:31" ht="14.4">
      <c r="AA2020" s="463"/>
      <c r="AB2020" s="462"/>
      <c r="AC2020" s="462"/>
      <c r="AD2020" s="464"/>
      <c r="AE2020" s="465"/>
    </row>
    <row r="2021" spans="27:31" ht="14.4">
      <c r="AA2021" s="463"/>
      <c r="AB2021" s="462"/>
      <c r="AC2021" s="462"/>
      <c r="AD2021" s="464"/>
      <c r="AE2021" s="465"/>
    </row>
    <row r="2022" spans="27:31" ht="14.4">
      <c r="AA2022" s="463"/>
      <c r="AB2022" s="462"/>
      <c r="AC2022" s="462"/>
      <c r="AD2022" s="464"/>
      <c r="AE2022" s="465"/>
    </row>
    <row r="2023" spans="27:31" ht="14.4">
      <c r="AA2023" s="463"/>
      <c r="AB2023" s="462"/>
      <c r="AC2023" s="462"/>
      <c r="AD2023" s="464"/>
      <c r="AE2023" s="465"/>
    </row>
    <row r="2024" spans="27:31" ht="14.4">
      <c r="AA2024" s="463"/>
      <c r="AB2024" s="462"/>
      <c r="AC2024" s="462"/>
      <c r="AD2024" s="464"/>
      <c r="AE2024" s="465"/>
    </row>
    <row r="2025" spans="27:31" ht="14.4">
      <c r="AA2025" s="463"/>
      <c r="AB2025" s="462"/>
      <c r="AC2025" s="462"/>
      <c r="AD2025" s="464"/>
      <c r="AE2025" s="465"/>
    </row>
    <row r="2026" spans="27:31" ht="14.4">
      <c r="AA2026" s="463"/>
      <c r="AB2026" s="462"/>
      <c r="AC2026" s="462"/>
      <c r="AD2026" s="464"/>
      <c r="AE2026" s="465"/>
    </row>
    <row r="2027" spans="27:31" ht="14.4">
      <c r="AA2027" s="463"/>
      <c r="AB2027" s="462"/>
      <c r="AC2027" s="462"/>
      <c r="AD2027" s="464"/>
      <c r="AE2027" s="465"/>
    </row>
    <row r="2028" spans="27:31" ht="14.4">
      <c r="AA2028" s="463"/>
      <c r="AB2028" s="462"/>
      <c r="AC2028" s="462"/>
      <c r="AD2028" s="464"/>
      <c r="AE2028" s="465"/>
    </row>
    <row r="2029" spans="27:31" ht="14.4">
      <c r="AA2029" s="463"/>
      <c r="AB2029" s="462"/>
      <c r="AC2029" s="462"/>
      <c r="AD2029" s="464"/>
      <c r="AE2029" s="465"/>
    </row>
    <row r="2030" spans="27:31" ht="14.4">
      <c r="AA2030" s="463"/>
      <c r="AB2030" s="462"/>
      <c r="AC2030" s="462"/>
      <c r="AD2030" s="464"/>
      <c r="AE2030" s="465"/>
    </row>
    <row r="2031" spans="27:31" ht="14.4">
      <c r="AA2031" s="463"/>
      <c r="AB2031" s="462"/>
      <c r="AC2031" s="462"/>
      <c r="AD2031" s="464"/>
      <c r="AE2031" s="465"/>
    </row>
    <row r="2032" spans="27:31" ht="14.4">
      <c r="AA2032" s="463"/>
      <c r="AB2032" s="462"/>
      <c r="AC2032" s="462"/>
      <c r="AD2032" s="464"/>
      <c r="AE2032" s="465"/>
    </row>
    <row r="2033" spans="27:31" ht="14.4">
      <c r="AA2033" s="463"/>
      <c r="AB2033" s="462"/>
      <c r="AC2033" s="462"/>
      <c r="AD2033" s="464"/>
      <c r="AE2033" s="465"/>
    </row>
    <row r="2034" spans="27:31" ht="14.4">
      <c r="AA2034" s="463"/>
      <c r="AB2034" s="462"/>
      <c r="AC2034" s="462"/>
      <c r="AD2034" s="464"/>
      <c r="AE2034" s="465"/>
    </row>
    <row r="2035" spans="27:31" ht="14.4">
      <c r="AA2035" s="463"/>
      <c r="AB2035" s="462"/>
      <c r="AC2035" s="462"/>
      <c r="AD2035" s="464"/>
      <c r="AE2035" s="465"/>
    </row>
    <row r="2036" spans="27:31" ht="14.4">
      <c r="AA2036" s="463"/>
      <c r="AB2036" s="462"/>
      <c r="AC2036" s="462"/>
      <c r="AD2036" s="464"/>
      <c r="AE2036" s="465"/>
    </row>
    <row r="2037" spans="27:31" ht="14.4">
      <c r="AA2037" s="463"/>
      <c r="AB2037" s="462"/>
      <c r="AC2037" s="462"/>
      <c r="AD2037" s="464"/>
      <c r="AE2037" s="465"/>
    </row>
    <row r="2038" spans="27:31" ht="14.4">
      <c r="AA2038" s="463"/>
      <c r="AB2038" s="462"/>
      <c r="AC2038" s="462"/>
      <c r="AD2038" s="464"/>
      <c r="AE2038" s="465"/>
    </row>
    <row r="2039" spans="27:31" ht="14.4">
      <c r="AA2039" s="463"/>
      <c r="AB2039" s="462"/>
      <c r="AC2039" s="462"/>
      <c r="AD2039" s="464"/>
      <c r="AE2039" s="465"/>
    </row>
    <row r="2040" spans="27:31" ht="14.4">
      <c r="AA2040" s="463"/>
      <c r="AB2040" s="462"/>
      <c r="AC2040" s="462"/>
      <c r="AD2040" s="464"/>
      <c r="AE2040" s="465"/>
    </row>
    <row r="2041" spans="27:31" ht="14.4">
      <c r="AA2041" s="463"/>
      <c r="AB2041" s="462"/>
      <c r="AC2041" s="462"/>
      <c r="AD2041" s="464"/>
      <c r="AE2041" s="465"/>
    </row>
    <row r="2042" spans="27:31" ht="14.4">
      <c r="AA2042" s="463"/>
      <c r="AB2042" s="462"/>
      <c r="AC2042" s="462"/>
      <c r="AD2042" s="464"/>
      <c r="AE2042" s="465"/>
    </row>
    <row r="2043" spans="27:31" ht="14.4">
      <c r="AA2043" s="463"/>
      <c r="AB2043" s="462"/>
      <c r="AC2043" s="462"/>
      <c r="AD2043" s="464"/>
      <c r="AE2043" s="465"/>
    </row>
    <row r="2044" spans="27:31" ht="14.4">
      <c r="AA2044" s="463"/>
      <c r="AB2044" s="462"/>
      <c r="AC2044" s="462"/>
      <c r="AD2044" s="464"/>
      <c r="AE2044" s="465"/>
    </row>
    <row r="2045" spans="27:31" ht="14.4">
      <c r="AA2045" s="463"/>
      <c r="AB2045" s="462"/>
      <c r="AC2045" s="462"/>
      <c r="AD2045" s="464"/>
      <c r="AE2045" s="465"/>
    </row>
    <row r="2046" spans="27:31" ht="14.4">
      <c r="AA2046" s="463"/>
      <c r="AB2046" s="462"/>
      <c r="AC2046" s="462"/>
      <c r="AD2046" s="464"/>
      <c r="AE2046" s="465"/>
    </row>
    <row r="2047" spans="27:31" ht="14.4">
      <c r="AA2047" s="463"/>
      <c r="AB2047" s="462"/>
      <c r="AC2047" s="462"/>
      <c r="AD2047" s="464"/>
      <c r="AE2047" s="465"/>
    </row>
    <row r="2048" spans="27:31" ht="14.4">
      <c r="AA2048" s="463"/>
      <c r="AB2048" s="462"/>
      <c r="AC2048" s="462"/>
      <c r="AD2048" s="464"/>
      <c r="AE2048" s="465"/>
    </row>
    <row r="2049" spans="27:31" ht="14.4">
      <c r="AA2049" s="463"/>
      <c r="AB2049" s="462"/>
      <c r="AC2049" s="462"/>
      <c r="AD2049" s="464"/>
      <c r="AE2049" s="465"/>
    </row>
    <row r="2050" spans="27:31" ht="14.4">
      <c r="AA2050" s="463"/>
      <c r="AB2050" s="462"/>
      <c r="AC2050" s="462"/>
      <c r="AD2050" s="464"/>
      <c r="AE2050" s="465"/>
    </row>
    <row r="2051" spans="27:31" ht="14.4">
      <c r="AA2051" s="463"/>
      <c r="AB2051" s="462"/>
      <c r="AC2051" s="462"/>
      <c r="AD2051" s="464"/>
      <c r="AE2051" s="465"/>
    </row>
    <row r="2052" spans="27:31" ht="14.4">
      <c r="AA2052" s="463"/>
      <c r="AB2052" s="462"/>
      <c r="AC2052" s="462"/>
      <c r="AD2052" s="464"/>
      <c r="AE2052" s="465"/>
    </row>
    <row r="2053" spans="27:31" ht="14.4">
      <c r="AA2053" s="463"/>
      <c r="AB2053" s="462"/>
      <c r="AC2053" s="462"/>
      <c r="AD2053" s="464"/>
      <c r="AE2053" s="465"/>
    </row>
    <row r="2054" spans="27:31" ht="14.4">
      <c r="AA2054" s="463"/>
      <c r="AB2054" s="462"/>
      <c r="AC2054" s="462"/>
      <c r="AD2054" s="464"/>
      <c r="AE2054" s="465"/>
    </row>
    <row r="2055" spans="27:31" ht="14.4">
      <c r="AA2055" s="463"/>
      <c r="AB2055" s="462"/>
      <c r="AC2055" s="462"/>
      <c r="AD2055" s="464"/>
      <c r="AE2055" s="465"/>
    </row>
    <row r="2056" spans="27:31" ht="14.4">
      <c r="AA2056" s="463"/>
      <c r="AB2056" s="462"/>
      <c r="AC2056" s="462"/>
      <c r="AD2056" s="464"/>
      <c r="AE2056" s="465"/>
    </row>
    <row r="2057" spans="27:31" ht="14.4">
      <c r="AA2057" s="463"/>
      <c r="AB2057" s="462"/>
      <c r="AC2057" s="462"/>
      <c r="AD2057" s="464"/>
      <c r="AE2057" s="465"/>
    </row>
    <row r="2058" spans="27:31" ht="14.4">
      <c r="AA2058" s="463"/>
      <c r="AB2058" s="462"/>
      <c r="AC2058" s="462"/>
      <c r="AD2058" s="464"/>
      <c r="AE2058" s="465"/>
    </row>
    <row r="2059" spans="27:31" ht="14.4">
      <c r="AA2059" s="463"/>
      <c r="AB2059" s="462"/>
      <c r="AC2059" s="462"/>
      <c r="AD2059" s="464"/>
      <c r="AE2059" s="465"/>
    </row>
    <row r="2060" spans="27:31" ht="14.4">
      <c r="AA2060" s="463"/>
      <c r="AB2060" s="462"/>
      <c r="AC2060" s="462"/>
      <c r="AD2060" s="464"/>
      <c r="AE2060" s="465"/>
    </row>
    <row r="2061" spans="27:31" ht="14.4">
      <c r="AA2061" s="463"/>
      <c r="AB2061" s="462"/>
      <c r="AC2061" s="462"/>
      <c r="AD2061" s="464"/>
      <c r="AE2061" s="465"/>
    </row>
    <row r="2062" spans="27:31" ht="14.4">
      <c r="AA2062" s="463"/>
      <c r="AB2062" s="462"/>
      <c r="AC2062" s="462"/>
      <c r="AD2062" s="464"/>
      <c r="AE2062" s="465"/>
    </row>
    <row r="2063" spans="27:31" ht="14.4">
      <c r="AA2063" s="463"/>
      <c r="AB2063" s="462"/>
      <c r="AC2063" s="462"/>
      <c r="AD2063" s="464"/>
      <c r="AE2063" s="465"/>
    </row>
    <row r="2064" spans="27:31" ht="14.4">
      <c r="AA2064" s="463"/>
      <c r="AB2064" s="462"/>
      <c r="AC2064" s="462"/>
      <c r="AD2064" s="464"/>
      <c r="AE2064" s="465"/>
    </row>
    <row r="2065" spans="27:31" ht="14.4">
      <c r="AA2065" s="463"/>
      <c r="AB2065" s="462"/>
      <c r="AC2065" s="462"/>
      <c r="AD2065" s="464"/>
      <c r="AE2065" s="465"/>
    </row>
    <row r="2066" spans="27:31" ht="14.4">
      <c r="AA2066" s="463"/>
      <c r="AB2066" s="462"/>
      <c r="AC2066" s="462"/>
      <c r="AD2066" s="464"/>
      <c r="AE2066" s="465"/>
    </row>
    <row r="2067" spans="27:31" ht="14.4">
      <c r="AA2067" s="463"/>
      <c r="AB2067" s="462"/>
      <c r="AC2067" s="462"/>
      <c r="AD2067" s="464"/>
      <c r="AE2067" s="465"/>
    </row>
    <row r="2068" spans="27:31" ht="14.4">
      <c r="AA2068" s="463"/>
      <c r="AB2068" s="462"/>
      <c r="AC2068" s="462"/>
      <c r="AD2068" s="464"/>
      <c r="AE2068" s="465"/>
    </row>
    <row r="2069" spans="27:31" ht="14.4">
      <c r="AA2069" s="463"/>
      <c r="AB2069" s="462"/>
      <c r="AC2069" s="462"/>
      <c r="AD2069" s="464"/>
      <c r="AE2069" s="465"/>
    </row>
    <row r="2070" spans="27:31" ht="14.4">
      <c r="AA2070" s="463"/>
      <c r="AB2070" s="462"/>
      <c r="AC2070" s="462"/>
      <c r="AD2070" s="464"/>
      <c r="AE2070" s="465"/>
    </row>
    <row r="2071" spans="27:31" ht="14.4">
      <c r="AA2071" s="463"/>
      <c r="AB2071" s="462"/>
      <c r="AC2071" s="462"/>
      <c r="AD2071" s="464"/>
      <c r="AE2071" s="465"/>
    </row>
    <row r="2072" spans="27:31" ht="14.4">
      <c r="AA2072" s="463"/>
      <c r="AB2072" s="462"/>
      <c r="AC2072" s="462"/>
      <c r="AD2072" s="464"/>
      <c r="AE2072" s="465"/>
    </row>
    <row r="2073" spans="27:31" ht="14.4">
      <c r="AA2073" s="463"/>
      <c r="AB2073" s="462"/>
      <c r="AC2073" s="462"/>
      <c r="AD2073" s="464"/>
      <c r="AE2073" s="465"/>
    </row>
    <row r="2074" spans="27:31" ht="14.4">
      <c r="AA2074" s="463"/>
      <c r="AB2074" s="462"/>
      <c r="AC2074" s="462"/>
      <c r="AD2074" s="464"/>
      <c r="AE2074" s="465"/>
    </row>
    <row r="2075" spans="27:31" ht="14.4">
      <c r="AA2075" s="463"/>
      <c r="AB2075" s="462"/>
      <c r="AC2075" s="462"/>
      <c r="AD2075" s="464"/>
      <c r="AE2075" s="465"/>
    </row>
    <row r="2076" spans="27:31" ht="14.4">
      <c r="AA2076" s="463"/>
      <c r="AB2076" s="462"/>
      <c r="AC2076" s="462"/>
      <c r="AD2076" s="464"/>
      <c r="AE2076" s="465"/>
    </row>
    <row r="2077" spans="27:31" ht="14.4">
      <c r="AA2077" s="463"/>
      <c r="AB2077" s="462"/>
      <c r="AC2077" s="462"/>
      <c r="AD2077" s="464"/>
      <c r="AE2077" s="465"/>
    </row>
    <row r="2078" spans="27:31" ht="14.4">
      <c r="AA2078" s="463"/>
      <c r="AB2078" s="462"/>
      <c r="AC2078" s="462"/>
      <c r="AD2078" s="464"/>
      <c r="AE2078" s="465"/>
    </row>
    <row r="2079" spans="27:31" ht="14.4">
      <c r="AA2079" s="463"/>
      <c r="AB2079" s="462"/>
      <c r="AC2079" s="462"/>
      <c r="AD2079" s="464"/>
      <c r="AE2079" s="465"/>
    </row>
    <row r="2080" spans="27:31" ht="14.4">
      <c r="AA2080" s="463"/>
      <c r="AB2080" s="462"/>
      <c r="AC2080" s="462"/>
      <c r="AD2080" s="464"/>
      <c r="AE2080" s="465"/>
    </row>
    <row r="2081" spans="27:31" ht="14.4">
      <c r="AA2081" s="463"/>
      <c r="AB2081" s="462"/>
      <c r="AC2081" s="462"/>
      <c r="AD2081" s="464"/>
      <c r="AE2081" s="465"/>
    </row>
    <row r="2082" spans="27:31" ht="14.4">
      <c r="AA2082" s="463"/>
      <c r="AB2082" s="462"/>
      <c r="AC2082" s="462"/>
      <c r="AD2082" s="464"/>
      <c r="AE2082" s="465"/>
    </row>
    <row r="2083" spans="27:31" ht="14.4">
      <c r="AA2083" s="463"/>
      <c r="AB2083" s="462"/>
      <c r="AC2083" s="462"/>
      <c r="AD2083" s="464"/>
      <c r="AE2083" s="465"/>
    </row>
    <row r="2084" spans="27:31" ht="14.4">
      <c r="AA2084" s="463"/>
      <c r="AB2084" s="462"/>
      <c r="AC2084" s="462"/>
      <c r="AD2084" s="464"/>
      <c r="AE2084" s="465"/>
    </row>
    <row r="2085" spans="27:31" ht="14.4">
      <c r="AA2085" s="463"/>
      <c r="AB2085" s="462"/>
      <c r="AC2085" s="462"/>
      <c r="AD2085" s="464"/>
      <c r="AE2085" s="465"/>
    </row>
    <row r="2086" spans="27:31" ht="14.4">
      <c r="AA2086" s="463"/>
      <c r="AB2086" s="462"/>
      <c r="AC2086" s="462"/>
      <c r="AD2086" s="464"/>
      <c r="AE2086" s="465"/>
    </row>
    <row r="2087" spans="27:31" ht="14.4">
      <c r="AA2087" s="463"/>
      <c r="AB2087" s="462"/>
      <c r="AC2087" s="462"/>
      <c r="AD2087" s="464"/>
      <c r="AE2087" s="465"/>
    </row>
    <row r="2088" spans="27:31" ht="14.4">
      <c r="AA2088" s="463"/>
      <c r="AB2088" s="462"/>
      <c r="AC2088" s="462"/>
      <c r="AD2088" s="464"/>
      <c r="AE2088" s="465"/>
    </row>
    <row r="2089" spans="27:31" ht="14.4">
      <c r="AA2089" s="463"/>
      <c r="AB2089" s="462"/>
      <c r="AC2089" s="462"/>
      <c r="AD2089" s="464"/>
      <c r="AE2089" s="465"/>
    </row>
    <row r="2090" spans="27:31" ht="14.4">
      <c r="AA2090" s="463"/>
      <c r="AB2090" s="462"/>
      <c r="AC2090" s="462"/>
      <c r="AD2090" s="464"/>
      <c r="AE2090" s="465"/>
    </row>
    <row r="2091" spans="27:31" ht="14.4">
      <c r="AA2091" s="463"/>
      <c r="AB2091" s="462"/>
      <c r="AC2091" s="462"/>
      <c r="AD2091" s="464"/>
      <c r="AE2091" s="465"/>
    </row>
    <row r="2092" spans="27:31" ht="14.4">
      <c r="AA2092" s="463"/>
      <c r="AB2092" s="462"/>
      <c r="AC2092" s="462"/>
      <c r="AD2092" s="464"/>
      <c r="AE2092" s="465"/>
    </row>
    <row r="2093" spans="27:31" ht="14.4">
      <c r="AA2093" s="463"/>
      <c r="AB2093" s="462"/>
      <c r="AC2093" s="462"/>
      <c r="AD2093" s="464"/>
      <c r="AE2093" s="465"/>
    </row>
    <row r="2094" spans="27:31" ht="14.4">
      <c r="AA2094" s="463"/>
      <c r="AB2094" s="462"/>
      <c r="AC2094" s="462"/>
      <c r="AD2094" s="464"/>
      <c r="AE2094" s="465"/>
    </row>
    <row r="2095" spans="27:31" ht="14.4">
      <c r="AA2095" s="463"/>
      <c r="AB2095" s="462"/>
      <c r="AC2095" s="462"/>
      <c r="AD2095" s="464"/>
      <c r="AE2095" s="465"/>
    </row>
    <row r="2096" spans="27:31" ht="14.4">
      <c r="AA2096" s="463"/>
      <c r="AB2096" s="462"/>
      <c r="AC2096" s="462"/>
      <c r="AD2096" s="464"/>
      <c r="AE2096" s="465"/>
    </row>
    <row r="2097" spans="27:31" ht="14.4">
      <c r="AA2097" s="463"/>
      <c r="AB2097" s="462"/>
      <c r="AC2097" s="462"/>
      <c r="AD2097" s="464"/>
      <c r="AE2097" s="465"/>
    </row>
    <row r="2098" spans="27:31" ht="14.4">
      <c r="AA2098" s="463"/>
      <c r="AB2098" s="462"/>
      <c r="AC2098" s="462"/>
      <c r="AD2098" s="464"/>
      <c r="AE2098" s="465"/>
    </row>
    <row r="2099" spans="27:31" ht="14.4">
      <c r="AA2099" s="463"/>
      <c r="AB2099" s="462"/>
      <c r="AC2099" s="462"/>
      <c r="AD2099" s="464"/>
      <c r="AE2099" s="465"/>
    </row>
    <row r="2100" spans="27:31" ht="14.4">
      <c r="AA2100" s="463"/>
      <c r="AB2100" s="462"/>
      <c r="AC2100" s="462"/>
      <c r="AD2100" s="464"/>
      <c r="AE2100" s="465"/>
    </row>
    <row r="2101" spans="27:31" ht="14.4">
      <c r="AA2101" s="463"/>
      <c r="AB2101" s="462"/>
      <c r="AC2101" s="462"/>
      <c r="AD2101" s="464"/>
      <c r="AE2101" s="465"/>
    </row>
    <row r="2102" spans="27:31" ht="14.4">
      <c r="AA2102" s="463"/>
      <c r="AB2102" s="462"/>
      <c r="AC2102" s="462"/>
      <c r="AD2102" s="464"/>
      <c r="AE2102" s="465"/>
    </row>
    <row r="2103" spans="27:31" ht="14.4">
      <c r="AA2103" s="463"/>
      <c r="AB2103" s="462"/>
      <c r="AC2103" s="462"/>
      <c r="AD2103" s="464"/>
      <c r="AE2103" s="465"/>
    </row>
    <row r="2104" spans="27:31" ht="14.4">
      <c r="AA2104" s="463"/>
      <c r="AB2104" s="462"/>
      <c r="AC2104" s="462"/>
      <c r="AD2104" s="464"/>
      <c r="AE2104" s="465"/>
    </row>
    <row r="2105" spans="27:31" ht="14.4">
      <c r="AA2105" s="463"/>
      <c r="AB2105" s="462"/>
      <c r="AC2105" s="462"/>
      <c r="AD2105" s="464"/>
      <c r="AE2105" s="465"/>
    </row>
    <row r="2106" spans="27:31" ht="14.4">
      <c r="AA2106" s="463"/>
      <c r="AB2106" s="462"/>
      <c r="AC2106" s="462"/>
      <c r="AD2106" s="464"/>
      <c r="AE2106" s="465"/>
    </row>
    <row r="2107" spans="27:31" ht="14.4">
      <c r="AA2107" s="463"/>
      <c r="AB2107" s="462"/>
      <c r="AC2107" s="462"/>
      <c r="AD2107" s="464"/>
      <c r="AE2107" s="465"/>
    </row>
    <row r="2108" spans="27:31" ht="14.4">
      <c r="AA2108" s="463"/>
      <c r="AB2108" s="462"/>
      <c r="AC2108" s="462"/>
      <c r="AD2108" s="464"/>
      <c r="AE2108" s="465"/>
    </row>
    <row r="2109" spans="27:31" ht="14.4">
      <c r="AA2109" s="463"/>
      <c r="AB2109" s="462"/>
      <c r="AC2109" s="462"/>
      <c r="AD2109" s="464"/>
      <c r="AE2109" s="465"/>
    </row>
    <row r="2110" spans="27:31" ht="14.4">
      <c r="AA2110" s="463"/>
      <c r="AB2110" s="462"/>
      <c r="AC2110" s="462"/>
      <c r="AD2110" s="464"/>
      <c r="AE2110" s="465"/>
    </row>
    <row r="2111" spans="27:31" ht="14.4">
      <c r="AA2111" s="463"/>
      <c r="AB2111" s="462"/>
      <c r="AC2111" s="462"/>
      <c r="AD2111" s="464"/>
      <c r="AE2111" s="465"/>
    </row>
    <row r="2112" spans="27:31" ht="14.4">
      <c r="AA2112" s="463"/>
      <c r="AB2112" s="462"/>
      <c r="AC2112" s="462"/>
      <c r="AD2112" s="464"/>
      <c r="AE2112" s="465"/>
    </row>
    <row r="2113" spans="27:31" ht="14.4">
      <c r="AA2113" s="463"/>
      <c r="AB2113" s="462"/>
      <c r="AC2113" s="462"/>
      <c r="AD2113" s="464"/>
      <c r="AE2113" s="465"/>
    </row>
    <row r="2114" spans="27:31" ht="14.4">
      <c r="AA2114" s="463"/>
      <c r="AB2114" s="462"/>
      <c r="AC2114" s="462"/>
      <c r="AD2114" s="464"/>
      <c r="AE2114" s="465"/>
    </row>
    <row r="2115" spans="27:31" ht="14.4">
      <c r="AA2115" s="463"/>
      <c r="AB2115" s="462"/>
      <c r="AC2115" s="462"/>
      <c r="AD2115" s="464"/>
      <c r="AE2115" s="465"/>
    </row>
    <row r="2116" spans="27:31" ht="14.4">
      <c r="AA2116" s="463"/>
      <c r="AB2116" s="462"/>
      <c r="AC2116" s="462"/>
      <c r="AD2116" s="464"/>
      <c r="AE2116" s="465"/>
    </row>
    <row r="2117" spans="27:31" ht="14.4">
      <c r="AA2117" s="463"/>
      <c r="AB2117" s="462"/>
      <c r="AC2117" s="462"/>
      <c r="AD2117" s="464"/>
      <c r="AE2117" s="465"/>
    </row>
    <row r="2118" spans="27:31" ht="14.4">
      <c r="AA2118" s="463"/>
      <c r="AB2118" s="462"/>
      <c r="AC2118" s="462"/>
      <c r="AD2118" s="464"/>
      <c r="AE2118" s="465"/>
    </row>
    <row r="2119" spans="27:31" ht="14.4">
      <c r="AA2119" s="463"/>
      <c r="AB2119" s="462"/>
      <c r="AC2119" s="462"/>
      <c r="AD2119" s="464"/>
      <c r="AE2119" s="465"/>
    </row>
    <row r="2120" spans="27:31" ht="14.4">
      <c r="AA2120" s="463"/>
      <c r="AB2120" s="462"/>
      <c r="AC2120" s="462"/>
      <c r="AD2120" s="464"/>
      <c r="AE2120" s="465"/>
    </row>
    <row r="2121" spans="27:31" ht="14.4">
      <c r="AA2121" s="463"/>
      <c r="AB2121" s="462"/>
      <c r="AC2121" s="462"/>
      <c r="AD2121" s="464"/>
      <c r="AE2121" s="465"/>
    </row>
    <row r="2122" spans="27:31" ht="14.4">
      <c r="AA2122" s="463"/>
      <c r="AB2122" s="462"/>
      <c r="AC2122" s="462"/>
      <c r="AD2122" s="464"/>
      <c r="AE2122" s="465"/>
    </row>
    <row r="2123" spans="27:31" ht="14.4">
      <c r="AA2123" s="463"/>
      <c r="AB2123" s="462"/>
      <c r="AC2123" s="462"/>
      <c r="AD2123" s="464"/>
      <c r="AE2123" s="465"/>
    </row>
    <row r="2124" spans="27:31" ht="14.4">
      <c r="AA2124" s="463"/>
      <c r="AB2124" s="462"/>
      <c r="AC2124" s="462"/>
      <c r="AD2124" s="464"/>
      <c r="AE2124" s="465"/>
    </row>
    <row r="2125" spans="27:31" ht="14.4">
      <c r="AA2125" s="463"/>
      <c r="AB2125" s="462"/>
      <c r="AC2125" s="462"/>
      <c r="AD2125" s="464"/>
      <c r="AE2125" s="465"/>
    </row>
    <row r="2126" spans="27:31" ht="14.4">
      <c r="AA2126" s="463"/>
      <c r="AB2126" s="462"/>
      <c r="AC2126" s="462"/>
      <c r="AD2126" s="464"/>
      <c r="AE2126" s="465"/>
    </row>
    <row r="2127" spans="27:31" ht="14.4">
      <c r="AA2127" s="463"/>
      <c r="AB2127" s="462"/>
      <c r="AC2127" s="462"/>
      <c r="AD2127" s="464"/>
      <c r="AE2127" s="465"/>
    </row>
    <row r="2128" spans="27:31" ht="14.4">
      <c r="AA2128" s="463"/>
      <c r="AB2128" s="462"/>
      <c r="AC2128" s="462"/>
      <c r="AD2128" s="464"/>
      <c r="AE2128" s="465"/>
    </row>
    <row r="2129" spans="27:31" ht="14.4">
      <c r="AA2129" s="463"/>
      <c r="AB2129" s="462"/>
      <c r="AC2129" s="462"/>
      <c r="AD2129" s="464"/>
      <c r="AE2129" s="465"/>
    </row>
    <row r="2130" spans="27:31" ht="14.4">
      <c r="AA2130" s="463"/>
      <c r="AB2130" s="462"/>
      <c r="AC2130" s="462"/>
      <c r="AD2130" s="464"/>
      <c r="AE2130" s="465"/>
    </row>
    <row r="2131" spans="27:31" ht="14.4">
      <c r="AA2131" s="463"/>
      <c r="AB2131" s="462"/>
      <c r="AC2131" s="462"/>
      <c r="AD2131" s="464"/>
      <c r="AE2131" s="465"/>
    </row>
    <row r="2132" spans="27:31" ht="14.4">
      <c r="AA2132" s="463"/>
      <c r="AB2132" s="462"/>
      <c r="AC2132" s="462"/>
      <c r="AD2132" s="464"/>
      <c r="AE2132" s="465"/>
    </row>
    <row r="2133" spans="27:31" ht="14.4">
      <c r="AA2133" s="463"/>
      <c r="AB2133" s="462"/>
      <c r="AC2133" s="462"/>
      <c r="AD2133" s="464"/>
      <c r="AE2133" s="465"/>
    </row>
    <row r="2134" spans="27:31" ht="14.4">
      <c r="AA2134" s="463"/>
      <c r="AB2134" s="462"/>
      <c r="AC2134" s="462"/>
      <c r="AD2134" s="464"/>
      <c r="AE2134" s="465"/>
    </row>
    <row r="2135" spans="27:31" ht="14.4">
      <c r="AA2135" s="463"/>
      <c r="AB2135" s="462"/>
      <c r="AC2135" s="462"/>
      <c r="AD2135" s="464"/>
      <c r="AE2135" s="465"/>
    </row>
    <row r="2136" spans="27:31" ht="14.4">
      <c r="AA2136" s="463"/>
      <c r="AB2136" s="462"/>
      <c r="AC2136" s="462"/>
      <c r="AD2136" s="464"/>
      <c r="AE2136" s="465"/>
    </row>
    <row r="2137" spans="27:31" ht="14.4">
      <c r="AA2137" s="463"/>
      <c r="AB2137" s="462"/>
      <c r="AC2137" s="462"/>
      <c r="AD2137" s="464"/>
      <c r="AE2137" s="465"/>
    </row>
    <row r="2138" spans="27:31" ht="14.4">
      <c r="AA2138" s="463"/>
      <c r="AB2138" s="462"/>
      <c r="AC2138" s="462"/>
      <c r="AD2138" s="464"/>
      <c r="AE2138" s="465"/>
    </row>
    <row r="2139" spans="27:31" ht="14.4">
      <c r="AA2139" s="463"/>
      <c r="AB2139" s="462"/>
      <c r="AC2139" s="462"/>
      <c r="AD2139" s="464"/>
      <c r="AE2139" s="465"/>
    </row>
    <row r="2140" spans="27:31" ht="14.4">
      <c r="AA2140" s="463"/>
      <c r="AB2140" s="462"/>
      <c r="AC2140" s="462"/>
      <c r="AD2140" s="464"/>
      <c r="AE2140" s="465"/>
    </row>
    <row r="2141" spans="27:31" ht="14.4">
      <c r="AA2141" s="463"/>
      <c r="AB2141" s="462"/>
      <c r="AC2141" s="462"/>
      <c r="AD2141" s="464"/>
      <c r="AE2141" s="465"/>
    </row>
    <row r="2142" spans="27:31" ht="14.4">
      <c r="AA2142" s="463"/>
      <c r="AB2142" s="462"/>
      <c r="AC2142" s="462"/>
      <c r="AD2142" s="464"/>
      <c r="AE2142" s="465"/>
    </row>
    <row r="2143" spans="27:31" ht="14.4">
      <c r="AA2143" s="463"/>
      <c r="AB2143" s="462"/>
      <c r="AC2143" s="462"/>
      <c r="AD2143" s="464"/>
      <c r="AE2143" s="465"/>
    </row>
    <row r="2144" spans="27:31" ht="14.4">
      <c r="AA2144" s="463"/>
      <c r="AB2144" s="462"/>
      <c r="AC2144" s="462"/>
      <c r="AD2144" s="464"/>
      <c r="AE2144" s="465"/>
    </row>
    <row r="2145" spans="27:31" ht="14.4">
      <c r="AA2145" s="463"/>
      <c r="AB2145" s="462"/>
      <c r="AC2145" s="462"/>
      <c r="AD2145" s="464"/>
      <c r="AE2145" s="465"/>
    </row>
    <row r="2146" spans="27:31" ht="14.4">
      <c r="AA2146" s="463"/>
      <c r="AB2146" s="462"/>
      <c r="AC2146" s="462"/>
      <c r="AD2146" s="464"/>
      <c r="AE2146" s="465"/>
    </row>
    <row r="2147" spans="27:31" ht="14.4">
      <c r="AA2147" s="463"/>
      <c r="AB2147" s="462"/>
      <c r="AC2147" s="462"/>
      <c r="AD2147" s="464"/>
      <c r="AE2147" s="465"/>
    </row>
    <row r="2148" spans="27:31" ht="14.4">
      <c r="AA2148" s="463"/>
      <c r="AB2148" s="462"/>
      <c r="AC2148" s="462"/>
      <c r="AD2148" s="464"/>
      <c r="AE2148" s="465"/>
    </row>
    <row r="2149" spans="27:31" ht="14.4">
      <c r="AA2149" s="463"/>
      <c r="AB2149" s="462"/>
      <c r="AC2149" s="462"/>
      <c r="AD2149" s="464"/>
      <c r="AE2149" s="465"/>
    </row>
    <row r="2150" spans="27:31" ht="14.4">
      <c r="AA2150" s="463"/>
      <c r="AB2150" s="462"/>
      <c r="AC2150" s="462"/>
      <c r="AD2150" s="464"/>
      <c r="AE2150" s="465"/>
    </row>
    <row r="2151" spans="27:31" ht="14.4">
      <c r="AA2151" s="463"/>
      <c r="AB2151" s="462"/>
      <c r="AC2151" s="462"/>
      <c r="AD2151" s="464"/>
      <c r="AE2151" s="465"/>
    </row>
    <row r="2152" spans="27:31" ht="14.4">
      <c r="AA2152" s="463"/>
      <c r="AB2152" s="462"/>
      <c r="AC2152" s="462"/>
      <c r="AD2152" s="464"/>
      <c r="AE2152" s="465"/>
    </row>
    <row r="2153" spans="27:31" ht="14.4">
      <c r="AA2153" s="463"/>
      <c r="AB2153" s="462"/>
      <c r="AC2153" s="462"/>
      <c r="AD2153" s="464"/>
      <c r="AE2153" s="465"/>
    </row>
    <row r="2154" spans="27:31" ht="14.4">
      <c r="AA2154" s="463"/>
      <c r="AB2154" s="462"/>
      <c r="AC2154" s="462"/>
      <c r="AD2154" s="464"/>
      <c r="AE2154" s="465"/>
    </row>
    <row r="2155" spans="27:31" ht="14.4">
      <c r="AA2155" s="463"/>
      <c r="AB2155" s="462"/>
      <c r="AC2155" s="462"/>
      <c r="AD2155" s="464"/>
      <c r="AE2155" s="465"/>
    </row>
    <row r="2156" spans="27:31" ht="14.4">
      <c r="AA2156" s="463"/>
      <c r="AB2156" s="462"/>
      <c r="AC2156" s="462"/>
      <c r="AD2156" s="464"/>
      <c r="AE2156" s="465"/>
    </row>
    <row r="2157" spans="27:31" ht="14.4">
      <c r="AA2157" s="463"/>
      <c r="AB2157" s="462"/>
      <c r="AC2157" s="462"/>
      <c r="AD2157" s="464"/>
      <c r="AE2157" s="465"/>
    </row>
    <row r="2158" spans="27:31" ht="14.4">
      <c r="AA2158" s="463"/>
      <c r="AB2158" s="462"/>
      <c r="AC2158" s="462"/>
      <c r="AD2158" s="464"/>
      <c r="AE2158" s="465"/>
    </row>
    <row r="2159" spans="27:31" ht="14.4">
      <c r="AA2159" s="463"/>
      <c r="AB2159" s="462"/>
      <c r="AC2159" s="462"/>
      <c r="AD2159" s="464"/>
      <c r="AE2159" s="465"/>
    </row>
    <row r="2160" spans="27:31" ht="14.4">
      <c r="AA2160" s="463"/>
      <c r="AB2160" s="462"/>
      <c r="AC2160" s="462"/>
      <c r="AD2160" s="464"/>
      <c r="AE2160" s="465"/>
    </row>
    <row r="2161" spans="27:31" ht="14.4">
      <c r="AA2161" s="463"/>
      <c r="AB2161" s="462"/>
      <c r="AC2161" s="462"/>
      <c r="AD2161" s="464"/>
      <c r="AE2161" s="465"/>
    </row>
    <row r="2162" spans="27:31" ht="14.4">
      <c r="AA2162" s="463"/>
      <c r="AB2162" s="462"/>
      <c r="AC2162" s="462"/>
      <c r="AD2162" s="464"/>
      <c r="AE2162" s="465"/>
    </row>
    <row r="2163" spans="27:31" ht="14.4">
      <c r="AA2163" s="463"/>
      <c r="AB2163" s="462"/>
      <c r="AC2163" s="462"/>
      <c r="AD2163" s="464"/>
      <c r="AE2163" s="465"/>
    </row>
    <row r="2164" spans="27:31" ht="14.4">
      <c r="AA2164" s="463"/>
      <c r="AB2164" s="462"/>
      <c r="AC2164" s="462"/>
      <c r="AD2164" s="464"/>
      <c r="AE2164" s="465"/>
    </row>
    <row r="2165" spans="27:31" ht="14.4">
      <c r="AA2165" s="463"/>
      <c r="AB2165" s="462"/>
      <c r="AC2165" s="462"/>
      <c r="AD2165" s="464"/>
      <c r="AE2165" s="465"/>
    </row>
    <row r="2166" spans="27:31" ht="14.4">
      <c r="AA2166" s="463"/>
      <c r="AB2166" s="462"/>
      <c r="AC2166" s="462"/>
      <c r="AD2166" s="464"/>
      <c r="AE2166" s="465"/>
    </row>
    <row r="2167" spans="27:31" ht="14.4">
      <c r="AA2167" s="463"/>
      <c r="AB2167" s="462"/>
      <c r="AC2167" s="462"/>
      <c r="AD2167" s="464"/>
      <c r="AE2167" s="465"/>
    </row>
    <row r="2168" spans="27:31" ht="14.4">
      <c r="AA2168" s="463"/>
      <c r="AB2168" s="462"/>
      <c r="AC2168" s="462"/>
      <c r="AD2168" s="464"/>
      <c r="AE2168" s="465"/>
    </row>
    <row r="2169" spans="27:31" ht="14.4">
      <c r="AA2169" s="463"/>
      <c r="AB2169" s="462"/>
      <c r="AC2169" s="462"/>
      <c r="AD2169" s="464"/>
      <c r="AE2169" s="465"/>
    </row>
    <row r="2170" spans="27:31" ht="14.4">
      <c r="AA2170" s="463"/>
      <c r="AB2170" s="462"/>
      <c r="AC2170" s="462"/>
      <c r="AD2170" s="464"/>
      <c r="AE2170" s="465"/>
    </row>
    <row r="2171" spans="27:31" ht="14.4">
      <c r="AA2171" s="463"/>
      <c r="AB2171" s="462"/>
      <c r="AC2171" s="462"/>
      <c r="AD2171" s="464"/>
      <c r="AE2171" s="465"/>
    </row>
    <row r="2172" spans="27:31" ht="14.4">
      <c r="AA2172" s="463"/>
      <c r="AB2172" s="462"/>
      <c r="AC2172" s="462"/>
      <c r="AD2172" s="464"/>
      <c r="AE2172" s="465"/>
    </row>
    <row r="2173" spans="27:31" ht="14.4">
      <c r="AA2173" s="463"/>
      <c r="AB2173" s="462"/>
      <c r="AC2173" s="462"/>
      <c r="AD2173" s="464"/>
      <c r="AE2173" s="465"/>
    </row>
    <row r="2174" spans="27:31" ht="14.4">
      <c r="AA2174" s="463"/>
      <c r="AB2174" s="462"/>
      <c r="AC2174" s="462"/>
      <c r="AD2174" s="464"/>
      <c r="AE2174" s="465"/>
    </row>
    <row r="2175" spans="27:31" ht="14.4">
      <c r="AA2175" s="463"/>
      <c r="AB2175" s="462"/>
      <c r="AC2175" s="462"/>
      <c r="AD2175" s="464"/>
      <c r="AE2175" s="465"/>
    </row>
    <row r="2176" spans="27:31" ht="14.4">
      <c r="AA2176" s="463"/>
      <c r="AB2176" s="462"/>
      <c r="AC2176" s="462"/>
      <c r="AD2176" s="464"/>
      <c r="AE2176" s="465"/>
    </row>
    <row r="2177" spans="27:31" ht="14.4">
      <c r="AA2177" s="463"/>
      <c r="AB2177" s="462"/>
      <c r="AC2177" s="462"/>
      <c r="AD2177" s="464"/>
      <c r="AE2177" s="465"/>
    </row>
    <row r="2178" spans="27:31" ht="14.4">
      <c r="AA2178" s="463"/>
      <c r="AB2178" s="462"/>
      <c r="AC2178" s="462"/>
      <c r="AD2178" s="464"/>
      <c r="AE2178" s="465"/>
    </row>
    <row r="2179" spans="27:31" ht="14.4">
      <c r="AA2179" s="463"/>
      <c r="AB2179" s="462"/>
      <c r="AC2179" s="462"/>
      <c r="AD2179" s="464"/>
      <c r="AE2179" s="465"/>
    </row>
    <row r="2180" spans="27:31" ht="14.4">
      <c r="AA2180" s="463"/>
      <c r="AB2180" s="462"/>
      <c r="AC2180" s="462"/>
      <c r="AD2180" s="464"/>
      <c r="AE2180" s="465"/>
    </row>
    <row r="2181" spans="27:31" ht="14.4">
      <c r="AA2181" s="463"/>
      <c r="AB2181" s="462"/>
      <c r="AC2181" s="462"/>
      <c r="AD2181" s="464"/>
      <c r="AE2181" s="465"/>
    </row>
    <row r="2182" spans="27:31" ht="14.4">
      <c r="AA2182" s="463"/>
      <c r="AB2182" s="462"/>
      <c r="AC2182" s="462"/>
      <c r="AD2182" s="464"/>
      <c r="AE2182" s="465"/>
    </row>
    <row r="2183" spans="27:31" ht="14.4">
      <c r="AA2183" s="463"/>
      <c r="AB2183" s="462"/>
      <c r="AC2183" s="462"/>
      <c r="AD2183" s="464"/>
      <c r="AE2183" s="465"/>
    </row>
    <row r="2184" spans="27:31" ht="14.4">
      <c r="AA2184" s="463"/>
      <c r="AB2184" s="462"/>
      <c r="AC2184" s="462"/>
      <c r="AD2184" s="464"/>
      <c r="AE2184" s="465"/>
    </row>
    <row r="2185" spans="27:31" ht="14.4">
      <c r="AA2185" s="463"/>
      <c r="AB2185" s="462"/>
      <c r="AC2185" s="462"/>
      <c r="AD2185" s="464"/>
      <c r="AE2185" s="465"/>
    </row>
    <row r="2186" spans="27:31" ht="14.4">
      <c r="AA2186" s="463"/>
      <c r="AB2186" s="462"/>
      <c r="AC2186" s="462"/>
      <c r="AD2186" s="464"/>
      <c r="AE2186" s="465"/>
    </row>
    <row r="2187" spans="27:31" ht="14.4">
      <c r="AA2187" s="463"/>
      <c r="AB2187" s="462"/>
      <c r="AC2187" s="462"/>
      <c r="AD2187" s="464"/>
      <c r="AE2187" s="465"/>
    </row>
    <row r="2188" spans="27:31" ht="14.4">
      <c r="AA2188" s="463"/>
      <c r="AB2188" s="462"/>
      <c r="AC2188" s="462"/>
      <c r="AD2188" s="464"/>
      <c r="AE2188" s="465"/>
    </row>
    <row r="2189" spans="27:31" ht="14.4">
      <c r="AA2189" s="463"/>
      <c r="AB2189" s="462"/>
      <c r="AC2189" s="462"/>
      <c r="AD2189" s="464"/>
      <c r="AE2189" s="465"/>
    </row>
    <row r="2190" spans="27:31" ht="14.4">
      <c r="AA2190" s="463"/>
      <c r="AB2190" s="462"/>
      <c r="AC2190" s="462"/>
      <c r="AD2190" s="464"/>
      <c r="AE2190" s="465"/>
    </row>
    <row r="2191" spans="27:31" ht="14.4">
      <c r="AA2191" s="463"/>
      <c r="AB2191" s="462"/>
      <c r="AC2191" s="462"/>
      <c r="AD2191" s="464"/>
      <c r="AE2191" s="465"/>
    </row>
    <row r="2192" spans="27:31" ht="14.4">
      <c r="AA2192" s="463"/>
      <c r="AB2192" s="462"/>
      <c r="AC2192" s="462"/>
      <c r="AD2192" s="464"/>
      <c r="AE2192" s="465"/>
    </row>
    <row r="2193" spans="27:31" ht="14.4">
      <c r="AA2193" s="463"/>
      <c r="AB2193" s="462"/>
      <c r="AC2193" s="462"/>
      <c r="AD2193" s="464"/>
      <c r="AE2193" s="465"/>
    </row>
    <row r="2194" spans="27:31" ht="14.4">
      <c r="AA2194" s="463"/>
      <c r="AB2194" s="462"/>
      <c r="AC2194" s="462"/>
      <c r="AD2194" s="464"/>
      <c r="AE2194" s="465"/>
    </row>
    <row r="2195" spans="27:31" ht="14.4">
      <c r="AA2195" s="463"/>
      <c r="AB2195" s="462"/>
      <c r="AC2195" s="462"/>
      <c r="AD2195" s="464"/>
      <c r="AE2195" s="465"/>
    </row>
    <row r="2196" spans="27:31" ht="14.4">
      <c r="AA2196" s="463"/>
      <c r="AB2196" s="462"/>
      <c r="AC2196" s="462"/>
      <c r="AD2196" s="464"/>
      <c r="AE2196" s="465"/>
    </row>
    <row r="2197" spans="27:31" ht="14.4">
      <c r="AA2197" s="463"/>
      <c r="AB2197" s="462"/>
      <c r="AC2197" s="462"/>
      <c r="AD2197" s="464"/>
      <c r="AE2197" s="465"/>
    </row>
    <row r="2198" spans="27:31" ht="14.4">
      <c r="AA2198" s="463"/>
      <c r="AB2198" s="462"/>
      <c r="AC2198" s="462"/>
      <c r="AD2198" s="464"/>
      <c r="AE2198" s="465"/>
    </row>
    <row r="2199" spans="27:31" ht="14.4">
      <c r="AA2199" s="463"/>
      <c r="AB2199" s="462"/>
      <c r="AC2199" s="462"/>
      <c r="AD2199" s="464"/>
      <c r="AE2199" s="465"/>
    </row>
    <row r="2200" spans="27:31" ht="14.4">
      <c r="AA2200" s="463"/>
      <c r="AB2200" s="462"/>
      <c r="AC2200" s="462"/>
      <c r="AD2200" s="464"/>
      <c r="AE2200" s="465"/>
    </row>
    <row r="2201" spans="27:31" ht="14.4">
      <c r="AA2201" s="463"/>
      <c r="AB2201" s="462"/>
      <c r="AC2201" s="462"/>
      <c r="AD2201" s="464"/>
      <c r="AE2201" s="465"/>
    </row>
    <row r="2202" spans="27:31" ht="14.4">
      <c r="AA2202" s="463"/>
      <c r="AB2202" s="462"/>
      <c r="AC2202" s="462"/>
      <c r="AD2202" s="464"/>
      <c r="AE2202" s="465"/>
    </row>
    <row r="2203" spans="27:31" ht="14.4">
      <c r="AA2203" s="463"/>
      <c r="AB2203" s="462"/>
      <c r="AC2203" s="462"/>
      <c r="AD2203" s="464"/>
      <c r="AE2203" s="465"/>
    </row>
    <row r="2204" spans="27:31" ht="14.4">
      <c r="AA2204" s="463"/>
      <c r="AB2204" s="462"/>
      <c r="AC2204" s="462"/>
      <c r="AD2204" s="464"/>
      <c r="AE2204" s="465"/>
    </row>
    <row r="2205" spans="27:31" ht="14.4">
      <c r="AA2205" s="463"/>
      <c r="AB2205" s="462"/>
      <c r="AC2205" s="462"/>
      <c r="AD2205" s="464"/>
      <c r="AE2205" s="465"/>
    </row>
    <row r="2206" spans="27:31" ht="14.4">
      <c r="AA2206" s="463"/>
      <c r="AB2206" s="462"/>
      <c r="AC2206" s="462"/>
      <c r="AD2206" s="464"/>
      <c r="AE2206" s="465"/>
    </row>
    <row r="2207" spans="27:31" ht="14.4">
      <c r="AA2207" s="463"/>
      <c r="AB2207" s="462"/>
      <c r="AC2207" s="462"/>
      <c r="AD2207" s="464"/>
      <c r="AE2207" s="465"/>
    </row>
    <row r="2208" spans="27:31" ht="14.4">
      <c r="AA2208" s="463"/>
      <c r="AB2208" s="462"/>
      <c r="AC2208" s="462"/>
      <c r="AD2208" s="464"/>
      <c r="AE2208" s="465"/>
    </row>
    <row r="2209" spans="27:31" ht="14.4">
      <c r="AA2209" s="463"/>
      <c r="AB2209" s="462"/>
      <c r="AC2209" s="462"/>
      <c r="AD2209" s="464"/>
      <c r="AE2209" s="465"/>
    </row>
    <row r="2210" spans="27:31" ht="14.4">
      <c r="AA2210" s="463"/>
      <c r="AB2210" s="462"/>
      <c r="AC2210" s="462"/>
      <c r="AD2210" s="464"/>
      <c r="AE2210" s="465"/>
    </row>
    <row r="2211" spans="27:31" ht="14.4">
      <c r="AA2211" s="463"/>
      <c r="AB2211" s="462"/>
      <c r="AC2211" s="462"/>
      <c r="AD2211" s="464"/>
      <c r="AE2211" s="465"/>
    </row>
    <row r="2212" spans="27:31" ht="14.4">
      <c r="AA2212" s="463"/>
      <c r="AB2212" s="462"/>
      <c r="AC2212" s="462"/>
      <c r="AD2212" s="464"/>
      <c r="AE2212" s="465"/>
    </row>
    <row r="2213" spans="27:31" ht="14.4">
      <c r="AA2213" s="463"/>
      <c r="AB2213" s="462"/>
      <c r="AC2213" s="462"/>
      <c r="AD2213" s="464"/>
      <c r="AE2213" s="465"/>
    </row>
    <row r="2214" spans="27:31" ht="14.4">
      <c r="AA2214" s="463"/>
      <c r="AB2214" s="462"/>
      <c r="AC2214" s="462"/>
      <c r="AD2214" s="464"/>
      <c r="AE2214" s="465"/>
    </row>
    <row r="2215" spans="27:31" ht="14.4">
      <c r="AA2215" s="463"/>
      <c r="AB2215" s="462"/>
      <c r="AC2215" s="462"/>
      <c r="AD2215" s="464"/>
      <c r="AE2215" s="465"/>
    </row>
    <row r="2216" spans="27:31" ht="14.4">
      <c r="AA2216" s="463"/>
      <c r="AB2216" s="462"/>
      <c r="AC2216" s="462"/>
      <c r="AD2216" s="464"/>
      <c r="AE2216" s="465"/>
    </row>
    <row r="2217" spans="27:31" ht="14.4">
      <c r="AA2217" s="463"/>
      <c r="AB2217" s="462"/>
      <c r="AC2217" s="462"/>
      <c r="AD2217" s="464"/>
      <c r="AE2217" s="465"/>
    </row>
    <row r="2218" spans="27:31" ht="14.4">
      <c r="AA2218" s="463"/>
      <c r="AB2218" s="462"/>
      <c r="AC2218" s="462"/>
      <c r="AD2218" s="464"/>
      <c r="AE2218" s="465"/>
    </row>
    <row r="2219" spans="27:31" ht="14.4">
      <c r="AA2219" s="463"/>
      <c r="AB2219" s="462"/>
      <c r="AC2219" s="462"/>
      <c r="AD2219" s="464"/>
      <c r="AE2219" s="465"/>
    </row>
    <row r="2220" spans="27:31" ht="14.4">
      <c r="AA2220" s="463"/>
      <c r="AB2220" s="462"/>
      <c r="AC2220" s="462"/>
      <c r="AD2220" s="464"/>
      <c r="AE2220" s="465"/>
    </row>
    <row r="2221" spans="27:31" ht="14.4">
      <c r="AA2221" s="463"/>
      <c r="AB2221" s="462"/>
      <c r="AC2221" s="462"/>
      <c r="AD2221" s="464"/>
      <c r="AE2221" s="465"/>
    </row>
    <row r="2222" spans="27:31" ht="14.4">
      <c r="AA2222" s="463"/>
      <c r="AB2222" s="462"/>
      <c r="AC2222" s="462"/>
      <c r="AD2222" s="464"/>
      <c r="AE2222" s="465"/>
    </row>
    <row r="2223" spans="27:31" ht="14.4">
      <c r="AA2223" s="463"/>
      <c r="AB2223" s="462"/>
      <c r="AC2223" s="462"/>
      <c r="AD2223" s="464"/>
      <c r="AE2223" s="465"/>
    </row>
    <row r="2224" spans="27:31" ht="14.4">
      <c r="AA2224" s="463"/>
      <c r="AB2224" s="462"/>
      <c r="AC2224" s="462"/>
      <c r="AD2224" s="464"/>
      <c r="AE2224" s="465"/>
    </row>
    <row r="2225" spans="27:31" ht="14.4">
      <c r="AA2225" s="463"/>
      <c r="AB2225" s="462"/>
      <c r="AC2225" s="462"/>
      <c r="AD2225" s="464"/>
      <c r="AE2225" s="465"/>
    </row>
    <row r="2226" spans="27:31" ht="14.4">
      <c r="AA2226" s="463"/>
      <c r="AB2226" s="462"/>
      <c r="AC2226" s="462"/>
      <c r="AD2226" s="464"/>
      <c r="AE2226" s="465"/>
    </row>
    <row r="2227" spans="27:31" ht="14.4">
      <c r="AA2227" s="463"/>
      <c r="AB2227" s="462"/>
      <c r="AC2227" s="462"/>
      <c r="AD2227" s="464"/>
      <c r="AE2227" s="465"/>
    </row>
    <row r="2228" spans="27:31" ht="14.4">
      <c r="AA2228" s="463"/>
      <c r="AB2228" s="462"/>
      <c r="AC2228" s="462"/>
      <c r="AD2228" s="464"/>
      <c r="AE2228" s="465"/>
    </row>
    <row r="2229" spans="27:31" ht="14.4">
      <c r="AA2229" s="463"/>
      <c r="AB2229" s="462"/>
      <c r="AC2229" s="462"/>
      <c r="AD2229" s="464"/>
      <c r="AE2229" s="465"/>
    </row>
    <row r="2230" spans="27:31" ht="14.4">
      <c r="AA2230" s="463"/>
      <c r="AB2230" s="462"/>
      <c r="AC2230" s="462"/>
      <c r="AD2230" s="464"/>
      <c r="AE2230" s="465"/>
    </row>
    <row r="2231" spans="27:31" ht="14.4">
      <c r="AA2231" s="463"/>
      <c r="AB2231" s="462"/>
      <c r="AC2231" s="462"/>
      <c r="AD2231" s="464"/>
      <c r="AE2231" s="465"/>
    </row>
    <row r="2232" spans="27:31" ht="14.4">
      <c r="AA2232" s="463"/>
      <c r="AB2232" s="462"/>
      <c r="AC2232" s="462"/>
      <c r="AD2232" s="464"/>
      <c r="AE2232" s="465"/>
    </row>
    <row r="2233" spans="27:31" ht="14.4">
      <c r="AA2233" s="463"/>
      <c r="AB2233" s="462"/>
      <c r="AC2233" s="462"/>
      <c r="AD2233" s="464"/>
      <c r="AE2233" s="465"/>
    </row>
    <row r="2234" spans="27:31" ht="14.4">
      <c r="AA2234" s="463"/>
      <c r="AB2234" s="462"/>
      <c r="AC2234" s="462"/>
      <c r="AD2234" s="464"/>
      <c r="AE2234" s="465"/>
    </row>
    <row r="2235" spans="27:31" ht="14.4">
      <c r="AA2235" s="463"/>
      <c r="AB2235" s="462"/>
      <c r="AC2235" s="462"/>
      <c r="AD2235" s="464"/>
      <c r="AE2235" s="465"/>
    </row>
    <row r="2236" spans="27:31" ht="14.4">
      <c r="AA2236" s="463"/>
      <c r="AB2236" s="462"/>
      <c r="AC2236" s="462"/>
      <c r="AD2236" s="464"/>
      <c r="AE2236" s="465"/>
    </row>
    <row r="2237" spans="27:31" ht="14.4">
      <c r="AA2237" s="463"/>
      <c r="AB2237" s="462"/>
      <c r="AC2237" s="462"/>
      <c r="AD2237" s="464"/>
      <c r="AE2237" s="465"/>
    </row>
    <row r="2238" spans="27:31" ht="14.4">
      <c r="AA2238" s="463"/>
      <c r="AB2238" s="462"/>
      <c r="AC2238" s="462"/>
      <c r="AD2238" s="464"/>
      <c r="AE2238" s="465"/>
    </row>
    <row r="2239" spans="27:31" ht="14.4">
      <c r="AA2239" s="463"/>
      <c r="AB2239" s="462"/>
      <c r="AC2239" s="462"/>
      <c r="AD2239" s="464"/>
      <c r="AE2239" s="465"/>
    </row>
    <row r="2240" spans="27:31" ht="14.4">
      <c r="AA2240" s="463"/>
      <c r="AB2240" s="462"/>
      <c r="AC2240" s="462"/>
      <c r="AD2240" s="464"/>
      <c r="AE2240" s="465"/>
    </row>
    <row r="2241" spans="27:31" ht="14.4">
      <c r="AA2241" s="463"/>
      <c r="AB2241" s="462"/>
      <c r="AC2241" s="462"/>
      <c r="AD2241" s="464"/>
      <c r="AE2241" s="465"/>
    </row>
    <row r="2242" spans="27:31" ht="14.4">
      <c r="AA2242" s="463"/>
      <c r="AB2242" s="462"/>
      <c r="AC2242" s="462"/>
      <c r="AD2242" s="464"/>
      <c r="AE2242" s="465"/>
    </row>
    <row r="2243" spans="27:31" ht="14.4">
      <c r="AA2243" s="463"/>
      <c r="AB2243" s="462"/>
      <c r="AC2243" s="462"/>
      <c r="AD2243" s="464"/>
      <c r="AE2243" s="465"/>
    </row>
    <row r="2244" spans="27:31" ht="14.4">
      <c r="AA2244" s="463"/>
      <c r="AB2244" s="462"/>
      <c r="AC2244" s="462"/>
      <c r="AD2244" s="464"/>
      <c r="AE2244" s="465"/>
    </row>
    <row r="2245" spans="27:31" ht="14.4">
      <c r="AA2245" s="463"/>
      <c r="AB2245" s="462"/>
      <c r="AC2245" s="462"/>
      <c r="AD2245" s="464"/>
      <c r="AE2245" s="465"/>
    </row>
    <row r="2246" spans="27:31" ht="14.4">
      <c r="AA2246" s="463"/>
      <c r="AB2246" s="462"/>
      <c r="AC2246" s="462"/>
      <c r="AD2246" s="464"/>
      <c r="AE2246" s="465"/>
    </row>
    <row r="2247" spans="27:31" ht="14.4">
      <c r="AA2247" s="463"/>
      <c r="AB2247" s="462"/>
      <c r="AC2247" s="462"/>
      <c r="AD2247" s="464"/>
      <c r="AE2247" s="465"/>
    </row>
    <row r="2248" spans="27:31" ht="14.4">
      <c r="AA2248" s="463"/>
      <c r="AB2248" s="462"/>
      <c r="AC2248" s="462"/>
      <c r="AD2248" s="464"/>
      <c r="AE2248" s="465"/>
    </row>
    <row r="2249" spans="27:31" ht="14.4">
      <c r="AA2249" s="463"/>
      <c r="AB2249" s="462"/>
      <c r="AC2249" s="462"/>
      <c r="AD2249" s="464"/>
      <c r="AE2249" s="465"/>
    </row>
    <row r="2250" spans="27:31" ht="14.4">
      <c r="AA2250" s="463"/>
      <c r="AB2250" s="462"/>
      <c r="AC2250" s="462"/>
      <c r="AD2250" s="464"/>
      <c r="AE2250" s="465"/>
    </row>
    <row r="2251" spans="27:31" ht="14.4">
      <c r="AA2251" s="463"/>
      <c r="AB2251" s="462"/>
      <c r="AC2251" s="462"/>
      <c r="AD2251" s="464"/>
      <c r="AE2251" s="465"/>
    </row>
    <row r="2252" spans="27:31" ht="14.4">
      <c r="AA2252" s="463"/>
      <c r="AB2252" s="462"/>
      <c r="AC2252" s="462"/>
      <c r="AD2252" s="464"/>
      <c r="AE2252" s="465"/>
    </row>
    <row r="2253" spans="27:31" ht="14.4">
      <c r="AA2253" s="463"/>
      <c r="AB2253" s="462"/>
      <c r="AC2253" s="462"/>
      <c r="AD2253" s="464"/>
      <c r="AE2253" s="465"/>
    </row>
    <row r="2254" spans="27:31" ht="14.4">
      <c r="AA2254" s="463"/>
      <c r="AB2254" s="462"/>
      <c r="AC2254" s="462"/>
      <c r="AD2254" s="464"/>
      <c r="AE2254" s="465"/>
    </row>
    <row r="2255" spans="27:31" ht="14.4">
      <c r="AA2255" s="463"/>
      <c r="AB2255" s="462"/>
      <c r="AC2255" s="462"/>
      <c r="AD2255" s="464"/>
      <c r="AE2255" s="465"/>
    </row>
    <row r="2256" spans="27:31" ht="14.4">
      <c r="AA2256" s="463"/>
      <c r="AB2256" s="462"/>
      <c r="AC2256" s="462"/>
      <c r="AD2256" s="464"/>
      <c r="AE2256" s="465"/>
    </row>
    <row r="2257" spans="27:31" ht="14.4">
      <c r="AA2257" s="463"/>
      <c r="AB2257" s="462"/>
      <c r="AC2257" s="462"/>
      <c r="AD2257" s="464"/>
      <c r="AE2257" s="465"/>
    </row>
    <row r="2258" spans="27:31" ht="14.4">
      <c r="AA2258" s="463"/>
      <c r="AB2258" s="462"/>
      <c r="AC2258" s="462"/>
      <c r="AD2258" s="464"/>
      <c r="AE2258" s="465"/>
    </row>
    <row r="2259" spans="27:31" ht="14.4">
      <c r="AA2259" s="463"/>
      <c r="AB2259" s="462"/>
      <c r="AC2259" s="462"/>
      <c r="AD2259" s="464"/>
      <c r="AE2259" s="465"/>
    </row>
    <row r="2260" spans="27:31" ht="14.4">
      <c r="AA2260" s="463"/>
      <c r="AB2260" s="462"/>
      <c r="AC2260" s="462"/>
      <c r="AD2260" s="464"/>
      <c r="AE2260" s="465"/>
    </row>
    <row r="2261" spans="27:31" ht="14.4">
      <c r="AA2261" s="463"/>
      <c r="AB2261" s="462"/>
      <c r="AC2261" s="462"/>
      <c r="AD2261" s="464"/>
      <c r="AE2261" s="465"/>
    </row>
    <row r="2262" spans="27:31" ht="14.4">
      <c r="AA2262" s="463"/>
      <c r="AB2262" s="462"/>
      <c r="AC2262" s="462"/>
      <c r="AD2262" s="464"/>
      <c r="AE2262" s="465"/>
    </row>
    <row r="2263" spans="27:31" ht="14.4">
      <c r="AA2263" s="463"/>
      <c r="AB2263" s="462"/>
      <c r="AC2263" s="462"/>
      <c r="AD2263" s="464"/>
      <c r="AE2263" s="465"/>
    </row>
    <row r="2264" spans="27:31" ht="14.4">
      <c r="AA2264" s="463"/>
      <c r="AB2264" s="462"/>
      <c r="AC2264" s="462"/>
      <c r="AD2264" s="464"/>
      <c r="AE2264" s="465"/>
    </row>
    <row r="2265" spans="27:31" ht="14.4">
      <c r="AA2265" s="463"/>
      <c r="AB2265" s="462"/>
      <c r="AC2265" s="462"/>
      <c r="AD2265" s="464"/>
      <c r="AE2265" s="465"/>
    </row>
    <row r="2266" spans="27:31" ht="14.4">
      <c r="AA2266" s="463"/>
      <c r="AB2266" s="462"/>
      <c r="AC2266" s="462"/>
      <c r="AD2266" s="464"/>
      <c r="AE2266" s="465"/>
    </row>
    <row r="2267" spans="27:31" ht="14.4">
      <c r="AA2267" s="463"/>
      <c r="AB2267" s="462"/>
      <c r="AC2267" s="462"/>
      <c r="AD2267" s="464"/>
      <c r="AE2267" s="465"/>
    </row>
    <row r="2268" spans="27:31" ht="14.4">
      <c r="AA2268" s="463"/>
      <c r="AB2268" s="462"/>
      <c r="AC2268" s="462"/>
      <c r="AD2268" s="464"/>
      <c r="AE2268" s="465"/>
    </row>
    <row r="2269" spans="27:31" ht="14.4">
      <c r="AA2269" s="463"/>
      <c r="AB2269" s="462"/>
      <c r="AC2269" s="462"/>
      <c r="AD2269" s="464"/>
      <c r="AE2269" s="465"/>
    </row>
    <row r="2270" spans="27:31" ht="14.4">
      <c r="AA2270" s="463"/>
      <c r="AB2270" s="462"/>
      <c r="AC2270" s="462"/>
      <c r="AD2270" s="464"/>
      <c r="AE2270" s="465"/>
    </row>
    <row r="2271" spans="27:31" ht="14.4">
      <c r="AA2271" s="463"/>
      <c r="AB2271" s="462"/>
      <c r="AC2271" s="462"/>
      <c r="AD2271" s="464"/>
      <c r="AE2271" s="465"/>
    </row>
    <row r="2272" spans="27:31" ht="14.4">
      <c r="AA2272" s="463"/>
      <c r="AB2272" s="462"/>
      <c r="AC2272" s="462"/>
      <c r="AD2272" s="464"/>
      <c r="AE2272" s="465"/>
    </row>
    <row r="2273" spans="27:31" ht="14.4">
      <c r="AA2273" s="463"/>
      <c r="AB2273" s="462"/>
      <c r="AC2273" s="462"/>
      <c r="AD2273" s="464"/>
      <c r="AE2273" s="465"/>
    </row>
    <row r="2274" spans="27:31" ht="14.4">
      <c r="AA2274" s="463"/>
      <c r="AB2274" s="462"/>
      <c r="AC2274" s="462"/>
      <c r="AD2274" s="464"/>
      <c r="AE2274" s="465"/>
    </row>
    <row r="2275" spans="27:31" ht="14.4">
      <c r="AA2275" s="463"/>
      <c r="AB2275" s="462"/>
      <c r="AC2275" s="462"/>
      <c r="AD2275" s="464"/>
      <c r="AE2275" s="465"/>
    </row>
    <row r="2276" spans="27:31" ht="14.4">
      <c r="AA2276" s="463"/>
      <c r="AB2276" s="462"/>
      <c r="AC2276" s="462"/>
      <c r="AD2276" s="464"/>
      <c r="AE2276" s="465"/>
    </row>
    <row r="2277" spans="27:31" ht="14.4">
      <c r="AA2277" s="463"/>
      <c r="AB2277" s="462"/>
      <c r="AC2277" s="462"/>
      <c r="AD2277" s="464"/>
      <c r="AE2277" s="465"/>
    </row>
    <row r="2278" spans="27:31" ht="14.4">
      <c r="AA2278" s="463"/>
      <c r="AB2278" s="462"/>
      <c r="AC2278" s="462"/>
      <c r="AD2278" s="464"/>
      <c r="AE2278" s="465"/>
    </row>
    <row r="2279" spans="27:31" ht="14.4">
      <c r="AA2279" s="463"/>
      <c r="AB2279" s="462"/>
      <c r="AC2279" s="462"/>
      <c r="AD2279" s="464"/>
      <c r="AE2279" s="465"/>
    </row>
    <row r="2280" spans="27:31" ht="14.4">
      <c r="AA2280" s="463"/>
      <c r="AB2280" s="462"/>
      <c r="AC2280" s="462"/>
      <c r="AD2280" s="464"/>
      <c r="AE2280" s="465"/>
    </row>
    <row r="2281" spans="27:31" ht="14.4">
      <c r="AA2281" s="463"/>
      <c r="AB2281" s="462"/>
      <c r="AC2281" s="462"/>
      <c r="AD2281" s="464"/>
      <c r="AE2281" s="465"/>
    </row>
    <row r="2282" spans="27:31" ht="14.4">
      <c r="AA2282" s="463"/>
      <c r="AB2282" s="462"/>
      <c r="AC2282" s="462"/>
      <c r="AD2282" s="464"/>
      <c r="AE2282" s="465"/>
    </row>
    <row r="2283" spans="27:31" ht="14.4">
      <c r="AA2283" s="463"/>
      <c r="AB2283" s="462"/>
      <c r="AC2283" s="462"/>
      <c r="AD2283" s="464"/>
      <c r="AE2283" s="465"/>
    </row>
    <row r="2284" spans="27:31" ht="14.4">
      <c r="AA2284" s="463"/>
      <c r="AB2284" s="462"/>
      <c r="AC2284" s="462"/>
      <c r="AD2284" s="464"/>
      <c r="AE2284" s="465"/>
    </row>
    <row r="2285" spans="27:31" ht="14.4">
      <c r="AA2285" s="463"/>
      <c r="AB2285" s="462"/>
      <c r="AC2285" s="462"/>
      <c r="AD2285" s="464"/>
      <c r="AE2285" s="465"/>
    </row>
    <row r="2286" spans="27:31" ht="14.4">
      <c r="AA2286" s="463"/>
      <c r="AB2286" s="462"/>
      <c r="AC2286" s="462"/>
      <c r="AD2286" s="464"/>
      <c r="AE2286" s="465"/>
    </row>
    <row r="2287" spans="27:31" ht="14.4">
      <c r="AA2287" s="463"/>
      <c r="AB2287" s="462"/>
      <c r="AC2287" s="462"/>
      <c r="AD2287" s="464"/>
      <c r="AE2287" s="465"/>
    </row>
    <row r="2288" spans="27:31" ht="14.4">
      <c r="AA2288" s="463"/>
      <c r="AB2288" s="462"/>
      <c r="AC2288" s="462"/>
      <c r="AD2288" s="464"/>
      <c r="AE2288" s="465"/>
    </row>
    <row r="2289" spans="27:31" ht="14.4">
      <c r="AA2289" s="463"/>
      <c r="AB2289" s="462"/>
      <c r="AC2289" s="462"/>
      <c r="AD2289" s="464"/>
      <c r="AE2289" s="465"/>
    </row>
    <row r="2290" spans="27:31" ht="14.4">
      <c r="AA2290" s="463"/>
      <c r="AB2290" s="462"/>
      <c r="AC2290" s="462"/>
      <c r="AD2290" s="464"/>
      <c r="AE2290" s="465"/>
    </row>
    <row r="2291" spans="27:31" ht="14.4">
      <c r="AA2291" s="463"/>
      <c r="AB2291" s="462"/>
      <c r="AC2291" s="462"/>
      <c r="AD2291" s="464"/>
      <c r="AE2291" s="465"/>
    </row>
    <row r="2292" spans="27:31" ht="14.4">
      <c r="AA2292" s="463"/>
      <c r="AB2292" s="462"/>
      <c r="AC2292" s="462"/>
      <c r="AD2292" s="464"/>
      <c r="AE2292" s="465"/>
    </row>
    <row r="2293" spans="27:31" ht="14.4">
      <c r="AA2293" s="463"/>
      <c r="AB2293" s="462"/>
      <c r="AC2293" s="462"/>
      <c r="AD2293" s="464"/>
      <c r="AE2293" s="465"/>
    </row>
    <row r="2294" spans="27:31" ht="14.4">
      <c r="AA2294" s="463"/>
      <c r="AB2294" s="462"/>
      <c r="AC2294" s="462"/>
      <c r="AD2294" s="464"/>
      <c r="AE2294" s="465"/>
    </row>
    <row r="2295" spans="27:31" ht="14.4">
      <c r="AA2295" s="463"/>
      <c r="AB2295" s="462"/>
      <c r="AC2295" s="462"/>
      <c r="AD2295" s="464"/>
      <c r="AE2295" s="465"/>
    </row>
    <row r="2296" spans="27:31" ht="14.4">
      <c r="AA2296" s="463"/>
      <c r="AB2296" s="462"/>
      <c r="AC2296" s="462"/>
      <c r="AD2296" s="464"/>
      <c r="AE2296" s="465"/>
    </row>
    <row r="2297" spans="27:31" ht="14.4">
      <c r="AA2297" s="463"/>
      <c r="AB2297" s="462"/>
      <c r="AC2297" s="462"/>
      <c r="AD2297" s="464"/>
      <c r="AE2297" s="465"/>
    </row>
    <row r="2298" spans="27:31" ht="14.4">
      <c r="AA2298" s="463"/>
      <c r="AB2298" s="462"/>
      <c r="AC2298" s="462"/>
      <c r="AD2298" s="464"/>
      <c r="AE2298" s="465"/>
    </row>
    <row r="2299" spans="27:31" ht="14.4">
      <c r="AA2299" s="463"/>
      <c r="AB2299" s="462"/>
      <c r="AC2299" s="462"/>
      <c r="AD2299" s="464"/>
      <c r="AE2299" s="465"/>
    </row>
    <row r="2300" spans="27:31" ht="14.4">
      <c r="AA2300" s="463"/>
      <c r="AB2300" s="462"/>
      <c r="AC2300" s="462"/>
      <c r="AD2300" s="464"/>
      <c r="AE2300" s="465"/>
    </row>
    <row r="2301" spans="27:31" ht="14.4">
      <c r="AA2301" s="463"/>
      <c r="AB2301" s="462"/>
      <c r="AC2301" s="462"/>
      <c r="AD2301" s="464"/>
      <c r="AE2301" s="465"/>
    </row>
    <row r="2302" spans="27:31" ht="14.4">
      <c r="AA2302" s="463"/>
      <c r="AB2302" s="462"/>
      <c r="AC2302" s="462"/>
      <c r="AD2302" s="464"/>
      <c r="AE2302" s="465"/>
    </row>
    <row r="2303" spans="27:31" ht="14.4">
      <c r="AA2303" s="463"/>
      <c r="AB2303" s="462"/>
      <c r="AC2303" s="462"/>
      <c r="AD2303" s="464"/>
      <c r="AE2303" s="465"/>
    </row>
    <row r="2304" spans="27:31" ht="14.4">
      <c r="AA2304" s="463"/>
      <c r="AB2304" s="462"/>
      <c r="AC2304" s="462"/>
      <c r="AD2304" s="464"/>
      <c r="AE2304" s="465"/>
    </row>
    <row r="2305" spans="27:31" ht="14.4">
      <c r="AA2305" s="463"/>
      <c r="AB2305" s="462"/>
      <c r="AC2305" s="462"/>
      <c r="AD2305" s="464"/>
      <c r="AE2305" s="465"/>
    </row>
    <row r="2306" spans="27:31" ht="14.4">
      <c r="AA2306" s="463"/>
      <c r="AB2306" s="462"/>
      <c r="AC2306" s="462"/>
      <c r="AD2306" s="464"/>
      <c r="AE2306" s="465"/>
    </row>
    <row r="2307" spans="27:31" ht="14.4">
      <c r="AA2307" s="463"/>
      <c r="AB2307" s="462"/>
      <c r="AC2307" s="462"/>
      <c r="AD2307" s="464"/>
      <c r="AE2307" s="465"/>
    </row>
    <row r="2308" spans="27:31" ht="14.4">
      <c r="AA2308" s="463"/>
      <c r="AB2308" s="462"/>
      <c r="AC2308" s="462"/>
      <c r="AD2308" s="464"/>
      <c r="AE2308" s="465"/>
    </row>
    <row r="2309" spans="27:31" ht="14.4">
      <c r="AA2309" s="463"/>
      <c r="AB2309" s="462"/>
      <c r="AC2309" s="462"/>
      <c r="AD2309" s="464"/>
      <c r="AE2309" s="465"/>
    </row>
    <row r="2310" spans="27:31" ht="14.4">
      <c r="AA2310" s="463"/>
      <c r="AB2310" s="462"/>
      <c r="AC2310" s="462"/>
      <c r="AD2310" s="464"/>
      <c r="AE2310" s="465"/>
    </row>
    <row r="2311" spans="27:31" ht="14.4">
      <c r="AA2311" s="463"/>
      <c r="AB2311" s="462"/>
      <c r="AC2311" s="462"/>
      <c r="AD2311" s="464"/>
      <c r="AE2311" s="465"/>
    </row>
    <row r="2312" spans="27:31" ht="14.4">
      <c r="AA2312" s="463"/>
      <c r="AB2312" s="462"/>
      <c r="AC2312" s="462"/>
      <c r="AD2312" s="464"/>
      <c r="AE2312" s="465"/>
    </row>
    <row r="2313" spans="27:31" ht="14.4">
      <c r="AA2313" s="463"/>
      <c r="AB2313" s="462"/>
      <c r="AC2313" s="462"/>
      <c r="AD2313" s="464"/>
      <c r="AE2313" s="465"/>
    </row>
    <row r="2314" spans="27:31" ht="14.4">
      <c r="AA2314" s="463"/>
      <c r="AB2314" s="462"/>
      <c r="AC2314" s="462"/>
      <c r="AD2314" s="464"/>
      <c r="AE2314" s="465"/>
    </row>
    <row r="2315" spans="27:31" ht="14.4">
      <c r="AA2315" s="463"/>
      <c r="AB2315" s="462"/>
      <c r="AC2315" s="462"/>
      <c r="AD2315" s="464"/>
      <c r="AE2315" s="465"/>
    </row>
    <row r="2316" spans="27:31" ht="14.4">
      <c r="AA2316" s="463"/>
      <c r="AB2316" s="462"/>
      <c r="AC2316" s="462"/>
      <c r="AD2316" s="464"/>
      <c r="AE2316" s="465"/>
    </row>
    <row r="2317" spans="27:31" ht="14.4">
      <c r="AA2317" s="463"/>
      <c r="AB2317" s="462"/>
      <c r="AC2317" s="462"/>
      <c r="AD2317" s="464"/>
      <c r="AE2317" s="465"/>
    </row>
    <row r="2318" spans="27:31" ht="14.4">
      <c r="AA2318" s="463"/>
      <c r="AB2318" s="462"/>
      <c r="AC2318" s="462"/>
      <c r="AD2318" s="464"/>
      <c r="AE2318" s="465"/>
    </row>
    <row r="2319" spans="27:31" ht="14.4">
      <c r="AA2319" s="463"/>
      <c r="AB2319" s="462"/>
      <c r="AC2319" s="462"/>
      <c r="AD2319" s="464"/>
      <c r="AE2319" s="465"/>
    </row>
    <row r="2320" spans="27:31" ht="14.4">
      <c r="AA2320" s="463"/>
      <c r="AB2320" s="462"/>
      <c r="AC2320" s="462"/>
      <c r="AD2320" s="464"/>
      <c r="AE2320" s="465"/>
    </row>
    <row r="2321" spans="27:31" ht="14.4">
      <c r="AA2321" s="463"/>
      <c r="AB2321" s="462"/>
      <c r="AC2321" s="462"/>
      <c r="AD2321" s="464"/>
      <c r="AE2321" s="465"/>
    </row>
    <row r="2322" spans="27:31" ht="14.4">
      <c r="AA2322" s="463"/>
      <c r="AB2322" s="462"/>
      <c r="AC2322" s="462"/>
      <c r="AD2322" s="464"/>
      <c r="AE2322" s="465"/>
    </row>
    <row r="2323" spans="27:31" ht="14.4">
      <c r="AA2323" s="463"/>
      <c r="AB2323" s="462"/>
      <c r="AC2323" s="462"/>
      <c r="AD2323" s="464"/>
      <c r="AE2323" s="465"/>
    </row>
    <row r="2324" spans="27:31" ht="14.4">
      <c r="AA2324" s="463"/>
      <c r="AB2324" s="462"/>
      <c r="AC2324" s="462"/>
      <c r="AD2324" s="464"/>
      <c r="AE2324" s="465"/>
    </row>
    <row r="2325" spans="27:31" ht="14.4">
      <c r="AA2325" s="463"/>
      <c r="AB2325" s="462"/>
      <c r="AC2325" s="462"/>
      <c r="AD2325" s="464"/>
      <c r="AE2325" s="465"/>
    </row>
    <row r="2326" spans="27:31" ht="14.4">
      <c r="AA2326" s="463"/>
      <c r="AB2326" s="462"/>
      <c r="AC2326" s="462"/>
      <c r="AD2326" s="464"/>
      <c r="AE2326" s="465"/>
    </row>
    <row r="2327" spans="27:31" ht="14.4">
      <c r="AA2327" s="463"/>
      <c r="AB2327" s="462"/>
      <c r="AC2327" s="462"/>
      <c r="AD2327" s="464"/>
      <c r="AE2327" s="465"/>
    </row>
    <row r="2328" spans="27:31" ht="14.4">
      <c r="AA2328" s="463"/>
      <c r="AB2328" s="462"/>
      <c r="AC2328" s="462"/>
      <c r="AD2328" s="464"/>
      <c r="AE2328" s="465"/>
    </row>
    <row r="2329" spans="27:31" ht="14.4">
      <c r="AA2329" s="463"/>
      <c r="AB2329" s="462"/>
      <c r="AC2329" s="462"/>
      <c r="AD2329" s="464"/>
      <c r="AE2329" s="465"/>
    </row>
    <row r="2330" spans="27:31" ht="14.4">
      <c r="AA2330" s="463"/>
      <c r="AB2330" s="462"/>
      <c r="AC2330" s="462"/>
      <c r="AD2330" s="464"/>
      <c r="AE2330" s="465"/>
    </row>
    <row r="2331" spans="27:31" ht="14.4">
      <c r="AA2331" s="463"/>
      <c r="AB2331" s="462"/>
      <c r="AC2331" s="462"/>
      <c r="AD2331" s="464"/>
      <c r="AE2331" s="465"/>
    </row>
    <row r="2332" spans="27:31" ht="14.4">
      <c r="AA2332" s="463"/>
      <c r="AB2332" s="462"/>
      <c r="AC2332" s="462"/>
      <c r="AD2332" s="464"/>
      <c r="AE2332" s="465"/>
    </row>
    <row r="2333" spans="27:31" ht="14.4">
      <c r="AA2333" s="463"/>
      <c r="AB2333" s="462"/>
      <c r="AC2333" s="462"/>
      <c r="AD2333" s="464"/>
      <c r="AE2333" s="465"/>
    </row>
    <row r="2334" spans="27:31" ht="14.4">
      <c r="AA2334" s="463"/>
      <c r="AB2334" s="462"/>
      <c r="AC2334" s="462"/>
      <c r="AD2334" s="464"/>
      <c r="AE2334" s="465"/>
    </row>
    <row r="2335" spans="27:31" ht="14.4">
      <c r="AA2335" s="463"/>
      <c r="AB2335" s="462"/>
      <c r="AC2335" s="462"/>
      <c r="AD2335" s="464"/>
      <c r="AE2335" s="465"/>
    </row>
    <row r="2336" spans="27:31" ht="14.4">
      <c r="AA2336" s="463"/>
      <c r="AB2336" s="462"/>
      <c r="AC2336" s="462"/>
      <c r="AD2336" s="464"/>
      <c r="AE2336" s="465"/>
    </row>
    <row r="2337" spans="27:31" ht="14.4">
      <c r="AA2337" s="463"/>
      <c r="AB2337" s="462"/>
      <c r="AC2337" s="462"/>
      <c r="AD2337" s="464"/>
      <c r="AE2337" s="465"/>
    </row>
    <row r="2338" spans="27:31" ht="14.4">
      <c r="AA2338" s="463"/>
      <c r="AB2338" s="462"/>
      <c r="AC2338" s="462"/>
      <c r="AD2338" s="464"/>
      <c r="AE2338" s="465"/>
    </row>
    <row r="2339" spans="27:31" ht="14.4">
      <c r="AA2339" s="463"/>
      <c r="AB2339" s="462"/>
      <c r="AC2339" s="462"/>
      <c r="AD2339" s="464"/>
      <c r="AE2339" s="465"/>
    </row>
    <row r="2340" spans="27:31" ht="14.4">
      <c r="AA2340" s="463"/>
      <c r="AB2340" s="462"/>
      <c r="AC2340" s="462"/>
      <c r="AD2340" s="464"/>
      <c r="AE2340" s="465"/>
    </row>
    <row r="2341" spans="27:31" ht="14.4">
      <c r="AA2341" s="463"/>
      <c r="AB2341" s="462"/>
      <c r="AC2341" s="462"/>
      <c r="AD2341" s="464"/>
      <c r="AE2341" s="465"/>
    </row>
    <row r="2342" spans="27:31" ht="14.4">
      <c r="AA2342" s="463"/>
      <c r="AB2342" s="462"/>
      <c r="AC2342" s="462"/>
      <c r="AD2342" s="464"/>
      <c r="AE2342" s="465"/>
    </row>
    <row r="2343" spans="27:31" ht="14.4">
      <c r="AA2343" s="463"/>
      <c r="AB2343" s="462"/>
      <c r="AC2343" s="462"/>
      <c r="AD2343" s="464"/>
      <c r="AE2343" s="465"/>
    </row>
    <row r="2344" spans="27:31" ht="14.4">
      <c r="AA2344" s="463"/>
      <c r="AB2344" s="462"/>
      <c r="AC2344" s="462"/>
      <c r="AD2344" s="464"/>
      <c r="AE2344" s="465"/>
    </row>
    <row r="2345" spans="27:31" ht="14.4">
      <c r="AA2345" s="463"/>
      <c r="AB2345" s="462"/>
      <c r="AC2345" s="462"/>
      <c r="AD2345" s="464"/>
      <c r="AE2345" s="465"/>
    </row>
    <row r="2346" spans="27:31" ht="14.4">
      <c r="AA2346" s="463"/>
      <c r="AB2346" s="462"/>
      <c r="AC2346" s="462"/>
      <c r="AD2346" s="464"/>
      <c r="AE2346" s="465"/>
    </row>
    <row r="2347" spans="27:31" ht="14.4">
      <c r="AA2347" s="463"/>
      <c r="AB2347" s="462"/>
      <c r="AC2347" s="462"/>
      <c r="AD2347" s="464"/>
      <c r="AE2347" s="465"/>
    </row>
    <row r="2348" spans="27:31" ht="14.4">
      <c r="AA2348" s="463"/>
      <c r="AB2348" s="462"/>
      <c r="AC2348" s="462"/>
      <c r="AD2348" s="464"/>
      <c r="AE2348" s="465"/>
    </row>
    <row r="2349" spans="27:31" ht="14.4">
      <c r="AA2349" s="463"/>
      <c r="AB2349" s="462"/>
      <c r="AC2349" s="462"/>
      <c r="AD2349" s="464"/>
      <c r="AE2349" s="465"/>
    </row>
    <row r="2350" spans="27:31" ht="14.4">
      <c r="AA2350" s="463"/>
      <c r="AB2350" s="462"/>
      <c r="AC2350" s="462"/>
      <c r="AD2350" s="464"/>
      <c r="AE2350" s="465"/>
    </row>
    <row r="2351" spans="27:31" ht="14.4">
      <c r="AA2351" s="463"/>
      <c r="AB2351" s="462"/>
      <c r="AC2351" s="462"/>
      <c r="AD2351" s="464"/>
      <c r="AE2351" s="465"/>
    </row>
    <row r="2352" spans="27:31" ht="14.4">
      <c r="AA2352" s="463"/>
      <c r="AB2352" s="462"/>
      <c r="AC2352" s="462"/>
      <c r="AD2352" s="464"/>
      <c r="AE2352" s="465"/>
    </row>
    <row r="2353" spans="27:31" ht="14.4">
      <c r="AA2353" s="463"/>
      <c r="AB2353" s="462"/>
      <c r="AC2353" s="462"/>
      <c r="AD2353" s="464"/>
      <c r="AE2353" s="465"/>
    </row>
    <row r="2354" spans="27:31" ht="14.4">
      <c r="AA2354" s="463"/>
      <c r="AB2354" s="462"/>
      <c r="AC2354" s="462"/>
      <c r="AD2354" s="464"/>
      <c r="AE2354" s="465"/>
    </row>
    <row r="2355" spans="27:31" ht="14.4">
      <c r="AA2355" s="463"/>
      <c r="AB2355" s="462"/>
      <c r="AC2355" s="462"/>
      <c r="AD2355" s="464"/>
      <c r="AE2355" s="465"/>
    </row>
    <row r="2356" spans="27:31" ht="14.4">
      <c r="AA2356" s="463"/>
      <c r="AB2356" s="462"/>
      <c r="AC2356" s="462"/>
      <c r="AD2356" s="464"/>
      <c r="AE2356" s="465"/>
    </row>
    <row r="2357" spans="27:31" ht="14.4">
      <c r="AA2357" s="463"/>
      <c r="AB2357" s="462"/>
      <c r="AC2357" s="462"/>
      <c r="AD2357" s="464"/>
      <c r="AE2357" s="465"/>
    </row>
    <row r="2358" spans="27:31" ht="14.4">
      <c r="AA2358" s="463"/>
      <c r="AB2358" s="462"/>
      <c r="AC2358" s="462"/>
      <c r="AD2358" s="464"/>
      <c r="AE2358" s="465"/>
    </row>
    <row r="2359" spans="27:31" ht="14.4">
      <c r="AA2359" s="463"/>
      <c r="AB2359" s="462"/>
      <c r="AC2359" s="462"/>
      <c r="AD2359" s="464"/>
      <c r="AE2359" s="465"/>
    </row>
    <row r="2360" spans="27:31" ht="14.4">
      <c r="AA2360" s="463"/>
      <c r="AB2360" s="462"/>
      <c r="AC2360" s="462"/>
      <c r="AD2360" s="464"/>
      <c r="AE2360" s="465"/>
    </row>
    <row r="2361" spans="27:31" ht="14.4">
      <c r="AA2361" s="463"/>
      <c r="AB2361" s="462"/>
      <c r="AC2361" s="462"/>
      <c r="AD2361" s="464"/>
      <c r="AE2361" s="465"/>
    </row>
    <row r="2362" spans="27:31" ht="14.4">
      <c r="AA2362" s="463"/>
      <c r="AB2362" s="462"/>
      <c r="AC2362" s="462"/>
      <c r="AD2362" s="464"/>
      <c r="AE2362" s="465"/>
    </row>
    <row r="2363" spans="27:31" ht="14.4">
      <c r="AA2363" s="463"/>
      <c r="AB2363" s="462"/>
      <c r="AC2363" s="462"/>
      <c r="AD2363" s="464"/>
      <c r="AE2363" s="465"/>
    </row>
    <row r="2364" spans="27:31" ht="14.4">
      <c r="AA2364" s="463"/>
      <c r="AB2364" s="462"/>
      <c r="AC2364" s="462"/>
      <c r="AD2364" s="464"/>
      <c r="AE2364" s="465"/>
    </row>
    <row r="2365" spans="27:31" ht="14.4">
      <c r="AA2365" s="463"/>
      <c r="AB2365" s="462"/>
      <c r="AC2365" s="462"/>
      <c r="AD2365" s="464"/>
      <c r="AE2365" s="465"/>
    </row>
    <row r="2366" spans="27:31" ht="14.4">
      <c r="AA2366" s="463"/>
      <c r="AB2366" s="462"/>
      <c r="AC2366" s="462"/>
      <c r="AD2366" s="464"/>
      <c r="AE2366" s="465"/>
    </row>
    <row r="2367" spans="27:31" ht="14.4">
      <c r="AA2367" s="463"/>
      <c r="AB2367" s="462"/>
      <c r="AC2367" s="462"/>
      <c r="AD2367" s="464"/>
      <c r="AE2367" s="465"/>
    </row>
    <row r="2368" spans="27:31" ht="14.4">
      <c r="AA2368" s="463"/>
      <c r="AB2368" s="462"/>
      <c r="AC2368" s="462"/>
      <c r="AD2368" s="464"/>
      <c r="AE2368" s="465"/>
    </row>
    <row r="2369" spans="27:31" ht="14.4">
      <c r="AA2369" s="463"/>
      <c r="AB2369" s="462"/>
      <c r="AC2369" s="462"/>
      <c r="AD2369" s="464"/>
      <c r="AE2369" s="465"/>
    </row>
    <row r="2370" spans="27:31" ht="14.4">
      <c r="AA2370" s="463"/>
      <c r="AB2370" s="462"/>
      <c r="AC2370" s="462"/>
      <c r="AD2370" s="464"/>
      <c r="AE2370" s="465"/>
    </row>
    <row r="2371" spans="27:31" ht="14.4">
      <c r="AA2371" s="463"/>
      <c r="AB2371" s="462"/>
      <c r="AC2371" s="462"/>
      <c r="AD2371" s="464"/>
      <c r="AE2371" s="465"/>
    </row>
    <row r="2372" spans="27:31" ht="14.4">
      <c r="AA2372" s="463"/>
      <c r="AB2372" s="462"/>
      <c r="AC2372" s="462"/>
      <c r="AD2372" s="464"/>
      <c r="AE2372" s="465"/>
    </row>
    <row r="2373" spans="27:31" ht="14.4">
      <c r="AA2373" s="463"/>
      <c r="AB2373" s="462"/>
      <c r="AC2373" s="462"/>
      <c r="AD2373" s="464"/>
      <c r="AE2373" s="465"/>
    </row>
    <row r="2374" spans="27:31" ht="14.4">
      <c r="AA2374" s="463"/>
      <c r="AB2374" s="462"/>
      <c r="AC2374" s="462"/>
      <c r="AD2374" s="464"/>
      <c r="AE2374" s="465"/>
    </row>
    <row r="2375" spans="27:31" ht="14.4">
      <c r="AA2375" s="463"/>
      <c r="AB2375" s="462"/>
      <c r="AC2375" s="462"/>
      <c r="AD2375" s="464"/>
      <c r="AE2375" s="465"/>
    </row>
    <row r="2376" spans="27:31" ht="14.4">
      <c r="AA2376" s="463"/>
      <c r="AB2376" s="462"/>
      <c r="AC2376" s="462"/>
      <c r="AD2376" s="464"/>
      <c r="AE2376" s="465"/>
    </row>
    <row r="2377" spans="27:31" ht="14.4">
      <c r="AA2377" s="463"/>
      <c r="AB2377" s="462"/>
      <c r="AC2377" s="462"/>
      <c r="AD2377" s="464"/>
      <c r="AE2377" s="465"/>
    </row>
    <row r="2378" spans="27:31" ht="14.4">
      <c r="AA2378" s="463"/>
      <c r="AB2378" s="462"/>
      <c r="AC2378" s="462"/>
      <c r="AD2378" s="464"/>
      <c r="AE2378" s="465"/>
    </row>
    <row r="2379" spans="27:31" ht="14.4">
      <c r="AA2379" s="463"/>
      <c r="AB2379" s="462"/>
      <c r="AC2379" s="462"/>
      <c r="AD2379" s="464"/>
      <c r="AE2379" s="465"/>
    </row>
    <row r="2380" spans="27:31" ht="14.4">
      <c r="AA2380" s="463"/>
      <c r="AB2380" s="462"/>
      <c r="AC2380" s="462"/>
      <c r="AD2380" s="464"/>
      <c r="AE2380" s="465"/>
    </row>
    <row r="2381" spans="27:31" ht="14.4">
      <c r="AA2381" s="463"/>
      <c r="AB2381" s="462"/>
      <c r="AC2381" s="462"/>
      <c r="AD2381" s="464"/>
      <c r="AE2381" s="465"/>
    </row>
    <row r="2382" spans="27:31" ht="14.4">
      <c r="AA2382" s="463"/>
      <c r="AB2382" s="462"/>
      <c r="AC2382" s="462"/>
      <c r="AD2382" s="464"/>
      <c r="AE2382" s="465"/>
    </row>
    <row r="2383" spans="27:31" ht="14.4">
      <c r="AA2383" s="463"/>
      <c r="AB2383" s="462"/>
      <c r="AC2383" s="462"/>
      <c r="AD2383" s="464"/>
      <c r="AE2383" s="465"/>
    </row>
    <row r="2384" spans="27:31" ht="14.4">
      <c r="AA2384" s="463"/>
      <c r="AB2384" s="462"/>
      <c r="AC2384" s="462"/>
      <c r="AD2384" s="464"/>
      <c r="AE2384" s="465"/>
    </row>
    <row r="2385" spans="27:31" ht="14.4">
      <c r="AA2385" s="463"/>
      <c r="AB2385" s="462"/>
      <c r="AC2385" s="462"/>
      <c r="AD2385" s="464"/>
      <c r="AE2385" s="465"/>
    </row>
    <row r="2386" spans="27:31" ht="14.4">
      <c r="AA2386" s="463"/>
      <c r="AB2386" s="462"/>
      <c r="AC2386" s="462"/>
      <c r="AD2386" s="464"/>
      <c r="AE2386" s="465"/>
    </row>
    <row r="2387" spans="27:31" ht="14.4">
      <c r="AA2387" s="463"/>
      <c r="AB2387" s="462"/>
      <c r="AC2387" s="462"/>
      <c r="AD2387" s="464"/>
      <c r="AE2387" s="465"/>
    </row>
    <row r="2388" spans="27:31" ht="14.4">
      <c r="AA2388" s="463"/>
      <c r="AB2388" s="462"/>
      <c r="AC2388" s="462"/>
      <c r="AD2388" s="464"/>
      <c r="AE2388" s="465"/>
    </row>
    <row r="2389" spans="27:31" ht="14.4">
      <c r="AA2389" s="463"/>
      <c r="AB2389" s="462"/>
      <c r="AC2389" s="462"/>
      <c r="AD2389" s="464"/>
      <c r="AE2389" s="465"/>
    </row>
    <row r="2390" spans="27:31" ht="14.4">
      <c r="AA2390" s="463"/>
      <c r="AB2390" s="462"/>
      <c r="AC2390" s="462"/>
      <c r="AD2390" s="464"/>
      <c r="AE2390" s="465"/>
    </row>
    <row r="2391" spans="27:31" ht="14.4">
      <c r="AA2391" s="463"/>
      <c r="AB2391" s="462"/>
      <c r="AC2391" s="462"/>
      <c r="AD2391" s="464"/>
      <c r="AE2391" s="465"/>
    </row>
    <row r="2392" spans="27:31" ht="14.4">
      <c r="AA2392" s="463"/>
      <c r="AB2392" s="462"/>
      <c r="AC2392" s="462"/>
      <c r="AD2392" s="464"/>
      <c r="AE2392" s="465"/>
    </row>
    <row r="2393" spans="27:31" ht="14.4">
      <c r="AA2393" s="463"/>
      <c r="AB2393" s="462"/>
      <c r="AC2393" s="462"/>
      <c r="AD2393" s="464"/>
      <c r="AE2393" s="465"/>
    </row>
    <row r="2394" spans="27:31" ht="14.4">
      <c r="AA2394" s="463"/>
      <c r="AB2394" s="462"/>
      <c r="AC2394" s="462"/>
      <c r="AD2394" s="464"/>
      <c r="AE2394" s="465"/>
    </row>
    <row r="2395" spans="27:31" ht="14.4">
      <c r="AA2395" s="463"/>
      <c r="AB2395" s="462"/>
      <c r="AC2395" s="462"/>
      <c r="AD2395" s="464"/>
      <c r="AE2395" s="465"/>
    </row>
    <row r="2396" spans="27:31" ht="14.4">
      <c r="AA2396" s="463"/>
      <c r="AB2396" s="462"/>
      <c r="AC2396" s="462"/>
      <c r="AD2396" s="464"/>
      <c r="AE2396" s="465"/>
    </row>
    <row r="2397" spans="27:31" ht="14.4">
      <c r="AA2397" s="463"/>
      <c r="AB2397" s="462"/>
      <c r="AC2397" s="462"/>
      <c r="AD2397" s="464"/>
      <c r="AE2397" s="465"/>
    </row>
    <row r="2398" spans="27:31" ht="14.4">
      <c r="AA2398" s="463"/>
      <c r="AB2398" s="462"/>
      <c r="AC2398" s="462"/>
      <c r="AD2398" s="464"/>
      <c r="AE2398" s="465"/>
    </row>
    <row r="2399" spans="27:31" ht="14.4">
      <c r="AA2399" s="463"/>
      <c r="AB2399" s="462"/>
      <c r="AC2399" s="462"/>
      <c r="AD2399" s="464"/>
      <c r="AE2399" s="465"/>
    </row>
    <row r="2400" spans="27:31" ht="14.4">
      <c r="AA2400" s="463"/>
      <c r="AB2400" s="462"/>
      <c r="AC2400" s="462"/>
      <c r="AD2400" s="464"/>
      <c r="AE2400" s="465"/>
    </row>
    <row r="2401" spans="27:31" ht="14.4">
      <c r="AA2401" s="463"/>
      <c r="AB2401" s="462"/>
      <c r="AC2401" s="462"/>
      <c r="AD2401" s="464"/>
      <c r="AE2401" s="465"/>
    </row>
    <row r="2402" spans="27:31" ht="14.4">
      <c r="AA2402" s="463"/>
      <c r="AB2402" s="462"/>
      <c r="AC2402" s="462"/>
      <c r="AD2402" s="464"/>
      <c r="AE2402" s="465"/>
    </row>
    <row r="2403" spans="27:31" ht="14.4">
      <c r="AA2403" s="463"/>
      <c r="AB2403" s="462"/>
      <c r="AC2403" s="462"/>
      <c r="AD2403" s="464"/>
      <c r="AE2403" s="465"/>
    </row>
    <row r="2404" spans="27:31" ht="14.4">
      <c r="AA2404" s="463"/>
      <c r="AB2404" s="462"/>
      <c r="AC2404" s="462"/>
      <c r="AD2404" s="464"/>
      <c r="AE2404" s="465"/>
    </row>
    <row r="2405" spans="27:31" ht="14.4">
      <c r="AA2405" s="463"/>
      <c r="AB2405" s="462"/>
      <c r="AC2405" s="462"/>
      <c r="AD2405" s="464"/>
      <c r="AE2405" s="465"/>
    </row>
    <row r="2406" spans="27:31" ht="14.4">
      <c r="AA2406" s="463"/>
      <c r="AB2406" s="462"/>
      <c r="AC2406" s="462"/>
      <c r="AD2406" s="464"/>
      <c r="AE2406" s="465"/>
    </row>
    <row r="2407" spans="27:31" ht="14.4">
      <c r="AA2407" s="463"/>
      <c r="AB2407" s="462"/>
      <c r="AC2407" s="462"/>
      <c r="AD2407" s="464"/>
      <c r="AE2407" s="465"/>
    </row>
    <row r="2408" spans="27:31" ht="14.4">
      <c r="AA2408" s="463"/>
      <c r="AB2408" s="462"/>
      <c r="AC2408" s="462"/>
      <c r="AD2408" s="464"/>
      <c r="AE2408" s="465"/>
    </row>
    <row r="2409" spans="27:31" ht="14.4">
      <c r="AA2409" s="463"/>
      <c r="AB2409" s="462"/>
      <c r="AC2409" s="462"/>
      <c r="AD2409" s="464"/>
      <c r="AE2409" s="465"/>
    </row>
    <row r="2410" spans="27:31" ht="14.4">
      <c r="AA2410" s="463"/>
      <c r="AB2410" s="462"/>
      <c r="AC2410" s="462"/>
      <c r="AD2410" s="464"/>
      <c r="AE2410" s="465"/>
    </row>
    <row r="2411" spans="27:31" ht="14.4">
      <c r="AA2411" s="463"/>
      <c r="AB2411" s="462"/>
      <c r="AC2411" s="462"/>
      <c r="AD2411" s="464"/>
      <c r="AE2411" s="465"/>
    </row>
    <row r="2412" spans="27:31" ht="14.4">
      <c r="AA2412" s="463"/>
      <c r="AB2412" s="462"/>
      <c r="AC2412" s="462"/>
      <c r="AD2412" s="464"/>
      <c r="AE2412" s="465"/>
    </row>
    <row r="2413" spans="27:31" ht="14.4">
      <c r="AA2413" s="463"/>
      <c r="AB2413" s="462"/>
      <c r="AC2413" s="462"/>
      <c r="AD2413" s="464"/>
      <c r="AE2413" s="465"/>
    </row>
    <row r="2414" spans="27:31" ht="14.4">
      <c r="AA2414" s="463"/>
      <c r="AB2414" s="462"/>
      <c r="AC2414" s="462"/>
      <c r="AD2414" s="464"/>
      <c r="AE2414" s="465"/>
    </row>
    <row r="2415" spans="27:31" ht="14.4">
      <c r="AA2415" s="463"/>
      <c r="AB2415" s="462"/>
      <c r="AC2415" s="462"/>
      <c r="AD2415" s="464"/>
      <c r="AE2415" s="465"/>
    </row>
    <row r="2416" spans="27:31" ht="14.4">
      <c r="AA2416" s="463"/>
      <c r="AB2416" s="462"/>
      <c r="AC2416" s="462"/>
      <c r="AD2416" s="464"/>
      <c r="AE2416" s="465"/>
    </row>
    <row r="2417" spans="27:31" ht="14.4">
      <c r="AA2417" s="463"/>
      <c r="AB2417" s="462"/>
      <c r="AC2417" s="462"/>
      <c r="AD2417" s="464"/>
      <c r="AE2417" s="465"/>
    </row>
    <row r="2418" spans="27:31" ht="14.4">
      <c r="AA2418" s="463"/>
      <c r="AB2418" s="462"/>
      <c r="AC2418" s="462"/>
      <c r="AD2418" s="464"/>
      <c r="AE2418" s="465"/>
    </row>
    <row r="2419" spans="27:31" ht="14.4">
      <c r="AA2419" s="463"/>
      <c r="AB2419" s="462"/>
      <c r="AC2419" s="462"/>
      <c r="AD2419" s="464"/>
      <c r="AE2419" s="465"/>
    </row>
    <row r="2420" spans="27:31" ht="14.4">
      <c r="AA2420" s="463"/>
      <c r="AB2420" s="462"/>
      <c r="AC2420" s="462"/>
      <c r="AD2420" s="464"/>
      <c r="AE2420" s="465"/>
    </row>
    <row r="2421" spans="27:31" ht="14.4">
      <c r="AA2421" s="463"/>
      <c r="AB2421" s="462"/>
      <c r="AC2421" s="462"/>
      <c r="AD2421" s="464"/>
      <c r="AE2421" s="465"/>
    </row>
    <row r="2422" spans="27:31" ht="14.4">
      <c r="AA2422" s="463"/>
      <c r="AB2422" s="462"/>
      <c r="AC2422" s="462"/>
      <c r="AD2422" s="464"/>
      <c r="AE2422" s="465"/>
    </row>
    <row r="2423" spans="27:31" ht="14.4">
      <c r="AA2423" s="463"/>
      <c r="AB2423" s="462"/>
      <c r="AC2423" s="462"/>
      <c r="AD2423" s="464"/>
      <c r="AE2423" s="465"/>
    </row>
    <row r="2424" spans="27:31" ht="14.4">
      <c r="AA2424" s="463"/>
      <c r="AB2424" s="462"/>
      <c r="AC2424" s="462"/>
      <c r="AD2424" s="464"/>
      <c r="AE2424" s="465"/>
    </row>
    <row r="2425" spans="27:31" ht="14.4">
      <c r="AA2425" s="463"/>
      <c r="AB2425" s="462"/>
      <c r="AC2425" s="462"/>
      <c r="AD2425" s="464"/>
      <c r="AE2425" s="465"/>
    </row>
    <row r="2426" spans="27:31" ht="14.4">
      <c r="AA2426" s="463"/>
      <c r="AB2426" s="462"/>
      <c r="AC2426" s="462"/>
      <c r="AD2426" s="464"/>
      <c r="AE2426" s="465"/>
    </row>
    <row r="2427" spans="27:31" ht="14.4">
      <c r="AA2427" s="463"/>
      <c r="AB2427" s="462"/>
      <c r="AC2427" s="462"/>
      <c r="AD2427" s="464"/>
      <c r="AE2427" s="465"/>
    </row>
    <row r="2428" spans="27:31" ht="14.4">
      <c r="AA2428" s="463"/>
      <c r="AB2428" s="462"/>
      <c r="AC2428" s="462"/>
      <c r="AD2428" s="464"/>
      <c r="AE2428" s="465"/>
    </row>
    <row r="2429" spans="27:31" ht="14.4">
      <c r="AA2429" s="463"/>
      <c r="AB2429" s="462"/>
      <c r="AC2429" s="462"/>
      <c r="AD2429" s="464"/>
      <c r="AE2429" s="465"/>
    </row>
    <row r="2430" spans="27:31" ht="14.4">
      <c r="AA2430" s="463"/>
      <c r="AB2430" s="462"/>
      <c r="AC2430" s="462"/>
      <c r="AD2430" s="464"/>
      <c r="AE2430" s="465"/>
    </row>
    <row r="2431" spans="27:31" ht="14.4">
      <c r="AA2431" s="463"/>
      <c r="AB2431" s="462"/>
      <c r="AC2431" s="462"/>
      <c r="AD2431" s="464"/>
      <c r="AE2431" s="465"/>
    </row>
    <row r="2432" spans="27:31" ht="14.4">
      <c r="AA2432" s="463"/>
      <c r="AB2432" s="462"/>
      <c r="AC2432" s="462"/>
      <c r="AD2432" s="464"/>
      <c r="AE2432" s="465"/>
    </row>
    <row r="2433" spans="27:31" ht="14.4">
      <c r="AA2433" s="463"/>
      <c r="AB2433" s="462"/>
      <c r="AC2433" s="462"/>
      <c r="AD2433" s="464"/>
      <c r="AE2433" s="465"/>
    </row>
    <row r="2434" spans="27:31" ht="14.4">
      <c r="AA2434" s="463"/>
      <c r="AB2434" s="462"/>
      <c r="AC2434" s="462"/>
      <c r="AD2434" s="464"/>
      <c r="AE2434" s="465"/>
    </row>
    <row r="2435" spans="27:31" ht="14.4">
      <c r="AA2435" s="463"/>
      <c r="AB2435" s="462"/>
      <c r="AC2435" s="462"/>
      <c r="AD2435" s="464"/>
      <c r="AE2435" s="465"/>
    </row>
    <row r="2436" spans="27:31" ht="14.4">
      <c r="AA2436" s="463"/>
      <c r="AB2436" s="462"/>
      <c r="AC2436" s="462"/>
      <c r="AD2436" s="464"/>
      <c r="AE2436" s="465"/>
    </row>
    <row r="2437" spans="27:31" ht="14.4">
      <c r="AA2437" s="463"/>
      <c r="AB2437" s="462"/>
      <c r="AC2437" s="462"/>
      <c r="AD2437" s="464"/>
      <c r="AE2437" s="465"/>
    </row>
    <row r="2438" spans="27:31" ht="14.4">
      <c r="AA2438" s="463"/>
      <c r="AB2438" s="462"/>
      <c r="AC2438" s="462"/>
      <c r="AD2438" s="464"/>
      <c r="AE2438" s="465"/>
    </row>
    <row r="2439" spans="27:31" ht="14.4">
      <c r="AA2439" s="463"/>
      <c r="AB2439" s="462"/>
      <c r="AC2439" s="462"/>
      <c r="AD2439" s="464"/>
      <c r="AE2439" s="465"/>
    </row>
    <row r="2440" spans="27:31" ht="14.4">
      <c r="AA2440" s="463"/>
      <c r="AB2440" s="462"/>
      <c r="AC2440" s="462"/>
      <c r="AD2440" s="464"/>
      <c r="AE2440" s="465"/>
    </row>
    <row r="2441" spans="27:31" ht="14.4">
      <c r="AA2441" s="463"/>
      <c r="AB2441" s="462"/>
      <c r="AC2441" s="462"/>
      <c r="AD2441" s="464"/>
      <c r="AE2441" s="465"/>
    </row>
    <row r="2442" spans="27:31" ht="14.4">
      <c r="AA2442" s="463"/>
      <c r="AB2442" s="462"/>
      <c r="AC2442" s="462"/>
      <c r="AD2442" s="464"/>
      <c r="AE2442" s="465"/>
    </row>
    <row r="2443" spans="27:31" ht="14.4">
      <c r="AA2443" s="463"/>
      <c r="AB2443" s="462"/>
      <c r="AC2443" s="462"/>
      <c r="AD2443" s="464"/>
      <c r="AE2443" s="465"/>
    </row>
    <row r="2444" spans="27:31" ht="14.4">
      <c r="AA2444" s="463"/>
      <c r="AB2444" s="462"/>
      <c r="AC2444" s="462"/>
      <c r="AD2444" s="464"/>
      <c r="AE2444" s="465"/>
    </row>
    <row r="2445" spans="27:31" ht="14.4">
      <c r="AA2445" s="463"/>
      <c r="AB2445" s="462"/>
      <c r="AC2445" s="462"/>
      <c r="AD2445" s="464"/>
      <c r="AE2445" s="465"/>
    </row>
    <row r="2446" spans="27:31" ht="14.4">
      <c r="AA2446" s="463"/>
      <c r="AB2446" s="462"/>
      <c r="AC2446" s="462"/>
      <c r="AD2446" s="464"/>
      <c r="AE2446" s="465"/>
    </row>
    <row r="2447" spans="27:31" ht="14.4">
      <c r="AA2447" s="463"/>
      <c r="AB2447" s="462"/>
      <c r="AC2447" s="462"/>
      <c r="AD2447" s="464"/>
      <c r="AE2447" s="465"/>
    </row>
    <row r="2448" spans="27:31" ht="14.4">
      <c r="AA2448" s="463"/>
      <c r="AB2448" s="462"/>
      <c r="AC2448" s="462"/>
      <c r="AD2448" s="464"/>
      <c r="AE2448" s="465"/>
    </row>
    <row r="2449" spans="27:31" ht="14.4">
      <c r="AA2449" s="463"/>
      <c r="AB2449" s="462"/>
      <c r="AC2449" s="462"/>
      <c r="AD2449" s="464"/>
      <c r="AE2449" s="465"/>
    </row>
    <row r="2450" spans="27:31" ht="14.4">
      <c r="AA2450" s="463"/>
      <c r="AB2450" s="462"/>
      <c r="AC2450" s="462"/>
      <c r="AD2450" s="464"/>
      <c r="AE2450" s="465"/>
    </row>
    <row r="2451" spans="27:31" ht="14.4">
      <c r="AA2451" s="463"/>
      <c r="AB2451" s="462"/>
      <c r="AC2451" s="462"/>
      <c r="AD2451" s="464"/>
      <c r="AE2451" s="465"/>
    </row>
    <row r="2452" spans="27:31" ht="14.4">
      <c r="AA2452" s="463"/>
      <c r="AB2452" s="462"/>
      <c r="AC2452" s="462"/>
      <c r="AD2452" s="464"/>
      <c r="AE2452" s="465"/>
    </row>
    <row r="2453" spans="27:31" ht="14.4">
      <c r="AA2453" s="463"/>
      <c r="AB2453" s="462"/>
      <c r="AC2453" s="462"/>
      <c r="AD2453" s="464"/>
      <c r="AE2453" s="465"/>
    </row>
    <row r="2454" spans="27:31" ht="14.4">
      <c r="AA2454" s="463"/>
      <c r="AB2454" s="462"/>
      <c r="AC2454" s="462"/>
      <c r="AD2454" s="464"/>
      <c r="AE2454" s="465"/>
    </row>
    <row r="2455" spans="27:31" ht="14.4">
      <c r="AA2455" s="463"/>
      <c r="AB2455" s="462"/>
      <c r="AC2455" s="462"/>
      <c r="AD2455" s="464"/>
      <c r="AE2455" s="465"/>
    </row>
    <row r="2456" spans="27:31" ht="14.4">
      <c r="AA2456" s="463"/>
      <c r="AB2456" s="462"/>
      <c r="AC2456" s="462"/>
      <c r="AD2456" s="464"/>
      <c r="AE2456" s="465"/>
    </row>
    <row r="2457" spans="27:31" ht="14.4">
      <c r="AA2457" s="463"/>
      <c r="AB2457" s="462"/>
      <c r="AC2457" s="462"/>
      <c r="AD2457" s="464"/>
      <c r="AE2457" s="465"/>
    </row>
    <row r="2458" spans="27:31" ht="14.4">
      <c r="AA2458" s="463"/>
      <c r="AB2458" s="462"/>
      <c r="AC2458" s="462"/>
      <c r="AD2458" s="464"/>
      <c r="AE2458" s="465"/>
    </row>
    <row r="2459" spans="27:31" ht="14.4">
      <c r="AA2459" s="463"/>
      <c r="AB2459" s="462"/>
      <c r="AC2459" s="462"/>
      <c r="AD2459" s="464"/>
      <c r="AE2459" s="465"/>
    </row>
    <row r="2460" spans="27:31" ht="14.4">
      <c r="AA2460" s="463"/>
      <c r="AB2460" s="462"/>
      <c r="AC2460" s="462"/>
      <c r="AD2460" s="464"/>
      <c r="AE2460" s="465"/>
    </row>
    <row r="2461" spans="27:31" ht="14.4">
      <c r="AA2461" s="463"/>
      <c r="AB2461" s="462"/>
      <c r="AC2461" s="462"/>
      <c r="AD2461" s="464"/>
      <c r="AE2461" s="465"/>
    </row>
    <row r="2462" spans="27:31" ht="14.4">
      <c r="AA2462" s="463"/>
      <c r="AB2462" s="462"/>
      <c r="AC2462" s="462"/>
      <c r="AD2462" s="464"/>
      <c r="AE2462" s="465"/>
    </row>
    <row r="2463" spans="27:31" ht="14.4">
      <c r="AA2463" s="463"/>
      <c r="AB2463" s="462"/>
      <c r="AC2463" s="462"/>
      <c r="AD2463" s="464"/>
      <c r="AE2463" s="465"/>
    </row>
    <row r="2464" spans="27:31" ht="14.4">
      <c r="AA2464" s="463"/>
      <c r="AB2464" s="462"/>
      <c r="AC2464" s="462"/>
      <c r="AD2464" s="464"/>
      <c r="AE2464" s="465"/>
    </row>
    <row r="2465" spans="27:31" ht="14.4">
      <c r="AA2465" s="463"/>
      <c r="AB2465" s="462"/>
      <c r="AC2465" s="462"/>
      <c r="AD2465" s="464"/>
      <c r="AE2465" s="465"/>
    </row>
    <row r="2466" spans="27:31" ht="14.4">
      <c r="AA2466" s="463"/>
      <c r="AB2466" s="462"/>
      <c r="AC2466" s="462"/>
      <c r="AD2466" s="464"/>
      <c r="AE2466" s="465"/>
    </row>
    <row r="2467" spans="27:31" ht="14.4">
      <c r="AA2467" s="463"/>
      <c r="AB2467" s="462"/>
      <c r="AC2467" s="462"/>
      <c r="AD2467" s="464"/>
      <c r="AE2467" s="465"/>
    </row>
    <row r="2468" spans="27:31" ht="14.4">
      <c r="AA2468" s="463"/>
      <c r="AB2468" s="462"/>
      <c r="AC2468" s="462"/>
      <c r="AD2468" s="464"/>
      <c r="AE2468" s="465"/>
    </row>
    <row r="2469" spans="27:31" ht="14.4">
      <c r="AA2469" s="463"/>
      <c r="AB2469" s="462"/>
      <c r="AC2469" s="462"/>
      <c r="AD2469" s="464"/>
      <c r="AE2469" s="465"/>
    </row>
    <row r="2470" spans="27:31" ht="14.4">
      <c r="AA2470" s="463"/>
      <c r="AB2470" s="462"/>
      <c r="AC2470" s="462"/>
      <c r="AD2470" s="464"/>
      <c r="AE2470" s="465"/>
    </row>
    <row r="2471" spans="27:31" ht="14.4">
      <c r="AA2471" s="463"/>
      <c r="AB2471" s="462"/>
      <c r="AC2471" s="462"/>
      <c r="AD2471" s="464"/>
      <c r="AE2471" s="465"/>
    </row>
    <row r="2472" spans="27:31" ht="14.4">
      <c r="AA2472" s="463"/>
      <c r="AB2472" s="462"/>
      <c r="AC2472" s="462"/>
      <c r="AD2472" s="464"/>
      <c r="AE2472" s="465"/>
    </row>
    <row r="2473" spans="27:31" ht="14.4">
      <c r="AA2473" s="463"/>
      <c r="AB2473" s="462"/>
      <c r="AC2473" s="462"/>
      <c r="AD2473" s="464"/>
      <c r="AE2473" s="465"/>
    </row>
    <row r="2474" spans="27:31" ht="14.4">
      <c r="AA2474" s="463"/>
      <c r="AB2474" s="462"/>
      <c r="AC2474" s="462"/>
      <c r="AD2474" s="464"/>
      <c r="AE2474" s="465"/>
    </row>
    <row r="2475" spans="27:31" ht="14.4">
      <c r="AA2475" s="463"/>
      <c r="AB2475" s="462"/>
      <c r="AC2475" s="462"/>
      <c r="AD2475" s="464"/>
      <c r="AE2475" s="465"/>
    </row>
    <row r="2476" spans="27:31" ht="14.4">
      <c r="AA2476" s="463"/>
      <c r="AB2476" s="462"/>
      <c r="AC2476" s="462"/>
      <c r="AD2476" s="464"/>
      <c r="AE2476" s="465"/>
    </row>
    <row r="2477" spans="27:31" ht="14.4">
      <c r="AA2477" s="463"/>
      <c r="AB2477" s="462"/>
      <c r="AC2477" s="462"/>
      <c r="AD2477" s="464"/>
      <c r="AE2477" s="465"/>
    </row>
    <row r="2478" spans="27:31" ht="14.4">
      <c r="AA2478" s="463"/>
      <c r="AB2478" s="462"/>
      <c r="AC2478" s="462"/>
      <c r="AD2478" s="464"/>
      <c r="AE2478" s="465"/>
    </row>
    <row r="2479" spans="27:31" ht="14.4">
      <c r="AA2479" s="463"/>
      <c r="AB2479" s="462"/>
      <c r="AC2479" s="462"/>
      <c r="AD2479" s="464"/>
      <c r="AE2479" s="465"/>
    </row>
    <row r="2480" spans="27:31" ht="14.4">
      <c r="AA2480" s="463"/>
      <c r="AB2480" s="462"/>
      <c r="AC2480" s="462"/>
      <c r="AD2480" s="464"/>
      <c r="AE2480" s="465"/>
    </row>
    <row r="2481" spans="27:31" ht="14.4">
      <c r="AA2481" s="463"/>
      <c r="AB2481" s="462"/>
      <c r="AC2481" s="462"/>
      <c r="AD2481" s="464"/>
      <c r="AE2481" s="465"/>
    </row>
    <row r="2482" spans="27:31" ht="14.4">
      <c r="AA2482" s="463"/>
      <c r="AB2482" s="462"/>
      <c r="AC2482" s="462"/>
      <c r="AD2482" s="464"/>
      <c r="AE2482" s="465"/>
    </row>
    <row r="2483" spans="27:31" ht="14.4">
      <c r="AA2483" s="463"/>
      <c r="AB2483" s="462"/>
      <c r="AC2483" s="462"/>
      <c r="AD2483" s="464"/>
      <c r="AE2483" s="465"/>
    </row>
    <row r="2484" spans="27:31" ht="14.4">
      <c r="AA2484" s="463"/>
      <c r="AB2484" s="462"/>
      <c r="AC2484" s="462"/>
      <c r="AD2484" s="464"/>
      <c r="AE2484" s="465"/>
    </row>
    <row r="2485" spans="27:31" ht="14.4">
      <c r="AA2485" s="463"/>
      <c r="AB2485" s="462"/>
      <c r="AC2485" s="462"/>
      <c r="AD2485" s="464"/>
      <c r="AE2485" s="465"/>
    </row>
    <row r="2486" spans="27:31" ht="14.4">
      <c r="AA2486" s="463"/>
      <c r="AB2486" s="462"/>
      <c r="AC2486" s="462"/>
      <c r="AD2486" s="464"/>
      <c r="AE2486" s="465"/>
    </row>
    <row r="2487" spans="27:31" ht="14.4">
      <c r="AA2487" s="463"/>
      <c r="AB2487" s="462"/>
      <c r="AC2487" s="462"/>
      <c r="AD2487" s="464"/>
      <c r="AE2487" s="465"/>
    </row>
    <row r="2488" spans="27:31" ht="14.4">
      <c r="AA2488" s="463"/>
      <c r="AB2488" s="462"/>
      <c r="AC2488" s="462"/>
      <c r="AD2488" s="464"/>
      <c r="AE2488" s="465"/>
    </row>
    <row r="2489" spans="27:31" ht="14.4">
      <c r="AA2489" s="463"/>
      <c r="AB2489" s="462"/>
      <c r="AC2489" s="462"/>
      <c r="AD2489" s="464"/>
      <c r="AE2489" s="465"/>
    </row>
    <row r="2490" spans="27:31" ht="14.4">
      <c r="AA2490" s="463"/>
      <c r="AB2490" s="462"/>
      <c r="AC2490" s="462"/>
      <c r="AD2490" s="464"/>
      <c r="AE2490" s="465"/>
    </row>
    <row r="2491" spans="27:31" ht="14.4">
      <c r="AA2491" s="463"/>
      <c r="AB2491" s="462"/>
      <c r="AC2491" s="462"/>
      <c r="AD2491" s="464"/>
      <c r="AE2491" s="465"/>
    </row>
    <row r="2492" spans="27:31" ht="14.4">
      <c r="AA2492" s="463"/>
      <c r="AB2492" s="462"/>
      <c r="AC2492" s="462"/>
      <c r="AD2492" s="464"/>
      <c r="AE2492" s="465"/>
    </row>
    <row r="2493" spans="27:31" ht="14.4">
      <c r="AA2493" s="463"/>
      <c r="AB2493" s="462"/>
      <c r="AC2493" s="462"/>
      <c r="AD2493" s="464"/>
      <c r="AE2493" s="465"/>
    </row>
    <row r="2494" spans="27:31" ht="14.4">
      <c r="AA2494" s="463"/>
      <c r="AB2494" s="462"/>
      <c r="AC2494" s="462"/>
      <c r="AD2494" s="464"/>
      <c r="AE2494" s="465"/>
    </row>
    <row r="2495" spans="27:31" ht="14.4">
      <c r="AA2495" s="463"/>
      <c r="AB2495" s="462"/>
      <c r="AC2495" s="462"/>
      <c r="AD2495" s="464"/>
      <c r="AE2495" s="465"/>
    </row>
    <row r="2496" spans="27:31" ht="14.4">
      <c r="AA2496" s="463"/>
      <c r="AB2496" s="462"/>
      <c r="AC2496" s="462"/>
      <c r="AD2496" s="464"/>
      <c r="AE2496" s="465"/>
    </row>
    <row r="2497" spans="27:31" ht="14.4">
      <c r="AA2497" s="463"/>
      <c r="AB2497" s="462"/>
      <c r="AC2497" s="462"/>
      <c r="AD2497" s="464"/>
      <c r="AE2497" s="465"/>
    </row>
    <row r="2498" spans="27:31" ht="14.4">
      <c r="AA2498" s="463"/>
      <c r="AB2498" s="462"/>
      <c r="AC2498" s="462"/>
      <c r="AD2498" s="464"/>
      <c r="AE2498" s="465"/>
    </row>
    <row r="2499" spans="27:31" ht="14.4">
      <c r="AA2499" s="463"/>
      <c r="AB2499" s="462"/>
      <c r="AC2499" s="462"/>
      <c r="AD2499" s="464"/>
      <c r="AE2499" s="465"/>
    </row>
    <row r="2500" spans="27:31" ht="14.4">
      <c r="AA2500" s="463"/>
      <c r="AB2500" s="462"/>
      <c r="AC2500" s="462"/>
      <c r="AD2500" s="464"/>
      <c r="AE2500" s="465"/>
    </row>
    <row r="2501" spans="27:31" ht="14.4">
      <c r="AA2501" s="463"/>
      <c r="AB2501" s="462"/>
      <c r="AC2501" s="462"/>
      <c r="AD2501" s="464"/>
      <c r="AE2501" s="465"/>
    </row>
    <row r="2502" spans="27:31" ht="14.4">
      <c r="AA2502" s="463"/>
      <c r="AB2502" s="462"/>
      <c r="AC2502" s="462"/>
      <c r="AD2502" s="464"/>
      <c r="AE2502" s="465"/>
    </row>
    <row r="2503" spans="27:31" ht="14.4">
      <c r="AA2503" s="463"/>
      <c r="AB2503" s="462"/>
      <c r="AC2503" s="462"/>
      <c r="AD2503" s="464"/>
      <c r="AE2503" s="465"/>
    </row>
    <row r="2504" spans="27:31" ht="14.4">
      <c r="AA2504" s="463"/>
      <c r="AB2504" s="462"/>
      <c r="AC2504" s="462"/>
      <c r="AD2504" s="464"/>
      <c r="AE2504" s="465"/>
    </row>
    <row r="2505" spans="27:31" ht="14.4">
      <c r="AA2505" s="463"/>
      <c r="AB2505" s="462"/>
      <c r="AC2505" s="462"/>
      <c r="AD2505" s="464"/>
      <c r="AE2505" s="465"/>
    </row>
    <row r="2506" spans="27:31" ht="14.4">
      <c r="AA2506" s="463"/>
      <c r="AB2506" s="462"/>
      <c r="AC2506" s="462"/>
      <c r="AD2506" s="464"/>
      <c r="AE2506" s="465"/>
    </row>
    <row r="2507" spans="27:31" ht="14.4">
      <c r="AA2507" s="463"/>
      <c r="AB2507" s="462"/>
      <c r="AC2507" s="462"/>
      <c r="AD2507" s="464"/>
      <c r="AE2507" s="465"/>
    </row>
    <row r="2508" spans="27:31" ht="14.4">
      <c r="AA2508" s="463"/>
      <c r="AB2508" s="462"/>
      <c r="AC2508" s="462"/>
      <c r="AD2508" s="464"/>
      <c r="AE2508" s="465"/>
    </row>
    <row r="2509" spans="27:31" ht="14.4">
      <c r="AA2509" s="463"/>
      <c r="AB2509" s="462"/>
      <c r="AC2509" s="462"/>
      <c r="AD2509" s="464"/>
      <c r="AE2509" s="465"/>
    </row>
    <row r="2510" spans="27:31" ht="14.4">
      <c r="AA2510" s="463"/>
      <c r="AB2510" s="462"/>
      <c r="AC2510" s="462"/>
      <c r="AD2510" s="464"/>
      <c r="AE2510" s="465"/>
    </row>
    <row r="2511" spans="27:31" ht="14.4">
      <c r="AA2511" s="463"/>
      <c r="AB2511" s="462"/>
      <c r="AC2511" s="462"/>
      <c r="AD2511" s="464"/>
      <c r="AE2511" s="465"/>
    </row>
    <row r="2512" spans="27:31" ht="14.4">
      <c r="AA2512" s="463"/>
      <c r="AB2512" s="462"/>
      <c r="AC2512" s="462"/>
      <c r="AD2512" s="464"/>
      <c r="AE2512" s="465"/>
    </row>
    <row r="2513" spans="27:31" ht="14.4">
      <c r="AA2513" s="463"/>
      <c r="AB2513" s="462"/>
      <c r="AC2513" s="462"/>
      <c r="AD2513" s="464"/>
      <c r="AE2513" s="465"/>
    </row>
    <row r="2514" spans="27:31" ht="14.4">
      <c r="AA2514" s="463"/>
      <c r="AB2514" s="462"/>
      <c r="AC2514" s="462"/>
      <c r="AD2514" s="464"/>
      <c r="AE2514" s="465"/>
    </row>
    <row r="2515" spans="27:31" ht="14.4">
      <c r="AA2515" s="463"/>
      <c r="AB2515" s="462"/>
      <c r="AC2515" s="462"/>
      <c r="AD2515" s="464"/>
      <c r="AE2515" s="465"/>
    </row>
    <row r="2516" spans="27:31" ht="14.4">
      <c r="AA2516" s="463"/>
      <c r="AB2516" s="462"/>
      <c r="AC2516" s="462"/>
      <c r="AD2516" s="464"/>
      <c r="AE2516" s="465"/>
    </row>
    <row r="2517" spans="27:31" ht="14.4">
      <c r="AA2517" s="463"/>
      <c r="AB2517" s="462"/>
      <c r="AC2517" s="462"/>
      <c r="AD2517" s="464"/>
      <c r="AE2517" s="465"/>
    </row>
    <row r="2518" spans="27:31" ht="14.4">
      <c r="AA2518" s="463"/>
      <c r="AB2518" s="462"/>
      <c r="AC2518" s="462"/>
      <c r="AD2518" s="464"/>
      <c r="AE2518" s="465"/>
    </row>
    <row r="2519" spans="27:31" ht="14.4">
      <c r="AA2519" s="463"/>
      <c r="AB2519" s="462"/>
      <c r="AC2519" s="462"/>
      <c r="AD2519" s="464"/>
      <c r="AE2519" s="465"/>
    </row>
    <row r="2520" spans="27:31" ht="14.4">
      <c r="AA2520" s="463"/>
      <c r="AB2520" s="462"/>
      <c r="AC2520" s="462"/>
      <c r="AD2520" s="464"/>
      <c r="AE2520" s="465"/>
    </row>
    <row r="2521" spans="27:31" ht="14.4">
      <c r="AA2521" s="463"/>
      <c r="AB2521" s="462"/>
      <c r="AC2521" s="462"/>
      <c r="AD2521" s="464"/>
      <c r="AE2521" s="465"/>
    </row>
    <row r="2522" spans="27:31" ht="14.4">
      <c r="AA2522" s="463"/>
      <c r="AB2522" s="462"/>
      <c r="AC2522" s="462"/>
      <c r="AD2522" s="464"/>
      <c r="AE2522" s="465"/>
    </row>
    <row r="2523" spans="27:31" ht="14.4">
      <c r="AA2523" s="463"/>
      <c r="AB2523" s="462"/>
      <c r="AC2523" s="462"/>
      <c r="AD2523" s="464"/>
      <c r="AE2523" s="465"/>
    </row>
    <row r="2524" spans="27:31" ht="14.4">
      <c r="AA2524" s="463"/>
      <c r="AB2524" s="462"/>
      <c r="AC2524" s="462"/>
      <c r="AD2524" s="464"/>
      <c r="AE2524" s="465"/>
    </row>
    <row r="2525" spans="27:31" ht="14.4">
      <c r="AA2525" s="463"/>
      <c r="AB2525" s="462"/>
      <c r="AC2525" s="462"/>
      <c r="AD2525" s="464"/>
      <c r="AE2525" s="465"/>
    </row>
    <row r="2526" spans="27:31" ht="14.4">
      <c r="AA2526" s="463"/>
      <c r="AB2526" s="462"/>
      <c r="AC2526" s="462"/>
      <c r="AD2526" s="464"/>
      <c r="AE2526" s="465"/>
    </row>
    <row r="2527" spans="27:31" ht="14.4">
      <c r="AA2527" s="463"/>
      <c r="AB2527" s="462"/>
      <c r="AC2527" s="462"/>
      <c r="AD2527" s="464"/>
      <c r="AE2527" s="465"/>
    </row>
    <row r="2528" spans="27:31" ht="14.4">
      <c r="AA2528" s="463"/>
      <c r="AB2528" s="462"/>
      <c r="AC2528" s="462"/>
      <c r="AD2528" s="464"/>
      <c r="AE2528" s="465"/>
    </row>
    <row r="2529" spans="27:31" ht="14.4">
      <c r="AA2529" s="463"/>
      <c r="AB2529" s="462"/>
      <c r="AC2529" s="462"/>
      <c r="AD2529" s="464"/>
      <c r="AE2529" s="465"/>
    </row>
    <row r="2530" spans="27:31" ht="14.4">
      <c r="AA2530" s="463"/>
      <c r="AB2530" s="462"/>
      <c r="AC2530" s="462"/>
      <c r="AD2530" s="464"/>
      <c r="AE2530" s="465"/>
    </row>
    <row r="2531" spans="27:31" ht="14.4">
      <c r="AA2531" s="463"/>
      <c r="AB2531" s="462"/>
      <c r="AC2531" s="462"/>
      <c r="AD2531" s="464"/>
      <c r="AE2531" s="465"/>
    </row>
    <row r="2532" spans="27:31" ht="14.4">
      <c r="AA2532" s="463"/>
      <c r="AB2532" s="462"/>
      <c r="AC2532" s="462"/>
      <c r="AD2532" s="464"/>
      <c r="AE2532" s="465"/>
    </row>
    <row r="2533" spans="27:31" ht="14.4">
      <c r="AA2533" s="463"/>
      <c r="AB2533" s="462"/>
      <c r="AC2533" s="462"/>
      <c r="AD2533" s="464"/>
      <c r="AE2533" s="465"/>
    </row>
    <row r="2534" spans="27:31" ht="14.4">
      <c r="AA2534" s="463"/>
      <c r="AB2534" s="462"/>
      <c r="AC2534" s="462"/>
      <c r="AD2534" s="464"/>
      <c r="AE2534" s="465"/>
    </row>
    <row r="2535" spans="27:31" ht="14.4">
      <c r="AA2535" s="463"/>
      <c r="AB2535" s="462"/>
      <c r="AC2535" s="462"/>
      <c r="AD2535" s="464"/>
      <c r="AE2535" s="465"/>
    </row>
    <row r="2536" spans="27:31" ht="14.4">
      <c r="AA2536" s="463"/>
      <c r="AB2536" s="462"/>
      <c r="AC2536" s="462"/>
      <c r="AD2536" s="464"/>
      <c r="AE2536" s="465"/>
    </row>
    <row r="2537" spans="27:31" ht="14.4">
      <c r="AA2537" s="463"/>
      <c r="AB2537" s="462"/>
      <c r="AC2537" s="462"/>
      <c r="AD2537" s="464"/>
      <c r="AE2537" s="465"/>
    </row>
    <row r="2538" spans="27:31" ht="14.4">
      <c r="AA2538" s="463"/>
      <c r="AB2538" s="462"/>
      <c r="AC2538" s="462"/>
      <c r="AD2538" s="464"/>
      <c r="AE2538" s="465"/>
    </row>
    <row r="2539" spans="27:31" ht="14.4">
      <c r="AA2539" s="463"/>
      <c r="AB2539" s="462"/>
      <c r="AC2539" s="462"/>
      <c r="AD2539" s="464"/>
      <c r="AE2539" s="465"/>
    </row>
    <row r="2540" spans="27:31" ht="14.4">
      <c r="AA2540" s="463"/>
      <c r="AB2540" s="462"/>
      <c r="AC2540" s="462"/>
      <c r="AD2540" s="464"/>
      <c r="AE2540" s="465"/>
    </row>
    <row r="2541" spans="27:31" ht="14.4">
      <c r="AA2541" s="463"/>
      <c r="AB2541" s="462"/>
      <c r="AC2541" s="462"/>
      <c r="AD2541" s="464"/>
      <c r="AE2541" s="465"/>
    </row>
    <row r="2542" spans="27:31" ht="14.4">
      <c r="AA2542" s="463"/>
      <c r="AB2542" s="462"/>
      <c r="AC2542" s="462"/>
      <c r="AD2542" s="464"/>
      <c r="AE2542" s="465"/>
    </row>
    <row r="2543" spans="27:31" ht="14.4">
      <c r="AA2543" s="463"/>
      <c r="AB2543" s="462"/>
      <c r="AC2543" s="462"/>
      <c r="AD2543" s="464"/>
      <c r="AE2543" s="465"/>
    </row>
    <row r="2544" spans="27:31" ht="14.4">
      <c r="AA2544" s="463"/>
      <c r="AB2544" s="462"/>
      <c r="AC2544" s="462"/>
      <c r="AD2544" s="464"/>
      <c r="AE2544" s="465"/>
    </row>
    <row r="2545" spans="27:31" ht="14.4">
      <c r="AA2545" s="463"/>
      <c r="AB2545" s="462"/>
      <c r="AC2545" s="462"/>
      <c r="AD2545" s="464"/>
      <c r="AE2545" s="465"/>
    </row>
    <row r="2546" spans="27:31" ht="14.4">
      <c r="AA2546" s="463"/>
      <c r="AB2546" s="462"/>
      <c r="AC2546" s="462"/>
      <c r="AD2546" s="464"/>
      <c r="AE2546" s="465"/>
    </row>
    <row r="2547" spans="27:31" ht="14.4">
      <c r="AA2547" s="463"/>
      <c r="AB2547" s="462"/>
      <c r="AC2547" s="462"/>
      <c r="AD2547" s="464"/>
      <c r="AE2547" s="465"/>
    </row>
    <row r="2548" spans="27:31" ht="14.4">
      <c r="AA2548" s="463"/>
      <c r="AB2548" s="462"/>
      <c r="AC2548" s="462"/>
      <c r="AD2548" s="464"/>
      <c r="AE2548" s="465"/>
    </row>
    <row r="2549" spans="27:31" ht="14.4">
      <c r="AA2549" s="463"/>
      <c r="AB2549" s="462"/>
      <c r="AC2549" s="462"/>
      <c r="AD2549" s="464"/>
      <c r="AE2549" s="465"/>
    </row>
    <row r="2550" spans="27:31" ht="14.4">
      <c r="AA2550" s="463"/>
      <c r="AB2550" s="462"/>
      <c r="AC2550" s="462"/>
      <c r="AD2550" s="464"/>
      <c r="AE2550" s="465"/>
    </row>
    <row r="2551" spans="27:31" ht="14.4">
      <c r="AA2551" s="463"/>
      <c r="AB2551" s="462"/>
      <c r="AC2551" s="462"/>
      <c r="AD2551" s="464"/>
      <c r="AE2551" s="465"/>
    </row>
    <row r="2552" spans="27:31" ht="14.4">
      <c r="AA2552" s="463"/>
      <c r="AB2552" s="462"/>
      <c r="AC2552" s="462"/>
      <c r="AD2552" s="464"/>
      <c r="AE2552" s="465"/>
    </row>
    <row r="2553" spans="27:31" ht="14.4">
      <c r="AA2553" s="463"/>
      <c r="AB2553" s="462"/>
      <c r="AC2553" s="462"/>
      <c r="AD2553" s="464"/>
      <c r="AE2553" s="465"/>
    </row>
    <row r="2554" spans="27:31" ht="14.4">
      <c r="AA2554" s="463"/>
      <c r="AB2554" s="462"/>
      <c r="AC2554" s="462"/>
      <c r="AD2554" s="464"/>
      <c r="AE2554" s="465"/>
    </row>
    <row r="2555" spans="27:31" ht="14.4">
      <c r="AA2555" s="463"/>
      <c r="AB2555" s="462"/>
      <c r="AC2555" s="462"/>
      <c r="AD2555" s="464"/>
      <c r="AE2555" s="465"/>
    </row>
    <row r="2556" spans="27:31" ht="14.4">
      <c r="AA2556" s="463"/>
      <c r="AB2556" s="462"/>
      <c r="AC2556" s="462"/>
      <c r="AD2556" s="464"/>
      <c r="AE2556" s="465"/>
    </row>
    <row r="2557" spans="27:31" ht="14.4">
      <c r="AA2557" s="463"/>
      <c r="AB2557" s="462"/>
      <c r="AC2557" s="462"/>
      <c r="AD2557" s="464"/>
      <c r="AE2557" s="465"/>
    </row>
    <row r="2558" spans="27:31" ht="14.4">
      <c r="AA2558" s="463"/>
      <c r="AB2558" s="462"/>
      <c r="AC2558" s="462"/>
      <c r="AD2558" s="464"/>
      <c r="AE2558" s="465"/>
    </row>
    <row r="2559" spans="27:31" ht="14.4">
      <c r="AA2559" s="463"/>
      <c r="AB2559" s="462"/>
      <c r="AC2559" s="462"/>
      <c r="AD2559" s="464"/>
      <c r="AE2559" s="465"/>
    </row>
    <row r="2560" spans="27:31" ht="14.4">
      <c r="AA2560" s="463"/>
      <c r="AB2560" s="462"/>
      <c r="AC2560" s="462"/>
      <c r="AD2560" s="464"/>
      <c r="AE2560" s="465"/>
    </row>
    <row r="2561" spans="27:31" ht="14.4">
      <c r="AA2561" s="463"/>
      <c r="AB2561" s="462"/>
      <c r="AC2561" s="462"/>
      <c r="AD2561" s="464"/>
      <c r="AE2561" s="465"/>
    </row>
    <row r="2562" spans="27:31" ht="14.4">
      <c r="AA2562" s="463"/>
      <c r="AB2562" s="462"/>
      <c r="AC2562" s="462"/>
      <c r="AD2562" s="464"/>
      <c r="AE2562" s="465"/>
    </row>
    <row r="2563" spans="27:31" ht="14.4">
      <c r="AA2563" s="463"/>
      <c r="AB2563" s="462"/>
      <c r="AC2563" s="462"/>
      <c r="AD2563" s="464"/>
      <c r="AE2563" s="465"/>
    </row>
    <row r="2564" spans="27:31" ht="14.4">
      <c r="AA2564" s="463"/>
      <c r="AB2564" s="462"/>
      <c r="AC2564" s="462"/>
      <c r="AD2564" s="464"/>
      <c r="AE2564" s="465"/>
    </row>
    <row r="2565" spans="27:31" ht="14.4">
      <c r="AA2565" s="463"/>
      <c r="AB2565" s="462"/>
      <c r="AC2565" s="462"/>
      <c r="AD2565" s="464"/>
      <c r="AE2565" s="465"/>
    </row>
    <row r="2566" spans="27:31" ht="14.4">
      <c r="AA2566" s="463"/>
      <c r="AB2566" s="462"/>
      <c r="AC2566" s="462"/>
      <c r="AD2566" s="464"/>
      <c r="AE2566" s="465"/>
    </row>
    <row r="2567" spans="27:31" ht="14.4">
      <c r="AA2567" s="463"/>
      <c r="AB2567" s="462"/>
      <c r="AC2567" s="462"/>
      <c r="AD2567" s="464"/>
      <c r="AE2567" s="465"/>
    </row>
    <row r="2568" spans="27:31" ht="14.4">
      <c r="AA2568" s="463"/>
      <c r="AB2568" s="462"/>
      <c r="AC2568" s="462"/>
      <c r="AD2568" s="464"/>
      <c r="AE2568" s="465"/>
    </row>
    <row r="2569" spans="27:31" ht="14.4">
      <c r="AA2569" s="463"/>
      <c r="AB2569" s="462"/>
      <c r="AC2569" s="462"/>
      <c r="AD2569" s="464"/>
      <c r="AE2569" s="465"/>
    </row>
    <row r="2570" spans="27:31" ht="14.4">
      <c r="AA2570" s="463"/>
      <c r="AB2570" s="462"/>
      <c r="AC2570" s="462"/>
      <c r="AD2570" s="464"/>
      <c r="AE2570" s="465"/>
    </row>
    <row r="2571" spans="27:31" ht="14.4">
      <c r="AA2571" s="463"/>
      <c r="AB2571" s="462"/>
      <c r="AC2571" s="462"/>
      <c r="AD2571" s="464"/>
      <c r="AE2571" s="465"/>
    </row>
    <row r="2572" spans="27:31" ht="14.4">
      <c r="AA2572" s="463"/>
      <c r="AB2572" s="462"/>
      <c r="AC2572" s="462"/>
      <c r="AD2572" s="464"/>
      <c r="AE2572" s="465"/>
    </row>
    <row r="2573" spans="27:31" ht="14.4">
      <c r="AA2573" s="463"/>
      <c r="AB2573" s="462"/>
      <c r="AC2573" s="462"/>
      <c r="AD2573" s="464"/>
      <c r="AE2573" s="465"/>
    </row>
    <row r="2574" spans="27:31" ht="14.4">
      <c r="AA2574" s="463"/>
      <c r="AB2574" s="462"/>
      <c r="AC2574" s="462"/>
      <c r="AD2574" s="464"/>
      <c r="AE2574" s="465"/>
    </row>
    <row r="2575" spans="27:31" ht="14.4">
      <c r="AA2575" s="463"/>
      <c r="AB2575" s="462"/>
      <c r="AC2575" s="462"/>
      <c r="AD2575" s="464"/>
      <c r="AE2575" s="465"/>
    </row>
    <row r="2576" spans="27:31" ht="14.4">
      <c r="AA2576" s="463"/>
      <c r="AB2576" s="462"/>
      <c r="AC2576" s="462"/>
      <c r="AD2576" s="464"/>
      <c r="AE2576" s="465"/>
    </row>
    <row r="2577" spans="27:31" ht="14.4">
      <c r="AA2577" s="463"/>
      <c r="AB2577" s="462"/>
      <c r="AC2577" s="462"/>
      <c r="AD2577" s="464"/>
      <c r="AE2577" s="465"/>
    </row>
    <row r="2578" spans="27:31" ht="14.4">
      <c r="AA2578" s="463"/>
      <c r="AB2578" s="462"/>
      <c r="AC2578" s="462"/>
      <c r="AD2578" s="464"/>
      <c r="AE2578" s="465"/>
    </row>
    <row r="2579" spans="27:31" ht="14.4">
      <c r="AA2579" s="463"/>
      <c r="AB2579" s="462"/>
      <c r="AC2579" s="462"/>
      <c r="AD2579" s="464"/>
      <c r="AE2579" s="465"/>
    </row>
    <row r="2580" spans="27:31" ht="14.4">
      <c r="AA2580" s="463"/>
      <c r="AB2580" s="462"/>
      <c r="AC2580" s="462"/>
      <c r="AD2580" s="464"/>
      <c r="AE2580" s="465"/>
    </row>
    <row r="2581" spans="27:31" ht="14.4">
      <c r="AA2581" s="463"/>
      <c r="AB2581" s="462"/>
      <c r="AC2581" s="462"/>
      <c r="AD2581" s="464"/>
      <c r="AE2581" s="465"/>
    </row>
    <row r="2582" spans="27:31" ht="14.4">
      <c r="AA2582" s="463"/>
      <c r="AB2582" s="462"/>
      <c r="AC2582" s="462"/>
      <c r="AD2582" s="464"/>
      <c r="AE2582" s="465"/>
    </row>
    <row r="2583" spans="27:31" ht="14.4">
      <c r="AA2583" s="463"/>
      <c r="AB2583" s="462"/>
      <c r="AC2583" s="462"/>
      <c r="AD2583" s="464"/>
      <c r="AE2583" s="465"/>
    </row>
    <row r="2584" spans="27:31" ht="14.4">
      <c r="AA2584" s="463"/>
      <c r="AB2584" s="462"/>
      <c r="AC2584" s="462"/>
      <c r="AD2584" s="464"/>
      <c r="AE2584" s="465"/>
    </row>
    <row r="2585" spans="27:31" ht="14.4">
      <c r="AA2585" s="463"/>
      <c r="AB2585" s="462"/>
      <c r="AC2585" s="462"/>
      <c r="AD2585" s="464"/>
      <c r="AE2585" s="465"/>
    </row>
    <row r="2586" spans="27:31" ht="14.4">
      <c r="AA2586" s="463"/>
      <c r="AB2586" s="462"/>
      <c r="AC2586" s="462"/>
      <c r="AD2586" s="464"/>
      <c r="AE2586" s="465"/>
    </row>
    <row r="2587" spans="27:31" ht="14.4">
      <c r="AA2587" s="463"/>
      <c r="AB2587" s="462"/>
      <c r="AC2587" s="462"/>
      <c r="AD2587" s="464"/>
      <c r="AE2587" s="465"/>
    </row>
    <row r="2588" spans="27:31" ht="14.4">
      <c r="AA2588" s="463"/>
      <c r="AB2588" s="462"/>
      <c r="AC2588" s="462"/>
      <c r="AD2588" s="464"/>
      <c r="AE2588" s="465"/>
    </row>
    <row r="2589" spans="27:31" ht="14.4">
      <c r="AA2589" s="463"/>
      <c r="AB2589" s="462"/>
      <c r="AC2589" s="462"/>
      <c r="AD2589" s="464"/>
      <c r="AE2589" s="465"/>
    </row>
    <row r="2590" spans="27:31" ht="14.4">
      <c r="AA2590" s="463"/>
      <c r="AB2590" s="462"/>
      <c r="AC2590" s="462"/>
      <c r="AD2590" s="464"/>
      <c r="AE2590" s="465"/>
    </row>
    <row r="2591" spans="27:31" ht="14.4">
      <c r="AA2591" s="463"/>
      <c r="AB2591" s="462"/>
      <c r="AC2591" s="462"/>
      <c r="AD2591" s="464"/>
      <c r="AE2591" s="465"/>
    </row>
    <row r="2592" spans="27:31" ht="14.4">
      <c r="AA2592" s="463"/>
      <c r="AB2592" s="462"/>
      <c r="AC2592" s="462"/>
      <c r="AD2592" s="464"/>
      <c r="AE2592" s="465"/>
    </row>
    <row r="2593" spans="27:31" ht="14.4">
      <c r="AA2593" s="463"/>
      <c r="AB2593" s="462"/>
      <c r="AC2593" s="462"/>
      <c r="AD2593" s="464"/>
      <c r="AE2593" s="465"/>
    </row>
    <row r="2594" spans="27:31" ht="14.4">
      <c r="AA2594" s="463"/>
      <c r="AB2594" s="462"/>
      <c r="AC2594" s="462"/>
      <c r="AD2594" s="464"/>
      <c r="AE2594" s="465"/>
    </row>
    <row r="2595" spans="27:31" ht="14.4">
      <c r="AA2595" s="463"/>
      <c r="AB2595" s="462"/>
      <c r="AC2595" s="462"/>
      <c r="AD2595" s="464"/>
      <c r="AE2595" s="465"/>
    </row>
    <row r="2596" spans="27:31" ht="14.4">
      <c r="AA2596" s="463"/>
      <c r="AB2596" s="462"/>
      <c r="AC2596" s="462"/>
      <c r="AD2596" s="464"/>
      <c r="AE2596" s="465"/>
    </row>
    <row r="2597" spans="27:31" ht="14.4">
      <c r="AA2597" s="463"/>
      <c r="AB2597" s="462"/>
      <c r="AC2597" s="462"/>
      <c r="AD2597" s="464"/>
      <c r="AE2597" s="465"/>
    </row>
    <row r="2598" spans="27:31" ht="14.4">
      <c r="AA2598" s="463"/>
      <c r="AB2598" s="462"/>
      <c r="AC2598" s="462"/>
      <c r="AD2598" s="464"/>
      <c r="AE2598" s="465"/>
    </row>
    <row r="2599" spans="27:31" ht="14.4">
      <c r="AA2599" s="463"/>
      <c r="AB2599" s="462"/>
      <c r="AC2599" s="462"/>
      <c r="AD2599" s="464"/>
      <c r="AE2599" s="465"/>
    </row>
    <row r="2600" spans="27:31" ht="14.4">
      <c r="AA2600" s="463"/>
      <c r="AB2600" s="462"/>
      <c r="AC2600" s="462"/>
      <c r="AD2600" s="464"/>
      <c r="AE2600" s="465"/>
    </row>
    <row r="2601" spans="27:31" ht="14.4">
      <c r="AA2601" s="463"/>
      <c r="AB2601" s="462"/>
      <c r="AC2601" s="462"/>
      <c r="AD2601" s="464"/>
      <c r="AE2601" s="465"/>
    </row>
    <row r="2602" spans="27:31" ht="14.4">
      <c r="AA2602" s="463"/>
      <c r="AB2602" s="462"/>
      <c r="AC2602" s="462"/>
      <c r="AD2602" s="464"/>
      <c r="AE2602" s="465"/>
    </row>
    <row r="2603" spans="27:31" ht="14.4">
      <c r="AA2603" s="463"/>
      <c r="AB2603" s="462"/>
      <c r="AC2603" s="462"/>
      <c r="AD2603" s="464"/>
      <c r="AE2603" s="465"/>
    </row>
    <row r="2604" spans="27:31" ht="14.4">
      <c r="AA2604" s="463"/>
      <c r="AB2604" s="462"/>
      <c r="AC2604" s="462"/>
      <c r="AD2604" s="464"/>
      <c r="AE2604" s="465"/>
    </row>
    <row r="2605" spans="27:31" ht="14.4">
      <c r="AA2605" s="463"/>
      <c r="AB2605" s="462"/>
      <c r="AC2605" s="462"/>
      <c r="AD2605" s="464"/>
      <c r="AE2605" s="465"/>
    </row>
    <row r="2606" spans="27:31" ht="14.4">
      <c r="AA2606" s="463"/>
      <c r="AB2606" s="462"/>
      <c r="AC2606" s="462"/>
      <c r="AD2606" s="464"/>
      <c r="AE2606" s="465"/>
    </row>
    <row r="2607" spans="27:31" ht="14.4">
      <c r="AA2607" s="463"/>
      <c r="AB2607" s="462"/>
      <c r="AC2607" s="462"/>
      <c r="AD2607" s="464"/>
      <c r="AE2607" s="465"/>
    </row>
    <row r="2608" spans="27:31" ht="14.4">
      <c r="AA2608" s="463"/>
      <c r="AB2608" s="462"/>
      <c r="AC2608" s="462"/>
      <c r="AD2608" s="464"/>
      <c r="AE2608" s="465"/>
    </row>
    <row r="2609" spans="27:31" ht="14.4">
      <c r="AA2609" s="463"/>
      <c r="AB2609" s="462"/>
      <c r="AC2609" s="462"/>
      <c r="AD2609" s="464"/>
      <c r="AE2609" s="465"/>
    </row>
    <row r="2610" spans="27:31" ht="14.4">
      <c r="AA2610" s="463"/>
      <c r="AB2610" s="462"/>
      <c r="AC2610" s="462"/>
      <c r="AD2610" s="464"/>
      <c r="AE2610" s="465"/>
    </row>
    <row r="2611" spans="27:31" ht="14.4">
      <c r="AA2611" s="463"/>
      <c r="AB2611" s="462"/>
      <c r="AC2611" s="462"/>
      <c r="AD2611" s="464"/>
      <c r="AE2611" s="465"/>
    </row>
    <row r="2612" spans="27:31" ht="14.4">
      <c r="AA2612" s="463"/>
      <c r="AB2612" s="462"/>
      <c r="AC2612" s="462"/>
      <c r="AD2612" s="464"/>
      <c r="AE2612" s="465"/>
    </row>
    <row r="2613" spans="27:31" ht="14.4">
      <c r="AA2613" s="463"/>
      <c r="AB2613" s="462"/>
      <c r="AC2613" s="462"/>
      <c r="AD2613" s="464"/>
      <c r="AE2613" s="465"/>
    </row>
    <row r="2614" spans="27:31" ht="14.4">
      <c r="AA2614" s="463"/>
      <c r="AB2614" s="462"/>
      <c r="AC2614" s="462"/>
      <c r="AD2614" s="464"/>
      <c r="AE2614" s="465"/>
    </row>
    <row r="2615" spans="27:31" ht="14.4">
      <c r="AA2615" s="463"/>
      <c r="AB2615" s="462"/>
      <c r="AC2615" s="462"/>
      <c r="AD2615" s="464"/>
      <c r="AE2615" s="465"/>
    </row>
    <row r="2616" spans="27:31" ht="14.4">
      <c r="AA2616" s="463"/>
      <c r="AB2616" s="462"/>
      <c r="AC2616" s="462"/>
      <c r="AD2616" s="464"/>
      <c r="AE2616" s="465"/>
    </row>
    <row r="2617" spans="27:31" ht="14.4">
      <c r="AA2617" s="463"/>
      <c r="AB2617" s="462"/>
      <c r="AC2617" s="462"/>
      <c r="AD2617" s="464"/>
      <c r="AE2617" s="465"/>
    </row>
    <row r="2618" spans="27:31" ht="14.4">
      <c r="AA2618" s="463"/>
      <c r="AB2618" s="462"/>
      <c r="AC2618" s="462"/>
      <c r="AD2618" s="464"/>
      <c r="AE2618" s="465"/>
    </row>
    <row r="2619" spans="27:31" ht="14.4">
      <c r="AA2619" s="463"/>
      <c r="AB2619" s="462"/>
      <c r="AC2619" s="462"/>
      <c r="AD2619" s="464"/>
      <c r="AE2619" s="465"/>
    </row>
    <row r="2620" spans="27:31" ht="14.4">
      <c r="AA2620" s="463"/>
      <c r="AB2620" s="462"/>
      <c r="AC2620" s="462"/>
      <c r="AD2620" s="464"/>
      <c r="AE2620" s="465"/>
    </row>
    <row r="2621" spans="27:31" ht="14.4">
      <c r="AA2621" s="463"/>
      <c r="AB2621" s="462"/>
      <c r="AC2621" s="462"/>
      <c r="AD2621" s="464"/>
      <c r="AE2621" s="465"/>
    </row>
    <row r="2622" spans="27:31" ht="14.4">
      <c r="AA2622" s="463"/>
      <c r="AB2622" s="462"/>
      <c r="AC2622" s="462"/>
      <c r="AD2622" s="464"/>
      <c r="AE2622" s="465"/>
    </row>
    <row r="2623" spans="27:31" ht="14.4">
      <c r="AA2623" s="463"/>
      <c r="AB2623" s="462"/>
      <c r="AC2623" s="462"/>
      <c r="AD2623" s="464"/>
      <c r="AE2623" s="465"/>
    </row>
    <row r="2624" spans="27:31" ht="14.4">
      <c r="AA2624" s="463"/>
      <c r="AB2624" s="462"/>
      <c r="AC2624" s="462"/>
      <c r="AD2624" s="464"/>
      <c r="AE2624" s="465"/>
    </row>
    <row r="2625" spans="27:31" ht="14.4">
      <c r="AA2625" s="463"/>
      <c r="AB2625" s="462"/>
      <c r="AC2625" s="462"/>
      <c r="AD2625" s="464"/>
      <c r="AE2625" s="465"/>
    </row>
    <row r="2626" spans="27:31" ht="14.4">
      <c r="AA2626" s="463"/>
      <c r="AB2626" s="462"/>
      <c r="AC2626" s="462"/>
      <c r="AD2626" s="464"/>
      <c r="AE2626" s="465"/>
    </row>
    <row r="2627" spans="27:31" ht="14.4">
      <c r="AA2627" s="463"/>
      <c r="AB2627" s="462"/>
      <c r="AC2627" s="462"/>
      <c r="AD2627" s="464"/>
      <c r="AE2627" s="465"/>
    </row>
    <row r="2628" spans="27:31" ht="14.4">
      <c r="AA2628" s="463"/>
      <c r="AB2628" s="462"/>
      <c r="AC2628" s="462"/>
      <c r="AD2628" s="464"/>
      <c r="AE2628" s="465"/>
    </row>
    <row r="2629" spans="27:31" ht="14.4">
      <c r="AA2629" s="463"/>
      <c r="AB2629" s="462"/>
      <c r="AC2629" s="462"/>
      <c r="AD2629" s="464"/>
      <c r="AE2629" s="465"/>
    </row>
    <row r="2630" spans="27:31" ht="14.4">
      <c r="AA2630" s="463"/>
      <c r="AB2630" s="462"/>
      <c r="AC2630" s="462"/>
      <c r="AD2630" s="464"/>
      <c r="AE2630" s="465"/>
    </row>
    <row r="2631" spans="27:31" ht="14.4">
      <c r="AA2631" s="463"/>
      <c r="AB2631" s="462"/>
      <c r="AC2631" s="462"/>
      <c r="AD2631" s="464"/>
      <c r="AE2631" s="465"/>
    </row>
    <row r="2632" spans="27:31" ht="14.4">
      <c r="AA2632" s="463"/>
      <c r="AB2632" s="462"/>
      <c r="AC2632" s="462"/>
      <c r="AD2632" s="464"/>
      <c r="AE2632" s="465"/>
    </row>
    <row r="2633" spans="27:31" ht="14.4">
      <c r="AA2633" s="463"/>
      <c r="AB2633" s="462"/>
      <c r="AC2633" s="462"/>
      <c r="AD2633" s="464"/>
      <c r="AE2633" s="465"/>
    </row>
    <row r="2634" spans="27:31" ht="14.4">
      <c r="AA2634" s="463"/>
      <c r="AB2634" s="462"/>
      <c r="AC2634" s="462"/>
      <c r="AD2634" s="464"/>
      <c r="AE2634" s="465"/>
    </row>
    <row r="2635" spans="27:31" ht="14.4">
      <c r="AA2635" s="463"/>
      <c r="AB2635" s="462"/>
      <c r="AC2635" s="462"/>
      <c r="AD2635" s="464"/>
      <c r="AE2635" s="465"/>
    </row>
    <row r="2636" spans="27:31" ht="14.4">
      <c r="AA2636" s="463"/>
      <c r="AB2636" s="462"/>
      <c r="AC2636" s="462"/>
      <c r="AD2636" s="464"/>
      <c r="AE2636" s="465"/>
    </row>
    <row r="2637" spans="27:31" ht="14.4">
      <c r="AA2637" s="463"/>
      <c r="AB2637" s="462"/>
      <c r="AC2637" s="462"/>
      <c r="AD2637" s="464"/>
      <c r="AE2637" s="465"/>
    </row>
    <row r="2638" spans="27:31" ht="14.4">
      <c r="AA2638" s="463"/>
      <c r="AB2638" s="462"/>
      <c r="AC2638" s="462"/>
      <c r="AD2638" s="464"/>
      <c r="AE2638" s="465"/>
    </row>
    <row r="2639" spans="27:31" ht="14.4">
      <c r="AA2639" s="463"/>
      <c r="AB2639" s="462"/>
      <c r="AC2639" s="462"/>
      <c r="AD2639" s="464"/>
      <c r="AE2639" s="465"/>
    </row>
    <row r="2640" spans="27:31" ht="14.4">
      <c r="AA2640" s="463"/>
      <c r="AB2640" s="462"/>
      <c r="AC2640" s="462"/>
      <c r="AD2640" s="464"/>
      <c r="AE2640" s="465"/>
    </row>
    <row r="2641" spans="27:31" ht="14.4">
      <c r="AA2641" s="463"/>
      <c r="AB2641" s="462"/>
      <c r="AC2641" s="462"/>
      <c r="AD2641" s="464"/>
      <c r="AE2641" s="465"/>
    </row>
    <row r="2642" spans="27:31" ht="14.4">
      <c r="AA2642" s="463"/>
      <c r="AB2642" s="462"/>
      <c r="AC2642" s="462"/>
      <c r="AD2642" s="464"/>
      <c r="AE2642" s="465"/>
    </row>
    <row r="2643" spans="27:31" ht="14.4">
      <c r="AA2643" s="463"/>
      <c r="AB2643" s="462"/>
      <c r="AC2643" s="462"/>
      <c r="AD2643" s="464"/>
      <c r="AE2643" s="465"/>
    </row>
    <row r="2644" spans="27:31" ht="14.4">
      <c r="AA2644" s="463"/>
      <c r="AB2644" s="462"/>
      <c r="AC2644" s="462"/>
      <c r="AD2644" s="464"/>
      <c r="AE2644" s="465"/>
    </row>
    <row r="2645" spans="27:31" ht="14.4">
      <c r="AA2645" s="463"/>
      <c r="AB2645" s="462"/>
      <c r="AC2645" s="462"/>
      <c r="AD2645" s="464"/>
      <c r="AE2645" s="465"/>
    </row>
    <row r="2646" spans="27:31" ht="14.4">
      <c r="AA2646" s="463"/>
      <c r="AB2646" s="462"/>
      <c r="AC2646" s="462"/>
      <c r="AD2646" s="464"/>
      <c r="AE2646" s="465"/>
    </row>
    <row r="2647" spans="27:31" ht="14.4">
      <c r="AA2647" s="463"/>
      <c r="AB2647" s="462"/>
      <c r="AC2647" s="462"/>
      <c r="AD2647" s="464"/>
      <c r="AE2647" s="465"/>
    </row>
    <row r="2648" spans="27:31" ht="14.4">
      <c r="AA2648" s="463"/>
      <c r="AB2648" s="462"/>
      <c r="AC2648" s="462"/>
      <c r="AD2648" s="464"/>
      <c r="AE2648" s="465"/>
    </row>
    <row r="2649" spans="27:31" ht="14.4">
      <c r="AA2649" s="463"/>
      <c r="AB2649" s="462"/>
      <c r="AC2649" s="462"/>
      <c r="AD2649" s="464"/>
      <c r="AE2649" s="465"/>
    </row>
    <row r="2650" spans="27:31" ht="14.4">
      <c r="AA2650" s="463"/>
      <c r="AB2650" s="462"/>
      <c r="AC2650" s="462"/>
      <c r="AD2650" s="464"/>
      <c r="AE2650" s="465"/>
    </row>
    <row r="2651" spans="27:31" ht="14.4">
      <c r="AA2651" s="463"/>
      <c r="AB2651" s="462"/>
      <c r="AC2651" s="462"/>
      <c r="AD2651" s="464"/>
      <c r="AE2651" s="465"/>
    </row>
    <row r="2652" spans="27:31" ht="14.4">
      <c r="AA2652" s="463"/>
      <c r="AB2652" s="462"/>
      <c r="AC2652" s="462"/>
      <c r="AD2652" s="464"/>
      <c r="AE2652" s="465"/>
    </row>
    <row r="2653" spans="27:31" ht="14.4">
      <c r="AA2653" s="463"/>
      <c r="AB2653" s="462"/>
      <c r="AC2653" s="462"/>
      <c r="AD2653" s="464"/>
      <c r="AE2653" s="465"/>
    </row>
    <row r="2654" spans="27:31" ht="14.4">
      <c r="AA2654" s="463"/>
      <c r="AB2654" s="462"/>
      <c r="AC2654" s="462"/>
      <c r="AD2654" s="464"/>
      <c r="AE2654" s="465"/>
    </row>
    <row r="2655" spans="27:31" ht="14.4">
      <c r="AA2655" s="463"/>
      <c r="AB2655" s="462"/>
      <c r="AC2655" s="462"/>
      <c r="AD2655" s="464"/>
      <c r="AE2655" s="465"/>
    </row>
    <row r="2656" spans="27:31" ht="14.4">
      <c r="AA2656" s="463"/>
      <c r="AB2656" s="462"/>
      <c r="AC2656" s="462"/>
      <c r="AD2656" s="464"/>
      <c r="AE2656" s="465"/>
    </row>
    <row r="2657" spans="27:31" ht="14.4">
      <c r="AA2657" s="463"/>
      <c r="AB2657" s="462"/>
      <c r="AC2657" s="462"/>
      <c r="AD2657" s="464"/>
      <c r="AE2657" s="465"/>
    </row>
    <row r="2658" spans="27:31" ht="14.4">
      <c r="AA2658" s="463"/>
      <c r="AB2658" s="462"/>
      <c r="AC2658" s="462"/>
      <c r="AD2658" s="464"/>
      <c r="AE2658" s="465"/>
    </row>
    <row r="2659" spans="27:31" ht="14.4">
      <c r="AA2659" s="463"/>
      <c r="AB2659" s="462"/>
      <c r="AC2659" s="462"/>
      <c r="AD2659" s="464"/>
      <c r="AE2659" s="465"/>
    </row>
    <row r="2660" spans="27:31" ht="14.4">
      <c r="AA2660" s="463"/>
      <c r="AB2660" s="462"/>
      <c r="AC2660" s="462"/>
      <c r="AD2660" s="464"/>
      <c r="AE2660" s="465"/>
    </row>
    <row r="2661" spans="27:31" ht="14.4">
      <c r="AA2661" s="463"/>
      <c r="AB2661" s="462"/>
      <c r="AC2661" s="462"/>
      <c r="AD2661" s="464"/>
      <c r="AE2661" s="465"/>
    </row>
    <row r="2662" spans="27:31" ht="14.4">
      <c r="AA2662" s="463"/>
      <c r="AB2662" s="462"/>
      <c r="AC2662" s="462"/>
      <c r="AD2662" s="464"/>
      <c r="AE2662" s="465"/>
    </row>
    <row r="2663" spans="27:31" ht="14.4">
      <c r="AA2663" s="463"/>
      <c r="AB2663" s="462"/>
      <c r="AC2663" s="462"/>
      <c r="AD2663" s="464"/>
      <c r="AE2663" s="465"/>
    </row>
    <row r="2664" spans="27:31" ht="14.4">
      <c r="AA2664" s="463"/>
      <c r="AB2664" s="462"/>
      <c r="AC2664" s="462"/>
      <c r="AD2664" s="464"/>
      <c r="AE2664" s="465"/>
    </row>
    <row r="2665" spans="27:31" ht="14.4">
      <c r="AA2665" s="463"/>
      <c r="AB2665" s="462"/>
      <c r="AC2665" s="462"/>
      <c r="AD2665" s="464"/>
      <c r="AE2665" s="465"/>
    </row>
    <row r="2666" spans="27:31" ht="14.4">
      <c r="AA2666" s="463"/>
      <c r="AB2666" s="462"/>
      <c r="AC2666" s="462"/>
      <c r="AD2666" s="464"/>
      <c r="AE2666" s="465"/>
    </row>
    <row r="2667" spans="27:31" ht="14.4">
      <c r="AA2667" s="463"/>
      <c r="AB2667" s="462"/>
      <c r="AC2667" s="462"/>
      <c r="AD2667" s="464"/>
      <c r="AE2667" s="465"/>
    </row>
    <row r="2668" spans="27:31" ht="14.4">
      <c r="AA2668" s="463"/>
      <c r="AB2668" s="462"/>
      <c r="AC2668" s="462"/>
      <c r="AD2668" s="464"/>
      <c r="AE2668" s="465"/>
    </row>
    <row r="2669" spans="27:31" ht="14.4">
      <c r="AA2669" s="463"/>
      <c r="AB2669" s="462"/>
      <c r="AC2669" s="462"/>
      <c r="AD2669" s="464"/>
      <c r="AE2669" s="465"/>
    </row>
    <row r="2670" spans="27:31" ht="14.4">
      <c r="AA2670" s="463"/>
      <c r="AB2670" s="462"/>
      <c r="AC2670" s="462"/>
      <c r="AD2670" s="464"/>
      <c r="AE2670" s="465"/>
    </row>
    <row r="2671" spans="27:31" ht="14.4">
      <c r="AA2671" s="463"/>
      <c r="AB2671" s="462"/>
      <c r="AC2671" s="462"/>
      <c r="AD2671" s="464"/>
      <c r="AE2671" s="465"/>
    </row>
    <row r="2672" spans="27:31" ht="14.4">
      <c r="AA2672" s="463"/>
      <c r="AB2672" s="462"/>
      <c r="AC2672" s="462"/>
      <c r="AD2672" s="464"/>
      <c r="AE2672" s="465"/>
    </row>
    <row r="2673" spans="27:31" ht="14.4">
      <c r="AA2673" s="463"/>
      <c r="AB2673" s="462"/>
      <c r="AC2673" s="462"/>
      <c r="AD2673" s="464"/>
      <c r="AE2673" s="465"/>
    </row>
    <row r="2674" spans="27:31" ht="14.4">
      <c r="AA2674" s="463"/>
      <c r="AB2674" s="462"/>
      <c r="AC2674" s="462"/>
      <c r="AD2674" s="464"/>
      <c r="AE2674" s="465"/>
    </row>
    <row r="2675" spans="27:31" ht="14.4">
      <c r="AA2675" s="463"/>
      <c r="AB2675" s="462"/>
      <c r="AC2675" s="462"/>
      <c r="AD2675" s="464"/>
      <c r="AE2675" s="465"/>
    </row>
    <row r="2676" spans="27:31" ht="14.4">
      <c r="AA2676" s="463"/>
      <c r="AB2676" s="462"/>
      <c r="AC2676" s="462"/>
      <c r="AD2676" s="464"/>
      <c r="AE2676" s="465"/>
    </row>
    <row r="2677" spans="27:31" ht="14.4">
      <c r="AA2677" s="463"/>
      <c r="AB2677" s="462"/>
      <c r="AC2677" s="462"/>
      <c r="AD2677" s="464"/>
      <c r="AE2677" s="465"/>
    </row>
    <row r="2678" spans="27:31" ht="14.4">
      <c r="AA2678" s="463"/>
      <c r="AB2678" s="462"/>
      <c r="AC2678" s="462"/>
      <c r="AD2678" s="464"/>
      <c r="AE2678" s="465"/>
    </row>
    <row r="2679" spans="27:31" ht="14.4">
      <c r="AA2679" s="463"/>
      <c r="AB2679" s="462"/>
      <c r="AC2679" s="462"/>
      <c r="AD2679" s="464"/>
      <c r="AE2679" s="465"/>
    </row>
    <row r="2680" spans="27:31" ht="14.4">
      <c r="AA2680" s="463"/>
      <c r="AB2680" s="462"/>
      <c r="AC2680" s="462"/>
      <c r="AD2680" s="464"/>
      <c r="AE2680" s="465"/>
    </row>
    <row r="2681" spans="27:31" ht="14.4">
      <c r="AA2681" s="463"/>
      <c r="AB2681" s="462"/>
      <c r="AC2681" s="462"/>
      <c r="AD2681" s="464"/>
      <c r="AE2681" s="465"/>
    </row>
    <row r="2682" spans="27:31" ht="14.4">
      <c r="AA2682" s="463"/>
      <c r="AB2682" s="462"/>
      <c r="AC2682" s="462"/>
      <c r="AD2682" s="464"/>
      <c r="AE2682" s="465"/>
    </row>
    <row r="2683" spans="27:31" ht="14.4">
      <c r="AA2683" s="463"/>
      <c r="AB2683" s="462"/>
      <c r="AC2683" s="462"/>
      <c r="AD2683" s="464"/>
      <c r="AE2683" s="465"/>
    </row>
    <row r="2684" spans="27:31" ht="14.4">
      <c r="AA2684" s="463"/>
      <c r="AB2684" s="462"/>
      <c r="AC2684" s="462"/>
      <c r="AD2684" s="464"/>
      <c r="AE2684" s="465"/>
    </row>
    <row r="2685" spans="27:31" ht="14.4">
      <c r="AA2685" s="463"/>
      <c r="AB2685" s="462"/>
      <c r="AC2685" s="462"/>
      <c r="AD2685" s="464"/>
      <c r="AE2685" s="465"/>
    </row>
    <row r="2686" spans="27:31" ht="14.4">
      <c r="AA2686" s="463"/>
      <c r="AB2686" s="462"/>
      <c r="AC2686" s="462"/>
      <c r="AD2686" s="464"/>
      <c r="AE2686" s="465"/>
    </row>
    <row r="2687" spans="27:31" ht="14.4">
      <c r="AA2687" s="463"/>
      <c r="AB2687" s="462"/>
      <c r="AC2687" s="462"/>
      <c r="AD2687" s="464"/>
      <c r="AE2687" s="465"/>
    </row>
    <row r="2688" spans="27:31" ht="14.4">
      <c r="AA2688" s="463"/>
      <c r="AB2688" s="462"/>
      <c r="AC2688" s="462"/>
      <c r="AD2688" s="464"/>
      <c r="AE2688" s="465"/>
    </row>
    <row r="2689" spans="27:31" ht="14.4">
      <c r="AA2689" s="463"/>
      <c r="AB2689" s="462"/>
      <c r="AC2689" s="462"/>
      <c r="AD2689" s="464"/>
      <c r="AE2689" s="465"/>
    </row>
    <row r="2690" spans="27:31" ht="14.4">
      <c r="AA2690" s="463"/>
      <c r="AB2690" s="462"/>
      <c r="AC2690" s="462"/>
      <c r="AD2690" s="464"/>
      <c r="AE2690" s="465"/>
    </row>
    <row r="2691" spans="27:31" ht="14.4">
      <c r="AA2691" s="463"/>
      <c r="AB2691" s="462"/>
      <c r="AC2691" s="462"/>
      <c r="AD2691" s="464"/>
      <c r="AE2691" s="465"/>
    </row>
    <row r="2692" spans="27:31" ht="14.4">
      <c r="AA2692" s="463"/>
      <c r="AB2692" s="462"/>
      <c r="AC2692" s="462"/>
      <c r="AD2692" s="464"/>
      <c r="AE2692" s="465"/>
    </row>
    <row r="2693" spans="27:31" ht="14.4">
      <c r="AA2693" s="463"/>
      <c r="AB2693" s="462"/>
      <c r="AC2693" s="462"/>
      <c r="AD2693" s="464"/>
      <c r="AE2693" s="465"/>
    </row>
    <row r="2694" spans="27:31" ht="14.4">
      <c r="AA2694" s="463"/>
      <c r="AB2694" s="462"/>
      <c r="AC2694" s="462"/>
      <c r="AD2694" s="464"/>
      <c r="AE2694" s="465"/>
    </row>
    <row r="2695" spans="27:31" ht="14.4">
      <c r="AA2695" s="463"/>
      <c r="AB2695" s="462"/>
      <c r="AC2695" s="462"/>
      <c r="AD2695" s="464"/>
      <c r="AE2695" s="465"/>
    </row>
    <row r="2696" spans="27:31" ht="14.4">
      <c r="AA2696" s="463"/>
      <c r="AB2696" s="462"/>
      <c r="AC2696" s="462"/>
      <c r="AD2696" s="464"/>
      <c r="AE2696" s="465"/>
    </row>
    <row r="2697" spans="27:31" ht="14.4">
      <c r="AA2697" s="463"/>
      <c r="AB2697" s="462"/>
      <c r="AC2697" s="462"/>
      <c r="AD2697" s="464"/>
      <c r="AE2697" s="465"/>
    </row>
    <row r="2698" spans="27:31" ht="14.4">
      <c r="AA2698" s="463"/>
      <c r="AB2698" s="462"/>
      <c r="AC2698" s="462"/>
      <c r="AD2698" s="464"/>
      <c r="AE2698" s="465"/>
    </row>
    <row r="2699" spans="27:31" ht="14.4">
      <c r="AA2699" s="463"/>
      <c r="AB2699" s="462"/>
      <c r="AC2699" s="462"/>
      <c r="AD2699" s="464"/>
      <c r="AE2699" s="465"/>
    </row>
    <row r="2700" spans="27:31" ht="14.4">
      <c r="AA2700" s="463"/>
      <c r="AB2700" s="462"/>
      <c r="AC2700" s="462"/>
      <c r="AD2700" s="464"/>
      <c r="AE2700" s="465"/>
    </row>
    <row r="2701" spans="27:31" ht="14.4">
      <c r="AA2701" s="463"/>
      <c r="AB2701" s="462"/>
      <c r="AC2701" s="462"/>
      <c r="AD2701" s="464"/>
      <c r="AE2701" s="465"/>
    </row>
    <row r="2702" spans="27:31" ht="14.4">
      <c r="AA2702" s="463"/>
      <c r="AB2702" s="462"/>
      <c r="AC2702" s="462"/>
      <c r="AD2702" s="464"/>
      <c r="AE2702" s="465"/>
    </row>
    <row r="2703" spans="27:31" ht="14.4">
      <c r="AA2703" s="463"/>
      <c r="AB2703" s="462"/>
      <c r="AC2703" s="462"/>
      <c r="AD2703" s="464"/>
      <c r="AE2703" s="465"/>
    </row>
    <row r="2704" spans="27:31" ht="14.4">
      <c r="AA2704" s="463"/>
      <c r="AB2704" s="462"/>
      <c r="AC2704" s="462"/>
      <c r="AD2704" s="464"/>
      <c r="AE2704" s="465"/>
    </row>
    <row r="2705" spans="27:31" ht="14.4">
      <c r="AA2705" s="463"/>
      <c r="AB2705" s="462"/>
      <c r="AC2705" s="462"/>
      <c r="AD2705" s="464"/>
      <c r="AE2705" s="465"/>
    </row>
    <row r="2706" spans="27:31" ht="14.4">
      <c r="AA2706" s="463"/>
      <c r="AB2706" s="462"/>
      <c r="AC2706" s="462"/>
      <c r="AD2706" s="464"/>
      <c r="AE2706" s="465"/>
    </row>
    <row r="2707" spans="27:31" ht="14.4">
      <c r="AA2707" s="463"/>
      <c r="AB2707" s="462"/>
      <c r="AC2707" s="462"/>
      <c r="AD2707" s="464"/>
      <c r="AE2707" s="465"/>
    </row>
    <row r="2708" spans="27:31" ht="14.4">
      <c r="AA2708" s="463"/>
      <c r="AB2708" s="462"/>
      <c r="AC2708" s="462"/>
      <c r="AD2708" s="464"/>
      <c r="AE2708" s="465"/>
    </row>
    <row r="2709" spans="27:31" ht="14.4">
      <c r="AA2709" s="463"/>
      <c r="AB2709" s="462"/>
      <c r="AC2709" s="462"/>
      <c r="AD2709" s="464"/>
      <c r="AE2709" s="465"/>
    </row>
    <row r="2710" spans="27:31" ht="14.4">
      <c r="AA2710" s="463"/>
      <c r="AB2710" s="462"/>
      <c r="AC2710" s="462"/>
      <c r="AD2710" s="464"/>
      <c r="AE2710" s="465"/>
    </row>
    <row r="2711" spans="27:31" ht="14.4">
      <c r="AA2711" s="463"/>
      <c r="AB2711" s="462"/>
      <c r="AC2711" s="462"/>
      <c r="AD2711" s="464"/>
      <c r="AE2711" s="465"/>
    </row>
    <row r="2712" spans="27:31" ht="14.4">
      <c r="AA2712" s="463"/>
      <c r="AB2712" s="462"/>
      <c r="AC2712" s="462"/>
      <c r="AD2712" s="464"/>
      <c r="AE2712" s="465"/>
    </row>
    <row r="2713" spans="27:31" ht="14.4">
      <c r="AA2713" s="463"/>
      <c r="AB2713" s="462"/>
      <c r="AC2713" s="462"/>
      <c r="AD2713" s="464"/>
      <c r="AE2713" s="465"/>
    </row>
    <row r="2714" spans="27:31" ht="14.4">
      <c r="AA2714" s="463"/>
      <c r="AB2714" s="462"/>
      <c r="AC2714" s="462"/>
      <c r="AD2714" s="464"/>
      <c r="AE2714" s="465"/>
    </row>
    <row r="2715" spans="27:31" ht="14.4">
      <c r="AA2715" s="463"/>
      <c r="AB2715" s="462"/>
      <c r="AC2715" s="462"/>
      <c r="AD2715" s="464"/>
      <c r="AE2715" s="465"/>
    </row>
    <row r="2716" spans="27:31" ht="14.4">
      <c r="AA2716" s="463"/>
      <c r="AB2716" s="462"/>
      <c r="AC2716" s="462"/>
      <c r="AD2716" s="464"/>
      <c r="AE2716" s="465"/>
    </row>
    <row r="2717" spans="27:31" ht="14.4">
      <c r="AA2717" s="463"/>
      <c r="AB2717" s="462"/>
      <c r="AC2717" s="462"/>
      <c r="AD2717" s="464"/>
      <c r="AE2717" s="465"/>
    </row>
    <row r="2718" spans="27:31" ht="14.4">
      <c r="AA2718" s="463"/>
      <c r="AB2718" s="462"/>
      <c r="AC2718" s="462"/>
      <c r="AD2718" s="464"/>
      <c r="AE2718" s="465"/>
    </row>
    <row r="2719" spans="27:31" ht="14.4">
      <c r="AA2719" s="463"/>
      <c r="AB2719" s="462"/>
      <c r="AC2719" s="462"/>
      <c r="AD2719" s="464"/>
      <c r="AE2719" s="465"/>
    </row>
    <row r="2720" spans="27:31" ht="14.4">
      <c r="AA2720" s="463"/>
      <c r="AB2720" s="462"/>
      <c r="AC2720" s="462"/>
      <c r="AD2720" s="464"/>
      <c r="AE2720" s="465"/>
    </row>
    <row r="2721" spans="27:31" ht="14.4">
      <c r="AA2721" s="463"/>
      <c r="AB2721" s="462"/>
      <c r="AC2721" s="462"/>
      <c r="AD2721" s="464"/>
      <c r="AE2721" s="465"/>
    </row>
    <row r="2722" spans="27:31" ht="14.4">
      <c r="AA2722" s="463"/>
      <c r="AB2722" s="462"/>
      <c r="AC2722" s="462"/>
      <c r="AD2722" s="464"/>
      <c r="AE2722" s="465"/>
    </row>
    <row r="2723" spans="27:31" ht="14.4">
      <c r="AA2723" s="463"/>
      <c r="AB2723" s="462"/>
      <c r="AC2723" s="462"/>
      <c r="AD2723" s="464"/>
      <c r="AE2723" s="465"/>
    </row>
    <row r="2724" spans="27:31" ht="14.4">
      <c r="AA2724" s="463"/>
      <c r="AB2724" s="462"/>
      <c r="AC2724" s="462"/>
      <c r="AD2724" s="464"/>
      <c r="AE2724" s="465"/>
    </row>
    <row r="2725" spans="27:31" ht="14.4">
      <c r="AA2725" s="463"/>
      <c r="AB2725" s="462"/>
      <c r="AC2725" s="462"/>
      <c r="AD2725" s="464"/>
      <c r="AE2725" s="465"/>
    </row>
    <row r="2726" spans="27:31" ht="14.4">
      <c r="AA2726" s="463"/>
      <c r="AB2726" s="462"/>
      <c r="AC2726" s="462"/>
      <c r="AD2726" s="464"/>
      <c r="AE2726" s="465"/>
    </row>
    <row r="2727" spans="27:31" ht="14.4">
      <c r="AA2727" s="463"/>
      <c r="AB2727" s="462"/>
      <c r="AC2727" s="462"/>
      <c r="AD2727" s="464"/>
      <c r="AE2727" s="465"/>
    </row>
    <row r="2728" spans="27:31" ht="14.4">
      <c r="AA2728" s="463"/>
      <c r="AB2728" s="462"/>
      <c r="AC2728" s="462"/>
      <c r="AD2728" s="464"/>
      <c r="AE2728" s="465"/>
    </row>
    <row r="2729" spans="27:31" ht="14.4">
      <c r="AA2729" s="463"/>
      <c r="AB2729" s="462"/>
      <c r="AC2729" s="462"/>
      <c r="AD2729" s="464"/>
      <c r="AE2729" s="465"/>
    </row>
    <row r="2730" spans="27:31" ht="14.4">
      <c r="AA2730" s="463"/>
      <c r="AB2730" s="462"/>
      <c r="AC2730" s="462"/>
      <c r="AD2730" s="464"/>
      <c r="AE2730" s="465"/>
    </row>
    <row r="2731" spans="27:31" ht="14.4">
      <c r="AA2731" s="463"/>
      <c r="AB2731" s="462"/>
      <c r="AC2731" s="462"/>
      <c r="AD2731" s="464"/>
      <c r="AE2731" s="465"/>
    </row>
    <row r="2732" spans="27:31" ht="14.4">
      <c r="AA2732" s="463"/>
      <c r="AB2732" s="462"/>
      <c r="AC2732" s="462"/>
      <c r="AD2732" s="464"/>
      <c r="AE2732" s="465"/>
    </row>
    <row r="2733" spans="27:31" ht="14.4">
      <c r="AA2733" s="463"/>
      <c r="AB2733" s="462"/>
      <c r="AC2733" s="462"/>
      <c r="AD2733" s="464"/>
      <c r="AE2733" s="465"/>
    </row>
    <row r="2734" spans="27:31" ht="14.4">
      <c r="AA2734" s="463"/>
      <c r="AB2734" s="462"/>
      <c r="AC2734" s="462"/>
      <c r="AD2734" s="464"/>
      <c r="AE2734" s="465"/>
    </row>
    <row r="2735" spans="27:31" ht="14.4">
      <c r="AA2735" s="463"/>
      <c r="AB2735" s="462"/>
      <c r="AC2735" s="462"/>
      <c r="AD2735" s="464"/>
      <c r="AE2735" s="465"/>
    </row>
    <row r="2736" spans="27:31" ht="14.4">
      <c r="AA2736" s="463"/>
      <c r="AB2736" s="462"/>
      <c r="AC2736" s="462"/>
      <c r="AD2736" s="464"/>
      <c r="AE2736" s="465"/>
    </row>
    <row r="2737" spans="27:31" ht="14.4">
      <c r="AA2737" s="463"/>
      <c r="AB2737" s="462"/>
      <c r="AC2737" s="462"/>
      <c r="AD2737" s="464"/>
      <c r="AE2737" s="465"/>
    </row>
    <row r="2738" spans="27:31" ht="14.4">
      <c r="AA2738" s="463"/>
      <c r="AB2738" s="462"/>
      <c r="AC2738" s="462"/>
      <c r="AD2738" s="464"/>
      <c r="AE2738" s="465"/>
    </row>
    <row r="2739" spans="27:31" ht="14.4">
      <c r="AA2739" s="463"/>
      <c r="AB2739" s="462"/>
      <c r="AC2739" s="462"/>
      <c r="AD2739" s="464"/>
      <c r="AE2739" s="465"/>
    </row>
    <row r="2740" spans="27:31" ht="14.4">
      <c r="AA2740" s="463"/>
      <c r="AB2740" s="462"/>
      <c r="AC2740" s="462"/>
      <c r="AD2740" s="464"/>
      <c r="AE2740" s="465"/>
    </row>
    <row r="2741" spans="27:31" ht="14.4">
      <c r="AA2741" s="463"/>
      <c r="AB2741" s="462"/>
      <c r="AC2741" s="462"/>
      <c r="AD2741" s="464"/>
      <c r="AE2741" s="465"/>
    </row>
    <row r="2742" spans="27:31" ht="14.4">
      <c r="AA2742" s="463"/>
      <c r="AB2742" s="462"/>
      <c r="AC2742" s="462"/>
      <c r="AD2742" s="464"/>
      <c r="AE2742" s="465"/>
    </row>
    <row r="2743" spans="27:31" ht="14.4">
      <c r="AA2743" s="463"/>
      <c r="AB2743" s="462"/>
      <c r="AC2743" s="462"/>
      <c r="AD2743" s="464"/>
      <c r="AE2743" s="465"/>
    </row>
    <row r="2744" spans="27:31" ht="14.4">
      <c r="AA2744" s="463"/>
      <c r="AB2744" s="462"/>
      <c r="AC2744" s="462"/>
      <c r="AD2744" s="464"/>
      <c r="AE2744" s="465"/>
    </row>
    <row r="2745" spans="27:31" ht="14.4">
      <c r="AA2745" s="463"/>
      <c r="AB2745" s="462"/>
      <c r="AC2745" s="462"/>
      <c r="AD2745" s="464"/>
      <c r="AE2745" s="465"/>
    </row>
    <row r="2746" spans="27:31" ht="14.4">
      <c r="AA2746" s="463"/>
      <c r="AB2746" s="462"/>
      <c r="AC2746" s="462"/>
      <c r="AD2746" s="464"/>
      <c r="AE2746" s="465"/>
    </row>
    <row r="2747" spans="27:31" ht="14.4">
      <c r="AA2747" s="463"/>
      <c r="AB2747" s="462"/>
      <c r="AC2747" s="462"/>
      <c r="AD2747" s="464"/>
      <c r="AE2747" s="465"/>
    </row>
    <row r="2748" spans="27:31" ht="14.4">
      <c r="AA2748" s="463"/>
      <c r="AB2748" s="462"/>
      <c r="AC2748" s="462"/>
      <c r="AD2748" s="464"/>
      <c r="AE2748" s="465"/>
    </row>
    <row r="2749" spans="27:31" ht="14.4">
      <c r="AA2749" s="463"/>
      <c r="AB2749" s="462"/>
      <c r="AC2749" s="462"/>
      <c r="AD2749" s="464"/>
      <c r="AE2749" s="465"/>
    </row>
    <row r="2750" spans="27:31" ht="14.4">
      <c r="AA2750" s="463"/>
      <c r="AB2750" s="462"/>
      <c r="AC2750" s="462"/>
      <c r="AD2750" s="464"/>
      <c r="AE2750" s="465"/>
    </row>
    <row r="2751" spans="27:31" ht="14.4">
      <c r="AA2751" s="463"/>
      <c r="AB2751" s="462"/>
      <c r="AC2751" s="462"/>
      <c r="AD2751" s="464"/>
      <c r="AE2751" s="465"/>
    </row>
    <row r="2752" spans="27:31" ht="14.4">
      <c r="AA2752" s="463"/>
      <c r="AB2752" s="462"/>
      <c r="AC2752" s="462"/>
      <c r="AD2752" s="464"/>
      <c r="AE2752" s="465"/>
    </row>
    <row r="2753" spans="27:31" ht="14.4">
      <c r="AA2753" s="463"/>
      <c r="AB2753" s="462"/>
      <c r="AC2753" s="462"/>
      <c r="AD2753" s="464"/>
      <c r="AE2753" s="465"/>
    </row>
    <row r="2754" spans="27:31" ht="14.4">
      <c r="AA2754" s="463"/>
      <c r="AB2754" s="462"/>
      <c r="AC2754" s="462"/>
      <c r="AD2754" s="464"/>
      <c r="AE2754" s="465"/>
    </row>
    <row r="2755" spans="27:31" ht="14.4">
      <c r="AA2755" s="463"/>
      <c r="AB2755" s="462"/>
      <c r="AC2755" s="462"/>
      <c r="AD2755" s="464"/>
      <c r="AE2755" s="465"/>
    </row>
    <row r="2756" spans="27:31" ht="14.4">
      <c r="AA2756" s="463"/>
      <c r="AB2756" s="462"/>
      <c r="AC2756" s="462"/>
      <c r="AD2756" s="464"/>
      <c r="AE2756" s="465"/>
    </row>
    <row r="2757" spans="27:31" ht="14.4">
      <c r="AA2757" s="463"/>
      <c r="AB2757" s="462"/>
      <c r="AC2757" s="462"/>
      <c r="AD2757" s="464"/>
      <c r="AE2757" s="465"/>
    </row>
    <row r="2758" spans="27:31" ht="14.4">
      <c r="AA2758" s="463"/>
      <c r="AB2758" s="462"/>
      <c r="AC2758" s="462"/>
      <c r="AD2758" s="464"/>
      <c r="AE2758" s="465"/>
    </row>
    <row r="2759" spans="27:31" ht="14.4">
      <c r="AA2759" s="463"/>
      <c r="AB2759" s="462"/>
      <c r="AC2759" s="462"/>
      <c r="AD2759" s="464"/>
      <c r="AE2759" s="465"/>
    </row>
    <row r="2760" spans="27:31" ht="14.4">
      <c r="AA2760" s="463"/>
      <c r="AB2760" s="462"/>
      <c r="AC2760" s="462"/>
      <c r="AD2760" s="464"/>
      <c r="AE2760" s="465"/>
    </row>
    <row r="2761" spans="27:31" ht="14.4">
      <c r="AA2761" s="463"/>
      <c r="AB2761" s="462"/>
      <c r="AC2761" s="462"/>
      <c r="AD2761" s="464"/>
      <c r="AE2761" s="465"/>
    </row>
    <row r="2762" spans="27:31" ht="14.4">
      <c r="AA2762" s="463"/>
      <c r="AB2762" s="462"/>
      <c r="AC2762" s="462"/>
      <c r="AD2762" s="464"/>
      <c r="AE2762" s="465"/>
    </row>
    <row r="2763" spans="27:31" ht="14.4">
      <c r="AA2763" s="463"/>
      <c r="AB2763" s="462"/>
      <c r="AC2763" s="462"/>
      <c r="AD2763" s="464"/>
      <c r="AE2763" s="465"/>
    </row>
    <row r="2764" spans="27:31" ht="14.4">
      <c r="AA2764" s="463"/>
      <c r="AB2764" s="462"/>
      <c r="AC2764" s="462"/>
      <c r="AD2764" s="464"/>
      <c r="AE2764" s="465"/>
    </row>
    <row r="2765" spans="27:31" ht="14.4">
      <c r="AA2765" s="463"/>
      <c r="AB2765" s="462"/>
      <c r="AC2765" s="462"/>
      <c r="AD2765" s="464"/>
      <c r="AE2765" s="465"/>
    </row>
    <row r="2766" spans="27:31" ht="14.4">
      <c r="AA2766" s="463"/>
      <c r="AB2766" s="462"/>
      <c r="AC2766" s="462"/>
      <c r="AD2766" s="464"/>
      <c r="AE2766" s="465"/>
    </row>
    <row r="2767" spans="27:31" ht="14.4">
      <c r="AA2767" s="463"/>
      <c r="AB2767" s="462"/>
      <c r="AC2767" s="462"/>
      <c r="AD2767" s="464"/>
      <c r="AE2767" s="465"/>
    </row>
    <row r="2768" spans="27:31" ht="14.4">
      <c r="AA2768" s="463"/>
      <c r="AB2768" s="462"/>
      <c r="AC2768" s="462"/>
      <c r="AD2768" s="464"/>
      <c r="AE2768" s="465"/>
    </row>
    <row r="2769" spans="27:31" ht="14.4">
      <c r="AA2769" s="463"/>
      <c r="AB2769" s="462"/>
      <c r="AC2769" s="462"/>
      <c r="AD2769" s="464"/>
      <c r="AE2769" s="465"/>
    </row>
    <row r="2770" spans="27:31" ht="14.4">
      <c r="AA2770" s="463"/>
      <c r="AB2770" s="462"/>
      <c r="AC2770" s="462"/>
      <c r="AD2770" s="464"/>
      <c r="AE2770" s="465"/>
    </row>
    <row r="2771" spans="27:31" ht="14.4">
      <c r="AA2771" s="463"/>
      <c r="AB2771" s="462"/>
      <c r="AC2771" s="462"/>
      <c r="AD2771" s="464"/>
      <c r="AE2771" s="465"/>
    </row>
    <row r="2772" spans="27:31" ht="14.4">
      <c r="AA2772" s="463"/>
      <c r="AB2772" s="462"/>
      <c r="AC2772" s="462"/>
      <c r="AD2772" s="464"/>
      <c r="AE2772" s="465"/>
    </row>
    <row r="2773" spans="27:31" ht="14.4">
      <c r="AA2773" s="463"/>
      <c r="AB2773" s="462"/>
      <c r="AC2773" s="462"/>
      <c r="AD2773" s="464"/>
      <c r="AE2773" s="465"/>
    </row>
    <row r="2774" spans="27:31" ht="14.4">
      <c r="AA2774" s="463"/>
      <c r="AB2774" s="462"/>
      <c r="AC2774" s="462"/>
      <c r="AD2774" s="464"/>
      <c r="AE2774" s="465"/>
    </row>
    <row r="2775" spans="27:31" ht="14.4">
      <c r="AA2775" s="463"/>
      <c r="AB2775" s="462"/>
      <c r="AC2775" s="462"/>
      <c r="AD2775" s="464"/>
      <c r="AE2775" s="465"/>
    </row>
    <row r="2776" spans="27:31" ht="14.4">
      <c r="AA2776" s="463"/>
      <c r="AB2776" s="462"/>
      <c r="AC2776" s="462"/>
      <c r="AD2776" s="464"/>
      <c r="AE2776" s="465"/>
    </row>
    <row r="2777" spans="27:31" ht="14.4">
      <c r="AA2777" s="463"/>
      <c r="AB2777" s="462"/>
      <c r="AC2777" s="462"/>
      <c r="AD2777" s="464"/>
      <c r="AE2777" s="465"/>
    </row>
    <row r="2778" spans="27:31" ht="14.4">
      <c r="AA2778" s="463"/>
      <c r="AB2778" s="462"/>
      <c r="AC2778" s="462"/>
      <c r="AD2778" s="464"/>
      <c r="AE2778" s="465"/>
    </row>
    <row r="2779" spans="27:31" ht="14.4">
      <c r="AA2779" s="463"/>
      <c r="AB2779" s="462"/>
      <c r="AC2779" s="462"/>
      <c r="AD2779" s="464"/>
      <c r="AE2779" s="465"/>
    </row>
    <row r="2780" spans="27:31" ht="14.4">
      <c r="AA2780" s="463"/>
      <c r="AB2780" s="462"/>
      <c r="AC2780" s="462"/>
      <c r="AD2780" s="464"/>
      <c r="AE2780" s="465"/>
    </row>
    <row r="2781" spans="27:31" ht="14.4">
      <c r="AA2781" s="463"/>
      <c r="AB2781" s="462"/>
      <c r="AC2781" s="462"/>
      <c r="AD2781" s="464"/>
      <c r="AE2781" s="465"/>
    </row>
    <row r="2782" spans="27:31" ht="14.4">
      <c r="AA2782" s="463"/>
      <c r="AB2782" s="462"/>
      <c r="AC2782" s="462"/>
      <c r="AD2782" s="464"/>
      <c r="AE2782" s="465"/>
    </row>
    <row r="2783" spans="27:31" ht="14.4">
      <c r="AA2783" s="463"/>
      <c r="AB2783" s="462"/>
      <c r="AC2783" s="462"/>
      <c r="AD2783" s="464"/>
      <c r="AE2783" s="465"/>
    </row>
    <row r="2784" spans="27:31" ht="14.4">
      <c r="AA2784" s="463"/>
      <c r="AB2784" s="462"/>
      <c r="AC2784" s="462"/>
      <c r="AD2784" s="464"/>
      <c r="AE2784" s="465"/>
    </row>
    <row r="2785" spans="27:31" ht="14.4">
      <c r="AA2785" s="463"/>
      <c r="AB2785" s="462"/>
      <c r="AC2785" s="462"/>
      <c r="AD2785" s="464"/>
      <c r="AE2785" s="465"/>
    </row>
    <row r="2786" spans="27:31" ht="14.4">
      <c r="AA2786" s="463"/>
      <c r="AB2786" s="462"/>
      <c r="AC2786" s="462"/>
      <c r="AD2786" s="464"/>
      <c r="AE2786" s="465"/>
    </row>
    <row r="2787" spans="27:31" ht="14.4">
      <c r="AA2787" s="463"/>
      <c r="AB2787" s="462"/>
      <c r="AC2787" s="462"/>
      <c r="AD2787" s="464"/>
      <c r="AE2787" s="465"/>
    </row>
    <row r="2788" spans="27:31" ht="14.4">
      <c r="AA2788" s="463"/>
      <c r="AB2788" s="462"/>
      <c r="AC2788" s="462"/>
      <c r="AD2788" s="464"/>
      <c r="AE2788" s="465"/>
    </row>
    <row r="2789" spans="27:31" ht="14.4">
      <c r="AA2789" s="463"/>
      <c r="AB2789" s="462"/>
      <c r="AC2789" s="462"/>
      <c r="AD2789" s="464"/>
      <c r="AE2789" s="465"/>
    </row>
    <row r="2790" spans="27:31" ht="14.4">
      <c r="AA2790" s="463"/>
      <c r="AB2790" s="462"/>
      <c r="AC2790" s="462"/>
      <c r="AD2790" s="464"/>
      <c r="AE2790" s="465"/>
    </row>
    <row r="2791" spans="27:31" ht="14.4">
      <c r="AA2791" s="463"/>
      <c r="AB2791" s="462"/>
      <c r="AC2791" s="462"/>
      <c r="AD2791" s="464"/>
      <c r="AE2791" s="465"/>
    </row>
    <row r="2792" spans="27:31" ht="14.4">
      <c r="AA2792" s="463"/>
      <c r="AB2792" s="462"/>
      <c r="AC2792" s="462"/>
      <c r="AD2792" s="464"/>
      <c r="AE2792" s="465"/>
    </row>
    <row r="2793" spans="27:31" ht="14.4">
      <c r="AA2793" s="463"/>
      <c r="AB2793" s="462"/>
      <c r="AC2793" s="462"/>
      <c r="AD2793" s="464"/>
      <c r="AE2793" s="465"/>
    </row>
    <row r="2794" spans="27:31" ht="14.4">
      <c r="AA2794" s="463"/>
      <c r="AB2794" s="462"/>
      <c r="AC2794" s="462"/>
      <c r="AD2794" s="464"/>
      <c r="AE2794" s="465"/>
    </row>
    <row r="2795" spans="27:31" ht="14.4">
      <c r="AA2795" s="463"/>
      <c r="AB2795" s="462"/>
      <c r="AC2795" s="462"/>
      <c r="AD2795" s="464"/>
      <c r="AE2795" s="465"/>
    </row>
    <row r="2796" spans="27:31" ht="14.4">
      <c r="AA2796" s="463"/>
      <c r="AB2796" s="462"/>
      <c r="AC2796" s="462"/>
      <c r="AD2796" s="464"/>
      <c r="AE2796" s="465"/>
    </row>
    <row r="2797" spans="27:31" ht="14.4">
      <c r="AA2797" s="463"/>
      <c r="AB2797" s="462"/>
      <c r="AC2797" s="462"/>
      <c r="AD2797" s="464"/>
      <c r="AE2797" s="465"/>
    </row>
    <row r="2798" spans="27:31" ht="14.4">
      <c r="AA2798" s="463"/>
      <c r="AB2798" s="462"/>
      <c r="AC2798" s="462"/>
      <c r="AD2798" s="464"/>
      <c r="AE2798" s="465"/>
    </row>
    <row r="2799" spans="27:31" ht="14.4">
      <c r="AA2799" s="463"/>
      <c r="AB2799" s="462"/>
      <c r="AC2799" s="462"/>
      <c r="AD2799" s="464"/>
      <c r="AE2799" s="465"/>
    </row>
    <row r="2800" spans="27:31" ht="14.4">
      <c r="AA2800" s="463"/>
      <c r="AB2800" s="462"/>
      <c r="AC2800" s="462"/>
      <c r="AD2800" s="464"/>
      <c r="AE2800" s="465"/>
    </row>
    <row r="2801" spans="27:31" ht="14.4">
      <c r="AA2801" s="463"/>
      <c r="AB2801" s="462"/>
      <c r="AC2801" s="462"/>
      <c r="AD2801" s="464"/>
      <c r="AE2801" s="465"/>
    </row>
    <row r="2802" spans="27:31" ht="14.4">
      <c r="AA2802" s="463"/>
      <c r="AB2802" s="462"/>
      <c r="AC2802" s="462"/>
      <c r="AD2802" s="464"/>
      <c r="AE2802" s="465"/>
    </row>
    <row r="2803" spans="27:31" ht="14.4">
      <c r="AA2803" s="463"/>
      <c r="AB2803" s="462"/>
      <c r="AC2803" s="462"/>
      <c r="AD2803" s="464"/>
      <c r="AE2803" s="465"/>
    </row>
    <row r="2804" spans="27:31" ht="14.4">
      <c r="AA2804" s="463"/>
      <c r="AB2804" s="462"/>
      <c r="AC2804" s="462"/>
      <c r="AD2804" s="464"/>
      <c r="AE2804" s="465"/>
    </row>
    <row r="2805" spans="27:31" ht="14.4">
      <c r="AA2805" s="463"/>
      <c r="AB2805" s="462"/>
      <c r="AC2805" s="462"/>
      <c r="AD2805" s="464"/>
      <c r="AE2805" s="465"/>
    </row>
    <row r="2806" spans="27:31" ht="14.4">
      <c r="AA2806" s="463"/>
      <c r="AB2806" s="462"/>
      <c r="AC2806" s="462"/>
      <c r="AD2806" s="464"/>
      <c r="AE2806" s="465"/>
    </row>
    <row r="2807" spans="27:31" ht="14.4">
      <c r="AA2807" s="463"/>
      <c r="AB2807" s="462"/>
      <c r="AC2807" s="462"/>
      <c r="AD2807" s="464"/>
      <c r="AE2807" s="465"/>
    </row>
    <row r="2808" spans="27:31" ht="14.4">
      <c r="AA2808" s="463"/>
      <c r="AB2808" s="462"/>
      <c r="AC2808" s="462"/>
      <c r="AD2808" s="464"/>
      <c r="AE2808" s="465"/>
    </row>
    <row r="2809" spans="27:31" ht="14.4">
      <c r="AA2809" s="463"/>
      <c r="AB2809" s="462"/>
      <c r="AC2809" s="462"/>
      <c r="AD2809" s="464"/>
      <c r="AE2809" s="465"/>
    </row>
    <row r="2810" spans="27:31" ht="14.4">
      <c r="AA2810" s="463"/>
      <c r="AB2810" s="462"/>
      <c r="AC2810" s="462"/>
      <c r="AD2810" s="464"/>
      <c r="AE2810" s="465"/>
    </row>
    <row r="2811" spans="27:31" ht="14.4">
      <c r="AA2811" s="463"/>
      <c r="AB2811" s="462"/>
      <c r="AC2811" s="462"/>
      <c r="AD2811" s="464"/>
      <c r="AE2811" s="465"/>
    </row>
    <row r="2812" spans="27:31" ht="14.4">
      <c r="AA2812" s="463"/>
      <c r="AB2812" s="462"/>
      <c r="AC2812" s="462"/>
      <c r="AD2812" s="464"/>
      <c r="AE2812" s="465"/>
    </row>
    <row r="2813" spans="27:31" ht="14.4">
      <c r="AA2813" s="463"/>
      <c r="AB2813" s="462"/>
      <c r="AC2813" s="462"/>
      <c r="AD2813" s="464"/>
      <c r="AE2813" s="465"/>
    </row>
    <row r="2814" spans="27:31" ht="14.4">
      <c r="AA2814" s="463"/>
      <c r="AB2814" s="462"/>
      <c r="AC2814" s="462"/>
      <c r="AD2814" s="464"/>
      <c r="AE2814" s="465"/>
    </row>
    <row r="2815" spans="27:31" ht="14.4">
      <c r="AA2815" s="463"/>
      <c r="AB2815" s="462"/>
      <c r="AC2815" s="462"/>
      <c r="AD2815" s="464"/>
      <c r="AE2815" s="465"/>
    </row>
    <row r="2816" spans="27:31" ht="14.4">
      <c r="AA2816" s="463"/>
      <c r="AB2816" s="462"/>
      <c r="AC2816" s="462"/>
      <c r="AD2816" s="464"/>
      <c r="AE2816" s="465"/>
    </row>
    <row r="2817" spans="27:31" ht="14.4">
      <c r="AA2817" s="463"/>
      <c r="AB2817" s="462"/>
      <c r="AC2817" s="462"/>
      <c r="AD2817" s="464"/>
      <c r="AE2817" s="465"/>
    </row>
    <row r="2818" spans="27:31" ht="14.4">
      <c r="AA2818" s="463"/>
      <c r="AB2818" s="462"/>
      <c r="AC2818" s="462"/>
      <c r="AD2818" s="464"/>
      <c r="AE2818" s="465"/>
    </row>
    <row r="2819" spans="27:31" ht="14.4">
      <c r="AA2819" s="463"/>
      <c r="AB2819" s="462"/>
      <c r="AC2819" s="462"/>
      <c r="AD2819" s="464"/>
      <c r="AE2819" s="465"/>
    </row>
    <row r="2820" spans="27:31" ht="14.4">
      <c r="AA2820" s="463"/>
      <c r="AB2820" s="462"/>
      <c r="AC2820" s="462"/>
      <c r="AD2820" s="464"/>
      <c r="AE2820" s="465"/>
    </row>
    <row r="2821" spans="27:31" ht="14.4">
      <c r="AA2821" s="463"/>
      <c r="AB2821" s="462"/>
      <c r="AC2821" s="462"/>
      <c r="AD2821" s="464"/>
      <c r="AE2821" s="465"/>
    </row>
    <row r="2822" spans="27:31" ht="14.4">
      <c r="AA2822" s="463"/>
      <c r="AB2822" s="462"/>
      <c r="AC2822" s="462"/>
      <c r="AD2822" s="464"/>
      <c r="AE2822" s="465"/>
    </row>
    <row r="2823" spans="27:31" ht="14.4">
      <c r="AA2823" s="463"/>
      <c r="AB2823" s="462"/>
      <c r="AC2823" s="462"/>
      <c r="AD2823" s="464"/>
      <c r="AE2823" s="465"/>
    </row>
    <row r="2824" spans="27:31" ht="14.4">
      <c r="AA2824" s="463"/>
      <c r="AB2824" s="462"/>
      <c r="AC2824" s="462"/>
      <c r="AD2824" s="464"/>
      <c r="AE2824" s="465"/>
    </row>
    <row r="2825" spans="27:31" ht="14.4">
      <c r="AA2825" s="463"/>
      <c r="AB2825" s="462"/>
      <c r="AC2825" s="462"/>
      <c r="AD2825" s="464"/>
      <c r="AE2825" s="465"/>
    </row>
    <row r="2826" spans="27:31" ht="14.4">
      <c r="AA2826" s="463"/>
      <c r="AB2826" s="462"/>
      <c r="AC2826" s="462"/>
      <c r="AD2826" s="464"/>
      <c r="AE2826" s="465"/>
    </row>
    <row r="2827" spans="27:31" ht="14.4">
      <c r="AA2827" s="463"/>
      <c r="AB2827" s="462"/>
      <c r="AC2827" s="462"/>
      <c r="AD2827" s="464"/>
      <c r="AE2827" s="465"/>
    </row>
    <row r="2828" spans="27:31" ht="14.4">
      <c r="AA2828" s="463"/>
      <c r="AB2828" s="462"/>
      <c r="AC2828" s="462"/>
      <c r="AD2828" s="464"/>
      <c r="AE2828" s="465"/>
    </row>
    <row r="2829" spans="27:31" ht="14.4">
      <c r="AA2829" s="463"/>
      <c r="AB2829" s="462"/>
      <c r="AC2829" s="462"/>
      <c r="AD2829" s="464"/>
      <c r="AE2829" s="465"/>
    </row>
    <row r="2830" spans="27:31" ht="14.4">
      <c r="AA2830" s="463"/>
      <c r="AB2830" s="462"/>
      <c r="AC2830" s="462"/>
      <c r="AD2830" s="464"/>
      <c r="AE2830" s="465"/>
    </row>
    <row r="2831" spans="27:31" ht="14.4">
      <c r="AA2831" s="463"/>
      <c r="AB2831" s="462"/>
      <c r="AC2831" s="462"/>
      <c r="AD2831" s="464"/>
      <c r="AE2831" s="465"/>
    </row>
    <row r="2832" spans="27:31" ht="14.4">
      <c r="AA2832" s="463"/>
      <c r="AB2832" s="462"/>
      <c r="AC2832" s="462"/>
      <c r="AD2832" s="464"/>
      <c r="AE2832" s="465"/>
    </row>
    <row r="2833" spans="27:31" ht="14.4">
      <c r="AA2833" s="463"/>
      <c r="AB2833" s="462"/>
      <c r="AC2833" s="462"/>
      <c r="AD2833" s="464"/>
      <c r="AE2833" s="465"/>
    </row>
    <row r="2834" spans="27:31" ht="14.4">
      <c r="AA2834" s="463"/>
      <c r="AB2834" s="462"/>
      <c r="AC2834" s="462"/>
      <c r="AD2834" s="464"/>
      <c r="AE2834" s="465"/>
    </row>
    <row r="2835" spans="27:31" ht="14.4">
      <c r="AA2835" s="463"/>
      <c r="AB2835" s="462"/>
      <c r="AC2835" s="462"/>
      <c r="AD2835" s="464"/>
      <c r="AE2835" s="465"/>
    </row>
    <row r="2836" spans="27:31" ht="14.4">
      <c r="AA2836" s="463"/>
      <c r="AB2836" s="462"/>
      <c r="AC2836" s="462"/>
      <c r="AD2836" s="464"/>
      <c r="AE2836" s="465"/>
    </row>
    <row r="2837" spans="27:31" ht="14.4">
      <c r="AA2837" s="463"/>
      <c r="AB2837" s="462"/>
      <c r="AC2837" s="462"/>
      <c r="AD2837" s="464"/>
      <c r="AE2837" s="465"/>
    </row>
    <row r="2838" spans="27:31" ht="14.4">
      <c r="AA2838" s="463"/>
      <c r="AB2838" s="462"/>
      <c r="AC2838" s="462"/>
      <c r="AD2838" s="464"/>
      <c r="AE2838" s="465"/>
    </row>
    <row r="2839" spans="27:31" ht="14.4">
      <c r="AA2839" s="463"/>
      <c r="AB2839" s="462"/>
      <c r="AC2839" s="462"/>
      <c r="AD2839" s="464"/>
      <c r="AE2839" s="465"/>
    </row>
    <row r="2840" spans="27:31" ht="14.4">
      <c r="AA2840" s="463"/>
      <c r="AB2840" s="462"/>
      <c r="AC2840" s="462"/>
      <c r="AD2840" s="464"/>
      <c r="AE2840" s="465"/>
    </row>
    <row r="2841" spans="27:31" ht="14.4">
      <c r="AA2841" s="463"/>
      <c r="AB2841" s="462"/>
      <c r="AC2841" s="462"/>
      <c r="AD2841" s="464"/>
      <c r="AE2841" s="465"/>
    </row>
    <row r="2842" spans="27:31" ht="14.4">
      <c r="AA2842" s="463"/>
      <c r="AB2842" s="462"/>
      <c r="AC2842" s="462"/>
      <c r="AD2842" s="464"/>
      <c r="AE2842" s="465"/>
    </row>
    <row r="2843" spans="27:31" ht="14.4">
      <c r="AA2843" s="463"/>
      <c r="AB2843" s="462"/>
      <c r="AC2843" s="462"/>
      <c r="AD2843" s="464"/>
      <c r="AE2843" s="465"/>
    </row>
    <row r="2844" spans="27:31" ht="14.4">
      <c r="AA2844" s="463"/>
      <c r="AB2844" s="462"/>
      <c r="AC2844" s="462"/>
      <c r="AD2844" s="464"/>
      <c r="AE2844" s="465"/>
    </row>
    <row r="2845" spans="27:31" ht="14.4">
      <c r="AA2845" s="463"/>
      <c r="AB2845" s="462"/>
      <c r="AC2845" s="462"/>
      <c r="AD2845" s="464"/>
      <c r="AE2845" s="465"/>
    </row>
    <row r="2846" spans="27:31" ht="14.4">
      <c r="AA2846" s="463"/>
      <c r="AB2846" s="462"/>
      <c r="AC2846" s="462"/>
      <c r="AD2846" s="464"/>
      <c r="AE2846" s="465"/>
    </row>
    <row r="2847" spans="27:31" ht="14.4">
      <c r="AA2847" s="463"/>
      <c r="AB2847" s="462"/>
      <c r="AC2847" s="462"/>
      <c r="AD2847" s="464"/>
      <c r="AE2847" s="465"/>
    </row>
    <row r="2848" spans="27:31" ht="14.4">
      <c r="AA2848" s="463"/>
      <c r="AB2848" s="462"/>
      <c r="AC2848" s="462"/>
      <c r="AD2848" s="464"/>
      <c r="AE2848" s="465"/>
    </row>
    <row r="2849" spans="27:31" ht="14.4">
      <c r="AA2849" s="463"/>
      <c r="AB2849" s="462"/>
      <c r="AC2849" s="462"/>
      <c r="AD2849" s="464"/>
      <c r="AE2849" s="465"/>
    </row>
    <row r="2850" spans="27:31" ht="14.4">
      <c r="AA2850" s="463"/>
      <c r="AB2850" s="462"/>
      <c r="AC2850" s="462"/>
      <c r="AD2850" s="464"/>
      <c r="AE2850" s="465"/>
    </row>
    <row r="2851" spans="27:31" ht="14.4">
      <c r="AA2851" s="463"/>
      <c r="AB2851" s="462"/>
      <c r="AC2851" s="462"/>
      <c r="AD2851" s="464"/>
      <c r="AE2851" s="465"/>
    </row>
    <row r="2852" spans="27:31" ht="14.4">
      <c r="AA2852" s="463"/>
      <c r="AB2852" s="462"/>
      <c r="AC2852" s="462"/>
      <c r="AD2852" s="464"/>
      <c r="AE2852" s="465"/>
    </row>
    <row r="2853" spans="27:31" ht="14.4">
      <c r="AA2853" s="463"/>
      <c r="AB2853" s="462"/>
      <c r="AC2853" s="462"/>
      <c r="AD2853" s="464"/>
      <c r="AE2853" s="465"/>
    </row>
    <row r="2854" spans="27:31" ht="14.4">
      <c r="AA2854" s="463"/>
      <c r="AB2854" s="462"/>
      <c r="AC2854" s="462"/>
      <c r="AD2854" s="464"/>
      <c r="AE2854" s="465"/>
    </row>
    <row r="2855" spans="27:31" ht="14.4">
      <c r="AA2855" s="463"/>
      <c r="AB2855" s="462"/>
      <c r="AC2855" s="462"/>
      <c r="AD2855" s="464"/>
      <c r="AE2855" s="465"/>
    </row>
    <row r="2856" spans="27:31" ht="14.4">
      <c r="AA2856" s="463"/>
      <c r="AB2856" s="462"/>
      <c r="AC2856" s="462"/>
      <c r="AD2856" s="464"/>
      <c r="AE2856" s="465"/>
    </row>
    <row r="2857" spans="27:31" ht="14.4">
      <c r="AA2857" s="463"/>
      <c r="AB2857" s="462"/>
      <c r="AC2857" s="462"/>
      <c r="AD2857" s="464"/>
      <c r="AE2857" s="465"/>
    </row>
    <row r="2858" spans="27:31" ht="14.4">
      <c r="AA2858" s="463"/>
      <c r="AB2858" s="462"/>
      <c r="AC2858" s="462"/>
      <c r="AD2858" s="464"/>
      <c r="AE2858" s="465"/>
    </row>
    <row r="2859" spans="27:31" ht="14.4">
      <c r="AA2859" s="463"/>
      <c r="AB2859" s="462"/>
      <c r="AC2859" s="462"/>
      <c r="AD2859" s="464"/>
      <c r="AE2859" s="465"/>
    </row>
    <row r="2860" spans="27:31" ht="14.4">
      <c r="AA2860" s="463"/>
      <c r="AB2860" s="462"/>
      <c r="AC2860" s="462"/>
      <c r="AD2860" s="464"/>
      <c r="AE2860" s="465"/>
    </row>
    <row r="2861" spans="27:31" ht="14.4">
      <c r="AA2861" s="463"/>
      <c r="AB2861" s="462"/>
      <c r="AC2861" s="462"/>
      <c r="AD2861" s="464"/>
      <c r="AE2861" s="465"/>
    </row>
    <row r="2862" spans="27:31" ht="14.4">
      <c r="AA2862" s="463"/>
      <c r="AB2862" s="462"/>
      <c r="AC2862" s="462"/>
      <c r="AD2862" s="464"/>
      <c r="AE2862" s="465"/>
    </row>
    <row r="2863" spans="27:31" ht="14.4">
      <c r="AA2863" s="463"/>
      <c r="AB2863" s="462"/>
      <c r="AC2863" s="462"/>
      <c r="AD2863" s="464"/>
      <c r="AE2863" s="465"/>
    </row>
    <row r="2864" spans="27:31" ht="14.4">
      <c r="AA2864" s="463"/>
      <c r="AB2864" s="462"/>
      <c r="AC2864" s="462"/>
      <c r="AD2864" s="464"/>
      <c r="AE2864" s="465"/>
    </row>
    <row r="2865" spans="27:31" ht="14.4">
      <c r="AA2865" s="463"/>
      <c r="AB2865" s="462"/>
      <c r="AC2865" s="462"/>
      <c r="AD2865" s="464"/>
      <c r="AE2865" s="465"/>
    </row>
    <row r="2866" spans="27:31" ht="14.4">
      <c r="AA2866" s="463"/>
      <c r="AB2866" s="462"/>
      <c r="AC2866" s="462"/>
      <c r="AD2866" s="464"/>
      <c r="AE2866" s="465"/>
    </row>
    <row r="2867" spans="27:31" ht="14.4">
      <c r="AA2867" s="463"/>
      <c r="AB2867" s="462"/>
      <c r="AC2867" s="462"/>
      <c r="AD2867" s="464"/>
      <c r="AE2867" s="465"/>
    </row>
    <row r="2868" spans="27:31" ht="14.4">
      <c r="AA2868" s="463"/>
      <c r="AB2868" s="462"/>
      <c r="AC2868" s="462"/>
      <c r="AD2868" s="464"/>
      <c r="AE2868" s="465"/>
    </row>
    <row r="2869" spans="27:31" ht="14.4">
      <c r="AA2869" s="463"/>
      <c r="AB2869" s="462"/>
      <c r="AC2869" s="462"/>
      <c r="AD2869" s="464"/>
      <c r="AE2869" s="465"/>
    </row>
    <row r="2870" spans="27:31" ht="14.4">
      <c r="AA2870" s="463"/>
      <c r="AB2870" s="462"/>
      <c r="AC2870" s="462"/>
      <c r="AD2870" s="464"/>
      <c r="AE2870" s="465"/>
    </row>
    <row r="2871" spans="27:31" ht="14.4">
      <c r="AA2871" s="463"/>
      <c r="AB2871" s="462"/>
      <c r="AC2871" s="462"/>
      <c r="AD2871" s="464"/>
      <c r="AE2871" s="465"/>
    </row>
    <row r="2872" spans="27:31" ht="14.4">
      <c r="AA2872" s="463"/>
      <c r="AB2872" s="462"/>
      <c r="AC2872" s="462"/>
      <c r="AD2872" s="464"/>
      <c r="AE2872" s="465"/>
    </row>
    <row r="2873" spans="27:31" ht="14.4">
      <c r="AA2873" s="463"/>
      <c r="AB2873" s="462"/>
      <c r="AC2873" s="462"/>
      <c r="AD2873" s="464"/>
      <c r="AE2873" s="465"/>
    </row>
    <row r="2874" spans="27:31" ht="14.4">
      <c r="AA2874" s="463"/>
      <c r="AB2874" s="462"/>
      <c r="AC2874" s="462"/>
      <c r="AD2874" s="464"/>
      <c r="AE2874" s="465"/>
    </row>
    <row r="2875" spans="27:31" ht="14.4">
      <c r="AA2875" s="463"/>
      <c r="AB2875" s="462"/>
      <c r="AC2875" s="462"/>
      <c r="AD2875" s="464"/>
      <c r="AE2875" s="465"/>
    </row>
    <row r="2876" spans="27:31" ht="14.4">
      <c r="AA2876" s="463"/>
      <c r="AB2876" s="462"/>
      <c r="AC2876" s="462"/>
      <c r="AD2876" s="464"/>
      <c r="AE2876" s="465"/>
    </row>
    <row r="2877" spans="27:31" ht="14.4">
      <c r="AA2877" s="463"/>
      <c r="AB2877" s="462"/>
      <c r="AC2877" s="462"/>
      <c r="AD2877" s="464"/>
      <c r="AE2877" s="465"/>
    </row>
    <row r="2878" spans="27:31" ht="14.4">
      <c r="AA2878" s="463"/>
      <c r="AB2878" s="462"/>
      <c r="AC2878" s="462"/>
      <c r="AD2878" s="464"/>
      <c r="AE2878" s="465"/>
    </row>
    <row r="2879" spans="27:31" ht="14.4">
      <c r="AA2879" s="463"/>
      <c r="AB2879" s="462"/>
      <c r="AC2879" s="462"/>
      <c r="AD2879" s="464"/>
      <c r="AE2879" s="465"/>
    </row>
    <row r="2880" spans="27:31" ht="14.4">
      <c r="AA2880" s="463"/>
      <c r="AB2880" s="462"/>
      <c r="AC2880" s="462"/>
      <c r="AD2880" s="464"/>
      <c r="AE2880" s="465"/>
    </row>
    <row r="2881" spans="27:31" ht="14.4">
      <c r="AA2881" s="463"/>
      <c r="AB2881" s="462"/>
      <c r="AC2881" s="462"/>
      <c r="AD2881" s="464"/>
      <c r="AE2881" s="465"/>
    </row>
    <row r="2882" spans="27:31" ht="14.4">
      <c r="AA2882" s="463"/>
      <c r="AB2882" s="462"/>
      <c r="AC2882" s="462"/>
      <c r="AD2882" s="464"/>
      <c r="AE2882" s="465"/>
    </row>
    <row r="2883" spans="27:31" ht="14.4">
      <c r="AA2883" s="463"/>
      <c r="AB2883" s="462"/>
      <c r="AC2883" s="462"/>
      <c r="AD2883" s="464"/>
      <c r="AE2883" s="465"/>
    </row>
    <row r="2884" spans="27:31" ht="14.4">
      <c r="AA2884" s="463"/>
      <c r="AB2884" s="462"/>
      <c r="AC2884" s="462"/>
      <c r="AD2884" s="464"/>
      <c r="AE2884" s="465"/>
    </row>
    <row r="2885" spans="27:31" ht="14.4">
      <c r="AA2885" s="463"/>
      <c r="AB2885" s="462"/>
      <c r="AC2885" s="462"/>
      <c r="AD2885" s="464"/>
      <c r="AE2885" s="465"/>
    </row>
    <row r="2886" spans="27:31" ht="14.4">
      <c r="AA2886" s="463"/>
      <c r="AB2886" s="462"/>
      <c r="AC2886" s="462"/>
      <c r="AD2886" s="464"/>
      <c r="AE2886" s="465"/>
    </row>
    <row r="2887" spans="27:31" ht="14.4">
      <c r="AA2887" s="463"/>
      <c r="AB2887" s="462"/>
      <c r="AC2887" s="462"/>
      <c r="AD2887" s="464"/>
      <c r="AE2887" s="465"/>
    </row>
    <row r="2888" spans="27:31" ht="14.4">
      <c r="AA2888" s="463"/>
      <c r="AB2888" s="462"/>
      <c r="AC2888" s="462"/>
      <c r="AD2888" s="464"/>
      <c r="AE2888" s="465"/>
    </row>
    <row r="2889" spans="27:31" ht="14.4">
      <c r="AA2889" s="463"/>
      <c r="AB2889" s="462"/>
      <c r="AC2889" s="462"/>
      <c r="AD2889" s="464"/>
      <c r="AE2889" s="465"/>
    </row>
    <row r="2890" spans="27:31" ht="14.4">
      <c r="AA2890" s="463"/>
      <c r="AB2890" s="462"/>
      <c r="AC2890" s="462"/>
      <c r="AD2890" s="464"/>
      <c r="AE2890" s="465"/>
    </row>
    <row r="2891" spans="27:31" ht="14.4">
      <c r="AA2891" s="463"/>
      <c r="AB2891" s="462"/>
      <c r="AC2891" s="462"/>
      <c r="AD2891" s="464"/>
      <c r="AE2891" s="465"/>
    </row>
    <row r="2892" spans="27:31" ht="14.4">
      <c r="AA2892" s="463"/>
      <c r="AB2892" s="462"/>
      <c r="AC2892" s="462"/>
      <c r="AD2892" s="464"/>
      <c r="AE2892" s="465"/>
    </row>
    <row r="2893" spans="27:31" ht="14.4">
      <c r="AA2893" s="463"/>
      <c r="AB2893" s="462"/>
      <c r="AC2893" s="462"/>
      <c r="AD2893" s="464"/>
      <c r="AE2893" s="465"/>
    </row>
    <row r="2894" spans="27:31" ht="14.4">
      <c r="AA2894" s="463"/>
      <c r="AB2894" s="462"/>
      <c r="AC2894" s="462"/>
      <c r="AD2894" s="464"/>
      <c r="AE2894" s="465"/>
    </row>
    <row r="2895" spans="27:31" ht="14.4">
      <c r="AA2895" s="463"/>
      <c r="AB2895" s="462"/>
      <c r="AC2895" s="462"/>
      <c r="AD2895" s="464"/>
      <c r="AE2895" s="465"/>
    </row>
    <row r="2896" spans="27:31" ht="14.4">
      <c r="AA2896" s="463"/>
      <c r="AB2896" s="462"/>
      <c r="AC2896" s="462"/>
      <c r="AD2896" s="464"/>
      <c r="AE2896" s="465"/>
    </row>
    <row r="2897" spans="27:31" ht="14.4">
      <c r="AA2897" s="463"/>
      <c r="AB2897" s="462"/>
      <c r="AC2897" s="462"/>
      <c r="AD2897" s="464"/>
      <c r="AE2897" s="465"/>
    </row>
    <row r="2898" spans="27:31" ht="14.4">
      <c r="AA2898" s="463"/>
      <c r="AB2898" s="462"/>
      <c r="AC2898" s="462"/>
      <c r="AD2898" s="464"/>
      <c r="AE2898" s="465"/>
    </row>
    <row r="2899" spans="27:31" ht="14.4">
      <c r="AA2899" s="463"/>
      <c r="AB2899" s="462"/>
      <c r="AC2899" s="462"/>
      <c r="AD2899" s="464"/>
      <c r="AE2899" s="465"/>
    </row>
    <row r="2900" spans="27:31" ht="14.4">
      <c r="AA2900" s="463"/>
      <c r="AB2900" s="462"/>
      <c r="AC2900" s="462"/>
      <c r="AD2900" s="464"/>
      <c r="AE2900" s="465"/>
    </row>
    <row r="2901" spans="27:31" ht="14.4">
      <c r="AA2901" s="463"/>
      <c r="AB2901" s="462"/>
      <c r="AC2901" s="462"/>
      <c r="AD2901" s="464"/>
      <c r="AE2901" s="465"/>
    </row>
    <row r="2902" spans="27:31" ht="14.4">
      <c r="AA2902" s="463"/>
      <c r="AB2902" s="462"/>
      <c r="AC2902" s="462"/>
      <c r="AD2902" s="464"/>
      <c r="AE2902" s="465"/>
    </row>
    <row r="2903" spans="27:31" ht="14.4">
      <c r="AA2903" s="463"/>
      <c r="AB2903" s="462"/>
      <c r="AC2903" s="462"/>
      <c r="AD2903" s="464"/>
      <c r="AE2903" s="465"/>
    </row>
    <row r="2904" spans="27:31" ht="14.4">
      <c r="AA2904" s="463"/>
      <c r="AB2904" s="462"/>
      <c r="AC2904" s="462"/>
      <c r="AD2904" s="464"/>
      <c r="AE2904" s="465"/>
    </row>
    <row r="2905" spans="27:31" ht="14.4">
      <c r="AA2905" s="463"/>
      <c r="AB2905" s="462"/>
      <c r="AC2905" s="462"/>
      <c r="AD2905" s="464"/>
      <c r="AE2905" s="465"/>
    </row>
    <row r="2906" spans="27:31" ht="14.4">
      <c r="AA2906" s="463"/>
      <c r="AB2906" s="462"/>
      <c r="AC2906" s="462"/>
      <c r="AD2906" s="464"/>
      <c r="AE2906" s="465"/>
    </row>
    <row r="2907" spans="27:31" ht="14.4">
      <c r="AA2907" s="463"/>
      <c r="AB2907" s="462"/>
      <c r="AC2907" s="462"/>
      <c r="AD2907" s="464"/>
      <c r="AE2907" s="465"/>
    </row>
    <row r="2908" spans="27:31" ht="14.4">
      <c r="AA2908" s="463"/>
      <c r="AB2908" s="462"/>
      <c r="AC2908" s="462"/>
      <c r="AD2908" s="464"/>
      <c r="AE2908" s="465"/>
    </row>
    <row r="2909" spans="27:31" ht="14.4">
      <c r="AA2909" s="463"/>
      <c r="AB2909" s="462"/>
      <c r="AC2909" s="462"/>
      <c r="AD2909" s="464"/>
      <c r="AE2909" s="465"/>
    </row>
    <row r="2910" spans="27:31" ht="14.4">
      <c r="AA2910" s="463"/>
      <c r="AB2910" s="462"/>
      <c r="AC2910" s="462"/>
      <c r="AD2910" s="464"/>
      <c r="AE2910" s="465"/>
    </row>
    <row r="2911" spans="27:31" ht="14.4">
      <c r="AA2911" s="463"/>
      <c r="AB2911" s="462"/>
      <c r="AC2911" s="462"/>
      <c r="AD2911" s="464"/>
      <c r="AE2911" s="465"/>
    </row>
    <row r="2912" spans="27:31" ht="14.4">
      <c r="AA2912" s="463"/>
      <c r="AB2912" s="462"/>
      <c r="AC2912" s="462"/>
      <c r="AD2912" s="464"/>
      <c r="AE2912" s="465"/>
    </row>
    <row r="2913" spans="27:31" ht="14.4">
      <c r="AA2913" s="463"/>
      <c r="AB2913" s="462"/>
      <c r="AC2913" s="462"/>
      <c r="AD2913" s="464"/>
      <c r="AE2913" s="465"/>
    </row>
    <row r="2914" spans="27:31" ht="14.4">
      <c r="AA2914" s="463"/>
      <c r="AB2914" s="462"/>
      <c r="AC2914" s="462"/>
      <c r="AD2914" s="464"/>
      <c r="AE2914" s="465"/>
    </row>
    <row r="2915" spans="27:31" ht="14.4">
      <c r="AA2915" s="463"/>
      <c r="AB2915" s="462"/>
      <c r="AC2915" s="462"/>
      <c r="AD2915" s="464"/>
      <c r="AE2915" s="465"/>
    </row>
    <row r="2916" spans="27:31" ht="14.4">
      <c r="AA2916" s="463"/>
      <c r="AB2916" s="462"/>
      <c r="AC2916" s="462"/>
      <c r="AD2916" s="464"/>
      <c r="AE2916" s="465"/>
    </row>
    <row r="2917" spans="27:31" ht="14.4">
      <c r="AA2917" s="463"/>
      <c r="AB2917" s="462"/>
      <c r="AC2917" s="462"/>
      <c r="AD2917" s="464"/>
      <c r="AE2917" s="465"/>
    </row>
    <row r="2918" spans="27:31" ht="14.4">
      <c r="AA2918" s="463"/>
      <c r="AB2918" s="462"/>
      <c r="AC2918" s="462"/>
      <c r="AD2918" s="464"/>
      <c r="AE2918" s="465"/>
    </row>
    <row r="2919" spans="27:31" ht="14.4">
      <c r="AA2919" s="463"/>
      <c r="AB2919" s="462"/>
      <c r="AC2919" s="462"/>
      <c r="AD2919" s="464"/>
      <c r="AE2919" s="465"/>
    </row>
    <row r="2920" spans="27:31" ht="14.4">
      <c r="AA2920" s="463"/>
      <c r="AB2920" s="462"/>
      <c r="AC2920" s="462"/>
      <c r="AD2920" s="464"/>
      <c r="AE2920" s="465"/>
    </row>
    <row r="2921" spans="27:31" ht="14.4">
      <c r="AA2921" s="463"/>
      <c r="AB2921" s="462"/>
      <c r="AC2921" s="462"/>
      <c r="AD2921" s="464"/>
      <c r="AE2921" s="465"/>
    </row>
    <row r="2922" spans="27:31" ht="14.4">
      <c r="AA2922" s="463"/>
      <c r="AB2922" s="462"/>
      <c r="AC2922" s="462"/>
      <c r="AD2922" s="464"/>
      <c r="AE2922" s="465"/>
    </row>
    <row r="2923" spans="27:31" ht="14.4">
      <c r="AA2923" s="463"/>
      <c r="AB2923" s="462"/>
      <c r="AC2923" s="462"/>
      <c r="AD2923" s="464"/>
      <c r="AE2923" s="465"/>
    </row>
    <row r="2924" spans="27:31" ht="14.4">
      <c r="AA2924" s="463"/>
      <c r="AB2924" s="462"/>
      <c r="AC2924" s="462"/>
      <c r="AD2924" s="464"/>
      <c r="AE2924" s="465"/>
    </row>
    <row r="2925" spans="27:31" ht="14.4">
      <c r="AA2925" s="463"/>
      <c r="AB2925" s="462"/>
      <c r="AC2925" s="462"/>
      <c r="AD2925" s="464"/>
      <c r="AE2925" s="465"/>
    </row>
    <row r="2926" spans="27:31" ht="14.4">
      <c r="AA2926" s="463"/>
      <c r="AB2926" s="462"/>
      <c r="AC2926" s="462"/>
      <c r="AD2926" s="464"/>
      <c r="AE2926" s="465"/>
    </row>
    <row r="2927" spans="27:31" ht="14.4">
      <c r="AA2927" s="463"/>
      <c r="AB2927" s="462"/>
      <c r="AC2927" s="462"/>
      <c r="AD2927" s="464"/>
      <c r="AE2927" s="465"/>
    </row>
    <row r="2928" spans="27:31" ht="14.4">
      <c r="AA2928" s="463"/>
      <c r="AB2928" s="462"/>
      <c r="AC2928" s="462"/>
      <c r="AD2928" s="464"/>
      <c r="AE2928" s="465"/>
    </row>
    <row r="2929" spans="27:31" ht="14.4">
      <c r="AA2929" s="463"/>
      <c r="AB2929" s="462"/>
      <c r="AC2929" s="462"/>
      <c r="AD2929" s="464"/>
      <c r="AE2929" s="465"/>
    </row>
    <row r="2930" spans="27:31" ht="14.4">
      <c r="AA2930" s="463"/>
      <c r="AB2930" s="462"/>
      <c r="AC2930" s="462"/>
      <c r="AD2930" s="464"/>
      <c r="AE2930" s="465"/>
    </row>
    <row r="2931" spans="27:31" ht="14.4">
      <c r="AA2931" s="463"/>
      <c r="AB2931" s="462"/>
      <c r="AC2931" s="462"/>
      <c r="AD2931" s="464"/>
      <c r="AE2931" s="465"/>
    </row>
    <row r="2932" spans="27:31" ht="14.4">
      <c r="AA2932" s="463"/>
      <c r="AB2932" s="462"/>
      <c r="AC2932" s="462"/>
      <c r="AD2932" s="464"/>
      <c r="AE2932" s="465"/>
    </row>
    <row r="2933" spans="27:31" ht="14.4">
      <c r="AA2933" s="463"/>
      <c r="AB2933" s="462"/>
      <c r="AC2933" s="462"/>
      <c r="AD2933" s="464"/>
      <c r="AE2933" s="465"/>
    </row>
    <row r="2934" spans="27:31" ht="14.4">
      <c r="AA2934" s="463"/>
      <c r="AB2934" s="462"/>
      <c r="AC2934" s="462"/>
      <c r="AD2934" s="464"/>
      <c r="AE2934" s="465"/>
    </row>
    <row r="2935" spans="27:31" ht="14.4">
      <c r="AA2935" s="463"/>
      <c r="AB2935" s="462"/>
      <c r="AC2935" s="462"/>
      <c r="AD2935" s="464"/>
      <c r="AE2935" s="465"/>
    </row>
    <row r="2936" spans="27:31" ht="14.4">
      <c r="AA2936" s="463"/>
      <c r="AB2936" s="462"/>
      <c r="AC2936" s="462"/>
      <c r="AD2936" s="464"/>
      <c r="AE2936" s="465"/>
    </row>
    <row r="2937" spans="27:31" ht="14.4">
      <c r="AA2937" s="463"/>
      <c r="AB2937" s="462"/>
      <c r="AC2937" s="462"/>
      <c r="AD2937" s="464"/>
      <c r="AE2937" s="465"/>
    </row>
    <row r="2938" spans="27:31" ht="14.4">
      <c r="AA2938" s="463"/>
      <c r="AB2938" s="462"/>
      <c r="AC2938" s="462"/>
      <c r="AD2938" s="464"/>
      <c r="AE2938" s="465"/>
    </row>
    <row r="2939" spans="27:31" ht="14.4">
      <c r="AA2939" s="463"/>
      <c r="AB2939" s="462"/>
      <c r="AC2939" s="462"/>
      <c r="AD2939" s="464"/>
      <c r="AE2939" s="465"/>
    </row>
    <row r="2940" spans="27:31" ht="14.4">
      <c r="AA2940" s="463"/>
      <c r="AB2940" s="462"/>
      <c r="AC2940" s="462"/>
      <c r="AD2940" s="464"/>
      <c r="AE2940" s="465"/>
    </row>
    <row r="2941" spans="27:31" ht="14.4">
      <c r="AA2941" s="463"/>
      <c r="AB2941" s="462"/>
      <c r="AC2941" s="462"/>
      <c r="AD2941" s="464"/>
      <c r="AE2941" s="465"/>
    </row>
    <row r="2942" spans="27:31" ht="14.4">
      <c r="AA2942" s="463"/>
      <c r="AB2942" s="462"/>
      <c r="AC2942" s="462"/>
      <c r="AD2942" s="464"/>
      <c r="AE2942" s="465"/>
    </row>
    <row r="2943" spans="27:31" ht="14.4">
      <c r="AA2943" s="463"/>
      <c r="AB2943" s="462"/>
      <c r="AC2943" s="462"/>
      <c r="AD2943" s="464"/>
      <c r="AE2943" s="465"/>
    </row>
    <row r="2944" spans="27:31" ht="14.4">
      <c r="AA2944" s="463"/>
      <c r="AB2944" s="462"/>
      <c r="AC2944" s="462"/>
      <c r="AD2944" s="464"/>
      <c r="AE2944" s="465"/>
    </row>
    <row r="2945" spans="27:31" ht="14.4">
      <c r="AA2945" s="463"/>
      <c r="AB2945" s="462"/>
      <c r="AC2945" s="462"/>
      <c r="AD2945" s="464"/>
      <c r="AE2945" s="465"/>
    </row>
    <row r="2946" spans="27:31" ht="14.4">
      <c r="AA2946" s="463"/>
      <c r="AB2946" s="462"/>
      <c r="AC2946" s="462"/>
      <c r="AD2946" s="464"/>
      <c r="AE2946" s="465"/>
    </row>
    <row r="2947" spans="27:31" ht="14.4">
      <c r="AA2947" s="463"/>
      <c r="AB2947" s="462"/>
      <c r="AC2947" s="462"/>
      <c r="AD2947" s="464"/>
      <c r="AE2947" s="465"/>
    </row>
    <row r="2948" spans="27:31" ht="14.4">
      <c r="AA2948" s="463"/>
      <c r="AB2948" s="462"/>
      <c r="AC2948" s="462"/>
      <c r="AD2948" s="464"/>
      <c r="AE2948" s="465"/>
    </row>
    <row r="2949" spans="27:31" ht="14.4">
      <c r="AA2949" s="463"/>
      <c r="AB2949" s="462"/>
      <c r="AC2949" s="462"/>
      <c r="AD2949" s="464"/>
      <c r="AE2949" s="465"/>
    </row>
    <row r="2950" spans="27:31" ht="14.4">
      <c r="AA2950" s="463"/>
      <c r="AB2950" s="462"/>
      <c r="AC2950" s="462"/>
      <c r="AD2950" s="464"/>
      <c r="AE2950" s="465"/>
    </row>
    <row r="2951" spans="27:31" ht="14.4">
      <c r="AA2951" s="463"/>
      <c r="AB2951" s="462"/>
      <c r="AC2951" s="462"/>
      <c r="AD2951" s="464"/>
      <c r="AE2951" s="465"/>
    </row>
    <row r="2952" spans="27:31" ht="14.4">
      <c r="AA2952" s="463"/>
      <c r="AB2952" s="462"/>
      <c r="AC2952" s="462"/>
      <c r="AD2952" s="464"/>
      <c r="AE2952" s="465"/>
    </row>
    <row r="2953" spans="27:31" ht="14.4">
      <c r="AA2953" s="463"/>
      <c r="AB2953" s="462"/>
      <c r="AC2953" s="462"/>
      <c r="AD2953" s="464"/>
      <c r="AE2953" s="465"/>
    </row>
    <row r="2954" spans="27:31" ht="14.4">
      <c r="AA2954" s="463"/>
      <c r="AB2954" s="462"/>
      <c r="AC2954" s="462"/>
      <c r="AD2954" s="464"/>
      <c r="AE2954" s="465"/>
    </row>
    <row r="2955" spans="27:31" ht="14.4">
      <c r="AA2955" s="463"/>
      <c r="AB2955" s="462"/>
      <c r="AC2955" s="462"/>
      <c r="AD2955" s="464"/>
      <c r="AE2955" s="465"/>
    </row>
    <row r="2956" spans="27:31" ht="14.4">
      <c r="AA2956" s="463"/>
      <c r="AB2956" s="462"/>
      <c r="AC2956" s="462"/>
      <c r="AD2956" s="464"/>
      <c r="AE2956" s="465"/>
    </row>
    <row r="2957" spans="27:31" ht="14.4">
      <c r="AA2957" s="463"/>
      <c r="AB2957" s="462"/>
      <c r="AC2957" s="462"/>
      <c r="AD2957" s="464"/>
      <c r="AE2957" s="465"/>
    </row>
    <row r="2958" spans="27:31" ht="14.4">
      <c r="AA2958" s="463"/>
      <c r="AB2958" s="462"/>
      <c r="AC2958" s="462"/>
      <c r="AD2958" s="464"/>
      <c r="AE2958" s="465"/>
    </row>
    <row r="2959" spans="27:31" ht="14.4">
      <c r="AA2959" s="463"/>
      <c r="AB2959" s="462"/>
      <c r="AC2959" s="462"/>
      <c r="AD2959" s="464"/>
      <c r="AE2959" s="465"/>
    </row>
    <row r="2960" spans="27:31" ht="14.4">
      <c r="AA2960" s="463"/>
      <c r="AB2960" s="462"/>
      <c r="AC2960" s="462"/>
      <c r="AD2960" s="464"/>
      <c r="AE2960" s="465"/>
    </row>
    <row r="2961" spans="27:31" ht="14.4">
      <c r="AA2961" s="463"/>
      <c r="AB2961" s="462"/>
      <c r="AC2961" s="462"/>
      <c r="AD2961" s="464"/>
      <c r="AE2961" s="465"/>
    </row>
    <row r="2962" spans="27:31" ht="14.4">
      <c r="AA2962" s="463"/>
      <c r="AB2962" s="462"/>
      <c r="AC2962" s="462"/>
      <c r="AD2962" s="464"/>
      <c r="AE2962" s="465"/>
    </row>
    <row r="2963" spans="27:31" ht="14.4">
      <c r="AA2963" s="463"/>
      <c r="AB2963" s="462"/>
      <c r="AC2963" s="462"/>
      <c r="AD2963" s="464"/>
      <c r="AE2963" s="465"/>
    </row>
    <row r="2964" spans="27:31" ht="14.4">
      <c r="AA2964" s="463"/>
      <c r="AB2964" s="462"/>
      <c r="AC2964" s="462"/>
      <c r="AD2964" s="464"/>
      <c r="AE2964" s="465"/>
    </row>
    <row r="2965" spans="27:31" ht="14.4">
      <c r="AA2965" s="463"/>
      <c r="AB2965" s="462"/>
      <c r="AC2965" s="462"/>
      <c r="AD2965" s="464"/>
      <c r="AE2965" s="465"/>
    </row>
    <row r="2966" spans="27:31" ht="14.4">
      <c r="AA2966" s="463"/>
      <c r="AB2966" s="462"/>
      <c r="AC2966" s="462"/>
      <c r="AD2966" s="464"/>
      <c r="AE2966" s="465"/>
    </row>
    <row r="2967" spans="27:31" ht="14.4">
      <c r="AA2967" s="463"/>
      <c r="AB2967" s="462"/>
      <c r="AC2967" s="462"/>
      <c r="AD2967" s="464"/>
      <c r="AE2967" s="465"/>
    </row>
    <row r="2968" spans="27:31" ht="14.4">
      <c r="AA2968" s="463"/>
      <c r="AB2968" s="462"/>
      <c r="AC2968" s="462"/>
      <c r="AD2968" s="464"/>
      <c r="AE2968" s="465"/>
    </row>
    <row r="2969" spans="27:31" ht="14.4">
      <c r="AA2969" s="463"/>
      <c r="AB2969" s="462"/>
      <c r="AC2969" s="462"/>
      <c r="AD2969" s="464"/>
      <c r="AE2969" s="465"/>
    </row>
    <row r="2970" spans="27:31" ht="14.4">
      <c r="AA2970" s="463"/>
      <c r="AB2970" s="462"/>
      <c r="AC2970" s="462"/>
      <c r="AD2970" s="464"/>
      <c r="AE2970" s="465"/>
    </row>
    <row r="2971" spans="27:31" ht="14.4">
      <c r="AA2971" s="463"/>
      <c r="AB2971" s="462"/>
      <c r="AC2971" s="462"/>
      <c r="AD2971" s="464"/>
      <c r="AE2971" s="465"/>
    </row>
    <row r="2972" spans="27:31" ht="14.4">
      <c r="AA2972" s="463"/>
      <c r="AB2972" s="462"/>
      <c r="AC2972" s="462"/>
      <c r="AD2972" s="464"/>
      <c r="AE2972" s="465"/>
    </row>
    <row r="2973" spans="27:31" ht="14.4">
      <c r="AA2973" s="463"/>
      <c r="AB2973" s="462"/>
      <c r="AC2973" s="462"/>
      <c r="AD2973" s="464"/>
      <c r="AE2973" s="465"/>
    </row>
    <row r="2974" spans="27:31" ht="14.4">
      <c r="AA2974" s="463"/>
      <c r="AB2974" s="462"/>
      <c r="AC2974" s="462"/>
      <c r="AD2974" s="464"/>
      <c r="AE2974" s="465"/>
    </row>
    <row r="2975" spans="27:31" ht="14.4">
      <c r="AA2975" s="463"/>
      <c r="AB2975" s="462"/>
      <c r="AC2975" s="462"/>
      <c r="AD2975" s="464"/>
      <c r="AE2975" s="465"/>
    </row>
    <row r="2976" spans="27:31" ht="14.4">
      <c r="AA2976" s="463"/>
      <c r="AB2976" s="462"/>
      <c r="AC2976" s="462"/>
      <c r="AD2976" s="464"/>
      <c r="AE2976" s="465"/>
    </row>
    <row r="2977" spans="27:31" ht="14.4">
      <c r="AA2977" s="463"/>
      <c r="AB2977" s="462"/>
      <c r="AC2977" s="462"/>
      <c r="AD2977" s="464"/>
      <c r="AE2977" s="465"/>
    </row>
    <row r="2978" spans="27:31" ht="14.4">
      <c r="AA2978" s="463"/>
      <c r="AB2978" s="462"/>
      <c r="AC2978" s="462"/>
      <c r="AD2978" s="464"/>
      <c r="AE2978" s="465"/>
    </row>
    <row r="2979" spans="27:31" ht="14.4">
      <c r="AA2979" s="463"/>
      <c r="AB2979" s="462"/>
      <c r="AC2979" s="462"/>
      <c r="AD2979" s="464"/>
      <c r="AE2979" s="465"/>
    </row>
    <row r="2980" spans="27:31" ht="14.4">
      <c r="AA2980" s="463"/>
      <c r="AB2980" s="462"/>
      <c r="AC2980" s="462"/>
      <c r="AD2980" s="464"/>
      <c r="AE2980" s="465"/>
    </row>
    <row r="2981" spans="27:31" ht="14.4">
      <c r="AA2981" s="463"/>
      <c r="AB2981" s="462"/>
      <c r="AC2981" s="462"/>
      <c r="AD2981" s="464"/>
      <c r="AE2981" s="465"/>
    </row>
    <row r="2982" spans="27:31" ht="14.4">
      <c r="AA2982" s="463"/>
      <c r="AB2982" s="462"/>
      <c r="AC2982" s="462"/>
      <c r="AD2982" s="464"/>
      <c r="AE2982" s="465"/>
    </row>
    <row r="2983" spans="27:31" ht="14.4">
      <c r="AA2983" s="463"/>
      <c r="AB2983" s="462"/>
      <c r="AC2983" s="462"/>
      <c r="AD2983" s="464"/>
      <c r="AE2983" s="465"/>
    </row>
    <row r="2984" spans="27:31" ht="14.4">
      <c r="AA2984" s="463"/>
      <c r="AB2984" s="462"/>
      <c r="AC2984" s="462"/>
      <c r="AD2984" s="464"/>
      <c r="AE2984" s="465"/>
    </row>
    <row r="2985" spans="27:31" ht="14.4">
      <c r="AA2985" s="463"/>
      <c r="AB2985" s="462"/>
      <c r="AC2985" s="462"/>
      <c r="AD2985" s="464"/>
      <c r="AE2985" s="465"/>
    </row>
    <row r="2986" spans="27:31" ht="14.4">
      <c r="AA2986" s="463"/>
      <c r="AB2986" s="462"/>
      <c r="AC2986" s="462"/>
      <c r="AD2986" s="464"/>
      <c r="AE2986" s="465"/>
    </row>
    <row r="2987" spans="27:31" ht="14.4">
      <c r="AA2987" s="463"/>
      <c r="AB2987" s="462"/>
      <c r="AC2987" s="462"/>
      <c r="AD2987" s="464"/>
      <c r="AE2987" s="465"/>
    </row>
    <row r="2988" spans="27:31" ht="14.4">
      <c r="AA2988" s="463"/>
      <c r="AB2988" s="462"/>
      <c r="AC2988" s="462"/>
      <c r="AD2988" s="464"/>
      <c r="AE2988" s="465"/>
    </row>
    <row r="2989" spans="27:31" ht="14.4">
      <c r="AA2989" s="463"/>
      <c r="AB2989" s="462"/>
      <c r="AC2989" s="462"/>
      <c r="AD2989" s="464"/>
      <c r="AE2989" s="465"/>
    </row>
    <row r="2990" spans="27:31" ht="14.4">
      <c r="AA2990" s="463"/>
      <c r="AB2990" s="462"/>
      <c r="AC2990" s="462"/>
      <c r="AD2990" s="464"/>
      <c r="AE2990" s="465"/>
    </row>
    <row r="2991" spans="27:31" ht="14.4">
      <c r="AA2991" s="463"/>
      <c r="AB2991" s="462"/>
      <c r="AC2991" s="462"/>
      <c r="AD2991" s="464"/>
      <c r="AE2991" s="465"/>
    </row>
    <row r="2992" spans="27:31" ht="14.4">
      <c r="AA2992" s="463"/>
      <c r="AB2992" s="462"/>
      <c r="AC2992" s="462"/>
      <c r="AD2992" s="464"/>
      <c r="AE2992" s="465"/>
    </row>
    <row r="2993" spans="27:31" ht="14.4">
      <c r="AA2993" s="463"/>
      <c r="AB2993" s="462"/>
      <c r="AC2993" s="462"/>
      <c r="AD2993" s="464"/>
      <c r="AE2993" s="465"/>
    </row>
    <row r="2994" spans="27:31" ht="14.4">
      <c r="AA2994" s="463"/>
      <c r="AB2994" s="462"/>
      <c r="AC2994" s="462"/>
      <c r="AD2994" s="464"/>
      <c r="AE2994" s="465"/>
    </row>
    <row r="2995" spans="27:31" ht="14.4">
      <c r="AA2995" s="463"/>
      <c r="AB2995" s="462"/>
      <c r="AC2995" s="462"/>
      <c r="AD2995" s="464"/>
      <c r="AE2995" s="465"/>
    </row>
    <row r="2996" spans="27:31" ht="14.4">
      <c r="AA2996" s="463"/>
      <c r="AB2996" s="462"/>
      <c r="AC2996" s="462"/>
      <c r="AD2996" s="464"/>
      <c r="AE2996" s="465"/>
    </row>
    <row r="2997" spans="27:31" ht="14.4">
      <c r="AA2997" s="463"/>
      <c r="AB2997" s="462"/>
      <c r="AC2997" s="462"/>
      <c r="AD2997" s="464"/>
      <c r="AE2997" s="465"/>
    </row>
    <row r="2998" spans="27:31" ht="14.4">
      <c r="AA2998" s="463"/>
      <c r="AB2998" s="462"/>
      <c r="AC2998" s="462"/>
      <c r="AD2998" s="464"/>
      <c r="AE2998" s="465"/>
    </row>
    <row r="2999" spans="27:31" ht="14.4">
      <c r="AA2999" s="463"/>
      <c r="AB2999" s="462"/>
      <c r="AC2999" s="462"/>
      <c r="AD2999" s="464"/>
      <c r="AE2999" s="465"/>
    </row>
    <row r="3000" spans="27:31" ht="14.4">
      <c r="AA3000" s="463"/>
      <c r="AB3000" s="462"/>
      <c r="AC3000" s="462"/>
      <c r="AD3000" s="464"/>
      <c r="AE3000" s="465"/>
    </row>
    <row r="3001" spans="27:31" ht="14.4">
      <c r="AA3001" s="463"/>
      <c r="AB3001" s="462"/>
      <c r="AC3001" s="462"/>
      <c r="AD3001" s="464"/>
      <c r="AE3001" s="465"/>
    </row>
    <row r="3002" spans="27:31" ht="14.4">
      <c r="AA3002" s="463"/>
      <c r="AB3002" s="462"/>
      <c r="AC3002" s="462"/>
      <c r="AD3002" s="464"/>
      <c r="AE3002" s="465"/>
    </row>
    <row r="3003" spans="27:31" ht="14.4">
      <c r="AA3003" s="463"/>
      <c r="AB3003" s="462"/>
      <c r="AC3003" s="462"/>
      <c r="AD3003" s="464"/>
      <c r="AE3003" s="465"/>
    </row>
    <row r="3004" spans="27:31" ht="14.4">
      <c r="AA3004" s="463"/>
      <c r="AB3004" s="462"/>
      <c r="AC3004" s="462"/>
      <c r="AD3004" s="464"/>
      <c r="AE3004" s="465"/>
    </row>
    <row r="3005" spans="27:31" ht="14.4">
      <c r="AA3005" s="463"/>
      <c r="AB3005" s="462"/>
      <c r="AC3005" s="462"/>
      <c r="AD3005" s="464"/>
      <c r="AE3005" s="465"/>
    </row>
    <row r="3006" spans="27:31" ht="14.4">
      <c r="AA3006" s="463"/>
      <c r="AB3006" s="462"/>
      <c r="AC3006" s="462"/>
      <c r="AD3006" s="464"/>
      <c r="AE3006" s="465"/>
    </row>
    <row r="3007" spans="27:31" ht="14.4">
      <c r="AA3007" s="463"/>
      <c r="AB3007" s="462"/>
      <c r="AC3007" s="462"/>
      <c r="AD3007" s="464"/>
      <c r="AE3007" s="465"/>
    </row>
    <row r="3008" spans="27:31" ht="14.4">
      <c r="AA3008" s="463"/>
      <c r="AB3008" s="462"/>
      <c r="AC3008" s="462"/>
      <c r="AD3008" s="464"/>
      <c r="AE3008" s="465"/>
    </row>
    <row r="3009" spans="27:31" ht="14.4">
      <c r="AA3009" s="463"/>
      <c r="AB3009" s="462"/>
      <c r="AC3009" s="462"/>
      <c r="AD3009" s="464"/>
      <c r="AE3009" s="465"/>
    </row>
    <row r="3010" spans="27:31" ht="14.4">
      <c r="AA3010" s="463"/>
      <c r="AB3010" s="462"/>
      <c r="AC3010" s="462"/>
      <c r="AD3010" s="464"/>
      <c r="AE3010" s="465"/>
    </row>
    <row r="3011" spans="27:31" ht="14.4">
      <c r="AA3011" s="463"/>
      <c r="AB3011" s="462"/>
      <c r="AC3011" s="462"/>
      <c r="AD3011" s="464"/>
      <c r="AE3011" s="465"/>
    </row>
    <row r="3012" spans="27:31" ht="14.4">
      <c r="AA3012" s="463"/>
      <c r="AB3012" s="462"/>
      <c r="AC3012" s="462"/>
      <c r="AD3012" s="464"/>
      <c r="AE3012" s="465"/>
    </row>
    <row r="3013" spans="27:31" ht="14.4">
      <c r="AA3013" s="463"/>
      <c r="AB3013" s="462"/>
      <c r="AC3013" s="462"/>
      <c r="AD3013" s="464"/>
      <c r="AE3013" s="465"/>
    </row>
    <row r="3014" spans="27:31" ht="14.4">
      <c r="AA3014" s="463"/>
      <c r="AB3014" s="462"/>
      <c r="AC3014" s="462"/>
      <c r="AD3014" s="464"/>
      <c r="AE3014" s="465"/>
    </row>
    <row r="3015" spans="27:31" ht="14.4">
      <c r="AA3015" s="463"/>
      <c r="AB3015" s="462"/>
      <c r="AC3015" s="462"/>
      <c r="AD3015" s="464"/>
      <c r="AE3015" s="465"/>
    </row>
    <row r="3016" spans="27:31" ht="14.4">
      <c r="AA3016" s="463"/>
      <c r="AB3016" s="462"/>
      <c r="AC3016" s="462"/>
      <c r="AD3016" s="464"/>
      <c r="AE3016" s="465"/>
    </row>
    <row r="3017" spans="27:31" ht="14.4">
      <c r="AA3017" s="463"/>
      <c r="AB3017" s="462"/>
      <c r="AC3017" s="462"/>
      <c r="AD3017" s="464"/>
      <c r="AE3017" s="465"/>
    </row>
    <row r="3018" spans="27:31" ht="14.4">
      <c r="AA3018" s="463"/>
      <c r="AB3018" s="462"/>
      <c r="AC3018" s="462"/>
      <c r="AD3018" s="464"/>
      <c r="AE3018" s="465"/>
    </row>
    <row r="3019" spans="27:31" ht="14.4">
      <c r="AA3019" s="463"/>
      <c r="AB3019" s="462"/>
      <c r="AC3019" s="462"/>
      <c r="AD3019" s="464"/>
      <c r="AE3019" s="465"/>
    </row>
    <row r="3020" spans="27:31" ht="14.4">
      <c r="AA3020" s="463"/>
      <c r="AB3020" s="462"/>
      <c r="AC3020" s="462"/>
      <c r="AD3020" s="464"/>
      <c r="AE3020" s="465"/>
    </row>
    <row r="3021" spans="27:31" ht="14.4">
      <c r="AA3021" s="463"/>
      <c r="AB3021" s="462"/>
      <c r="AC3021" s="462"/>
      <c r="AD3021" s="464"/>
      <c r="AE3021" s="465"/>
    </row>
    <row r="3022" spans="27:31" ht="14.4">
      <c r="AA3022" s="463"/>
      <c r="AB3022" s="462"/>
      <c r="AC3022" s="462"/>
      <c r="AD3022" s="464"/>
      <c r="AE3022" s="465"/>
    </row>
    <row r="3023" spans="27:31" ht="14.4">
      <c r="AA3023" s="463"/>
      <c r="AB3023" s="462"/>
      <c r="AC3023" s="462"/>
      <c r="AD3023" s="464"/>
      <c r="AE3023" s="465"/>
    </row>
    <row r="3024" spans="27:31" ht="14.4">
      <c r="AA3024" s="463"/>
      <c r="AB3024" s="462"/>
      <c r="AC3024" s="462"/>
      <c r="AD3024" s="464"/>
      <c r="AE3024" s="465"/>
    </row>
    <row r="3025" spans="27:31" ht="14.4">
      <c r="AA3025" s="463"/>
      <c r="AB3025" s="462"/>
      <c r="AC3025" s="462"/>
      <c r="AD3025" s="464"/>
      <c r="AE3025" s="465"/>
    </row>
    <row r="3026" spans="27:31" ht="14.4">
      <c r="AA3026" s="463"/>
      <c r="AB3026" s="462"/>
      <c r="AC3026" s="462"/>
      <c r="AD3026" s="464"/>
      <c r="AE3026" s="465"/>
    </row>
    <row r="3027" spans="27:31" ht="14.4">
      <c r="AA3027" s="463"/>
      <c r="AB3027" s="462"/>
      <c r="AC3027" s="462"/>
      <c r="AD3027" s="464"/>
      <c r="AE3027" s="465"/>
    </row>
    <row r="3028" spans="27:31" ht="14.4">
      <c r="AA3028" s="463"/>
      <c r="AB3028" s="462"/>
      <c r="AC3028" s="462"/>
      <c r="AD3028" s="464"/>
      <c r="AE3028" s="465"/>
    </row>
    <row r="3029" spans="27:31" ht="14.4">
      <c r="AA3029" s="463"/>
      <c r="AB3029" s="462"/>
      <c r="AC3029" s="462"/>
      <c r="AD3029" s="464"/>
      <c r="AE3029" s="465"/>
    </row>
    <row r="3030" spans="27:31" ht="14.4">
      <c r="AA3030" s="463"/>
      <c r="AB3030" s="462"/>
      <c r="AC3030" s="462"/>
      <c r="AD3030" s="464"/>
      <c r="AE3030" s="465"/>
    </row>
    <row r="3031" spans="27:31" ht="14.4">
      <c r="AA3031" s="463"/>
      <c r="AB3031" s="462"/>
      <c r="AC3031" s="462"/>
      <c r="AD3031" s="464"/>
      <c r="AE3031" s="465"/>
    </row>
    <row r="3032" spans="27:31" ht="14.4">
      <c r="AA3032" s="463"/>
      <c r="AB3032" s="462"/>
      <c r="AC3032" s="462"/>
      <c r="AD3032" s="464"/>
      <c r="AE3032" s="465"/>
    </row>
    <row r="3033" spans="27:31" ht="14.4">
      <c r="AA3033" s="463"/>
      <c r="AB3033" s="462"/>
      <c r="AC3033" s="462"/>
      <c r="AD3033" s="464"/>
      <c r="AE3033" s="465"/>
    </row>
    <row r="3034" spans="27:31" ht="14.4">
      <c r="AA3034" s="463"/>
      <c r="AB3034" s="462"/>
      <c r="AC3034" s="462"/>
      <c r="AD3034" s="464"/>
      <c r="AE3034" s="465"/>
    </row>
    <row r="3035" spans="27:31" ht="14.4">
      <c r="AA3035" s="463"/>
      <c r="AB3035" s="462"/>
      <c r="AC3035" s="462"/>
      <c r="AD3035" s="464"/>
      <c r="AE3035" s="465"/>
    </row>
    <row r="3036" spans="27:31" ht="14.4">
      <c r="AA3036" s="463"/>
      <c r="AB3036" s="462"/>
      <c r="AC3036" s="462"/>
      <c r="AD3036" s="464"/>
      <c r="AE3036" s="465"/>
    </row>
    <row r="3037" spans="27:31" ht="14.4">
      <c r="AA3037" s="463"/>
      <c r="AB3037" s="462"/>
      <c r="AC3037" s="462"/>
      <c r="AD3037" s="464"/>
      <c r="AE3037" s="465"/>
    </row>
    <row r="3038" spans="27:31" ht="14.4">
      <c r="AA3038" s="463"/>
      <c r="AB3038" s="462"/>
      <c r="AC3038" s="462"/>
      <c r="AD3038" s="464"/>
      <c r="AE3038" s="465"/>
    </row>
    <row r="3039" spans="27:31" ht="14.4">
      <c r="AA3039" s="463"/>
      <c r="AB3039" s="462"/>
      <c r="AC3039" s="462"/>
      <c r="AD3039" s="464"/>
      <c r="AE3039" s="465"/>
    </row>
    <row r="3040" spans="27:31" ht="14.4">
      <c r="AA3040" s="463"/>
      <c r="AB3040" s="462"/>
      <c r="AC3040" s="462"/>
      <c r="AD3040" s="464"/>
      <c r="AE3040" s="465"/>
    </row>
    <row r="3041" spans="27:31" ht="14.4">
      <c r="AA3041" s="463"/>
      <c r="AB3041" s="462"/>
      <c r="AC3041" s="462"/>
      <c r="AD3041" s="464"/>
      <c r="AE3041" s="465"/>
    </row>
    <row r="3042" spans="27:31" ht="14.4">
      <c r="AA3042" s="463"/>
      <c r="AB3042" s="462"/>
      <c r="AC3042" s="462"/>
      <c r="AD3042" s="464"/>
      <c r="AE3042" s="465"/>
    </row>
    <row r="3043" spans="27:31" ht="14.4">
      <c r="AA3043" s="463"/>
      <c r="AB3043" s="462"/>
      <c r="AC3043" s="462"/>
      <c r="AD3043" s="464"/>
      <c r="AE3043" s="465"/>
    </row>
    <row r="3044" spans="27:31" ht="14.4">
      <c r="AA3044" s="463"/>
      <c r="AB3044" s="462"/>
      <c r="AC3044" s="462"/>
      <c r="AD3044" s="464"/>
      <c r="AE3044" s="465"/>
    </row>
    <row r="3045" spans="27:31" ht="14.4">
      <c r="AA3045" s="463"/>
      <c r="AB3045" s="462"/>
      <c r="AC3045" s="462"/>
      <c r="AD3045" s="464"/>
      <c r="AE3045" s="465"/>
    </row>
    <row r="3046" spans="27:31" ht="14.4">
      <c r="AA3046" s="463"/>
      <c r="AB3046" s="462"/>
      <c r="AC3046" s="462"/>
      <c r="AD3046" s="464"/>
      <c r="AE3046" s="465"/>
    </row>
    <row r="3047" spans="27:31" ht="14.4">
      <c r="AA3047" s="463"/>
      <c r="AB3047" s="462"/>
      <c r="AC3047" s="462"/>
      <c r="AD3047" s="464"/>
      <c r="AE3047" s="465"/>
    </row>
    <row r="3048" spans="27:31" ht="14.4">
      <c r="AA3048" s="463"/>
      <c r="AB3048" s="462"/>
      <c r="AC3048" s="462"/>
      <c r="AD3048" s="464"/>
      <c r="AE3048" s="465"/>
    </row>
    <row r="3049" spans="27:31" ht="14.4">
      <c r="AA3049" s="463"/>
      <c r="AB3049" s="462"/>
      <c r="AC3049" s="462"/>
      <c r="AD3049" s="464"/>
      <c r="AE3049" s="465"/>
    </row>
    <row r="3050" spans="27:31" ht="14.4">
      <c r="AA3050" s="463"/>
      <c r="AB3050" s="462"/>
      <c r="AC3050" s="462"/>
      <c r="AD3050" s="464"/>
      <c r="AE3050" s="465"/>
    </row>
    <row r="3051" spans="27:31" ht="14.4">
      <c r="AA3051" s="463"/>
      <c r="AB3051" s="462"/>
      <c r="AC3051" s="462"/>
      <c r="AD3051" s="464"/>
      <c r="AE3051" s="465"/>
    </row>
    <row r="3052" spans="27:31" ht="14.4">
      <c r="AA3052" s="463"/>
      <c r="AB3052" s="462"/>
      <c r="AC3052" s="462"/>
      <c r="AD3052" s="464"/>
      <c r="AE3052" s="465"/>
    </row>
    <row r="3053" spans="27:31" ht="14.4">
      <c r="AA3053" s="463"/>
      <c r="AB3053" s="462"/>
      <c r="AC3053" s="462"/>
      <c r="AD3053" s="464"/>
      <c r="AE3053" s="465"/>
    </row>
    <row r="3054" spans="27:31" ht="14.4">
      <c r="AA3054" s="463"/>
      <c r="AB3054" s="462"/>
      <c r="AC3054" s="462"/>
      <c r="AD3054" s="464"/>
      <c r="AE3054" s="465"/>
    </row>
    <row r="3055" spans="27:31" ht="14.4">
      <c r="AA3055" s="463"/>
      <c r="AB3055" s="462"/>
      <c r="AC3055" s="462"/>
      <c r="AD3055" s="464"/>
      <c r="AE3055" s="465"/>
    </row>
    <row r="3056" spans="27:31" ht="14.4">
      <c r="AA3056" s="463"/>
      <c r="AB3056" s="462"/>
      <c r="AC3056" s="462"/>
      <c r="AD3056" s="464"/>
      <c r="AE3056" s="465"/>
    </row>
    <row r="3057" spans="27:31" ht="14.4">
      <c r="AA3057" s="463"/>
      <c r="AB3057" s="462"/>
      <c r="AC3057" s="462"/>
      <c r="AD3057" s="464"/>
      <c r="AE3057" s="465"/>
    </row>
    <row r="3058" spans="27:31" ht="14.4">
      <c r="AA3058" s="463"/>
      <c r="AB3058" s="462"/>
      <c r="AC3058" s="462"/>
      <c r="AD3058" s="464"/>
      <c r="AE3058" s="465"/>
    </row>
    <row r="3059" spans="27:31" ht="14.4">
      <c r="AA3059" s="463"/>
      <c r="AB3059" s="462"/>
      <c r="AC3059" s="462"/>
      <c r="AD3059" s="464"/>
      <c r="AE3059" s="465"/>
    </row>
    <row r="3060" spans="27:31" ht="14.4">
      <c r="AA3060" s="463"/>
      <c r="AB3060" s="462"/>
      <c r="AC3060" s="462"/>
      <c r="AD3060" s="464"/>
      <c r="AE3060" s="465"/>
    </row>
    <row r="3061" spans="27:31" ht="14.4">
      <c r="AA3061" s="463"/>
      <c r="AB3061" s="462"/>
      <c r="AC3061" s="462"/>
      <c r="AD3061" s="464"/>
      <c r="AE3061" s="465"/>
    </row>
    <row r="3062" spans="27:31" ht="14.4">
      <c r="AA3062" s="463"/>
      <c r="AB3062" s="462"/>
      <c r="AC3062" s="462"/>
      <c r="AD3062" s="464"/>
      <c r="AE3062" s="465"/>
    </row>
    <row r="3063" spans="27:31" ht="14.4">
      <c r="AA3063" s="463"/>
      <c r="AB3063" s="462"/>
      <c r="AC3063" s="462"/>
      <c r="AD3063" s="464"/>
      <c r="AE3063" s="465"/>
    </row>
    <row r="3064" spans="27:31" ht="14.4">
      <c r="AA3064" s="463"/>
      <c r="AB3064" s="462"/>
      <c r="AC3064" s="462"/>
      <c r="AD3064" s="464"/>
      <c r="AE3064" s="465"/>
    </row>
    <row r="3065" spans="27:31" ht="14.4">
      <c r="AA3065" s="463"/>
      <c r="AB3065" s="462"/>
      <c r="AC3065" s="462"/>
      <c r="AD3065" s="464"/>
      <c r="AE3065" s="465"/>
    </row>
    <row r="3066" spans="27:31" ht="14.4">
      <c r="AA3066" s="463"/>
      <c r="AB3066" s="462"/>
      <c r="AC3066" s="462"/>
      <c r="AD3066" s="464"/>
      <c r="AE3066" s="465"/>
    </row>
    <row r="3067" spans="27:31" ht="14.4">
      <c r="AA3067" s="463"/>
      <c r="AB3067" s="462"/>
      <c r="AC3067" s="462"/>
      <c r="AD3067" s="464"/>
      <c r="AE3067" s="465"/>
    </row>
    <row r="3068" spans="27:31" ht="14.4">
      <c r="AA3068" s="463"/>
      <c r="AB3068" s="462"/>
      <c r="AC3068" s="462"/>
      <c r="AD3068" s="464"/>
      <c r="AE3068" s="465"/>
    </row>
    <row r="3069" spans="27:31" ht="14.4">
      <c r="AA3069" s="463"/>
      <c r="AB3069" s="462"/>
      <c r="AC3069" s="462"/>
      <c r="AD3069" s="464"/>
      <c r="AE3069" s="465"/>
    </row>
    <row r="3070" spans="27:31" ht="14.4">
      <c r="AA3070" s="463"/>
      <c r="AB3070" s="462"/>
      <c r="AC3070" s="462"/>
      <c r="AD3070" s="464"/>
      <c r="AE3070" s="465"/>
    </row>
    <row r="3071" spans="27:31" ht="14.4">
      <c r="AA3071" s="463"/>
      <c r="AB3071" s="462"/>
      <c r="AC3071" s="462"/>
      <c r="AD3071" s="464"/>
      <c r="AE3071" s="465"/>
    </row>
    <row r="3072" spans="27:31" ht="14.4">
      <c r="AA3072" s="463"/>
      <c r="AB3072" s="462"/>
      <c r="AC3072" s="462"/>
      <c r="AD3072" s="464"/>
      <c r="AE3072" s="465"/>
    </row>
    <row r="3073" spans="27:31" ht="14.4">
      <c r="AA3073" s="463"/>
      <c r="AB3073" s="462"/>
      <c r="AC3073" s="462"/>
      <c r="AD3073" s="464"/>
      <c r="AE3073" s="465"/>
    </row>
    <row r="3074" spans="27:31" ht="14.4">
      <c r="AA3074" s="463"/>
      <c r="AB3074" s="462"/>
      <c r="AC3074" s="462"/>
      <c r="AD3074" s="464"/>
      <c r="AE3074" s="465"/>
    </row>
    <row r="3075" spans="27:31" ht="14.4">
      <c r="AA3075" s="463"/>
      <c r="AB3075" s="462"/>
      <c r="AC3075" s="462"/>
      <c r="AD3075" s="464"/>
      <c r="AE3075" s="465"/>
    </row>
    <row r="3076" spans="27:31" ht="14.4">
      <c r="AA3076" s="463"/>
      <c r="AB3076" s="462"/>
      <c r="AC3076" s="462"/>
      <c r="AD3076" s="464"/>
      <c r="AE3076" s="465"/>
    </row>
    <row r="3077" spans="27:31" ht="14.4">
      <c r="AA3077" s="463"/>
      <c r="AB3077" s="462"/>
      <c r="AC3077" s="462"/>
      <c r="AD3077" s="464"/>
      <c r="AE3077" s="465"/>
    </row>
    <row r="3078" spans="27:31" ht="14.4">
      <c r="AA3078" s="463"/>
      <c r="AB3078" s="462"/>
      <c r="AC3078" s="462"/>
      <c r="AD3078" s="464"/>
      <c r="AE3078" s="465"/>
    </row>
    <row r="3079" spans="27:31" ht="14.4">
      <c r="AA3079" s="463"/>
      <c r="AB3079" s="462"/>
      <c r="AC3079" s="462"/>
      <c r="AD3079" s="464"/>
      <c r="AE3079" s="465"/>
    </row>
    <row r="3080" spans="27:31" ht="14.4">
      <c r="AA3080" s="463"/>
      <c r="AB3080" s="462"/>
      <c r="AC3080" s="462"/>
      <c r="AD3080" s="464"/>
      <c r="AE3080" s="465"/>
    </row>
    <row r="3081" spans="27:31" ht="14.4">
      <c r="AA3081" s="463"/>
      <c r="AB3081" s="462"/>
      <c r="AC3081" s="462"/>
      <c r="AD3081" s="464"/>
      <c r="AE3081" s="465"/>
    </row>
    <row r="3082" spans="27:31" ht="14.4">
      <c r="AA3082" s="463"/>
      <c r="AB3082" s="462"/>
      <c r="AC3082" s="462"/>
      <c r="AD3082" s="464"/>
      <c r="AE3082" s="465"/>
    </row>
    <row r="3083" spans="27:31" ht="14.4">
      <c r="AA3083" s="463"/>
      <c r="AB3083" s="462"/>
      <c r="AC3083" s="462"/>
      <c r="AD3083" s="464"/>
      <c r="AE3083" s="465"/>
    </row>
    <row r="3084" spans="27:31" ht="14.4">
      <c r="AA3084" s="463"/>
      <c r="AB3084" s="462"/>
      <c r="AC3084" s="462"/>
      <c r="AD3084" s="464"/>
      <c r="AE3084" s="465"/>
    </row>
    <row r="3085" spans="27:31" ht="14.4">
      <c r="AA3085" s="463"/>
      <c r="AB3085" s="462"/>
      <c r="AC3085" s="462"/>
      <c r="AD3085" s="464"/>
      <c r="AE3085" s="465"/>
    </row>
    <row r="3086" spans="27:31" ht="14.4">
      <c r="AA3086" s="463"/>
      <c r="AB3086" s="462"/>
      <c r="AC3086" s="462"/>
      <c r="AD3086" s="464"/>
      <c r="AE3086" s="465"/>
    </row>
    <row r="3087" spans="27:31" ht="14.4">
      <c r="AA3087" s="463"/>
      <c r="AB3087" s="462"/>
      <c r="AC3087" s="462"/>
      <c r="AD3087" s="464"/>
      <c r="AE3087" s="465"/>
    </row>
    <row r="3088" spans="27:31" ht="14.4">
      <c r="AA3088" s="463"/>
      <c r="AB3088" s="462"/>
      <c r="AC3088" s="462"/>
      <c r="AD3088" s="464"/>
      <c r="AE3088" s="465"/>
    </row>
    <row r="3089" spans="27:31" ht="14.4">
      <c r="AA3089" s="463"/>
      <c r="AB3089" s="462"/>
      <c r="AC3089" s="462"/>
      <c r="AD3089" s="464"/>
      <c r="AE3089" s="465"/>
    </row>
    <row r="3090" spans="27:31" ht="14.4">
      <c r="AA3090" s="463"/>
      <c r="AB3090" s="462"/>
      <c r="AC3090" s="462"/>
      <c r="AD3090" s="464"/>
      <c r="AE3090" s="465"/>
    </row>
    <row r="3091" spans="27:31" ht="14.4">
      <c r="AA3091" s="463"/>
      <c r="AB3091" s="462"/>
      <c r="AC3091" s="462"/>
      <c r="AD3091" s="464"/>
      <c r="AE3091" s="465"/>
    </row>
    <row r="3092" spans="27:31" ht="14.4">
      <c r="AA3092" s="463"/>
      <c r="AB3092" s="462"/>
      <c r="AC3092" s="462"/>
      <c r="AD3092" s="464"/>
      <c r="AE3092" s="465"/>
    </row>
    <row r="3093" spans="27:31" ht="14.4">
      <c r="AA3093" s="463"/>
      <c r="AB3093" s="462"/>
      <c r="AC3093" s="462"/>
      <c r="AD3093" s="464"/>
      <c r="AE3093" s="465"/>
    </row>
    <row r="3094" spans="27:31" ht="14.4">
      <c r="AA3094" s="463"/>
      <c r="AB3094" s="462"/>
      <c r="AC3094" s="462"/>
      <c r="AD3094" s="464"/>
      <c r="AE3094" s="465"/>
    </row>
    <row r="3095" spans="27:31" ht="14.4">
      <c r="AA3095" s="463"/>
      <c r="AB3095" s="462"/>
      <c r="AC3095" s="462"/>
      <c r="AD3095" s="464"/>
      <c r="AE3095" s="465"/>
    </row>
    <row r="3096" spans="27:31" ht="14.4">
      <c r="AA3096" s="463"/>
      <c r="AB3096" s="462"/>
      <c r="AC3096" s="462"/>
      <c r="AD3096" s="464"/>
      <c r="AE3096" s="465"/>
    </row>
    <row r="3097" spans="27:31" ht="14.4">
      <c r="AA3097" s="463"/>
      <c r="AB3097" s="462"/>
      <c r="AC3097" s="462"/>
      <c r="AD3097" s="464"/>
      <c r="AE3097" s="465"/>
    </row>
    <row r="3098" spans="27:31" ht="14.4">
      <c r="AA3098" s="463"/>
      <c r="AB3098" s="462"/>
      <c r="AC3098" s="462"/>
      <c r="AD3098" s="464"/>
      <c r="AE3098" s="465"/>
    </row>
    <row r="3099" spans="27:31" ht="14.4">
      <c r="AA3099" s="463"/>
      <c r="AB3099" s="462"/>
      <c r="AC3099" s="462"/>
      <c r="AD3099" s="464"/>
      <c r="AE3099" s="465"/>
    </row>
    <row r="3100" spans="27:31" ht="14.4">
      <c r="AA3100" s="463"/>
      <c r="AB3100" s="462"/>
      <c r="AC3100" s="462"/>
      <c r="AD3100" s="464"/>
      <c r="AE3100" s="465"/>
    </row>
    <row r="3101" spans="27:31" ht="14.4">
      <c r="AA3101" s="463"/>
      <c r="AB3101" s="462"/>
      <c r="AC3101" s="462"/>
      <c r="AD3101" s="464"/>
      <c r="AE3101" s="465"/>
    </row>
    <row r="3102" spans="27:31" ht="14.4">
      <c r="AA3102" s="463"/>
      <c r="AB3102" s="462"/>
      <c r="AC3102" s="462"/>
      <c r="AD3102" s="464"/>
      <c r="AE3102" s="465"/>
    </row>
    <row r="3103" spans="27:31" ht="14.4">
      <c r="AA3103" s="463"/>
      <c r="AB3103" s="462"/>
      <c r="AC3103" s="462"/>
      <c r="AD3103" s="464"/>
      <c r="AE3103" s="465"/>
    </row>
    <row r="3104" spans="27:31" ht="14.4">
      <c r="AA3104" s="463"/>
      <c r="AB3104" s="462"/>
      <c r="AC3104" s="462"/>
      <c r="AD3104" s="464"/>
      <c r="AE3104" s="465"/>
    </row>
    <row r="3105" spans="27:31" ht="14.4">
      <c r="AA3105" s="463"/>
      <c r="AB3105" s="462"/>
      <c r="AC3105" s="462"/>
      <c r="AD3105" s="464"/>
      <c r="AE3105" s="465"/>
    </row>
    <row r="3106" spans="27:31" ht="14.4">
      <c r="AA3106" s="463"/>
      <c r="AB3106" s="462"/>
      <c r="AC3106" s="462"/>
      <c r="AD3106" s="464"/>
      <c r="AE3106" s="465"/>
    </row>
    <row r="3107" spans="27:31" ht="14.4">
      <c r="AA3107" s="463"/>
      <c r="AB3107" s="462"/>
      <c r="AC3107" s="462"/>
      <c r="AD3107" s="464"/>
      <c r="AE3107" s="465"/>
    </row>
    <row r="3108" spans="27:31" ht="14.4">
      <c r="AA3108" s="463"/>
      <c r="AB3108" s="462"/>
      <c r="AC3108" s="462"/>
      <c r="AD3108" s="464"/>
      <c r="AE3108" s="465"/>
    </row>
    <row r="3109" spans="27:31" ht="14.4">
      <c r="AA3109" s="463"/>
      <c r="AB3109" s="462"/>
      <c r="AC3109" s="462"/>
      <c r="AD3109" s="464"/>
      <c r="AE3109" s="465"/>
    </row>
    <row r="3110" spans="27:31" ht="14.4">
      <c r="AA3110" s="463"/>
      <c r="AB3110" s="462"/>
      <c r="AC3110" s="462"/>
      <c r="AD3110" s="464"/>
      <c r="AE3110" s="465"/>
    </row>
    <row r="3111" spans="27:31" ht="14.4">
      <c r="AA3111" s="463"/>
      <c r="AB3111" s="462"/>
      <c r="AC3111" s="462"/>
      <c r="AD3111" s="464"/>
      <c r="AE3111" s="465"/>
    </row>
    <row r="3112" spans="27:31" ht="14.4">
      <c r="AA3112" s="463"/>
      <c r="AB3112" s="462"/>
      <c r="AC3112" s="462"/>
      <c r="AD3112" s="464"/>
      <c r="AE3112" s="465"/>
    </row>
    <row r="3113" spans="27:31" ht="14.4">
      <c r="AA3113" s="463"/>
      <c r="AB3113" s="462"/>
      <c r="AC3113" s="462"/>
      <c r="AD3113" s="464"/>
      <c r="AE3113" s="465"/>
    </row>
    <row r="3114" spans="27:31" ht="14.4">
      <c r="AA3114" s="463"/>
      <c r="AB3114" s="462"/>
      <c r="AC3114" s="462"/>
      <c r="AD3114" s="464"/>
      <c r="AE3114" s="465"/>
    </row>
    <row r="3115" spans="27:31" ht="14.4">
      <c r="AA3115" s="463"/>
      <c r="AB3115" s="462"/>
      <c r="AC3115" s="462"/>
      <c r="AD3115" s="464"/>
      <c r="AE3115" s="465"/>
    </row>
    <row r="3116" spans="27:31" ht="14.4">
      <c r="AA3116" s="463"/>
      <c r="AB3116" s="462"/>
      <c r="AC3116" s="462"/>
      <c r="AD3116" s="464"/>
      <c r="AE3116" s="465"/>
    </row>
    <row r="3117" spans="27:31" ht="14.4">
      <c r="AA3117" s="463"/>
      <c r="AB3117" s="462"/>
      <c r="AC3117" s="462"/>
      <c r="AD3117" s="464"/>
      <c r="AE3117" s="465"/>
    </row>
    <row r="3118" spans="27:31" ht="14.4">
      <c r="AA3118" s="463"/>
      <c r="AB3118" s="462"/>
      <c r="AC3118" s="462"/>
      <c r="AD3118" s="464"/>
      <c r="AE3118" s="465"/>
    </row>
    <row r="3119" spans="27:31" ht="14.4">
      <c r="AA3119" s="463"/>
      <c r="AB3119" s="462"/>
      <c r="AC3119" s="462"/>
      <c r="AD3119" s="464"/>
      <c r="AE3119" s="465"/>
    </row>
    <row r="3120" spans="27:31" ht="14.4">
      <c r="AA3120" s="463"/>
      <c r="AB3120" s="462"/>
      <c r="AC3120" s="462"/>
      <c r="AD3120" s="464"/>
      <c r="AE3120" s="465"/>
    </row>
    <row r="3121" spans="27:31" ht="14.4">
      <c r="AA3121" s="463"/>
      <c r="AB3121" s="462"/>
      <c r="AC3121" s="462"/>
      <c r="AD3121" s="464"/>
      <c r="AE3121" s="465"/>
    </row>
    <row r="3122" spans="27:31" ht="14.4">
      <c r="AA3122" s="463"/>
      <c r="AB3122" s="462"/>
      <c r="AC3122" s="462"/>
      <c r="AD3122" s="464"/>
      <c r="AE3122" s="465"/>
    </row>
    <row r="3123" spans="27:31" ht="14.4">
      <c r="AA3123" s="463"/>
      <c r="AB3123" s="462"/>
      <c r="AC3123" s="462"/>
      <c r="AD3123" s="464"/>
      <c r="AE3123" s="465"/>
    </row>
    <row r="3124" spans="27:31" ht="14.4">
      <c r="AA3124" s="463"/>
      <c r="AB3124" s="462"/>
      <c r="AC3124" s="462"/>
      <c r="AD3124" s="464"/>
      <c r="AE3124" s="465"/>
    </row>
    <row r="3125" spans="27:31" ht="14.4">
      <c r="AA3125" s="463"/>
      <c r="AB3125" s="462"/>
      <c r="AC3125" s="462"/>
      <c r="AD3125" s="464"/>
      <c r="AE3125" s="465"/>
    </row>
    <row r="3126" spans="27:31" ht="14.4">
      <c r="AA3126" s="463"/>
      <c r="AB3126" s="462"/>
      <c r="AC3126" s="462"/>
      <c r="AD3126" s="464"/>
      <c r="AE3126" s="465"/>
    </row>
    <row r="3127" spans="27:31" ht="14.4">
      <c r="AA3127" s="463"/>
      <c r="AB3127" s="462"/>
      <c r="AC3127" s="462"/>
      <c r="AD3127" s="464"/>
      <c r="AE3127" s="465"/>
    </row>
    <row r="3128" spans="27:31" ht="14.4">
      <c r="AA3128" s="463"/>
      <c r="AB3128" s="462"/>
      <c r="AC3128" s="462"/>
      <c r="AD3128" s="464"/>
      <c r="AE3128" s="465"/>
    </row>
    <row r="3129" spans="27:31" ht="14.4">
      <c r="AA3129" s="463"/>
      <c r="AB3129" s="462"/>
      <c r="AC3129" s="462"/>
      <c r="AD3129" s="464"/>
      <c r="AE3129" s="465"/>
    </row>
    <row r="3130" spans="27:31" ht="14.4">
      <c r="AA3130" s="463"/>
      <c r="AB3130" s="462"/>
      <c r="AC3130" s="462"/>
      <c r="AD3130" s="464"/>
      <c r="AE3130" s="465"/>
    </row>
    <row r="3131" spans="27:31" ht="14.4">
      <c r="AA3131" s="463"/>
      <c r="AB3131" s="462"/>
      <c r="AC3131" s="462"/>
      <c r="AD3131" s="464"/>
      <c r="AE3131" s="465"/>
    </row>
    <row r="3132" spans="27:31" ht="14.4">
      <c r="AA3132" s="463"/>
      <c r="AB3132" s="462"/>
      <c r="AC3132" s="462"/>
      <c r="AD3132" s="464"/>
      <c r="AE3132" s="465"/>
    </row>
    <row r="3133" spans="27:31" ht="14.4">
      <c r="AA3133" s="463"/>
      <c r="AB3133" s="462"/>
      <c r="AC3133" s="462"/>
      <c r="AD3133" s="464"/>
      <c r="AE3133" s="465"/>
    </row>
    <row r="3134" spans="27:31" ht="14.4">
      <c r="AA3134" s="463"/>
      <c r="AB3134" s="462"/>
      <c r="AC3134" s="462"/>
      <c r="AD3134" s="464"/>
      <c r="AE3134" s="465"/>
    </row>
    <row r="3135" spans="27:31" ht="14.4">
      <c r="AA3135" s="463"/>
      <c r="AB3135" s="462"/>
      <c r="AC3135" s="462"/>
      <c r="AD3135" s="464"/>
      <c r="AE3135" s="465"/>
    </row>
    <row r="3136" spans="27:31" ht="14.4">
      <c r="AA3136" s="463"/>
      <c r="AB3136" s="462"/>
      <c r="AC3136" s="462"/>
      <c r="AD3136" s="464"/>
      <c r="AE3136" s="465"/>
    </row>
    <row r="3137" spans="27:31" ht="14.4">
      <c r="AA3137" s="463"/>
      <c r="AB3137" s="462"/>
      <c r="AC3137" s="462"/>
      <c r="AD3137" s="464"/>
      <c r="AE3137" s="465"/>
    </row>
    <row r="3138" spans="27:31" ht="14.4">
      <c r="AA3138" s="463"/>
      <c r="AB3138" s="462"/>
      <c r="AC3138" s="462"/>
      <c r="AD3138" s="464"/>
      <c r="AE3138" s="465"/>
    </row>
    <row r="3139" spans="27:31" ht="14.4">
      <c r="AA3139" s="463"/>
      <c r="AB3139" s="462"/>
      <c r="AC3139" s="462"/>
      <c r="AD3139" s="464"/>
      <c r="AE3139" s="465"/>
    </row>
    <row r="3140" spans="27:31" ht="14.4">
      <c r="AA3140" s="463"/>
      <c r="AB3140" s="462"/>
      <c r="AC3140" s="462"/>
      <c r="AD3140" s="464"/>
      <c r="AE3140" s="465"/>
    </row>
    <row r="3141" spans="27:31" ht="14.4">
      <c r="AA3141" s="463"/>
      <c r="AB3141" s="462"/>
      <c r="AC3141" s="462"/>
      <c r="AD3141" s="464"/>
      <c r="AE3141" s="465"/>
    </row>
    <row r="3142" spans="27:31" ht="14.4">
      <c r="AA3142" s="463"/>
      <c r="AB3142" s="462"/>
      <c r="AC3142" s="462"/>
      <c r="AD3142" s="464"/>
      <c r="AE3142" s="465"/>
    </row>
    <row r="3143" spans="27:31" ht="14.4">
      <c r="AA3143" s="463"/>
      <c r="AB3143" s="462"/>
      <c r="AC3143" s="462"/>
      <c r="AD3143" s="464"/>
      <c r="AE3143" s="465"/>
    </row>
    <row r="3144" spans="27:31" ht="14.4">
      <c r="AA3144" s="463"/>
      <c r="AB3144" s="462"/>
      <c r="AC3144" s="462"/>
      <c r="AD3144" s="464"/>
      <c r="AE3144" s="465"/>
    </row>
    <row r="3145" spans="27:31" ht="14.4">
      <c r="AA3145" s="463"/>
      <c r="AB3145" s="462"/>
      <c r="AC3145" s="462"/>
      <c r="AD3145" s="464"/>
      <c r="AE3145" s="465"/>
    </row>
    <row r="3146" spans="27:31" ht="14.4">
      <c r="AA3146" s="463"/>
      <c r="AB3146" s="462"/>
      <c r="AC3146" s="462"/>
      <c r="AD3146" s="464"/>
      <c r="AE3146" s="465"/>
    </row>
    <row r="3147" spans="27:31" ht="14.4">
      <c r="AA3147" s="463"/>
      <c r="AB3147" s="462"/>
      <c r="AC3147" s="462"/>
      <c r="AD3147" s="464"/>
      <c r="AE3147" s="465"/>
    </row>
    <row r="3148" spans="27:31" ht="14.4">
      <c r="AA3148" s="463"/>
      <c r="AB3148" s="462"/>
      <c r="AC3148" s="462"/>
      <c r="AD3148" s="464"/>
      <c r="AE3148" s="465"/>
    </row>
    <row r="3149" spans="27:31" ht="14.4">
      <c r="AA3149" s="463"/>
      <c r="AB3149" s="462"/>
      <c r="AC3149" s="462"/>
      <c r="AD3149" s="464"/>
      <c r="AE3149" s="465"/>
    </row>
    <row r="3150" spans="27:31" ht="14.4">
      <c r="AA3150" s="463"/>
      <c r="AB3150" s="462"/>
      <c r="AC3150" s="462"/>
      <c r="AD3150" s="464"/>
      <c r="AE3150" s="465"/>
    </row>
    <row r="3151" spans="27:31" ht="14.4">
      <c r="AA3151" s="463"/>
      <c r="AB3151" s="462"/>
      <c r="AC3151" s="462"/>
      <c r="AD3151" s="464"/>
      <c r="AE3151" s="465"/>
    </row>
    <row r="3152" spans="27:31" ht="14.4">
      <c r="AA3152" s="463"/>
      <c r="AB3152" s="462"/>
      <c r="AC3152" s="462"/>
      <c r="AD3152" s="464"/>
      <c r="AE3152" s="465"/>
    </row>
    <row r="3153" spans="27:31" ht="14.4">
      <c r="AA3153" s="463"/>
      <c r="AB3153" s="462"/>
      <c r="AC3153" s="462"/>
      <c r="AD3153" s="464"/>
      <c r="AE3153" s="465"/>
    </row>
    <row r="3154" spans="27:31" ht="14.4">
      <c r="AA3154" s="463"/>
      <c r="AB3154" s="462"/>
      <c r="AC3154" s="462"/>
      <c r="AD3154" s="464"/>
      <c r="AE3154" s="465"/>
    </row>
    <row r="3155" spans="27:31" ht="14.4">
      <c r="AA3155" s="463"/>
      <c r="AB3155" s="462"/>
      <c r="AC3155" s="462"/>
      <c r="AD3155" s="464"/>
      <c r="AE3155" s="465"/>
    </row>
    <row r="3156" spans="27:31" ht="14.4">
      <c r="AA3156" s="463"/>
      <c r="AB3156" s="462"/>
      <c r="AC3156" s="462"/>
      <c r="AD3156" s="464"/>
      <c r="AE3156" s="465"/>
    </row>
    <row r="3157" spans="27:31" ht="14.4">
      <c r="AA3157" s="463"/>
      <c r="AB3157" s="462"/>
      <c r="AC3157" s="462"/>
      <c r="AD3157" s="464"/>
      <c r="AE3157" s="465"/>
    </row>
    <row r="3158" spans="27:31" ht="14.4">
      <c r="AA3158" s="463"/>
      <c r="AB3158" s="462"/>
      <c r="AC3158" s="462"/>
      <c r="AD3158" s="464"/>
      <c r="AE3158" s="465"/>
    </row>
    <row r="3159" spans="27:31" ht="14.4">
      <c r="AA3159" s="463"/>
      <c r="AB3159" s="462"/>
      <c r="AC3159" s="462"/>
      <c r="AD3159" s="464"/>
      <c r="AE3159" s="465"/>
    </row>
    <row r="3160" spans="27:31" ht="14.4">
      <c r="AA3160" s="463"/>
      <c r="AB3160" s="462"/>
      <c r="AC3160" s="462"/>
      <c r="AD3160" s="464"/>
      <c r="AE3160" s="465"/>
    </row>
    <row r="3161" spans="27:31" ht="14.4">
      <c r="AA3161" s="463"/>
      <c r="AB3161" s="462"/>
      <c r="AC3161" s="462"/>
      <c r="AD3161" s="464"/>
      <c r="AE3161" s="465"/>
    </row>
    <row r="3162" spans="27:31" ht="14.4">
      <c r="AA3162" s="463"/>
      <c r="AB3162" s="462"/>
      <c r="AC3162" s="462"/>
      <c r="AD3162" s="464"/>
      <c r="AE3162" s="465"/>
    </row>
    <row r="3163" spans="27:31" ht="14.4">
      <c r="AA3163" s="463"/>
      <c r="AB3163" s="462"/>
      <c r="AC3163" s="462"/>
      <c r="AD3163" s="464"/>
      <c r="AE3163" s="465"/>
    </row>
    <row r="3164" spans="27:31" ht="14.4">
      <c r="AA3164" s="463"/>
      <c r="AB3164" s="462"/>
      <c r="AC3164" s="462"/>
      <c r="AD3164" s="464"/>
      <c r="AE3164" s="465"/>
    </row>
    <row r="3165" spans="27:31" ht="14.4">
      <c r="AA3165" s="463"/>
      <c r="AB3165" s="462"/>
      <c r="AC3165" s="462"/>
      <c r="AD3165" s="464"/>
      <c r="AE3165" s="465"/>
    </row>
    <row r="3166" spans="27:31" ht="14.4">
      <c r="AA3166" s="463"/>
      <c r="AB3166" s="462"/>
      <c r="AC3166" s="462"/>
      <c r="AD3166" s="464"/>
      <c r="AE3166" s="465"/>
    </row>
    <row r="3167" spans="27:31" ht="14.4">
      <c r="AA3167" s="463"/>
      <c r="AB3167" s="462"/>
      <c r="AC3167" s="462"/>
      <c r="AD3167" s="464"/>
      <c r="AE3167" s="465"/>
    </row>
    <row r="3168" spans="27:31" ht="14.4">
      <c r="AA3168" s="463"/>
      <c r="AB3168" s="462"/>
      <c r="AC3168" s="462"/>
      <c r="AD3168" s="464"/>
      <c r="AE3168" s="465"/>
    </row>
    <row r="3169" spans="27:31" ht="14.4">
      <c r="AA3169" s="463"/>
      <c r="AB3169" s="462"/>
      <c r="AC3169" s="462"/>
      <c r="AD3169" s="464"/>
      <c r="AE3169" s="465"/>
    </row>
    <row r="3170" spans="27:31" ht="14.4">
      <c r="AA3170" s="463"/>
      <c r="AB3170" s="462"/>
      <c r="AC3170" s="462"/>
      <c r="AD3170" s="464"/>
      <c r="AE3170" s="465"/>
    </row>
    <row r="3171" spans="27:31" ht="14.4">
      <c r="AA3171" s="463"/>
      <c r="AB3171" s="462"/>
      <c r="AC3171" s="462"/>
      <c r="AD3171" s="464"/>
      <c r="AE3171" s="465"/>
    </row>
    <row r="3172" spans="27:31" ht="14.4">
      <c r="AA3172" s="463"/>
      <c r="AB3172" s="462"/>
      <c r="AC3172" s="462"/>
      <c r="AD3172" s="464"/>
      <c r="AE3172" s="465"/>
    </row>
    <row r="3173" spans="27:31" ht="14.4">
      <c r="AA3173" s="463"/>
      <c r="AB3173" s="462"/>
      <c r="AC3173" s="462"/>
      <c r="AD3173" s="464"/>
      <c r="AE3173" s="465"/>
    </row>
    <row r="3174" spans="27:31" ht="14.4">
      <c r="AA3174" s="463"/>
      <c r="AB3174" s="462"/>
      <c r="AC3174" s="462"/>
      <c r="AD3174" s="464"/>
      <c r="AE3174" s="465"/>
    </row>
    <row r="3175" spans="27:31" ht="14.4">
      <c r="AA3175" s="463"/>
      <c r="AB3175" s="462"/>
      <c r="AC3175" s="462"/>
      <c r="AD3175" s="464"/>
      <c r="AE3175" s="465"/>
    </row>
    <row r="3176" spans="27:31" ht="14.4">
      <c r="AA3176" s="463"/>
      <c r="AB3176" s="462"/>
      <c r="AC3176" s="462"/>
      <c r="AD3176" s="464"/>
      <c r="AE3176" s="465"/>
    </row>
    <row r="3177" spans="27:31" ht="14.4">
      <c r="AA3177" s="463"/>
      <c r="AB3177" s="462"/>
      <c r="AC3177" s="462"/>
      <c r="AD3177" s="464"/>
      <c r="AE3177" s="465"/>
    </row>
    <row r="3178" spans="27:31" ht="14.4">
      <c r="AA3178" s="463"/>
      <c r="AB3178" s="462"/>
      <c r="AC3178" s="462"/>
      <c r="AD3178" s="464"/>
      <c r="AE3178" s="465"/>
    </row>
    <row r="3179" spans="27:31" ht="14.4">
      <c r="AA3179" s="463"/>
      <c r="AB3179" s="462"/>
      <c r="AC3179" s="462"/>
      <c r="AD3179" s="464"/>
      <c r="AE3179" s="465"/>
    </row>
    <row r="3180" spans="27:31" ht="14.4">
      <c r="AA3180" s="463"/>
      <c r="AB3180" s="462"/>
      <c r="AC3180" s="462"/>
      <c r="AD3180" s="464"/>
      <c r="AE3180" s="465"/>
    </row>
    <row r="3181" spans="27:31" ht="14.4">
      <c r="AA3181" s="463"/>
      <c r="AB3181" s="462"/>
      <c r="AC3181" s="462"/>
      <c r="AD3181" s="464"/>
      <c r="AE3181" s="465"/>
    </row>
    <row r="3182" spans="27:31" ht="14.4">
      <c r="AA3182" s="463"/>
      <c r="AB3182" s="462"/>
      <c r="AC3182" s="462"/>
      <c r="AD3182" s="464"/>
      <c r="AE3182" s="465"/>
    </row>
    <row r="3183" spans="27:31" ht="14.4">
      <c r="AA3183" s="463"/>
      <c r="AB3183" s="462"/>
      <c r="AC3183" s="462"/>
      <c r="AD3183" s="464"/>
      <c r="AE3183" s="465"/>
    </row>
    <row r="3184" spans="27:31" ht="14.4">
      <c r="AA3184" s="463"/>
      <c r="AB3184" s="462"/>
      <c r="AC3184" s="462"/>
      <c r="AD3184" s="464"/>
      <c r="AE3184" s="465"/>
    </row>
    <row r="3185" spans="27:31" ht="14.4">
      <c r="AA3185" s="463"/>
      <c r="AB3185" s="462"/>
      <c r="AC3185" s="462"/>
      <c r="AD3185" s="464"/>
      <c r="AE3185" s="465"/>
    </row>
    <row r="3186" spans="27:31" ht="14.4">
      <c r="AA3186" s="463"/>
      <c r="AB3186" s="462"/>
      <c r="AC3186" s="462"/>
      <c r="AD3186" s="464"/>
      <c r="AE3186" s="465"/>
    </row>
    <row r="3187" spans="27:31" ht="14.4">
      <c r="AA3187" s="463"/>
      <c r="AB3187" s="462"/>
      <c r="AC3187" s="462"/>
      <c r="AD3187" s="464"/>
      <c r="AE3187" s="465"/>
    </row>
    <row r="3188" spans="27:31" ht="14.4">
      <c r="AA3188" s="463"/>
      <c r="AB3188" s="462"/>
      <c r="AC3188" s="462"/>
      <c r="AD3188" s="464"/>
      <c r="AE3188" s="465"/>
    </row>
    <row r="3189" spans="27:31" ht="14.4">
      <c r="AA3189" s="463"/>
      <c r="AB3189" s="462"/>
      <c r="AC3189" s="462"/>
      <c r="AD3189" s="464"/>
      <c r="AE3189" s="465"/>
    </row>
    <row r="3190" spans="27:31" ht="14.4">
      <c r="AA3190" s="463"/>
      <c r="AB3190" s="462"/>
      <c r="AC3190" s="462"/>
      <c r="AD3190" s="464"/>
      <c r="AE3190" s="465"/>
    </row>
    <row r="3191" spans="27:31" ht="14.4">
      <c r="AA3191" s="463"/>
      <c r="AB3191" s="462"/>
      <c r="AC3191" s="462"/>
      <c r="AD3191" s="464"/>
      <c r="AE3191" s="465"/>
    </row>
    <row r="3192" spans="27:31" ht="14.4">
      <c r="AA3192" s="463"/>
      <c r="AB3192" s="462"/>
      <c r="AC3192" s="462"/>
      <c r="AD3192" s="464"/>
      <c r="AE3192" s="465"/>
    </row>
    <row r="3193" spans="27:31" ht="14.4">
      <c r="AA3193" s="463"/>
      <c r="AB3193" s="462"/>
      <c r="AC3193" s="462"/>
      <c r="AD3193" s="464"/>
      <c r="AE3193" s="465"/>
    </row>
    <row r="3194" spans="27:31" ht="14.4">
      <c r="AA3194" s="463"/>
      <c r="AB3194" s="462"/>
      <c r="AC3194" s="462"/>
      <c r="AD3194" s="464"/>
      <c r="AE3194" s="465"/>
    </row>
    <row r="3195" spans="27:31" ht="14.4">
      <c r="AA3195" s="463"/>
      <c r="AB3195" s="462"/>
      <c r="AC3195" s="462"/>
      <c r="AD3195" s="464"/>
      <c r="AE3195" s="465"/>
    </row>
    <row r="3196" spans="27:31" ht="14.4">
      <c r="AA3196" s="463"/>
      <c r="AB3196" s="462"/>
      <c r="AC3196" s="462"/>
      <c r="AD3196" s="464"/>
      <c r="AE3196" s="465"/>
    </row>
    <row r="3197" spans="27:31" ht="14.4">
      <c r="AA3197" s="463"/>
      <c r="AB3197" s="462"/>
      <c r="AC3197" s="462"/>
      <c r="AD3197" s="464"/>
      <c r="AE3197" s="465"/>
    </row>
    <row r="3198" spans="27:31" ht="14.4">
      <c r="AA3198" s="463"/>
      <c r="AB3198" s="462"/>
      <c r="AC3198" s="462"/>
      <c r="AD3198" s="464"/>
      <c r="AE3198" s="465"/>
    </row>
    <row r="3199" spans="27:31" ht="14.4">
      <c r="AA3199" s="463"/>
      <c r="AB3199" s="462"/>
      <c r="AC3199" s="462"/>
      <c r="AD3199" s="464"/>
      <c r="AE3199" s="465"/>
    </row>
    <row r="3200" spans="27:31" ht="14.4">
      <c r="AA3200" s="463"/>
      <c r="AB3200" s="462"/>
      <c r="AC3200" s="462"/>
      <c r="AD3200" s="464"/>
      <c r="AE3200" s="465"/>
    </row>
    <row r="3201" spans="27:31" ht="14.4">
      <c r="AA3201" s="463"/>
      <c r="AB3201" s="462"/>
      <c r="AC3201" s="462"/>
      <c r="AD3201" s="464"/>
      <c r="AE3201" s="465"/>
    </row>
    <row r="3202" spans="27:31" ht="14.4">
      <c r="AA3202" s="463"/>
      <c r="AB3202" s="462"/>
      <c r="AC3202" s="462"/>
      <c r="AD3202" s="464"/>
      <c r="AE3202" s="465"/>
    </row>
    <row r="3203" spans="27:31" ht="14.4">
      <c r="AA3203" s="463"/>
      <c r="AB3203" s="462"/>
      <c r="AC3203" s="462"/>
      <c r="AD3203" s="464"/>
      <c r="AE3203" s="465"/>
    </row>
    <row r="3204" spans="27:31" ht="14.4">
      <c r="AA3204" s="463"/>
      <c r="AB3204" s="462"/>
      <c r="AC3204" s="462"/>
      <c r="AD3204" s="464"/>
      <c r="AE3204" s="465"/>
    </row>
    <row r="3205" spans="27:31" ht="14.4">
      <c r="AA3205" s="463"/>
      <c r="AB3205" s="462"/>
      <c r="AC3205" s="462"/>
      <c r="AD3205" s="464"/>
      <c r="AE3205" s="465"/>
    </row>
    <row r="3206" spans="27:31" ht="14.4">
      <c r="AA3206" s="463"/>
      <c r="AB3206" s="462"/>
      <c r="AC3206" s="462"/>
      <c r="AD3206" s="464"/>
      <c r="AE3206" s="465"/>
    </row>
    <row r="3207" spans="27:31" ht="14.4">
      <c r="AA3207" s="463"/>
      <c r="AB3207" s="462"/>
      <c r="AC3207" s="462"/>
      <c r="AD3207" s="464"/>
      <c r="AE3207" s="465"/>
    </row>
    <row r="3208" spans="27:31" ht="14.4">
      <c r="AA3208" s="463"/>
      <c r="AB3208" s="462"/>
      <c r="AC3208" s="462"/>
      <c r="AD3208" s="464"/>
      <c r="AE3208" s="465"/>
    </row>
    <row r="3209" spans="27:31" ht="14.4">
      <c r="AA3209" s="463"/>
      <c r="AB3209" s="462"/>
      <c r="AC3209" s="462"/>
      <c r="AD3209" s="464"/>
      <c r="AE3209" s="465"/>
    </row>
    <row r="3210" spans="27:31" ht="14.4">
      <c r="AA3210" s="463"/>
      <c r="AB3210" s="462"/>
      <c r="AC3210" s="462"/>
      <c r="AD3210" s="464"/>
      <c r="AE3210" s="465"/>
    </row>
    <row r="3211" spans="27:31" ht="14.4">
      <c r="AA3211" s="463"/>
      <c r="AB3211" s="462"/>
      <c r="AC3211" s="462"/>
      <c r="AD3211" s="464"/>
      <c r="AE3211" s="465"/>
    </row>
    <row r="3212" spans="27:31" ht="14.4">
      <c r="AA3212" s="463"/>
      <c r="AB3212" s="462"/>
      <c r="AC3212" s="462"/>
      <c r="AD3212" s="464"/>
      <c r="AE3212" s="465"/>
    </row>
    <row r="3213" spans="27:31" ht="14.4">
      <c r="AA3213" s="463"/>
      <c r="AB3213" s="462"/>
      <c r="AC3213" s="462"/>
      <c r="AD3213" s="464"/>
      <c r="AE3213" s="465"/>
    </row>
    <row r="3214" spans="27:31" ht="14.4">
      <c r="AA3214" s="463"/>
      <c r="AB3214" s="462"/>
      <c r="AC3214" s="462"/>
      <c r="AD3214" s="464"/>
      <c r="AE3214" s="465"/>
    </row>
    <row r="3215" spans="27:31" ht="14.4">
      <c r="AA3215" s="463"/>
      <c r="AB3215" s="462"/>
      <c r="AC3215" s="462"/>
      <c r="AD3215" s="464"/>
      <c r="AE3215" s="465"/>
    </row>
    <row r="3216" spans="27:31" ht="14.4">
      <c r="AA3216" s="463"/>
      <c r="AB3216" s="462"/>
      <c r="AC3216" s="462"/>
      <c r="AD3216" s="464"/>
      <c r="AE3216" s="465"/>
    </row>
    <row r="3217" spans="27:31" ht="14.4">
      <c r="AA3217" s="463"/>
      <c r="AB3217" s="462"/>
      <c r="AC3217" s="462"/>
      <c r="AD3217" s="464"/>
      <c r="AE3217" s="465"/>
    </row>
    <row r="3218" spans="27:31" ht="14.4">
      <c r="AA3218" s="463"/>
      <c r="AB3218" s="462"/>
      <c r="AC3218" s="462"/>
      <c r="AD3218" s="464"/>
      <c r="AE3218" s="465"/>
    </row>
    <row r="3219" spans="27:31" ht="14.4">
      <c r="AA3219" s="463"/>
      <c r="AB3219" s="462"/>
      <c r="AC3219" s="462"/>
      <c r="AD3219" s="464"/>
      <c r="AE3219" s="465"/>
    </row>
    <row r="3220" spans="27:31" ht="14.4">
      <c r="AA3220" s="463"/>
      <c r="AB3220" s="462"/>
      <c r="AC3220" s="462"/>
      <c r="AD3220" s="464"/>
      <c r="AE3220" s="465"/>
    </row>
    <row r="3221" spans="27:31" ht="14.4">
      <c r="AA3221" s="463"/>
      <c r="AB3221" s="462"/>
      <c r="AC3221" s="462"/>
      <c r="AD3221" s="464"/>
      <c r="AE3221" s="465"/>
    </row>
    <row r="3222" spans="27:31" ht="14.4">
      <c r="AA3222" s="463"/>
      <c r="AB3222" s="462"/>
      <c r="AC3222" s="462"/>
      <c r="AD3222" s="464"/>
      <c r="AE3222" s="465"/>
    </row>
    <row r="3223" spans="27:31" ht="14.4">
      <c r="AA3223" s="463"/>
      <c r="AB3223" s="462"/>
      <c r="AC3223" s="462"/>
      <c r="AD3223" s="464"/>
      <c r="AE3223" s="465"/>
    </row>
    <row r="3224" spans="27:31" ht="14.4">
      <c r="AA3224" s="463"/>
      <c r="AB3224" s="462"/>
      <c r="AC3224" s="462"/>
      <c r="AD3224" s="464"/>
      <c r="AE3224" s="465"/>
    </row>
    <row r="3225" spans="27:31" ht="14.4">
      <c r="AA3225" s="463"/>
      <c r="AB3225" s="462"/>
      <c r="AC3225" s="462"/>
      <c r="AD3225" s="464"/>
      <c r="AE3225" s="465"/>
    </row>
    <row r="3226" spans="27:31" ht="14.4">
      <c r="AA3226" s="463"/>
      <c r="AB3226" s="462"/>
      <c r="AC3226" s="462"/>
      <c r="AD3226" s="464"/>
      <c r="AE3226" s="465"/>
    </row>
    <row r="3227" spans="27:31" ht="14.4">
      <c r="AA3227" s="463"/>
      <c r="AB3227" s="462"/>
      <c r="AC3227" s="462"/>
      <c r="AD3227" s="464"/>
      <c r="AE3227" s="465"/>
    </row>
    <row r="3228" spans="27:31" ht="14.4">
      <c r="AA3228" s="463"/>
      <c r="AB3228" s="462"/>
      <c r="AC3228" s="462"/>
      <c r="AD3228" s="464"/>
      <c r="AE3228" s="465"/>
    </row>
    <row r="3229" spans="27:31" ht="14.4">
      <c r="AA3229" s="463"/>
      <c r="AB3229" s="462"/>
      <c r="AC3229" s="462"/>
      <c r="AD3229" s="464"/>
      <c r="AE3229" s="465"/>
    </row>
    <row r="3230" spans="27:31" ht="14.4">
      <c r="AA3230" s="463"/>
      <c r="AB3230" s="462"/>
      <c r="AC3230" s="462"/>
      <c r="AD3230" s="464"/>
      <c r="AE3230" s="465"/>
    </row>
    <row r="3231" spans="27:31" ht="14.4">
      <c r="AA3231" s="463"/>
      <c r="AB3231" s="462"/>
      <c r="AC3231" s="462"/>
      <c r="AD3231" s="464"/>
      <c r="AE3231" s="465"/>
    </row>
    <row r="3232" spans="27:31" ht="14.4">
      <c r="AA3232" s="463"/>
      <c r="AB3232" s="462"/>
      <c r="AC3232" s="462"/>
      <c r="AD3232" s="464"/>
      <c r="AE3232" s="465"/>
    </row>
    <row r="3233" spans="27:31" ht="14.4">
      <c r="AA3233" s="463"/>
      <c r="AB3233" s="462"/>
      <c r="AC3233" s="462"/>
      <c r="AD3233" s="464"/>
      <c r="AE3233" s="465"/>
    </row>
    <row r="3234" spans="27:31" ht="14.4">
      <c r="AA3234" s="463"/>
      <c r="AB3234" s="462"/>
      <c r="AC3234" s="462"/>
      <c r="AD3234" s="464"/>
      <c r="AE3234" s="465"/>
    </row>
    <row r="3235" spans="27:31" ht="14.4">
      <c r="AA3235" s="463"/>
      <c r="AB3235" s="462"/>
      <c r="AC3235" s="462"/>
      <c r="AD3235" s="464"/>
      <c r="AE3235" s="465"/>
    </row>
    <row r="3236" spans="27:31" ht="14.4">
      <c r="AA3236" s="463"/>
      <c r="AB3236" s="462"/>
      <c r="AC3236" s="462"/>
      <c r="AD3236" s="464"/>
      <c r="AE3236" s="465"/>
    </row>
    <row r="3237" spans="27:31" ht="14.4">
      <c r="AA3237" s="463"/>
      <c r="AB3237" s="462"/>
      <c r="AC3237" s="462"/>
      <c r="AD3237" s="464"/>
      <c r="AE3237" s="465"/>
    </row>
    <row r="3238" spans="27:31" ht="14.4">
      <c r="AA3238" s="463"/>
      <c r="AB3238" s="462"/>
      <c r="AC3238" s="462"/>
      <c r="AD3238" s="464"/>
      <c r="AE3238" s="465"/>
    </row>
    <row r="3239" spans="27:31" ht="14.4">
      <c r="AA3239" s="463"/>
      <c r="AB3239" s="462"/>
      <c r="AC3239" s="462"/>
      <c r="AD3239" s="464"/>
      <c r="AE3239" s="465"/>
    </row>
    <row r="3240" spans="27:31" ht="14.4">
      <c r="AA3240" s="463"/>
      <c r="AB3240" s="462"/>
      <c r="AC3240" s="462"/>
      <c r="AD3240" s="464"/>
      <c r="AE3240" s="465"/>
    </row>
    <row r="3241" spans="27:31" ht="14.4">
      <c r="AA3241" s="463"/>
      <c r="AB3241" s="462"/>
      <c r="AC3241" s="462"/>
      <c r="AD3241" s="464"/>
      <c r="AE3241" s="465"/>
    </row>
    <row r="3242" spans="27:31" ht="14.4">
      <c r="AA3242" s="463"/>
      <c r="AB3242" s="462"/>
      <c r="AC3242" s="462"/>
      <c r="AD3242" s="464"/>
      <c r="AE3242" s="465"/>
    </row>
    <row r="3243" spans="27:31" ht="14.4">
      <c r="AA3243" s="463"/>
      <c r="AB3243" s="462"/>
      <c r="AC3243" s="462"/>
      <c r="AD3243" s="464"/>
      <c r="AE3243" s="465"/>
    </row>
    <row r="3244" spans="27:31" ht="14.4">
      <c r="AA3244" s="463"/>
      <c r="AB3244" s="462"/>
      <c r="AC3244" s="462"/>
      <c r="AD3244" s="464"/>
      <c r="AE3244" s="465"/>
    </row>
    <row r="3245" spans="27:31" ht="14.4">
      <c r="AA3245" s="463"/>
      <c r="AB3245" s="462"/>
      <c r="AC3245" s="462"/>
      <c r="AD3245" s="464"/>
      <c r="AE3245" s="465"/>
    </row>
    <row r="3246" spans="27:31" ht="14.4">
      <c r="AA3246" s="463"/>
      <c r="AB3246" s="462"/>
      <c r="AC3246" s="462"/>
      <c r="AD3246" s="464"/>
      <c r="AE3246" s="465"/>
    </row>
    <row r="3247" spans="27:31" ht="14.4">
      <c r="AA3247" s="463"/>
      <c r="AB3247" s="462"/>
      <c r="AC3247" s="462"/>
      <c r="AD3247" s="464"/>
      <c r="AE3247" s="465"/>
    </row>
    <row r="3248" spans="27:31" ht="14.4">
      <c r="AA3248" s="463"/>
      <c r="AB3248" s="462"/>
      <c r="AC3248" s="462"/>
      <c r="AD3248" s="464"/>
      <c r="AE3248" s="465"/>
    </row>
    <row r="3249" spans="27:31" ht="14.4">
      <c r="AA3249" s="463"/>
      <c r="AB3249" s="462"/>
      <c r="AC3249" s="462"/>
      <c r="AD3249" s="464"/>
      <c r="AE3249" s="465"/>
    </row>
    <row r="3250" spans="27:31" ht="14.4">
      <c r="AA3250" s="463"/>
      <c r="AB3250" s="462"/>
      <c r="AC3250" s="462"/>
      <c r="AD3250" s="464"/>
      <c r="AE3250" s="465"/>
    </row>
    <row r="3251" spans="27:31" ht="14.4">
      <c r="AA3251" s="463"/>
      <c r="AB3251" s="462"/>
      <c r="AC3251" s="462"/>
      <c r="AD3251" s="464"/>
      <c r="AE3251" s="465"/>
    </row>
    <row r="3252" spans="27:31" ht="14.4">
      <c r="AA3252" s="463"/>
      <c r="AB3252" s="462"/>
      <c r="AC3252" s="462"/>
      <c r="AD3252" s="464"/>
      <c r="AE3252" s="465"/>
    </row>
    <row r="3253" spans="27:31" ht="14.4">
      <c r="AA3253" s="463"/>
      <c r="AB3253" s="462"/>
      <c r="AC3253" s="462"/>
      <c r="AD3253" s="464"/>
      <c r="AE3253" s="465"/>
    </row>
    <row r="3254" spans="27:31" ht="14.4">
      <c r="AA3254" s="463"/>
      <c r="AB3254" s="462"/>
      <c r="AC3254" s="462"/>
      <c r="AD3254" s="464"/>
      <c r="AE3254" s="465"/>
    </row>
    <row r="3255" spans="27:31" ht="14.4">
      <c r="AA3255" s="463"/>
      <c r="AB3255" s="462"/>
      <c r="AC3255" s="462"/>
      <c r="AD3255" s="464"/>
      <c r="AE3255" s="465"/>
    </row>
    <row r="3256" spans="27:31" ht="14.4">
      <c r="AA3256" s="463"/>
      <c r="AB3256" s="462"/>
      <c r="AC3256" s="462"/>
      <c r="AD3256" s="464"/>
      <c r="AE3256" s="465"/>
    </row>
    <row r="3257" spans="27:31" ht="14.4">
      <c r="AA3257" s="463"/>
      <c r="AB3257" s="462"/>
      <c r="AC3257" s="462"/>
      <c r="AD3257" s="464"/>
      <c r="AE3257" s="465"/>
    </row>
    <row r="3258" spans="27:31" ht="14.4">
      <c r="AA3258" s="463"/>
      <c r="AB3258" s="462"/>
      <c r="AC3258" s="462"/>
      <c r="AD3258" s="464"/>
      <c r="AE3258" s="465"/>
    </row>
    <row r="3259" spans="27:31" ht="14.4">
      <c r="AA3259" s="463"/>
      <c r="AB3259" s="462"/>
      <c r="AC3259" s="462"/>
      <c r="AD3259" s="464"/>
      <c r="AE3259" s="465"/>
    </row>
    <row r="3260" spans="27:31" ht="14.4">
      <c r="AA3260" s="463"/>
      <c r="AB3260" s="462"/>
      <c r="AC3260" s="462"/>
      <c r="AD3260" s="464"/>
      <c r="AE3260" s="465"/>
    </row>
    <row r="3261" spans="27:31" ht="14.4">
      <c r="AA3261" s="463"/>
      <c r="AB3261" s="462"/>
      <c r="AC3261" s="462"/>
      <c r="AD3261" s="464"/>
      <c r="AE3261" s="465"/>
    </row>
    <row r="3262" spans="27:31" ht="14.4">
      <c r="AA3262" s="463"/>
      <c r="AB3262" s="462"/>
      <c r="AC3262" s="462"/>
      <c r="AD3262" s="464"/>
      <c r="AE3262" s="465"/>
    </row>
    <row r="3263" spans="27:31" ht="14.4">
      <c r="AA3263" s="463"/>
      <c r="AB3263" s="462"/>
      <c r="AC3263" s="462"/>
      <c r="AD3263" s="464"/>
      <c r="AE3263" s="465"/>
    </row>
    <row r="3264" spans="27:31" ht="14.4">
      <c r="AA3264" s="463"/>
      <c r="AB3264" s="462"/>
      <c r="AC3264" s="462"/>
      <c r="AD3264" s="464"/>
      <c r="AE3264" s="465"/>
    </row>
    <row r="3265" spans="27:31" ht="14.4">
      <c r="AA3265" s="463"/>
      <c r="AB3265" s="462"/>
      <c r="AC3265" s="462"/>
      <c r="AD3265" s="464"/>
      <c r="AE3265" s="465"/>
    </row>
    <row r="3266" spans="27:31" ht="14.4">
      <c r="AA3266" s="463"/>
      <c r="AB3266" s="462"/>
      <c r="AC3266" s="462"/>
      <c r="AD3266" s="464"/>
      <c r="AE3266" s="465"/>
    </row>
    <row r="3267" spans="27:31" ht="14.4">
      <c r="AA3267" s="463"/>
      <c r="AB3267" s="462"/>
      <c r="AC3267" s="462"/>
      <c r="AD3267" s="464"/>
      <c r="AE3267" s="465"/>
    </row>
    <row r="3268" spans="27:31" ht="14.4">
      <c r="AA3268" s="463"/>
      <c r="AB3268" s="462"/>
      <c r="AC3268" s="462"/>
      <c r="AD3268" s="464"/>
      <c r="AE3268" s="465"/>
    </row>
    <row r="3269" spans="27:31" ht="14.4">
      <c r="AA3269" s="463"/>
      <c r="AB3269" s="462"/>
      <c r="AC3269" s="462"/>
      <c r="AD3269" s="464"/>
      <c r="AE3269" s="465"/>
    </row>
    <row r="3270" spans="27:31" ht="14.4">
      <c r="AA3270" s="463"/>
      <c r="AB3270" s="462"/>
      <c r="AC3270" s="462"/>
      <c r="AD3270" s="464"/>
      <c r="AE3270" s="465"/>
    </row>
    <row r="3271" spans="27:31" ht="14.4">
      <c r="AA3271" s="463"/>
      <c r="AB3271" s="462"/>
      <c r="AC3271" s="462"/>
      <c r="AD3271" s="464"/>
      <c r="AE3271" s="465"/>
    </row>
    <row r="3272" spans="27:31" ht="14.4">
      <c r="AA3272" s="463"/>
      <c r="AB3272" s="462"/>
      <c r="AC3272" s="462"/>
      <c r="AD3272" s="464"/>
      <c r="AE3272" s="465"/>
    </row>
    <row r="3273" spans="27:31" ht="14.4">
      <c r="AA3273" s="463"/>
      <c r="AB3273" s="462"/>
      <c r="AC3273" s="462"/>
      <c r="AD3273" s="464"/>
      <c r="AE3273" s="465"/>
    </row>
    <row r="3274" spans="27:31" ht="14.4">
      <c r="AA3274" s="463"/>
      <c r="AB3274" s="462"/>
      <c r="AC3274" s="462"/>
      <c r="AD3274" s="464"/>
      <c r="AE3274" s="465"/>
    </row>
    <row r="3275" spans="27:31" ht="14.4">
      <c r="AA3275" s="463"/>
      <c r="AB3275" s="462"/>
      <c r="AC3275" s="462"/>
      <c r="AD3275" s="464"/>
      <c r="AE3275" s="465"/>
    </row>
    <row r="3276" spans="27:31" ht="14.4">
      <c r="AA3276" s="463"/>
      <c r="AB3276" s="462"/>
      <c r="AC3276" s="462"/>
      <c r="AD3276" s="464"/>
      <c r="AE3276" s="465"/>
    </row>
    <row r="3277" spans="27:31" ht="14.4">
      <c r="AA3277" s="463"/>
      <c r="AB3277" s="462"/>
      <c r="AC3277" s="462"/>
      <c r="AD3277" s="464"/>
      <c r="AE3277" s="465"/>
    </row>
    <row r="3278" spans="27:31" ht="14.4">
      <c r="AA3278" s="463"/>
      <c r="AB3278" s="462"/>
      <c r="AC3278" s="462"/>
      <c r="AD3278" s="464"/>
      <c r="AE3278" s="465"/>
    </row>
    <row r="3279" spans="27:31" ht="14.4">
      <c r="AA3279" s="463"/>
      <c r="AB3279" s="462"/>
      <c r="AC3279" s="462"/>
      <c r="AD3279" s="464"/>
      <c r="AE3279" s="465"/>
    </row>
    <row r="3280" spans="27:31" ht="14.4">
      <c r="AA3280" s="463"/>
      <c r="AB3280" s="462"/>
      <c r="AC3280" s="462"/>
      <c r="AD3280" s="464"/>
      <c r="AE3280" s="465"/>
    </row>
    <row r="3281" spans="27:31" ht="14.4">
      <c r="AA3281" s="463"/>
      <c r="AB3281" s="462"/>
      <c r="AC3281" s="462"/>
      <c r="AD3281" s="464"/>
      <c r="AE3281" s="465"/>
    </row>
    <row r="3282" spans="27:31" ht="14.4">
      <c r="AA3282" s="463"/>
      <c r="AB3282" s="462"/>
      <c r="AC3282" s="462"/>
      <c r="AD3282" s="464"/>
      <c r="AE3282" s="465"/>
    </row>
    <row r="3283" spans="27:31" ht="14.4">
      <c r="AA3283" s="463"/>
      <c r="AB3283" s="462"/>
      <c r="AC3283" s="462"/>
      <c r="AD3283" s="464"/>
      <c r="AE3283" s="465"/>
    </row>
    <row r="3284" spans="27:31" ht="14.4">
      <c r="AA3284" s="463"/>
      <c r="AB3284" s="462"/>
      <c r="AC3284" s="462"/>
      <c r="AD3284" s="464"/>
      <c r="AE3284" s="465"/>
    </row>
    <row r="3285" spans="27:31" ht="14.4">
      <c r="AA3285" s="463"/>
      <c r="AB3285" s="462"/>
      <c r="AC3285" s="462"/>
      <c r="AD3285" s="464"/>
      <c r="AE3285" s="465"/>
    </row>
    <row r="3286" spans="27:31" ht="14.4">
      <c r="AA3286" s="463"/>
      <c r="AB3286" s="462"/>
      <c r="AC3286" s="462"/>
      <c r="AD3286" s="464"/>
      <c r="AE3286" s="465"/>
    </row>
    <row r="3287" spans="27:31" ht="14.4">
      <c r="AA3287" s="463"/>
      <c r="AB3287" s="462"/>
      <c r="AC3287" s="462"/>
      <c r="AD3287" s="464"/>
      <c r="AE3287" s="465"/>
    </row>
    <row r="3288" spans="27:31" ht="14.4">
      <c r="AA3288" s="463"/>
      <c r="AB3288" s="462"/>
      <c r="AC3288" s="462"/>
      <c r="AD3288" s="464"/>
      <c r="AE3288" s="465"/>
    </row>
    <row r="3289" spans="27:31" ht="14.4">
      <c r="AA3289" s="463"/>
      <c r="AB3289" s="462"/>
      <c r="AC3289" s="462"/>
      <c r="AD3289" s="464"/>
      <c r="AE3289" s="465"/>
    </row>
    <row r="3290" spans="27:31" ht="14.4">
      <c r="AA3290" s="463"/>
      <c r="AB3290" s="462"/>
      <c r="AC3290" s="462"/>
      <c r="AD3290" s="464"/>
      <c r="AE3290" s="465"/>
    </row>
    <row r="3291" spans="27:31" ht="14.4">
      <c r="AA3291" s="463"/>
      <c r="AB3291" s="462"/>
      <c r="AC3291" s="462"/>
      <c r="AD3291" s="464"/>
      <c r="AE3291" s="465"/>
    </row>
    <row r="3292" spans="27:31" ht="14.4">
      <c r="AA3292" s="463"/>
      <c r="AB3292" s="462"/>
      <c r="AC3292" s="462"/>
      <c r="AD3292" s="464"/>
      <c r="AE3292" s="465"/>
    </row>
    <row r="3293" spans="27:31" ht="14.4">
      <c r="AA3293" s="463"/>
      <c r="AB3293" s="462"/>
      <c r="AC3293" s="462"/>
      <c r="AD3293" s="464"/>
      <c r="AE3293" s="465"/>
    </row>
    <row r="3294" spans="27:31" ht="14.4">
      <c r="AA3294" s="463"/>
      <c r="AB3294" s="462"/>
      <c r="AC3294" s="462"/>
      <c r="AD3294" s="464"/>
      <c r="AE3294" s="465"/>
    </row>
    <row r="3295" spans="27:31" ht="14.4">
      <c r="AA3295" s="463"/>
      <c r="AB3295" s="462"/>
      <c r="AC3295" s="462"/>
      <c r="AD3295" s="464"/>
      <c r="AE3295" s="465"/>
    </row>
    <row r="3296" spans="27:31" ht="14.4">
      <c r="AA3296" s="463"/>
      <c r="AB3296" s="462"/>
      <c r="AC3296" s="462"/>
      <c r="AD3296" s="464"/>
      <c r="AE3296" s="465"/>
    </row>
    <row r="3297" spans="27:31" ht="14.4">
      <c r="AA3297" s="463"/>
      <c r="AB3297" s="462"/>
      <c r="AC3297" s="462"/>
      <c r="AD3297" s="464"/>
      <c r="AE3297" s="465"/>
    </row>
    <row r="3298" spans="27:31" ht="14.4">
      <c r="AA3298" s="463"/>
      <c r="AB3298" s="462"/>
      <c r="AC3298" s="462"/>
      <c r="AD3298" s="464"/>
      <c r="AE3298" s="465"/>
    </row>
    <row r="3299" spans="27:31" ht="14.4">
      <c r="AA3299" s="463"/>
      <c r="AB3299" s="462"/>
      <c r="AC3299" s="462"/>
      <c r="AD3299" s="464"/>
      <c r="AE3299" s="465"/>
    </row>
    <row r="3300" spans="27:31" ht="14.4">
      <c r="AA3300" s="463"/>
      <c r="AB3300" s="462"/>
      <c r="AC3300" s="462"/>
      <c r="AD3300" s="464"/>
      <c r="AE3300" s="465"/>
    </row>
    <row r="3301" spans="27:31" ht="14.4">
      <c r="AA3301" s="463"/>
      <c r="AB3301" s="462"/>
      <c r="AC3301" s="462"/>
      <c r="AD3301" s="464"/>
      <c r="AE3301" s="465"/>
    </row>
    <row r="3302" spans="27:31" ht="14.4">
      <c r="AA3302" s="463"/>
      <c r="AB3302" s="462"/>
      <c r="AC3302" s="462"/>
      <c r="AD3302" s="464"/>
      <c r="AE3302" s="465"/>
    </row>
    <row r="3303" spans="27:31" ht="14.4">
      <c r="AA3303" s="463"/>
      <c r="AB3303" s="462"/>
      <c r="AC3303" s="462"/>
      <c r="AD3303" s="464"/>
      <c r="AE3303" s="465"/>
    </row>
    <row r="3304" spans="27:31" ht="14.4">
      <c r="AA3304" s="463"/>
      <c r="AB3304" s="462"/>
      <c r="AC3304" s="462"/>
      <c r="AD3304" s="464"/>
      <c r="AE3304" s="465"/>
    </row>
    <row r="3305" spans="27:31" ht="14.4">
      <c r="AA3305" s="463"/>
      <c r="AB3305" s="462"/>
      <c r="AC3305" s="462"/>
      <c r="AD3305" s="464"/>
      <c r="AE3305" s="465"/>
    </row>
    <row r="3306" spans="27:31" ht="14.4">
      <c r="AA3306" s="463"/>
      <c r="AB3306" s="462"/>
      <c r="AC3306" s="462"/>
      <c r="AD3306" s="464"/>
      <c r="AE3306" s="465"/>
    </row>
    <row r="3307" spans="27:31" ht="14.4">
      <c r="AA3307" s="463"/>
      <c r="AB3307" s="462"/>
      <c r="AC3307" s="462"/>
      <c r="AD3307" s="464"/>
      <c r="AE3307" s="465"/>
    </row>
    <row r="3308" spans="27:31" ht="14.4">
      <c r="AA3308" s="463"/>
      <c r="AB3308" s="462"/>
      <c r="AC3308" s="462"/>
      <c r="AD3308" s="464"/>
      <c r="AE3308" s="465"/>
    </row>
    <row r="3309" spans="27:31" ht="14.4">
      <c r="AA3309" s="463"/>
      <c r="AB3309" s="462"/>
      <c r="AC3309" s="462"/>
      <c r="AD3309" s="464"/>
      <c r="AE3309" s="465"/>
    </row>
    <row r="3310" spans="27:31" ht="14.4">
      <c r="AA3310" s="463"/>
      <c r="AB3310" s="462"/>
      <c r="AC3310" s="462"/>
      <c r="AD3310" s="464"/>
      <c r="AE3310" s="465"/>
    </row>
    <row r="3311" spans="27:31" ht="14.4">
      <c r="AA3311" s="463"/>
      <c r="AB3311" s="462"/>
      <c r="AC3311" s="462"/>
      <c r="AD3311" s="464"/>
      <c r="AE3311" s="465"/>
    </row>
    <row r="3312" spans="27:31" ht="14.4">
      <c r="AA3312" s="463"/>
      <c r="AB3312" s="462"/>
      <c r="AC3312" s="462"/>
      <c r="AD3312" s="464"/>
      <c r="AE3312" s="465"/>
    </row>
    <row r="3313" spans="27:31" ht="14.4">
      <c r="AA3313" s="463"/>
      <c r="AB3313" s="462"/>
      <c r="AC3313" s="462"/>
      <c r="AD3313" s="464"/>
      <c r="AE3313" s="465"/>
    </row>
    <row r="3314" spans="27:31" ht="14.4">
      <c r="AA3314" s="463"/>
      <c r="AB3314" s="462"/>
      <c r="AC3314" s="462"/>
      <c r="AD3314" s="464"/>
      <c r="AE3314" s="465"/>
    </row>
    <row r="3315" spans="27:31" ht="14.4">
      <c r="AA3315" s="463"/>
      <c r="AB3315" s="462"/>
      <c r="AC3315" s="462"/>
      <c r="AD3315" s="464"/>
      <c r="AE3315" s="465"/>
    </row>
    <row r="3316" spans="27:31" ht="14.4">
      <c r="AA3316" s="463"/>
      <c r="AB3316" s="462"/>
      <c r="AC3316" s="462"/>
      <c r="AD3316" s="464"/>
      <c r="AE3316" s="465"/>
    </row>
    <row r="3317" spans="27:31" ht="14.4">
      <c r="AA3317" s="463"/>
      <c r="AB3317" s="462"/>
      <c r="AC3317" s="462"/>
      <c r="AD3317" s="464"/>
      <c r="AE3317" s="465"/>
    </row>
    <row r="3318" spans="27:31" ht="14.4">
      <c r="AA3318" s="463"/>
      <c r="AB3318" s="462"/>
      <c r="AC3318" s="462"/>
      <c r="AD3318" s="464"/>
      <c r="AE3318" s="465"/>
    </row>
    <row r="3319" spans="27:31" ht="14.4">
      <c r="AA3319" s="463"/>
      <c r="AB3319" s="462"/>
      <c r="AC3319" s="462"/>
      <c r="AD3319" s="464"/>
      <c r="AE3319" s="465"/>
    </row>
    <row r="3320" spans="27:31" ht="14.4">
      <c r="AA3320" s="463"/>
      <c r="AB3320" s="462"/>
      <c r="AC3320" s="462"/>
      <c r="AD3320" s="464"/>
      <c r="AE3320" s="465"/>
    </row>
    <row r="3321" spans="27:31" ht="14.4">
      <c r="AA3321" s="463"/>
      <c r="AB3321" s="462"/>
      <c r="AC3321" s="462"/>
      <c r="AD3321" s="464"/>
      <c r="AE3321" s="465"/>
    </row>
    <row r="3322" spans="27:31" ht="14.4">
      <c r="AA3322" s="463"/>
      <c r="AB3322" s="462"/>
      <c r="AC3322" s="462"/>
      <c r="AD3322" s="464"/>
      <c r="AE3322" s="465"/>
    </row>
    <row r="3323" spans="27:31" ht="14.4">
      <c r="AA3323" s="463"/>
      <c r="AB3323" s="462"/>
      <c r="AC3323" s="462"/>
      <c r="AD3323" s="464"/>
      <c r="AE3323" s="465"/>
    </row>
    <row r="3324" spans="27:31" ht="14.4">
      <c r="AA3324" s="463"/>
      <c r="AB3324" s="462"/>
      <c r="AC3324" s="462"/>
      <c r="AD3324" s="464"/>
      <c r="AE3324" s="465"/>
    </row>
    <row r="3325" spans="27:31" ht="14.4">
      <c r="AA3325" s="463"/>
      <c r="AB3325" s="462"/>
      <c r="AC3325" s="462"/>
      <c r="AD3325" s="464"/>
      <c r="AE3325" s="465"/>
    </row>
    <row r="3326" spans="27:31" ht="14.4">
      <c r="AA3326" s="463"/>
      <c r="AB3326" s="462"/>
      <c r="AC3326" s="462"/>
      <c r="AD3326" s="464"/>
      <c r="AE3326" s="465"/>
    </row>
    <row r="3327" spans="27:31" ht="14.4">
      <c r="AA3327" s="463"/>
      <c r="AB3327" s="462"/>
      <c r="AC3327" s="462"/>
      <c r="AD3327" s="464"/>
      <c r="AE3327" s="465"/>
    </row>
    <row r="3328" spans="27:31" ht="14.4">
      <c r="AA3328" s="463"/>
      <c r="AB3328" s="462"/>
      <c r="AC3328" s="462"/>
      <c r="AD3328" s="464"/>
      <c r="AE3328" s="465"/>
    </row>
    <row r="3329" spans="27:31" ht="14.4">
      <c r="AA3329" s="463"/>
      <c r="AB3329" s="462"/>
      <c r="AC3329" s="462"/>
      <c r="AD3329" s="464"/>
      <c r="AE3329" s="465"/>
    </row>
    <row r="3330" spans="27:31" ht="14.4">
      <c r="AA3330" s="463"/>
      <c r="AB3330" s="462"/>
      <c r="AC3330" s="462"/>
      <c r="AD3330" s="464"/>
      <c r="AE3330" s="465"/>
    </row>
    <row r="3331" spans="27:31" ht="14.4">
      <c r="AA3331" s="463"/>
      <c r="AB3331" s="462"/>
      <c r="AC3331" s="462"/>
      <c r="AD3331" s="464"/>
      <c r="AE3331" s="465"/>
    </row>
    <row r="3332" spans="27:31" ht="14.4">
      <c r="AA3332" s="463"/>
      <c r="AB3332" s="462"/>
      <c r="AC3332" s="462"/>
      <c r="AD3332" s="464"/>
      <c r="AE3332" s="465"/>
    </row>
    <row r="3333" spans="27:31" ht="14.4">
      <c r="AA3333" s="463"/>
      <c r="AB3333" s="462"/>
      <c r="AC3333" s="462"/>
      <c r="AD3333" s="464"/>
      <c r="AE3333" s="465"/>
    </row>
    <row r="3334" spans="27:31" ht="14.4">
      <c r="AA3334" s="463"/>
      <c r="AB3334" s="462"/>
      <c r="AC3334" s="462"/>
      <c r="AD3334" s="464"/>
      <c r="AE3334" s="465"/>
    </row>
    <row r="3335" spans="27:31" ht="14.4">
      <c r="AA3335" s="463"/>
      <c r="AB3335" s="462"/>
      <c r="AC3335" s="462"/>
      <c r="AD3335" s="464"/>
      <c r="AE3335" s="465"/>
    </row>
    <row r="3336" spans="27:31" ht="14.4">
      <c r="AA3336" s="463"/>
      <c r="AB3336" s="462"/>
      <c r="AC3336" s="462"/>
      <c r="AD3336" s="464"/>
      <c r="AE3336" s="465"/>
    </row>
    <row r="3337" spans="27:31" ht="14.4">
      <c r="AA3337" s="463"/>
      <c r="AB3337" s="462"/>
      <c r="AC3337" s="462"/>
      <c r="AD3337" s="464"/>
      <c r="AE3337" s="465"/>
    </row>
    <row r="3338" spans="27:31" ht="14.4">
      <c r="AA3338" s="463"/>
      <c r="AB3338" s="462"/>
      <c r="AC3338" s="462"/>
      <c r="AD3338" s="464"/>
      <c r="AE3338" s="465"/>
    </row>
    <row r="3339" spans="27:31" ht="14.4">
      <c r="AA3339" s="463"/>
      <c r="AB3339" s="462"/>
      <c r="AC3339" s="462"/>
      <c r="AD3339" s="464"/>
      <c r="AE3339" s="465"/>
    </row>
    <row r="3340" spans="27:31" ht="14.4">
      <c r="AA3340" s="463"/>
      <c r="AB3340" s="462"/>
      <c r="AC3340" s="462"/>
      <c r="AD3340" s="464"/>
      <c r="AE3340" s="465"/>
    </row>
    <row r="3341" spans="27:31" ht="14.4">
      <c r="AA3341" s="463"/>
      <c r="AB3341" s="462"/>
      <c r="AC3341" s="462"/>
      <c r="AD3341" s="464"/>
      <c r="AE3341" s="465"/>
    </row>
    <row r="3342" spans="27:31" ht="14.4">
      <c r="AA3342" s="463"/>
      <c r="AB3342" s="462"/>
      <c r="AC3342" s="462"/>
      <c r="AD3342" s="464"/>
      <c r="AE3342" s="465"/>
    </row>
    <row r="3343" spans="27:31" ht="14.4">
      <c r="AA3343" s="463"/>
      <c r="AB3343" s="462"/>
      <c r="AC3343" s="462"/>
      <c r="AD3343" s="464"/>
      <c r="AE3343" s="465"/>
    </row>
    <row r="3344" spans="27:31" ht="14.4">
      <c r="AA3344" s="463"/>
      <c r="AB3344" s="462"/>
      <c r="AC3344" s="462"/>
      <c r="AD3344" s="464"/>
      <c r="AE3344" s="465"/>
    </row>
    <row r="3345" spans="27:31" ht="14.4">
      <c r="AA3345" s="463"/>
      <c r="AB3345" s="462"/>
      <c r="AC3345" s="462"/>
      <c r="AD3345" s="464"/>
      <c r="AE3345" s="465"/>
    </row>
    <row r="3346" spans="27:31" ht="14.4">
      <c r="AA3346" s="463"/>
      <c r="AB3346" s="462"/>
      <c r="AC3346" s="462"/>
      <c r="AD3346" s="464"/>
      <c r="AE3346" s="465"/>
    </row>
    <row r="3347" spans="27:31" ht="14.4">
      <c r="AA3347" s="463"/>
      <c r="AB3347" s="462"/>
      <c r="AC3347" s="462"/>
      <c r="AD3347" s="464"/>
      <c r="AE3347" s="465"/>
    </row>
    <row r="3348" spans="27:31" ht="14.4">
      <c r="AA3348" s="463"/>
      <c r="AB3348" s="462"/>
      <c r="AC3348" s="462"/>
      <c r="AD3348" s="464"/>
      <c r="AE3348" s="465"/>
    </row>
    <row r="3349" spans="27:31" ht="14.4">
      <c r="AA3349" s="463"/>
      <c r="AB3349" s="462"/>
      <c r="AC3349" s="462"/>
      <c r="AD3349" s="464"/>
      <c r="AE3349" s="465"/>
    </row>
    <row r="3350" spans="27:31" ht="14.4">
      <c r="AA3350" s="463"/>
      <c r="AB3350" s="462"/>
      <c r="AC3350" s="462"/>
      <c r="AD3350" s="464"/>
      <c r="AE3350" s="465"/>
    </row>
    <row r="3351" spans="27:31" ht="14.4">
      <c r="AA3351" s="463"/>
      <c r="AB3351" s="462"/>
      <c r="AC3351" s="462"/>
      <c r="AD3351" s="464"/>
      <c r="AE3351" s="465"/>
    </row>
    <row r="3352" spans="27:31" ht="14.4">
      <c r="AA3352" s="463"/>
      <c r="AB3352" s="462"/>
      <c r="AC3352" s="462"/>
      <c r="AD3352" s="464"/>
      <c r="AE3352" s="465"/>
    </row>
    <row r="3353" spans="27:31" ht="14.4">
      <c r="AA3353" s="463"/>
      <c r="AB3353" s="462"/>
      <c r="AC3353" s="462"/>
      <c r="AD3353" s="464"/>
      <c r="AE3353" s="465"/>
    </row>
    <row r="3354" spans="27:31" ht="14.4">
      <c r="AA3354" s="463"/>
      <c r="AB3354" s="462"/>
      <c r="AC3354" s="462"/>
      <c r="AD3354" s="464"/>
      <c r="AE3354" s="465"/>
    </row>
    <row r="3355" spans="27:31" ht="14.4">
      <c r="AA3355" s="463"/>
      <c r="AB3355" s="462"/>
      <c r="AC3355" s="462"/>
      <c r="AD3355" s="464"/>
      <c r="AE3355" s="465"/>
    </row>
    <row r="3356" spans="27:31" ht="14.4">
      <c r="AA3356" s="463"/>
      <c r="AB3356" s="462"/>
      <c r="AC3356" s="462"/>
      <c r="AD3356" s="464"/>
      <c r="AE3356" s="465"/>
    </row>
    <row r="3357" spans="27:31" ht="14.4">
      <c r="AA3357" s="463"/>
      <c r="AB3357" s="462"/>
      <c r="AC3357" s="462"/>
      <c r="AD3357" s="464"/>
      <c r="AE3357" s="465"/>
    </row>
    <row r="3358" spans="27:31" ht="14.4">
      <c r="AA3358" s="463"/>
      <c r="AB3358" s="462"/>
      <c r="AC3358" s="462"/>
      <c r="AD3358" s="464"/>
      <c r="AE3358" s="465"/>
    </row>
    <row r="3359" spans="27:31" ht="14.4">
      <c r="AA3359" s="463"/>
      <c r="AB3359" s="462"/>
      <c r="AC3359" s="462"/>
      <c r="AD3359" s="464"/>
      <c r="AE3359" s="465"/>
    </row>
    <row r="3360" spans="27:31" ht="14.4">
      <c r="AA3360" s="463"/>
      <c r="AB3360" s="462"/>
      <c r="AC3360" s="462"/>
      <c r="AD3360" s="464"/>
      <c r="AE3360" s="465"/>
    </row>
    <row r="3361" spans="27:31" ht="14.4">
      <c r="AA3361" s="463"/>
      <c r="AB3361" s="462"/>
      <c r="AC3361" s="462"/>
      <c r="AD3361" s="464"/>
      <c r="AE3361" s="465"/>
    </row>
    <row r="3362" spans="27:31" ht="14.4">
      <c r="AA3362" s="463"/>
      <c r="AB3362" s="462"/>
      <c r="AC3362" s="462"/>
      <c r="AD3362" s="464"/>
      <c r="AE3362" s="465"/>
    </row>
    <row r="3363" spans="27:31" ht="14.4">
      <c r="AA3363" s="463"/>
      <c r="AB3363" s="462"/>
      <c r="AC3363" s="462"/>
      <c r="AD3363" s="464"/>
      <c r="AE3363" s="465"/>
    </row>
    <row r="3364" spans="27:31" ht="14.4">
      <c r="AA3364" s="463"/>
      <c r="AB3364" s="462"/>
      <c r="AC3364" s="462"/>
      <c r="AD3364" s="464"/>
      <c r="AE3364" s="465"/>
    </row>
    <row r="3365" spans="27:31" ht="14.4">
      <c r="AA3365" s="463"/>
      <c r="AB3365" s="462"/>
      <c r="AC3365" s="462"/>
      <c r="AD3365" s="464"/>
      <c r="AE3365" s="465"/>
    </row>
    <row r="3366" spans="27:31" ht="14.4">
      <c r="AA3366" s="463"/>
      <c r="AB3366" s="462"/>
      <c r="AC3366" s="462"/>
      <c r="AD3366" s="464"/>
      <c r="AE3366" s="465"/>
    </row>
    <row r="3367" spans="27:31" ht="14.4">
      <c r="AA3367" s="463"/>
      <c r="AB3367" s="462"/>
      <c r="AC3367" s="462"/>
      <c r="AD3367" s="464"/>
      <c r="AE3367" s="465"/>
    </row>
    <row r="3368" spans="27:31" ht="14.4">
      <c r="AA3368" s="463"/>
      <c r="AB3368" s="462"/>
      <c r="AC3368" s="462"/>
      <c r="AD3368" s="464"/>
      <c r="AE3368" s="465"/>
    </row>
    <row r="3369" spans="27:31" ht="14.4">
      <c r="AA3369" s="463"/>
      <c r="AB3369" s="462"/>
      <c r="AC3369" s="462"/>
      <c r="AD3369" s="464"/>
      <c r="AE3369" s="465"/>
    </row>
    <row r="3370" spans="27:31" ht="14.4">
      <c r="AA3370" s="463"/>
      <c r="AB3370" s="462"/>
      <c r="AC3370" s="462"/>
      <c r="AD3370" s="464"/>
      <c r="AE3370" s="465"/>
    </row>
    <row r="3371" spans="27:31" ht="14.4">
      <c r="AA3371" s="463"/>
      <c r="AB3371" s="462"/>
      <c r="AC3371" s="462"/>
      <c r="AD3371" s="464"/>
      <c r="AE3371" s="465"/>
    </row>
    <row r="3372" spans="27:31" ht="14.4">
      <c r="AA3372" s="463"/>
      <c r="AB3372" s="462"/>
      <c r="AC3372" s="462"/>
      <c r="AD3372" s="464"/>
      <c r="AE3372" s="465"/>
    </row>
    <row r="3373" spans="27:31" ht="14.4">
      <c r="AA3373" s="463"/>
      <c r="AB3373" s="462"/>
      <c r="AC3373" s="462"/>
      <c r="AD3373" s="464"/>
      <c r="AE3373" s="465"/>
    </row>
    <row r="3374" spans="27:31" ht="14.4">
      <c r="AA3374" s="463"/>
      <c r="AB3374" s="462"/>
      <c r="AC3374" s="462"/>
      <c r="AD3374" s="464"/>
      <c r="AE3374" s="465"/>
    </row>
    <row r="3375" spans="27:31" ht="14.4">
      <c r="AA3375" s="463"/>
      <c r="AB3375" s="462"/>
      <c r="AC3375" s="462"/>
      <c r="AD3375" s="464"/>
      <c r="AE3375" s="465"/>
    </row>
    <row r="3376" spans="27:31" ht="14.4">
      <c r="AA3376" s="463"/>
      <c r="AB3376" s="462"/>
      <c r="AC3376" s="462"/>
      <c r="AD3376" s="464"/>
      <c r="AE3376" s="465"/>
    </row>
    <row r="3377" spans="27:31" ht="14.4">
      <c r="AA3377" s="463"/>
      <c r="AB3377" s="462"/>
      <c r="AC3377" s="462"/>
      <c r="AD3377" s="464"/>
      <c r="AE3377" s="465"/>
    </row>
    <row r="3378" spans="27:31" ht="14.4">
      <c r="AA3378" s="463"/>
      <c r="AB3378" s="462"/>
      <c r="AC3378" s="462"/>
      <c r="AD3378" s="464"/>
      <c r="AE3378" s="465"/>
    </row>
    <row r="3379" spans="27:31" ht="14.4">
      <c r="AA3379" s="463"/>
      <c r="AB3379" s="462"/>
      <c r="AC3379" s="462"/>
      <c r="AD3379" s="464"/>
      <c r="AE3379" s="465"/>
    </row>
    <row r="3380" spans="27:31" ht="14.4">
      <c r="AA3380" s="463"/>
      <c r="AB3380" s="462"/>
      <c r="AC3380" s="462"/>
      <c r="AD3380" s="464"/>
      <c r="AE3380" s="465"/>
    </row>
    <row r="3381" spans="27:31" ht="14.4">
      <c r="AA3381" s="463"/>
      <c r="AB3381" s="462"/>
      <c r="AC3381" s="462"/>
      <c r="AD3381" s="464"/>
      <c r="AE3381" s="465"/>
    </row>
    <row r="3382" spans="27:31" ht="14.4">
      <c r="AA3382" s="463"/>
      <c r="AB3382" s="462"/>
      <c r="AC3382" s="462"/>
      <c r="AD3382" s="464"/>
      <c r="AE3382" s="465"/>
    </row>
    <row r="3383" spans="27:31" ht="14.4">
      <c r="AA3383" s="463"/>
      <c r="AB3383" s="462"/>
      <c r="AC3383" s="462"/>
      <c r="AD3383" s="464"/>
      <c r="AE3383" s="465"/>
    </row>
    <row r="3384" spans="27:31" ht="14.4">
      <c r="AA3384" s="463"/>
      <c r="AB3384" s="462"/>
      <c r="AC3384" s="462"/>
      <c r="AD3384" s="464"/>
      <c r="AE3384" s="465"/>
    </row>
    <row r="3385" spans="27:31" ht="14.4">
      <c r="AA3385" s="463"/>
      <c r="AB3385" s="462"/>
      <c r="AC3385" s="462"/>
      <c r="AD3385" s="464"/>
      <c r="AE3385" s="465"/>
    </row>
    <row r="3386" spans="27:31" ht="14.4">
      <c r="AA3386" s="463"/>
      <c r="AB3386" s="462"/>
      <c r="AC3386" s="462"/>
      <c r="AD3386" s="464"/>
      <c r="AE3386" s="465"/>
    </row>
    <row r="3387" spans="27:31" ht="14.4">
      <c r="AA3387" s="463"/>
      <c r="AB3387" s="462"/>
      <c r="AC3387" s="462"/>
      <c r="AD3387" s="464"/>
      <c r="AE3387" s="465"/>
    </row>
    <row r="3388" spans="27:31" ht="14.4">
      <c r="AA3388" s="463"/>
      <c r="AB3388" s="462"/>
      <c r="AC3388" s="462"/>
      <c r="AD3388" s="464"/>
      <c r="AE3388" s="465"/>
    </row>
    <row r="3389" spans="27:31" ht="14.4">
      <c r="AA3389" s="463"/>
      <c r="AB3389" s="462"/>
      <c r="AC3389" s="462"/>
      <c r="AD3389" s="464"/>
      <c r="AE3389" s="465"/>
    </row>
    <row r="3390" spans="27:31" ht="14.4">
      <c r="AA3390" s="463"/>
      <c r="AB3390" s="462"/>
      <c r="AC3390" s="462"/>
      <c r="AD3390" s="464"/>
      <c r="AE3390" s="465"/>
    </row>
    <row r="3391" spans="27:31" ht="14.4">
      <c r="AA3391" s="463"/>
      <c r="AB3391" s="462"/>
      <c r="AC3391" s="462"/>
      <c r="AD3391" s="464"/>
      <c r="AE3391" s="465"/>
    </row>
    <row r="3392" spans="27:31" ht="14.4">
      <c r="AA3392" s="463"/>
      <c r="AB3392" s="462"/>
      <c r="AC3392" s="462"/>
      <c r="AD3392" s="464"/>
      <c r="AE3392" s="465"/>
    </row>
    <row r="3393" spans="27:31" ht="14.4">
      <c r="AA3393" s="463"/>
      <c r="AB3393" s="462"/>
      <c r="AC3393" s="462"/>
      <c r="AD3393" s="464"/>
      <c r="AE3393" s="465"/>
    </row>
    <row r="3394" spans="27:31" ht="14.4">
      <c r="AA3394" s="463"/>
      <c r="AB3394" s="462"/>
      <c r="AC3394" s="462"/>
      <c r="AD3394" s="464"/>
      <c r="AE3394" s="465"/>
    </row>
    <row r="3395" spans="27:31" ht="14.4">
      <c r="AA3395" s="463"/>
      <c r="AB3395" s="462"/>
      <c r="AC3395" s="462"/>
      <c r="AD3395" s="464"/>
      <c r="AE3395" s="465"/>
    </row>
    <row r="3396" spans="27:31" ht="14.4">
      <c r="AA3396" s="463"/>
      <c r="AB3396" s="462"/>
      <c r="AC3396" s="462"/>
      <c r="AD3396" s="464"/>
      <c r="AE3396" s="465"/>
    </row>
    <row r="3397" spans="27:31" ht="14.4">
      <c r="AA3397" s="463"/>
      <c r="AB3397" s="462"/>
      <c r="AC3397" s="462"/>
      <c r="AD3397" s="464"/>
      <c r="AE3397" s="465"/>
    </row>
    <row r="3398" spans="27:31" ht="14.4">
      <c r="AA3398" s="463"/>
      <c r="AB3398" s="462"/>
      <c r="AC3398" s="462"/>
      <c r="AD3398" s="464"/>
      <c r="AE3398" s="465"/>
    </row>
    <row r="3399" spans="27:31" ht="14.4">
      <c r="AA3399" s="463"/>
      <c r="AB3399" s="462"/>
      <c r="AC3399" s="462"/>
      <c r="AD3399" s="464"/>
      <c r="AE3399" s="465"/>
    </row>
    <row r="3400" spans="27:31" ht="14.4">
      <c r="AA3400" s="463"/>
      <c r="AB3400" s="462"/>
      <c r="AC3400" s="462"/>
      <c r="AD3400" s="464"/>
      <c r="AE3400" s="465"/>
    </row>
    <row r="3401" spans="27:31" ht="14.4">
      <c r="AA3401" s="463"/>
      <c r="AB3401" s="462"/>
      <c r="AC3401" s="462"/>
      <c r="AD3401" s="464"/>
      <c r="AE3401" s="465"/>
    </row>
    <row r="3402" spans="27:31" ht="14.4">
      <c r="AA3402" s="463"/>
      <c r="AB3402" s="462"/>
      <c r="AC3402" s="462"/>
      <c r="AD3402" s="464"/>
      <c r="AE3402" s="465"/>
    </row>
    <row r="3403" spans="27:31" ht="14.4">
      <c r="AA3403" s="463"/>
      <c r="AB3403" s="462"/>
      <c r="AC3403" s="462"/>
      <c r="AD3403" s="464"/>
      <c r="AE3403" s="465"/>
    </row>
    <row r="3404" spans="27:31" ht="14.4">
      <c r="AA3404" s="463"/>
      <c r="AB3404" s="462"/>
      <c r="AC3404" s="462"/>
      <c r="AD3404" s="464"/>
      <c r="AE3404" s="465"/>
    </row>
    <row r="3405" spans="27:31" ht="14.4">
      <c r="AA3405" s="463"/>
      <c r="AB3405" s="462"/>
      <c r="AC3405" s="462"/>
      <c r="AD3405" s="464"/>
      <c r="AE3405" s="465"/>
    </row>
    <row r="3406" spans="27:31" ht="14.4">
      <c r="AA3406" s="463"/>
      <c r="AB3406" s="462"/>
      <c r="AC3406" s="462"/>
      <c r="AD3406" s="464"/>
      <c r="AE3406" s="465"/>
    </row>
    <row r="3407" spans="27:31" ht="14.4">
      <c r="AA3407" s="463"/>
      <c r="AB3407" s="462"/>
      <c r="AC3407" s="462"/>
      <c r="AD3407" s="464"/>
      <c r="AE3407" s="465"/>
    </row>
    <row r="3408" spans="27:31" ht="14.4">
      <c r="AA3408" s="463"/>
      <c r="AB3408" s="462"/>
      <c r="AC3408" s="462"/>
      <c r="AD3408" s="464"/>
      <c r="AE3408" s="465"/>
    </row>
    <row r="3409" spans="27:31" ht="14.4">
      <c r="AA3409" s="463"/>
      <c r="AB3409" s="462"/>
      <c r="AC3409" s="462"/>
      <c r="AD3409" s="464"/>
      <c r="AE3409" s="465"/>
    </row>
    <row r="3410" spans="27:31" ht="14.4">
      <c r="AA3410" s="463"/>
      <c r="AB3410" s="462"/>
      <c r="AC3410" s="462"/>
      <c r="AD3410" s="464"/>
      <c r="AE3410" s="465"/>
    </row>
    <row r="3411" spans="27:31" ht="14.4">
      <c r="AA3411" s="463"/>
      <c r="AB3411" s="462"/>
      <c r="AC3411" s="462"/>
      <c r="AD3411" s="464"/>
      <c r="AE3411" s="465"/>
    </row>
    <row r="3412" spans="27:31" ht="14.4">
      <c r="AA3412" s="463"/>
      <c r="AB3412" s="462"/>
      <c r="AC3412" s="462"/>
      <c r="AD3412" s="464"/>
      <c r="AE3412" s="465"/>
    </row>
    <row r="3413" spans="27:31" ht="14.4">
      <c r="AA3413" s="463"/>
      <c r="AB3413" s="462"/>
      <c r="AC3413" s="462"/>
      <c r="AD3413" s="464"/>
      <c r="AE3413" s="465"/>
    </row>
    <row r="3414" spans="27:31" ht="14.4">
      <c r="AA3414" s="463"/>
      <c r="AB3414" s="462"/>
      <c r="AC3414" s="462"/>
      <c r="AD3414" s="464"/>
      <c r="AE3414" s="465"/>
    </row>
    <row r="3415" spans="27:31" ht="14.4">
      <c r="AA3415" s="463"/>
      <c r="AB3415" s="462"/>
      <c r="AC3415" s="462"/>
      <c r="AD3415" s="464"/>
      <c r="AE3415" s="465"/>
    </row>
    <row r="3416" spans="27:31" ht="14.4">
      <c r="AA3416" s="463"/>
      <c r="AB3416" s="462"/>
      <c r="AC3416" s="462"/>
      <c r="AD3416" s="464"/>
      <c r="AE3416" s="465"/>
    </row>
    <row r="3417" spans="27:31" ht="14.4">
      <c r="AA3417" s="463"/>
      <c r="AB3417" s="462"/>
      <c r="AC3417" s="462"/>
      <c r="AD3417" s="464"/>
      <c r="AE3417" s="465"/>
    </row>
    <row r="3418" spans="27:31" ht="14.4">
      <c r="AA3418" s="463"/>
      <c r="AB3418" s="462"/>
      <c r="AC3418" s="462"/>
      <c r="AD3418" s="464"/>
      <c r="AE3418" s="465"/>
    </row>
    <row r="3419" spans="27:31" ht="14.4">
      <c r="AA3419" s="463"/>
      <c r="AB3419" s="462"/>
      <c r="AC3419" s="462"/>
      <c r="AD3419" s="464"/>
      <c r="AE3419" s="465"/>
    </row>
    <row r="3420" spans="27:31" ht="14.4">
      <c r="AA3420" s="463"/>
      <c r="AB3420" s="462"/>
      <c r="AC3420" s="462"/>
      <c r="AD3420" s="464"/>
      <c r="AE3420" s="465"/>
    </row>
    <row r="3421" spans="27:31" ht="14.4">
      <c r="AA3421" s="463"/>
      <c r="AB3421" s="462"/>
      <c r="AC3421" s="462"/>
      <c r="AD3421" s="464"/>
      <c r="AE3421" s="465"/>
    </row>
    <row r="3422" spans="27:31" ht="14.4">
      <c r="AA3422" s="463"/>
      <c r="AB3422" s="462"/>
      <c r="AC3422" s="462"/>
      <c r="AD3422" s="464"/>
      <c r="AE3422" s="465"/>
    </row>
    <row r="3423" spans="27:31" ht="14.4">
      <c r="AA3423" s="463"/>
      <c r="AB3423" s="462"/>
      <c r="AC3423" s="462"/>
      <c r="AD3423" s="464"/>
      <c r="AE3423" s="465"/>
    </row>
    <row r="3424" spans="27:31" ht="14.4">
      <c r="AA3424" s="463"/>
      <c r="AB3424" s="462"/>
      <c r="AC3424" s="462"/>
      <c r="AD3424" s="464"/>
      <c r="AE3424" s="465"/>
    </row>
    <row r="3425" spans="27:31" ht="14.4">
      <c r="AA3425" s="463"/>
      <c r="AB3425" s="462"/>
      <c r="AC3425" s="462"/>
      <c r="AD3425" s="464"/>
      <c r="AE3425" s="465"/>
    </row>
    <row r="3426" spans="27:31" ht="14.4">
      <c r="AA3426" s="463"/>
      <c r="AB3426" s="462"/>
      <c r="AC3426" s="462"/>
      <c r="AD3426" s="464"/>
      <c r="AE3426" s="465"/>
    </row>
    <row r="3427" spans="27:31" ht="14.4">
      <c r="AA3427" s="463"/>
      <c r="AB3427" s="462"/>
      <c r="AC3427" s="462"/>
      <c r="AD3427" s="464"/>
      <c r="AE3427" s="465"/>
    </row>
    <row r="3428" spans="27:31" ht="14.4">
      <c r="AA3428" s="463"/>
      <c r="AB3428" s="462"/>
      <c r="AC3428" s="462"/>
      <c r="AD3428" s="464"/>
      <c r="AE3428" s="465"/>
    </row>
    <row r="3429" spans="27:31" ht="14.4">
      <c r="AA3429" s="463"/>
      <c r="AB3429" s="462"/>
      <c r="AC3429" s="462"/>
      <c r="AD3429" s="464"/>
      <c r="AE3429" s="465"/>
    </row>
    <row r="3430" spans="27:31" ht="14.4">
      <c r="AA3430" s="463"/>
      <c r="AB3430" s="462"/>
      <c r="AC3430" s="462"/>
      <c r="AD3430" s="464"/>
      <c r="AE3430" s="465"/>
    </row>
    <row r="3431" spans="27:31" ht="14.4">
      <c r="AA3431" s="463"/>
      <c r="AB3431" s="462"/>
      <c r="AC3431" s="462"/>
      <c r="AD3431" s="464"/>
      <c r="AE3431" s="465"/>
    </row>
    <row r="3432" spans="27:31" ht="14.4">
      <c r="AA3432" s="463"/>
      <c r="AB3432" s="462"/>
      <c r="AC3432" s="462"/>
      <c r="AD3432" s="464"/>
      <c r="AE3432" s="465"/>
    </row>
    <row r="3433" spans="27:31" ht="14.4">
      <c r="AA3433" s="463"/>
      <c r="AB3433" s="462"/>
      <c r="AC3433" s="462"/>
      <c r="AD3433" s="464"/>
      <c r="AE3433" s="465"/>
    </row>
    <row r="3434" spans="27:31" ht="14.4">
      <c r="AA3434" s="463"/>
      <c r="AB3434" s="462"/>
      <c r="AC3434" s="462"/>
      <c r="AD3434" s="464"/>
      <c r="AE3434" s="465"/>
    </row>
    <row r="3435" spans="27:31" ht="14.4">
      <c r="AA3435" s="463"/>
      <c r="AB3435" s="462"/>
      <c r="AC3435" s="462"/>
      <c r="AD3435" s="464"/>
      <c r="AE3435" s="465"/>
    </row>
    <row r="3436" spans="27:31" ht="14.4">
      <c r="AA3436" s="463"/>
      <c r="AB3436" s="462"/>
      <c r="AC3436" s="462"/>
      <c r="AD3436" s="464"/>
      <c r="AE3436" s="465"/>
    </row>
    <row r="3437" spans="27:31" ht="14.4">
      <c r="AA3437" s="463"/>
      <c r="AB3437" s="462"/>
      <c r="AC3437" s="462"/>
      <c r="AD3437" s="464"/>
      <c r="AE3437" s="465"/>
    </row>
    <row r="3438" spans="27:31" ht="14.4">
      <c r="AA3438" s="463"/>
      <c r="AB3438" s="462"/>
      <c r="AC3438" s="462"/>
      <c r="AD3438" s="464"/>
      <c r="AE3438" s="465"/>
    </row>
    <row r="3439" spans="27:31" ht="14.4">
      <c r="AA3439" s="463"/>
      <c r="AB3439" s="462"/>
      <c r="AC3439" s="462"/>
      <c r="AD3439" s="464"/>
      <c r="AE3439" s="465"/>
    </row>
    <row r="3440" spans="27:31" ht="14.4">
      <c r="AA3440" s="463"/>
      <c r="AB3440" s="462"/>
      <c r="AC3440" s="462"/>
      <c r="AD3440" s="464"/>
      <c r="AE3440" s="465"/>
    </row>
    <row r="3441" spans="27:31" ht="14.4">
      <c r="AA3441" s="463"/>
      <c r="AB3441" s="462"/>
      <c r="AC3441" s="462"/>
      <c r="AD3441" s="464"/>
      <c r="AE3441" s="465"/>
    </row>
    <row r="3442" spans="27:31" ht="14.4">
      <c r="AA3442" s="463"/>
      <c r="AB3442" s="462"/>
      <c r="AC3442" s="462"/>
      <c r="AD3442" s="464"/>
      <c r="AE3442" s="465"/>
    </row>
    <row r="3443" spans="27:31" ht="14.4">
      <c r="AA3443" s="463"/>
      <c r="AB3443" s="462"/>
      <c r="AC3443" s="462"/>
      <c r="AD3443" s="464"/>
      <c r="AE3443" s="465"/>
    </row>
    <row r="3444" spans="27:31" ht="14.4">
      <c r="AA3444" s="463"/>
      <c r="AB3444" s="462"/>
      <c r="AC3444" s="462"/>
      <c r="AD3444" s="464"/>
      <c r="AE3444" s="465"/>
    </row>
    <row r="3445" spans="27:31" ht="14.4">
      <c r="AA3445" s="463"/>
      <c r="AB3445" s="462"/>
      <c r="AC3445" s="462"/>
      <c r="AD3445" s="464"/>
      <c r="AE3445" s="465"/>
    </row>
    <row r="3446" spans="27:31" ht="14.4">
      <c r="AA3446" s="463"/>
      <c r="AB3446" s="462"/>
      <c r="AC3446" s="462"/>
      <c r="AD3446" s="464"/>
      <c r="AE3446" s="465"/>
    </row>
    <row r="3447" spans="27:31" ht="14.4">
      <c r="AA3447" s="463"/>
      <c r="AB3447" s="462"/>
      <c r="AC3447" s="462"/>
      <c r="AD3447" s="464"/>
      <c r="AE3447" s="465"/>
    </row>
    <row r="3448" spans="27:31" ht="14.4">
      <c r="AA3448" s="463"/>
      <c r="AB3448" s="462"/>
      <c r="AC3448" s="462"/>
      <c r="AD3448" s="464"/>
      <c r="AE3448" s="465"/>
    </row>
    <row r="3449" spans="27:31" ht="14.4">
      <c r="AA3449" s="463"/>
      <c r="AB3449" s="462"/>
      <c r="AC3449" s="462"/>
      <c r="AD3449" s="464"/>
      <c r="AE3449" s="465"/>
    </row>
    <row r="3450" spans="27:31" ht="14.4">
      <c r="AA3450" s="463"/>
      <c r="AB3450" s="462"/>
      <c r="AC3450" s="462"/>
      <c r="AD3450" s="464"/>
      <c r="AE3450" s="465"/>
    </row>
    <row r="3451" spans="27:31" ht="14.4">
      <c r="AA3451" s="463"/>
      <c r="AB3451" s="462"/>
      <c r="AC3451" s="462"/>
      <c r="AD3451" s="464"/>
      <c r="AE3451" s="465"/>
    </row>
    <row r="3452" spans="27:31" ht="14.4">
      <c r="AA3452" s="463"/>
      <c r="AB3452" s="462"/>
      <c r="AC3452" s="462"/>
      <c r="AD3452" s="464"/>
      <c r="AE3452" s="465"/>
    </row>
    <row r="3453" spans="27:31" ht="14.4">
      <c r="AA3453" s="463"/>
      <c r="AB3453" s="462"/>
      <c r="AC3453" s="462"/>
      <c r="AD3453" s="464"/>
      <c r="AE3453" s="465"/>
    </row>
    <row r="3454" spans="27:31" ht="14.4">
      <c r="AA3454" s="463"/>
      <c r="AB3454" s="462"/>
      <c r="AC3454" s="462"/>
      <c r="AD3454" s="464"/>
      <c r="AE3454" s="465"/>
    </row>
    <row r="3455" spans="27:31" ht="14.4">
      <c r="AA3455" s="463"/>
      <c r="AB3455" s="462"/>
      <c r="AC3455" s="462"/>
      <c r="AD3455" s="464"/>
      <c r="AE3455" s="465"/>
    </row>
    <row r="3456" spans="27:31" ht="14.4">
      <c r="AA3456" s="463"/>
      <c r="AB3456" s="462"/>
      <c r="AC3456" s="462"/>
      <c r="AD3456" s="464"/>
      <c r="AE3456" s="465"/>
    </row>
    <row r="3457" spans="27:31" ht="14.4">
      <c r="AA3457" s="463"/>
      <c r="AB3457" s="462"/>
      <c r="AC3457" s="462"/>
      <c r="AD3457" s="464"/>
      <c r="AE3457" s="465"/>
    </row>
    <row r="3458" spans="27:31" ht="14.4">
      <c r="AA3458" s="463"/>
      <c r="AB3458" s="462"/>
      <c r="AC3458" s="462"/>
      <c r="AD3458" s="464"/>
      <c r="AE3458" s="465"/>
    </row>
    <row r="3459" spans="27:31" ht="14.4">
      <c r="AA3459" s="463"/>
      <c r="AB3459" s="462"/>
      <c r="AC3459" s="462"/>
      <c r="AD3459" s="464"/>
      <c r="AE3459" s="465"/>
    </row>
    <row r="3460" spans="27:31" ht="14.4">
      <c r="AA3460" s="463"/>
      <c r="AB3460" s="462"/>
      <c r="AC3460" s="462"/>
      <c r="AD3460" s="464"/>
      <c r="AE3460" s="465"/>
    </row>
    <row r="3461" spans="27:31" ht="14.4">
      <c r="AA3461" s="463"/>
      <c r="AB3461" s="462"/>
      <c r="AC3461" s="462"/>
      <c r="AD3461" s="464"/>
      <c r="AE3461" s="465"/>
    </row>
    <row r="3462" spans="27:31" ht="14.4">
      <c r="AA3462" s="463"/>
      <c r="AB3462" s="462"/>
      <c r="AC3462" s="462"/>
      <c r="AD3462" s="464"/>
      <c r="AE3462" s="465"/>
    </row>
    <row r="3463" spans="27:31" ht="14.4">
      <c r="AA3463" s="463"/>
      <c r="AB3463" s="462"/>
      <c r="AC3463" s="462"/>
      <c r="AD3463" s="464"/>
      <c r="AE3463" s="465"/>
    </row>
    <row r="3464" spans="27:31" ht="14.4">
      <c r="AA3464" s="463"/>
      <c r="AB3464" s="462"/>
      <c r="AC3464" s="462"/>
      <c r="AD3464" s="464"/>
      <c r="AE3464" s="465"/>
    </row>
    <row r="3465" spans="27:31" ht="14.4">
      <c r="AA3465" s="463"/>
      <c r="AB3465" s="462"/>
      <c r="AC3465" s="462"/>
      <c r="AD3465" s="464"/>
      <c r="AE3465" s="465"/>
    </row>
    <row r="3466" spans="27:31" ht="14.4">
      <c r="AA3466" s="463"/>
      <c r="AB3466" s="462"/>
      <c r="AC3466" s="462"/>
      <c r="AD3466" s="464"/>
      <c r="AE3466" s="465"/>
    </row>
    <row r="3467" spans="27:31" ht="14.4">
      <c r="AA3467" s="463"/>
      <c r="AB3467" s="462"/>
      <c r="AC3467" s="462"/>
      <c r="AD3467" s="464"/>
      <c r="AE3467" s="465"/>
    </row>
    <row r="3468" spans="27:31" ht="14.4">
      <c r="AA3468" s="463"/>
      <c r="AB3468" s="462"/>
      <c r="AC3468" s="462"/>
      <c r="AD3468" s="464"/>
      <c r="AE3468" s="465"/>
    </row>
    <row r="3469" spans="27:31" ht="14.4">
      <c r="AA3469" s="463"/>
      <c r="AB3469" s="462"/>
      <c r="AC3469" s="462"/>
      <c r="AD3469" s="464"/>
      <c r="AE3469" s="465"/>
    </row>
    <row r="3470" spans="27:31" ht="14.4">
      <c r="AA3470" s="463"/>
      <c r="AB3470" s="462"/>
      <c r="AC3470" s="462"/>
      <c r="AD3470" s="464"/>
      <c r="AE3470" s="465"/>
    </row>
    <row r="3471" spans="27:31" ht="14.4">
      <c r="AA3471" s="463"/>
      <c r="AB3471" s="462"/>
      <c r="AC3471" s="462"/>
      <c r="AD3471" s="464"/>
      <c r="AE3471" s="465"/>
    </row>
    <row r="3472" spans="27:31" ht="14.4">
      <c r="AA3472" s="463"/>
      <c r="AB3472" s="462"/>
      <c r="AC3472" s="462"/>
      <c r="AD3472" s="464"/>
      <c r="AE3472" s="465"/>
    </row>
    <row r="3473" spans="27:31" ht="14.4">
      <c r="AA3473" s="463"/>
      <c r="AB3473" s="462"/>
      <c r="AC3473" s="462"/>
      <c r="AD3473" s="464"/>
      <c r="AE3473" s="465"/>
    </row>
    <row r="3474" spans="27:31" ht="14.4">
      <c r="AA3474" s="463"/>
      <c r="AB3474" s="462"/>
      <c r="AC3474" s="462"/>
      <c r="AD3474" s="464"/>
      <c r="AE3474" s="465"/>
    </row>
    <row r="3475" spans="27:31" ht="14.4">
      <c r="AA3475" s="463"/>
      <c r="AB3475" s="462"/>
      <c r="AC3475" s="462"/>
      <c r="AD3475" s="464"/>
      <c r="AE3475" s="465"/>
    </row>
    <row r="3476" spans="27:31" ht="14.4">
      <c r="AA3476" s="463"/>
      <c r="AB3476" s="462"/>
      <c r="AC3476" s="462"/>
      <c r="AD3476" s="464"/>
      <c r="AE3476" s="465"/>
    </row>
    <row r="3477" spans="27:31" ht="14.4">
      <c r="AA3477" s="463"/>
      <c r="AB3477" s="462"/>
      <c r="AC3477" s="462"/>
      <c r="AD3477" s="464"/>
      <c r="AE3477" s="465"/>
    </row>
    <row r="3478" spans="27:31" ht="14.4">
      <c r="AA3478" s="463"/>
      <c r="AB3478" s="462"/>
      <c r="AC3478" s="462"/>
      <c r="AD3478" s="464"/>
      <c r="AE3478" s="465"/>
    </row>
    <row r="3479" spans="27:31" ht="14.4">
      <c r="AA3479" s="463"/>
      <c r="AB3479" s="462"/>
      <c r="AC3479" s="462"/>
      <c r="AD3479" s="464"/>
      <c r="AE3479" s="465"/>
    </row>
    <row r="3480" spans="27:31" ht="14.4">
      <c r="AA3480" s="463"/>
      <c r="AB3480" s="462"/>
      <c r="AC3480" s="462"/>
      <c r="AD3480" s="464"/>
      <c r="AE3480" s="465"/>
    </row>
    <row r="3481" spans="27:31" ht="14.4">
      <c r="AA3481" s="463"/>
      <c r="AB3481" s="462"/>
      <c r="AC3481" s="462"/>
      <c r="AD3481" s="464"/>
      <c r="AE3481" s="465"/>
    </row>
    <row r="3482" spans="27:31" ht="14.4">
      <c r="AA3482" s="463"/>
      <c r="AB3482" s="462"/>
      <c r="AC3482" s="462"/>
      <c r="AD3482" s="464"/>
      <c r="AE3482" s="465"/>
    </row>
    <row r="3483" spans="27:31" ht="14.4">
      <c r="AA3483" s="463"/>
      <c r="AB3483" s="462"/>
      <c r="AC3483" s="462"/>
      <c r="AD3483" s="464"/>
      <c r="AE3483" s="465"/>
    </row>
    <row r="3484" spans="27:31" ht="14.4">
      <c r="AA3484" s="463"/>
      <c r="AB3484" s="462"/>
      <c r="AC3484" s="462"/>
      <c r="AD3484" s="464"/>
      <c r="AE3484" s="465"/>
    </row>
    <row r="3485" spans="27:31" ht="14.4">
      <c r="AA3485" s="463"/>
      <c r="AB3485" s="462"/>
      <c r="AC3485" s="462"/>
      <c r="AD3485" s="464"/>
      <c r="AE3485" s="465"/>
    </row>
    <row r="3486" spans="27:31" ht="14.4">
      <c r="AA3486" s="463"/>
      <c r="AB3486" s="462"/>
      <c r="AC3486" s="462"/>
      <c r="AD3486" s="464"/>
      <c r="AE3486" s="465"/>
    </row>
    <row r="3487" spans="27:31" ht="14.4">
      <c r="AA3487" s="463"/>
      <c r="AB3487" s="462"/>
      <c r="AC3487" s="462"/>
      <c r="AD3487" s="464"/>
      <c r="AE3487" s="465"/>
    </row>
    <row r="3488" spans="27:31" ht="14.4">
      <c r="AA3488" s="463"/>
      <c r="AB3488" s="462"/>
      <c r="AC3488" s="462"/>
      <c r="AD3488" s="464"/>
      <c r="AE3488" s="465"/>
    </row>
    <row r="3489" spans="27:31" ht="14.4">
      <c r="AA3489" s="463"/>
      <c r="AB3489" s="462"/>
      <c r="AC3489" s="462"/>
      <c r="AD3489" s="464"/>
      <c r="AE3489" s="465"/>
    </row>
    <row r="3490" spans="27:31" ht="14.4">
      <c r="AA3490" s="463"/>
      <c r="AB3490" s="462"/>
      <c r="AC3490" s="462"/>
      <c r="AD3490" s="464"/>
      <c r="AE3490" s="465"/>
    </row>
    <row r="3491" spans="27:31" ht="14.4">
      <c r="AA3491" s="463"/>
      <c r="AB3491" s="462"/>
      <c r="AC3491" s="462"/>
      <c r="AD3491" s="464"/>
      <c r="AE3491" s="465"/>
    </row>
    <row r="3492" spans="27:31" ht="14.4">
      <c r="AA3492" s="463"/>
      <c r="AB3492" s="462"/>
      <c r="AC3492" s="462"/>
      <c r="AD3492" s="464"/>
      <c r="AE3492" s="465"/>
    </row>
    <row r="3493" spans="27:31" ht="14.4">
      <c r="AA3493" s="463"/>
      <c r="AB3493" s="462"/>
      <c r="AC3493" s="462"/>
      <c r="AD3493" s="464"/>
      <c r="AE3493" s="465"/>
    </row>
    <row r="3494" spans="27:31" ht="14.4">
      <c r="AA3494" s="463"/>
      <c r="AB3494" s="462"/>
      <c r="AC3494" s="462"/>
      <c r="AD3494" s="464"/>
      <c r="AE3494" s="465"/>
    </row>
    <row r="3495" spans="27:31" ht="14.4">
      <c r="AA3495" s="463"/>
      <c r="AB3495" s="462"/>
      <c r="AC3495" s="462"/>
      <c r="AD3495" s="464"/>
      <c r="AE3495" s="465"/>
    </row>
    <row r="3496" spans="27:31" ht="14.4">
      <c r="AA3496" s="463"/>
      <c r="AB3496" s="462"/>
      <c r="AC3496" s="462"/>
      <c r="AD3496" s="464"/>
      <c r="AE3496" s="465"/>
    </row>
    <row r="3497" spans="27:31" ht="14.4">
      <c r="AA3497" s="463"/>
      <c r="AB3497" s="462"/>
      <c r="AC3497" s="462"/>
      <c r="AD3497" s="464"/>
      <c r="AE3497" s="465"/>
    </row>
    <row r="3498" spans="27:31" ht="14.4">
      <c r="AA3498" s="463"/>
      <c r="AB3498" s="462"/>
      <c r="AC3498" s="462"/>
      <c r="AD3498" s="464"/>
      <c r="AE3498" s="465"/>
    </row>
    <row r="3499" spans="27:31" ht="14.4">
      <c r="AA3499" s="463"/>
      <c r="AB3499" s="462"/>
      <c r="AC3499" s="462"/>
      <c r="AD3499" s="464"/>
      <c r="AE3499" s="465"/>
    </row>
    <row r="3500" spans="27:31" ht="14.4">
      <c r="AA3500" s="463"/>
      <c r="AB3500" s="462"/>
      <c r="AC3500" s="462"/>
      <c r="AD3500" s="464"/>
      <c r="AE3500" s="465"/>
    </row>
    <row r="3501" spans="27:31" ht="14.4">
      <c r="AA3501" s="463"/>
      <c r="AB3501" s="462"/>
      <c r="AC3501" s="462"/>
      <c r="AD3501" s="464"/>
      <c r="AE3501" s="465"/>
    </row>
    <row r="3502" spans="27:31" ht="14.4">
      <c r="AA3502" s="463"/>
      <c r="AB3502" s="462"/>
      <c r="AC3502" s="462"/>
      <c r="AD3502" s="464"/>
      <c r="AE3502" s="465"/>
    </row>
    <row r="3503" spans="27:31" ht="14.4">
      <c r="AA3503" s="463"/>
      <c r="AB3503" s="462"/>
      <c r="AC3503" s="462"/>
      <c r="AD3503" s="464"/>
      <c r="AE3503" s="465"/>
    </row>
    <row r="3504" spans="27:31" ht="14.4">
      <c r="AA3504" s="463"/>
      <c r="AB3504" s="462"/>
      <c r="AC3504" s="462"/>
      <c r="AD3504" s="464"/>
      <c r="AE3504" s="465"/>
    </row>
    <row r="3505" spans="27:31" ht="14.4">
      <c r="AA3505" s="463"/>
      <c r="AB3505" s="462"/>
      <c r="AC3505" s="462"/>
      <c r="AD3505" s="464"/>
      <c r="AE3505" s="465"/>
    </row>
    <row r="3506" spans="27:31" ht="14.4">
      <c r="AA3506" s="463"/>
      <c r="AB3506" s="462"/>
      <c r="AC3506" s="462"/>
      <c r="AD3506" s="464"/>
      <c r="AE3506" s="465"/>
    </row>
    <row r="3507" spans="27:31" ht="14.4">
      <c r="AA3507" s="463"/>
      <c r="AB3507" s="462"/>
      <c r="AC3507" s="462"/>
      <c r="AD3507" s="464"/>
      <c r="AE3507" s="465"/>
    </row>
    <row r="3508" spans="27:31" ht="14.4">
      <c r="AA3508" s="463"/>
      <c r="AB3508" s="462"/>
      <c r="AC3508" s="462"/>
      <c r="AD3508" s="464"/>
      <c r="AE3508" s="465"/>
    </row>
    <row r="3509" spans="27:31" ht="14.4">
      <c r="AA3509" s="463"/>
      <c r="AB3509" s="462"/>
      <c r="AC3509" s="462"/>
      <c r="AD3509" s="464"/>
      <c r="AE3509" s="465"/>
    </row>
    <row r="3510" spans="27:31" ht="14.4">
      <c r="AA3510" s="463"/>
      <c r="AB3510" s="462"/>
      <c r="AC3510" s="462"/>
      <c r="AD3510" s="464"/>
      <c r="AE3510" s="465"/>
    </row>
    <row r="3511" spans="27:31" ht="14.4">
      <c r="AA3511" s="463"/>
      <c r="AB3511" s="462"/>
      <c r="AC3511" s="462"/>
      <c r="AD3511" s="464"/>
      <c r="AE3511" s="465"/>
    </row>
    <row r="3512" spans="27:31" ht="14.4">
      <c r="AA3512" s="463"/>
      <c r="AB3512" s="462"/>
      <c r="AC3512" s="462"/>
      <c r="AD3512" s="464"/>
      <c r="AE3512" s="465"/>
    </row>
    <row r="3513" spans="27:31" ht="14.4">
      <c r="AA3513" s="463"/>
      <c r="AB3513" s="462"/>
      <c r="AC3513" s="462"/>
      <c r="AD3513" s="464"/>
      <c r="AE3513" s="465"/>
    </row>
    <row r="3514" spans="27:31" ht="14.4">
      <c r="AA3514" s="463"/>
      <c r="AB3514" s="462"/>
      <c r="AC3514" s="462"/>
      <c r="AD3514" s="464"/>
      <c r="AE3514" s="465"/>
    </row>
    <row r="3515" spans="27:31" ht="14.4">
      <c r="AA3515" s="463"/>
      <c r="AB3515" s="462"/>
      <c r="AC3515" s="462"/>
      <c r="AD3515" s="464"/>
      <c r="AE3515" s="465"/>
    </row>
    <row r="3516" spans="27:31" ht="14.4">
      <c r="AA3516" s="463"/>
      <c r="AB3516" s="462"/>
      <c r="AC3516" s="462"/>
      <c r="AD3516" s="464"/>
      <c r="AE3516" s="465"/>
    </row>
    <row r="3517" spans="27:31" ht="14.4">
      <c r="AA3517" s="463"/>
      <c r="AB3517" s="462"/>
      <c r="AC3517" s="462"/>
      <c r="AD3517" s="464"/>
      <c r="AE3517" s="465"/>
    </row>
    <row r="3518" spans="27:31" ht="14.4">
      <c r="AA3518" s="463"/>
      <c r="AB3518" s="462"/>
      <c r="AC3518" s="462"/>
      <c r="AD3518" s="464"/>
      <c r="AE3518" s="465"/>
    </row>
    <row r="3519" spans="27:31" ht="14.4">
      <c r="AA3519" s="463"/>
      <c r="AB3519" s="462"/>
      <c r="AC3519" s="462"/>
      <c r="AD3519" s="464"/>
      <c r="AE3519" s="465"/>
    </row>
    <row r="3520" spans="27:31" ht="14.4">
      <c r="AA3520" s="463"/>
      <c r="AB3520" s="462"/>
      <c r="AC3520" s="462"/>
      <c r="AD3520" s="464"/>
      <c r="AE3520" s="465"/>
    </row>
    <row r="3521" spans="27:31" ht="14.4">
      <c r="AA3521" s="463"/>
      <c r="AB3521" s="462"/>
      <c r="AC3521" s="462"/>
      <c r="AD3521" s="464"/>
      <c r="AE3521" s="465"/>
    </row>
    <row r="3522" spans="27:31" ht="14.4">
      <c r="AA3522" s="463"/>
      <c r="AB3522" s="462"/>
      <c r="AC3522" s="462"/>
      <c r="AD3522" s="464"/>
      <c r="AE3522" s="465"/>
    </row>
    <row r="3523" spans="27:31" ht="14.4">
      <c r="AA3523" s="463"/>
      <c r="AB3523" s="462"/>
      <c r="AC3523" s="462"/>
      <c r="AD3523" s="464"/>
      <c r="AE3523" s="465"/>
    </row>
    <row r="3524" spans="27:31" ht="14.4">
      <c r="AA3524" s="463"/>
      <c r="AB3524" s="462"/>
      <c r="AC3524" s="462"/>
      <c r="AD3524" s="464"/>
      <c r="AE3524" s="465"/>
    </row>
    <row r="3525" spans="27:31" ht="14.4">
      <c r="AA3525" s="463"/>
      <c r="AB3525" s="462"/>
      <c r="AC3525" s="462"/>
      <c r="AD3525" s="464"/>
      <c r="AE3525" s="465"/>
    </row>
    <row r="3526" spans="27:31" ht="14.4">
      <c r="AA3526" s="463"/>
      <c r="AB3526" s="462"/>
      <c r="AC3526" s="462"/>
      <c r="AD3526" s="464"/>
      <c r="AE3526" s="465"/>
    </row>
    <row r="3527" spans="27:31" ht="14.4">
      <c r="AA3527" s="463"/>
      <c r="AB3527" s="462"/>
      <c r="AC3527" s="462"/>
      <c r="AD3527" s="464"/>
      <c r="AE3527" s="465"/>
    </row>
    <row r="3528" spans="27:31" ht="14.4">
      <c r="AA3528" s="463"/>
      <c r="AB3528" s="462"/>
      <c r="AC3528" s="462"/>
      <c r="AD3528" s="464"/>
      <c r="AE3528" s="465"/>
    </row>
    <row r="3529" spans="27:31" ht="14.4">
      <c r="AA3529" s="463"/>
      <c r="AB3529" s="462"/>
      <c r="AC3529" s="462"/>
      <c r="AD3529" s="464"/>
      <c r="AE3529" s="465"/>
    </row>
    <row r="3530" spans="27:31" ht="14.4">
      <c r="AA3530" s="463"/>
      <c r="AB3530" s="462"/>
      <c r="AC3530" s="462"/>
      <c r="AD3530" s="464"/>
      <c r="AE3530" s="465"/>
    </row>
    <row r="3531" spans="27:31" ht="14.4">
      <c r="AA3531" s="463"/>
      <c r="AB3531" s="462"/>
      <c r="AC3531" s="462"/>
      <c r="AD3531" s="464"/>
      <c r="AE3531" s="465"/>
    </row>
    <row r="3532" spans="27:31" ht="14.4">
      <c r="AA3532" s="463"/>
      <c r="AB3532" s="462"/>
      <c r="AC3532" s="462"/>
      <c r="AD3532" s="464"/>
      <c r="AE3532" s="465"/>
    </row>
    <row r="3533" spans="27:31" ht="14.4">
      <c r="AA3533" s="463"/>
      <c r="AB3533" s="462"/>
      <c r="AC3533" s="462"/>
      <c r="AD3533" s="464"/>
      <c r="AE3533" s="465"/>
    </row>
    <row r="3534" spans="27:31" ht="14.4">
      <c r="AA3534" s="463"/>
      <c r="AB3534" s="462"/>
      <c r="AC3534" s="462"/>
      <c r="AD3534" s="464"/>
      <c r="AE3534" s="465"/>
    </row>
    <row r="3535" spans="27:31" ht="14.4">
      <c r="AA3535" s="463"/>
      <c r="AB3535" s="462"/>
      <c r="AC3535" s="462"/>
      <c r="AD3535" s="464"/>
      <c r="AE3535" s="465"/>
    </row>
    <row r="3536" spans="27:31" ht="14.4">
      <c r="AA3536" s="463"/>
      <c r="AB3536" s="462"/>
      <c r="AC3536" s="462"/>
      <c r="AD3536" s="464"/>
      <c r="AE3536" s="465"/>
    </row>
    <row r="3537" spans="27:31" ht="14.4">
      <c r="AA3537" s="463"/>
      <c r="AB3537" s="462"/>
      <c r="AC3537" s="462"/>
      <c r="AD3537" s="464"/>
      <c r="AE3537" s="465"/>
    </row>
    <row r="3538" spans="27:31" ht="14.4">
      <c r="AA3538" s="463"/>
      <c r="AB3538" s="462"/>
      <c r="AC3538" s="462"/>
      <c r="AD3538" s="464"/>
      <c r="AE3538" s="465"/>
    </row>
    <row r="3539" spans="27:31" ht="14.4">
      <c r="AA3539" s="463"/>
      <c r="AB3539" s="462"/>
      <c r="AC3539" s="462"/>
      <c r="AD3539" s="464"/>
      <c r="AE3539" s="465"/>
    </row>
    <row r="3540" spans="27:31" ht="14.4">
      <c r="AA3540" s="463"/>
      <c r="AB3540" s="462"/>
      <c r="AC3540" s="462"/>
      <c r="AD3540" s="464"/>
      <c r="AE3540" s="465"/>
    </row>
    <row r="3541" spans="27:31" ht="14.4">
      <c r="AA3541" s="463"/>
      <c r="AB3541" s="462"/>
      <c r="AC3541" s="462"/>
      <c r="AD3541" s="464"/>
      <c r="AE3541" s="465"/>
    </row>
    <row r="3542" spans="27:31" ht="14.4">
      <c r="AA3542" s="463"/>
      <c r="AB3542" s="462"/>
      <c r="AC3542" s="462"/>
      <c r="AD3542" s="464"/>
      <c r="AE3542" s="465"/>
    </row>
    <row r="3543" spans="27:31" ht="14.4">
      <c r="AA3543" s="463"/>
      <c r="AB3543" s="462"/>
      <c r="AC3543" s="462"/>
      <c r="AD3543" s="464"/>
      <c r="AE3543" s="465"/>
    </row>
    <row r="3544" spans="27:31" ht="14.4">
      <c r="AA3544" s="463"/>
      <c r="AB3544" s="462"/>
      <c r="AC3544" s="462"/>
      <c r="AD3544" s="464"/>
      <c r="AE3544" s="465"/>
    </row>
    <row r="3545" spans="27:31" ht="14.4">
      <c r="AA3545" s="463"/>
      <c r="AB3545" s="462"/>
      <c r="AC3545" s="462"/>
      <c r="AD3545" s="464"/>
      <c r="AE3545" s="465"/>
    </row>
    <row r="3546" spans="27:31" ht="14.4">
      <c r="AA3546" s="463"/>
      <c r="AB3546" s="462"/>
      <c r="AC3546" s="462"/>
      <c r="AD3546" s="464"/>
      <c r="AE3546" s="465"/>
    </row>
    <row r="3547" spans="27:31" ht="14.4">
      <c r="AA3547" s="463"/>
      <c r="AB3547" s="462"/>
      <c r="AC3547" s="462"/>
      <c r="AD3547" s="464"/>
      <c r="AE3547" s="465"/>
    </row>
    <row r="3548" spans="27:31" ht="14.4">
      <c r="AA3548" s="463"/>
      <c r="AB3548" s="462"/>
      <c r="AC3548" s="462"/>
      <c r="AD3548" s="464"/>
      <c r="AE3548" s="465"/>
    </row>
    <row r="3549" spans="27:31" ht="14.4">
      <c r="AA3549" s="463"/>
      <c r="AB3549" s="462"/>
      <c r="AC3549" s="462"/>
      <c r="AD3549" s="464"/>
      <c r="AE3549" s="465"/>
    </row>
    <row r="3550" spans="27:31" ht="14.4">
      <c r="AA3550" s="463"/>
      <c r="AB3550" s="462"/>
      <c r="AC3550" s="462"/>
      <c r="AD3550" s="464"/>
      <c r="AE3550" s="465"/>
    </row>
    <row r="3551" spans="27:31" ht="14.4">
      <c r="AA3551" s="463"/>
      <c r="AB3551" s="462"/>
      <c r="AC3551" s="462"/>
      <c r="AD3551" s="464"/>
      <c r="AE3551" s="465"/>
    </row>
    <row r="3552" spans="27:31" ht="14.4">
      <c r="AA3552" s="463"/>
      <c r="AB3552" s="462"/>
      <c r="AC3552" s="462"/>
      <c r="AD3552" s="464"/>
      <c r="AE3552" s="465"/>
    </row>
    <row r="3553" spans="27:31" ht="14.4">
      <c r="AA3553" s="463"/>
      <c r="AB3553" s="462"/>
      <c r="AC3553" s="462"/>
      <c r="AD3553" s="464"/>
      <c r="AE3553" s="465"/>
    </row>
    <row r="3554" spans="27:31" ht="14.4">
      <c r="AA3554" s="463"/>
      <c r="AB3554" s="462"/>
      <c r="AC3554" s="462"/>
      <c r="AD3554" s="464"/>
      <c r="AE3554" s="465"/>
    </row>
    <row r="3555" spans="27:31" ht="14.4">
      <c r="AA3555" s="463"/>
      <c r="AB3555" s="462"/>
      <c r="AC3555" s="462"/>
      <c r="AD3555" s="464"/>
      <c r="AE3555" s="465"/>
    </row>
    <row r="3556" spans="27:31" ht="14.4">
      <c r="AA3556" s="463"/>
      <c r="AB3556" s="462"/>
      <c r="AC3556" s="462"/>
      <c r="AD3556" s="464"/>
      <c r="AE3556" s="465"/>
    </row>
    <row r="3557" spans="27:31" ht="14.4">
      <c r="AA3557" s="463"/>
      <c r="AB3557" s="462"/>
      <c r="AC3557" s="462"/>
      <c r="AD3557" s="464"/>
      <c r="AE3557" s="465"/>
    </row>
    <row r="3558" spans="27:31" ht="14.4">
      <c r="AA3558" s="463"/>
      <c r="AB3558" s="462"/>
      <c r="AC3558" s="462"/>
      <c r="AD3558" s="464"/>
      <c r="AE3558" s="465"/>
    </row>
    <row r="3559" spans="27:31" ht="14.4">
      <c r="AA3559" s="463"/>
      <c r="AB3559" s="462"/>
      <c r="AC3559" s="462"/>
      <c r="AD3559" s="464"/>
      <c r="AE3559" s="465"/>
    </row>
    <row r="3560" spans="27:31" ht="14.4">
      <c r="AA3560" s="463"/>
      <c r="AB3560" s="462"/>
      <c r="AC3560" s="462"/>
      <c r="AD3560" s="464"/>
      <c r="AE3560" s="465"/>
    </row>
    <row r="3561" spans="27:31" ht="14.4">
      <c r="AA3561" s="463"/>
      <c r="AB3561" s="462"/>
      <c r="AC3561" s="462"/>
      <c r="AD3561" s="464"/>
      <c r="AE3561" s="465"/>
    </row>
    <row r="3562" spans="27:31" ht="14.4">
      <c r="AA3562" s="463"/>
      <c r="AB3562" s="462"/>
      <c r="AC3562" s="462"/>
      <c r="AD3562" s="464"/>
      <c r="AE3562" s="465"/>
    </row>
    <row r="3563" spans="27:31" ht="14.4">
      <c r="AA3563" s="463"/>
      <c r="AB3563" s="462"/>
      <c r="AC3563" s="462"/>
      <c r="AD3563" s="464"/>
      <c r="AE3563" s="465"/>
    </row>
    <row r="3564" spans="27:31" ht="14.4">
      <c r="AA3564" s="463"/>
      <c r="AB3564" s="462"/>
      <c r="AC3564" s="462"/>
      <c r="AD3564" s="464"/>
      <c r="AE3564" s="465"/>
    </row>
    <row r="3565" spans="27:31" ht="14.4">
      <c r="AA3565" s="463"/>
      <c r="AB3565" s="462"/>
      <c r="AC3565" s="462"/>
      <c r="AD3565" s="464"/>
      <c r="AE3565" s="465"/>
    </row>
    <row r="3566" spans="27:31" ht="14.4">
      <c r="AA3566" s="463"/>
      <c r="AB3566" s="462"/>
      <c r="AC3566" s="462"/>
      <c r="AD3566" s="464"/>
      <c r="AE3566" s="465"/>
    </row>
    <row r="3567" spans="27:31" ht="14.4">
      <c r="AA3567" s="463"/>
      <c r="AB3567" s="462"/>
      <c r="AC3567" s="462"/>
      <c r="AD3567" s="464"/>
      <c r="AE3567" s="465"/>
    </row>
    <row r="3568" spans="27:31" ht="14.4">
      <c r="AA3568" s="463"/>
      <c r="AB3568" s="462"/>
      <c r="AC3568" s="462"/>
      <c r="AD3568" s="464"/>
      <c r="AE3568" s="465"/>
    </row>
    <row r="3569" spans="27:31" ht="14.4">
      <c r="AA3569" s="463"/>
      <c r="AB3569" s="462"/>
      <c r="AC3569" s="462"/>
      <c r="AD3569" s="464"/>
      <c r="AE3569" s="465"/>
    </row>
    <row r="3570" spans="27:31" ht="14.4">
      <c r="AA3570" s="463"/>
      <c r="AB3570" s="462"/>
      <c r="AC3570" s="462"/>
      <c r="AD3570" s="464"/>
      <c r="AE3570" s="465"/>
    </row>
    <row r="3571" spans="27:31" ht="14.4">
      <c r="AA3571" s="463"/>
      <c r="AB3571" s="462"/>
      <c r="AC3571" s="462"/>
      <c r="AD3571" s="464"/>
      <c r="AE3571" s="465"/>
    </row>
    <row r="3572" spans="27:31" ht="14.4">
      <c r="AA3572" s="463"/>
      <c r="AB3572" s="462"/>
      <c r="AC3572" s="462"/>
      <c r="AD3572" s="464"/>
      <c r="AE3572" s="465"/>
    </row>
    <row r="3573" spans="27:31" ht="14.4">
      <c r="AA3573" s="463"/>
      <c r="AB3573" s="462"/>
      <c r="AC3573" s="462"/>
      <c r="AD3573" s="464"/>
      <c r="AE3573" s="465"/>
    </row>
    <row r="3574" spans="27:31" ht="14.4">
      <c r="AA3574" s="463"/>
      <c r="AB3574" s="462"/>
      <c r="AC3574" s="462"/>
      <c r="AD3574" s="464"/>
      <c r="AE3574" s="465"/>
    </row>
    <row r="3575" spans="27:31" ht="14.4">
      <c r="AA3575" s="463"/>
      <c r="AB3575" s="462"/>
      <c r="AC3575" s="462"/>
      <c r="AD3575" s="464"/>
      <c r="AE3575" s="465"/>
    </row>
    <row r="3576" spans="27:31" ht="14.4">
      <c r="AA3576" s="463"/>
      <c r="AB3576" s="462"/>
      <c r="AC3576" s="462"/>
      <c r="AD3576" s="464"/>
      <c r="AE3576" s="465"/>
    </row>
    <row r="3577" spans="27:31" ht="14.4">
      <c r="AA3577" s="463"/>
      <c r="AB3577" s="462"/>
      <c r="AC3577" s="462"/>
      <c r="AD3577" s="464"/>
      <c r="AE3577" s="465"/>
    </row>
    <row r="3578" spans="27:31" ht="14.4">
      <c r="AA3578" s="463"/>
      <c r="AB3578" s="462"/>
      <c r="AC3578" s="462"/>
      <c r="AD3578" s="464"/>
      <c r="AE3578" s="465"/>
    </row>
    <row r="3579" spans="27:31" ht="14.4">
      <c r="AA3579" s="463"/>
      <c r="AB3579" s="462"/>
      <c r="AC3579" s="462"/>
      <c r="AD3579" s="464"/>
      <c r="AE3579" s="465"/>
    </row>
    <row r="3580" spans="27:31" ht="14.4">
      <c r="AA3580" s="463"/>
      <c r="AB3580" s="462"/>
      <c r="AC3580" s="462"/>
      <c r="AD3580" s="464"/>
      <c r="AE3580" s="465"/>
    </row>
    <row r="3581" spans="27:31" ht="14.4">
      <c r="AA3581" s="463"/>
      <c r="AB3581" s="462"/>
      <c r="AC3581" s="462"/>
      <c r="AD3581" s="464"/>
      <c r="AE3581" s="465"/>
    </row>
    <row r="3582" spans="27:31" ht="14.4">
      <c r="AA3582" s="463"/>
      <c r="AB3582" s="462"/>
      <c r="AC3582" s="462"/>
      <c r="AD3582" s="464"/>
      <c r="AE3582" s="465"/>
    </row>
    <row r="3583" spans="27:31" ht="14.4">
      <c r="AA3583" s="463"/>
      <c r="AB3583" s="462"/>
      <c r="AC3583" s="462"/>
      <c r="AD3583" s="464"/>
      <c r="AE3583" s="465"/>
    </row>
    <row r="3584" spans="27:31" ht="14.4">
      <c r="AA3584" s="463"/>
      <c r="AB3584" s="462"/>
      <c r="AC3584" s="462"/>
      <c r="AD3584" s="464"/>
      <c r="AE3584" s="465"/>
    </row>
    <row r="3585" spans="27:31" ht="14.4">
      <c r="AA3585" s="463"/>
      <c r="AB3585" s="462"/>
      <c r="AC3585" s="462"/>
      <c r="AD3585" s="464"/>
      <c r="AE3585" s="465"/>
    </row>
    <row r="3586" spans="27:31" ht="14.4">
      <c r="AA3586" s="463"/>
      <c r="AB3586" s="462"/>
      <c r="AC3586" s="462"/>
      <c r="AD3586" s="464"/>
      <c r="AE3586" s="465"/>
    </row>
    <row r="3587" spans="27:31" ht="14.4">
      <c r="AA3587" s="463"/>
      <c r="AB3587" s="462"/>
      <c r="AC3587" s="462"/>
      <c r="AD3587" s="464"/>
      <c r="AE3587" s="465"/>
    </row>
    <row r="3588" spans="27:31" ht="14.4">
      <c r="AA3588" s="463"/>
      <c r="AB3588" s="462"/>
      <c r="AC3588" s="462"/>
      <c r="AD3588" s="464"/>
      <c r="AE3588" s="465"/>
    </row>
    <row r="3589" spans="27:31" ht="14.4">
      <c r="AA3589" s="463"/>
      <c r="AB3589" s="462"/>
      <c r="AC3589" s="462"/>
      <c r="AD3589" s="464"/>
      <c r="AE3589" s="465"/>
    </row>
    <row r="3590" spans="27:31" ht="14.4">
      <c r="AA3590" s="463"/>
      <c r="AB3590" s="462"/>
      <c r="AC3590" s="462"/>
      <c r="AD3590" s="464"/>
      <c r="AE3590" s="465"/>
    </row>
    <row r="3591" spans="27:31" ht="14.4">
      <c r="AA3591" s="463"/>
      <c r="AB3591" s="462"/>
      <c r="AC3591" s="462"/>
      <c r="AD3591" s="464"/>
      <c r="AE3591" s="465"/>
    </row>
    <row r="3592" spans="27:31" ht="14.4">
      <c r="AA3592" s="463"/>
      <c r="AB3592" s="462"/>
      <c r="AC3592" s="462"/>
      <c r="AD3592" s="464"/>
      <c r="AE3592" s="465"/>
    </row>
    <row r="3593" spans="27:31" ht="14.4">
      <c r="AA3593" s="463"/>
      <c r="AB3593" s="462"/>
      <c r="AC3593" s="462"/>
      <c r="AD3593" s="464"/>
      <c r="AE3593" s="465"/>
    </row>
    <row r="3594" spans="27:31" ht="14.4">
      <c r="AA3594" s="463"/>
      <c r="AB3594" s="462"/>
      <c r="AC3594" s="462"/>
      <c r="AD3594" s="464"/>
      <c r="AE3594" s="465"/>
    </row>
    <row r="3595" spans="27:31" ht="14.4">
      <c r="AA3595" s="463"/>
      <c r="AB3595" s="462"/>
      <c r="AC3595" s="462"/>
      <c r="AD3595" s="464"/>
      <c r="AE3595" s="465"/>
    </row>
    <row r="3596" spans="27:31" ht="14.4">
      <c r="AA3596" s="463"/>
      <c r="AB3596" s="462"/>
      <c r="AC3596" s="462"/>
      <c r="AD3596" s="464"/>
      <c r="AE3596" s="465"/>
    </row>
    <row r="3597" spans="27:31" ht="14.4">
      <c r="AA3597" s="463"/>
      <c r="AB3597" s="462"/>
      <c r="AC3597" s="462"/>
      <c r="AD3597" s="464"/>
      <c r="AE3597" s="465"/>
    </row>
    <row r="3598" spans="27:31" ht="14.4">
      <c r="AA3598" s="463"/>
      <c r="AB3598" s="462"/>
      <c r="AC3598" s="462"/>
      <c r="AD3598" s="464"/>
      <c r="AE3598" s="465"/>
    </row>
    <row r="3599" spans="27:31" ht="14.4">
      <c r="AA3599" s="463"/>
      <c r="AB3599" s="462"/>
      <c r="AC3599" s="462"/>
      <c r="AD3599" s="464"/>
      <c r="AE3599" s="465"/>
    </row>
    <row r="3600" spans="27:31" ht="14.4">
      <c r="AA3600" s="463"/>
      <c r="AB3600" s="462"/>
      <c r="AC3600" s="462"/>
      <c r="AD3600" s="464"/>
      <c r="AE3600" s="465"/>
    </row>
    <row r="3601" spans="27:31" ht="14.4">
      <c r="AA3601" s="463"/>
      <c r="AB3601" s="462"/>
      <c r="AC3601" s="462"/>
      <c r="AD3601" s="464"/>
      <c r="AE3601" s="465"/>
    </row>
    <row r="3602" spans="27:31" ht="14.4">
      <c r="AA3602" s="463"/>
      <c r="AB3602" s="462"/>
      <c r="AC3602" s="462"/>
      <c r="AD3602" s="464"/>
      <c r="AE3602" s="465"/>
    </row>
    <row r="3603" spans="27:31" ht="14.4">
      <c r="AA3603" s="463"/>
      <c r="AB3603" s="462"/>
      <c r="AC3603" s="462"/>
      <c r="AD3603" s="464"/>
      <c r="AE3603" s="465"/>
    </row>
    <row r="3604" spans="27:31" ht="14.4">
      <c r="AA3604" s="463"/>
      <c r="AB3604" s="462"/>
      <c r="AC3604" s="462"/>
      <c r="AD3604" s="464"/>
      <c r="AE3604" s="465"/>
    </row>
    <row r="3605" spans="27:31" ht="14.4">
      <c r="AA3605" s="463"/>
      <c r="AB3605" s="462"/>
      <c r="AC3605" s="462"/>
      <c r="AD3605" s="464"/>
      <c r="AE3605" s="465"/>
    </row>
    <row r="3606" spans="27:31" ht="14.4">
      <c r="AA3606" s="463"/>
      <c r="AB3606" s="462"/>
      <c r="AC3606" s="462"/>
      <c r="AD3606" s="464"/>
      <c r="AE3606" s="465"/>
    </row>
    <row r="3607" spans="27:31" ht="14.4">
      <c r="AA3607" s="463"/>
      <c r="AB3607" s="462"/>
      <c r="AC3607" s="462"/>
      <c r="AD3607" s="464"/>
      <c r="AE3607" s="465"/>
    </row>
    <row r="3608" spans="27:31" ht="14.4">
      <c r="AA3608" s="463"/>
      <c r="AB3608" s="462"/>
      <c r="AC3608" s="462"/>
      <c r="AD3608" s="464"/>
      <c r="AE3608" s="465"/>
    </row>
    <row r="3609" spans="27:31" ht="14.4">
      <c r="AA3609" s="463"/>
      <c r="AB3609" s="462"/>
      <c r="AC3609" s="462"/>
      <c r="AD3609" s="464"/>
      <c r="AE3609" s="465"/>
    </row>
    <row r="3610" spans="27:31" ht="14.4">
      <c r="AA3610" s="463"/>
      <c r="AB3610" s="462"/>
      <c r="AC3610" s="462"/>
      <c r="AD3610" s="464"/>
      <c r="AE3610" s="465"/>
    </row>
    <row r="3611" spans="27:31" ht="14.4">
      <c r="AA3611" s="463"/>
      <c r="AB3611" s="462"/>
      <c r="AC3611" s="462"/>
      <c r="AD3611" s="464"/>
      <c r="AE3611" s="465"/>
    </row>
    <row r="3612" spans="27:31" ht="14.4">
      <c r="AA3612" s="463"/>
      <c r="AB3612" s="462"/>
      <c r="AC3612" s="462"/>
      <c r="AD3612" s="464"/>
      <c r="AE3612" s="465"/>
    </row>
    <row r="3613" spans="27:31" ht="14.4">
      <c r="AA3613" s="463"/>
      <c r="AB3613" s="462"/>
      <c r="AC3613" s="462"/>
      <c r="AD3613" s="464"/>
      <c r="AE3613" s="465"/>
    </row>
    <row r="3614" spans="27:31" ht="14.4">
      <c r="AA3614" s="463"/>
      <c r="AB3614" s="462"/>
      <c r="AC3614" s="462"/>
      <c r="AD3614" s="464"/>
      <c r="AE3614" s="465"/>
    </row>
    <row r="3615" spans="27:31" ht="14.4">
      <c r="AA3615" s="463"/>
      <c r="AB3615" s="462"/>
      <c r="AC3615" s="462"/>
      <c r="AD3615" s="464"/>
      <c r="AE3615" s="465"/>
    </row>
    <row r="3616" spans="27:31" ht="14.4">
      <c r="AA3616" s="463"/>
      <c r="AB3616" s="462"/>
      <c r="AC3616" s="462"/>
      <c r="AD3616" s="464"/>
      <c r="AE3616" s="465"/>
    </row>
    <row r="3617" spans="27:31" ht="14.4">
      <c r="AA3617" s="463"/>
      <c r="AB3617" s="462"/>
      <c r="AC3617" s="462"/>
      <c r="AD3617" s="464"/>
      <c r="AE3617" s="465"/>
    </row>
    <row r="3618" spans="27:31" ht="14.4">
      <c r="AA3618" s="463"/>
      <c r="AB3618" s="462"/>
      <c r="AC3618" s="462"/>
      <c r="AD3618" s="464"/>
      <c r="AE3618" s="465"/>
    </row>
    <row r="3619" spans="27:31" ht="14.4">
      <c r="AA3619" s="463"/>
      <c r="AB3619" s="462"/>
      <c r="AC3619" s="462"/>
      <c r="AD3619" s="464"/>
      <c r="AE3619" s="465"/>
    </row>
    <row r="3620" spans="27:31" ht="14.4">
      <c r="AA3620" s="463"/>
      <c r="AB3620" s="462"/>
      <c r="AC3620" s="462"/>
      <c r="AD3620" s="464"/>
      <c r="AE3620" s="465"/>
    </row>
    <row r="3621" spans="27:31" ht="14.4">
      <c r="AA3621" s="463"/>
      <c r="AB3621" s="462"/>
      <c r="AC3621" s="462"/>
      <c r="AD3621" s="464"/>
      <c r="AE3621" s="465"/>
    </row>
    <row r="3622" spans="27:31" ht="14.4">
      <c r="AA3622" s="463"/>
      <c r="AB3622" s="462"/>
      <c r="AC3622" s="462"/>
      <c r="AD3622" s="464"/>
      <c r="AE3622" s="465"/>
    </row>
    <row r="3623" spans="27:31" ht="14.4">
      <c r="AA3623" s="463"/>
      <c r="AB3623" s="462"/>
      <c r="AC3623" s="462"/>
      <c r="AD3623" s="464"/>
      <c r="AE3623" s="465"/>
    </row>
    <row r="3624" spans="27:31" ht="14.4">
      <c r="AA3624" s="463"/>
      <c r="AB3624" s="462"/>
      <c r="AC3624" s="462"/>
      <c r="AD3624" s="464"/>
      <c r="AE3624" s="465"/>
    </row>
    <row r="3625" spans="27:31" ht="14.4">
      <c r="AA3625" s="463"/>
      <c r="AB3625" s="462"/>
      <c r="AC3625" s="462"/>
      <c r="AD3625" s="464"/>
      <c r="AE3625" s="465"/>
    </row>
    <row r="3626" spans="27:31" ht="14.4">
      <c r="AA3626" s="463"/>
      <c r="AB3626" s="462"/>
      <c r="AC3626" s="462"/>
      <c r="AD3626" s="464"/>
      <c r="AE3626" s="465"/>
    </row>
    <row r="3627" spans="27:31" ht="14.4">
      <c r="AA3627" s="463"/>
      <c r="AB3627" s="462"/>
      <c r="AC3627" s="462"/>
      <c r="AD3627" s="464"/>
      <c r="AE3627" s="465"/>
    </row>
    <row r="3628" spans="27:31" ht="14.4">
      <c r="AA3628" s="463"/>
      <c r="AB3628" s="462"/>
      <c r="AC3628" s="462"/>
      <c r="AD3628" s="464"/>
      <c r="AE3628" s="465"/>
    </row>
    <row r="3629" spans="27:31" ht="14.4">
      <c r="AA3629" s="463"/>
      <c r="AB3629" s="462"/>
      <c r="AC3629" s="462"/>
      <c r="AD3629" s="464"/>
      <c r="AE3629" s="465"/>
    </row>
    <row r="3630" spans="27:31" ht="14.4">
      <c r="AA3630" s="463"/>
      <c r="AB3630" s="462"/>
      <c r="AC3630" s="462"/>
      <c r="AD3630" s="464"/>
      <c r="AE3630" s="465"/>
    </row>
    <row r="3631" spans="27:31" ht="14.4">
      <c r="AA3631" s="463"/>
      <c r="AB3631" s="462"/>
      <c r="AC3631" s="462"/>
      <c r="AD3631" s="464"/>
      <c r="AE3631" s="465"/>
    </row>
    <row r="3632" spans="27:31" ht="14.4">
      <c r="AA3632" s="463"/>
      <c r="AB3632" s="462"/>
      <c r="AC3632" s="462"/>
      <c r="AD3632" s="464"/>
      <c r="AE3632" s="465"/>
    </row>
    <row r="3633" spans="27:31" ht="14.4">
      <c r="AA3633" s="463"/>
      <c r="AB3633" s="462"/>
      <c r="AC3633" s="462"/>
      <c r="AD3633" s="464"/>
      <c r="AE3633" s="465"/>
    </row>
    <row r="3634" spans="27:31" ht="14.4">
      <c r="AA3634" s="463"/>
      <c r="AB3634" s="462"/>
      <c r="AC3634" s="462"/>
      <c r="AD3634" s="464"/>
      <c r="AE3634" s="465"/>
    </row>
    <row r="3635" spans="27:31" ht="14.4">
      <c r="AA3635" s="463"/>
      <c r="AB3635" s="462"/>
      <c r="AC3635" s="462"/>
      <c r="AD3635" s="464"/>
      <c r="AE3635" s="465"/>
    </row>
    <row r="3636" spans="27:31" ht="14.4">
      <c r="AA3636" s="463"/>
      <c r="AB3636" s="462"/>
      <c r="AC3636" s="462"/>
      <c r="AD3636" s="464"/>
      <c r="AE3636" s="465"/>
    </row>
    <row r="3637" spans="27:31" ht="14.4">
      <c r="AA3637" s="463"/>
      <c r="AB3637" s="462"/>
      <c r="AC3637" s="462"/>
      <c r="AD3637" s="464"/>
      <c r="AE3637" s="465"/>
    </row>
    <row r="3638" spans="27:31" ht="14.4">
      <c r="AA3638" s="463"/>
      <c r="AB3638" s="462"/>
      <c r="AC3638" s="462"/>
      <c r="AD3638" s="464"/>
      <c r="AE3638" s="465"/>
    </row>
    <row r="3639" spans="27:31" ht="14.4">
      <c r="AA3639" s="463"/>
      <c r="AB3639" s="462"/>
      <c r="AC3639" s="462"/>
      <c r="AD3639" s="464"/>
      <c r="AE3639" s="465"/>
    </row>
    <row r="3640" spans="27:31" ht="14.4">
      <c r="AA3640" s="463"/>
      <c r="AB3640" s="462"/>
      <c r="AC3640" s="462"/>
      <c r="AD3640" s="464"/>
      <c r="AE3640" s="465"/>
    </row>
    <row r="3641" spans="27:31" ht="14.4">
      <c r="AA3641" s="463"/>
      <c r="AB3641" s="462"/>
      <c r="AC3641" s="462"/>
      <c r="AD3641" s="464"/>
      <c r="AE3641" s="465"/>
    </row>
    <row r="3642" spans="27:31" ht="14.4">
      <c r="AA3642" s="463"/>
      <c r="AB3642" s="462"/>
      <c r="AC3642" s="462"/>
      <c r="AD3642" s="464"/>
      <c r="AE3642" s="465"/>
    </row>
    <row r="3643" spans="27:31" ht="14.4">
      <c r="AA3643" s="463"/>
      <c r="AB3643" s="462"/>
      <c r="AC3643" s="462"/>
      <c r="AD3643" s="464"/>
      <c r="AE3643" s="465"/>
    </row>
    <row r="3644" spans="27:31" ht="14.4">
      <c r="AA3644" s="463"/>
      <c r="AB3644" s="462"/>
      <c r="AC3644" s="462"/>
      <c r="AD3644" s="464"/>
      <c r="AE3644" s="465"/>
    </row>
    <row r="3645" spans="27:31" ht="14.4">
      <c r="AA3645" s="463"/>
      <c r="AB3645" s="462"/>
      <c r="AC3645" s="462"/>
      <c r="AD3645" s="464"/>
      <c r="AE3645" s="465"/>
    </row>
    <row r="3646" spans="27:31" ht="14.4">
      <c r="AA3646" s="463"/>
      <c r="AB3646" s="462"/>
      <c r="AC3646" s="462"/>
      <c r="AD3646" s="464"/>
      <c r="AE3646" s="465"/>
    </row>
    <row r="3647" spans="27:31" ht="14.4">
      <c r="AA3647" s="463"/>
      <c r="AB3647" s="462"/>
      <c r="AC3647" s="462"/>
      <c r="AD3647" s="464"/>
      <c r="AE3647" s="465"/>
    </row>
    <row r="3648" spans="27:31" ht="14.4">
      <c r="AA3648" s="463"/>
      <c r="AB3648" s="462"/>
      <c r="AC3648" s="462"/>
      <c r="AD3648" s="464"/>
      <c r="AE3648" s="465"/>
    </row>
    <row r="3649" spans="27:31" ht="14.4">
      <c r="AA3649" s="463"/>
      <c r="AB3649" s="462"/>
      <c r="AC3649" s="462"/>
      <c r="AD3649" s="464"/>
      <c r="AE3649" s="465"/>
    </row>
    <row r="3650" spans="27:31" ht="14.4">
      <c r="AA3650" s="463"/>
      <c r="AB3650" s="462"/>
      <c r="AC3650" s="462"/>
      <c r="AD3650" s="464"/>
      <c r="AE3650" s="465"/>
    </row>
    <row r="3651" spans="27:31" ht="14.4">
      <c r="AA3651" s="463"/>
      <c r="AB3651" s="462"/>
      <c r="AC3651" s="462"/>
      <c r="AD3651" s="464"/>
      <c r="AE3651" s="465"/>
    </row>
    <row r="3652" spans="27:31" ht="14.4">
      <c r="AA3652" s="463"/>
      <c r="AB3652" s="462"/>
      <c r="AC3652" s="462"/>
      <c r="AD3652" s="464"/>
      <c r="AE3652" s="465"/>
    </row>
    <row r="3653" spans="27:31" ht="14.4">
      <c r="AA3653" s="463"/>
      <c r="AB3653" s="462"/>
      <c r="AC3653" s="462"/>
      <c r="AD3653" s="464"/>
      <c r="AE3653" s="465"/>
    </row>
    <row r="3654" spans="27:31" ht="14.4">
      <c r="AA3654" s="463"/>
      <c r="AB3654" s="462"/>
      <c r="AC3654" s="462"/>
      <c r="AD3654" s="464"/>
      <c r="AE3654" s="465"/>
    </row>
    <row r="3655" spans="27:31" ht="14.4">
      <c r="AA3655" s="463"/>
      <c r="AB3655" s="462"/>
      <c r="AC3655" s="462"/>
      <c r="AD3655" s="464"/>
      <c r="AE3655" s="465"/>
    </row>
    <row r="3656" spans="27:31" ht="14.4">
      <c r="AA3656" s="463"/>
      <c r="AB3656" s="462"/>
      <c r="AC3656" s="462"/>
      <c r="AD3656" s="464"/>
      <c r="AE3656" s="465"/>
    </row>
    <row r="3657" spans="27:31" ht="14.4">
      <c r="AA3657" s="463"/>
      <c r="AB3657" s="462"/>
      <c r="AC3657" s="462"/>
      <c r="AD3657" s="464"/>
      <c r="AE3657" s="465"/>
    </row>
    <row r="3658" spans="27:31" ht="14.4">
      <c r="AA3658" s="463"/>
      <c r="AB3658" s="462"/>
      <c r="AC3658" s="462"/>
      <c r="AD3658" s="464"/>
      <c r="AE3658" s="465"/>
    </row>
    <row r="3659" spans="27:31" ht="14.4">
      <c r="AA3659" s="463"/>
      <c r="AB3659" s="462"/>
      <c r="AC3659" s="462"/>
      <c r="AD3659" s="464"/>
      <c r="AE3659" s="465"/>
    </row>
    <row r="3660" spans="27:31" ht="14.4">
      <c r="AA3660" s="463"/>
      <c r="AB3660" s="462"/>
      <c r="AC3660" s="462"/>
      <c r="AD3660" s="464"/>
      <c r="AE3660" s="465"/>
    </row>
    <row r="3661" spans="27:31" ht="14.4">
      <c r="AA3661" s="463"/>
      <c r="AB3661" s="462"/>
      <c r="AC3661" s="462"/>
      <c r="AD3661" s="464"/>
      <c r="AE3661" s="465"/>
    </row>
    <row r="3662" spans="27:31" ht="14.4">
      <c r="AA3662" s="463"/>
      <c r="AB3662" s="462"/>
      <c r="AC3662" s="462"/>
      <c r="AD3662" s="464"/>
      <c r="AE3662" s="465"/>
    </row>
    <row r="3663" spans="27:31" ht="14.4">
      <c r="AA3663" s="463"/>
      <c r="AB3663" s="462"/>
      <c r="AC3663" s="462"/>
      <c r="AD3663" s="464"/>
      <c r="AE3663" s="465"/>
    </row>
    <row r="3664" spans="27:31" ht="14.4">
      <c r="AA3664" s="463"/>
      <c r="AB3664" s="462"/>
      <c r="AC3664" s="462"/>
      <c r="AD3664" s="464"/>
      <c r="AE3664" s="465"/>
    </row>
    <row r="3665" spans="27:31" ht="14.4">
      <c r="AA3665" s="463"/>
      <c r="AB3665" s="462"/>
      <c r="AC3665" s="462"/>
      <c r="AD3665" s="464"/>
      <c r="AE3665" s="465"/>
    </row>
    <row r="3666" spans="27:31" ht="14.4">
      <c r="AA3666" s="463"/>
      <c r="AB3666" s="462"/>
      <c r="AC3666" s="462"/>
      <c r="AD3666" s="464"/>
      <c r="AE3666" s="465"/>
    </row>
    <row r="3667" spans="27:31" ht="14.4">
      <c r="AA3667" s="463"/>
      <c r="AB3667" s="462"/>
      <c r="AC3667" s="462"/>
      <c r="AD3667" s="464"/>
      <c r="AE3667" s="465"/>
    </row>
    <row r="3668" spans="27:31" ht="14.4">
      <c r="AA3668" s="463"/>
      <c r="AB3668" s="462"/>
      <c r="AC3668" s="462"/>
      <c r="AD3668" s="464"/>
      <c r="AE3668" s="465"/>
    </row>
    <row r="3669" spans="27:31" ht="14.4">
      <c r="AA3669" s="463"/>
      <c r="AB3669" s="462"/>
      <c r="AC3669" s="462"/>
      <c r="AD3669" s="464"/>
      <c r="AE3669" s="465"/>
    </row>
    <row r="3670" spans="27:31" ht="14.4">
      <c r="AA3670" s="463"/>
      <c r="AB3670" s="462"/>
      <c r="AC3670" s="462"/>
      <c r="AD3670" s="464"/>
      <c r="AE3670" s="465"/>
    </row>
    <row r="3671" spans="27:31" ht="14.4">
      <c r="AA3671" s="463"/>
      <c r="AB3671" s="462"/>
      <c r="AC3671" s="462"/>
      <c r="AD3671" s="464"/>
      <c r="AE3671" s="465"/>
    </row>
    <row r="3672" spans="27:31" ht="14.4">
      <c r="AA3672" s="463"/>
      <c r="AB3672" s="462"/>
      <c r="AC3672" s="462"/>
      <c r="AD3672" s="464"/>
      <c r="AE3672" s="465"/>
    </row>
    <row r="3673" spans="27:31" ht="14.4">
      <c r="AA3673" s="463"/>
      <c r="AB3673" s="462"/>
      <c r="AC3673" s="462"/>
      <c r="AD3673" s="464"/>
      <c r="AE3673" s="465"/>
    </row>
    <row r="3674" spans="27:31" ht="14.4">
      <c r="AA3674" s="463"/>
      <c r="AB3674" s="462"/>
      <c r="AC3674" s="462"/>
      <c r="AD3674" s="464"/>
      <c r="AE3674" s="465"/>
    </row>
    <row r="3675" spans="27:31" ht="14.4">
      <c r="AA3675" s="463"/>
      <c r="AB3675" s="462"/>
      <c r="AC3675" s="462"/>
      <c r="AD3675" s="464"/>
      <c r="AE3675" s="465"/>
    </row>
    <row r="3676" spans="27:31" ht="14.4">
      <c r="AA3676" s="463"/>
      <c r="AB3676" s="462"/>
      <c r="AC3676" s="462"/>
      <c r="AD3676" s="464"/>
      <c r="AE3676" s="465"/>
    </row>
    <row r="3677" spans="27:31" ht="14.4">
      <c r="AA3677" s="463"/>
      <c r="AB3677" s="462"/>
      <c r="AC3677" s="462"/>
      <c r="AD3677" s="464"/>
      <c r="AE3677" s="465"/>
    </row>
    <row r="3678" spans="27:31" ht="14.4">
      <c r="AA3678" s="463"/>
      <c r="AB3678" s="462"/>
      <c r="AC3678" s="462"/>
      <c r="AD3678" s="464"/>
      <c r="AE3678" s="465"/>
    </row>
    <row r="3679" spans="27:31" ht="14.4">
      <c r="AA3679" s="463"/>
      <c r="AB3679" s="462"/>
      <c r="AC3679" s="462"/>
      <c r="AD3679" s="464"/>
      <c r="AE3679" s="465"/>
    </row>
    <row r="3680" spans="27:31" ht="14.4">
      <c r="AA3680" s="463"/>
      <c r="AB3680" s="462"/>
      <c r="AC3680" s="462"/>
      <c r="AD3680" s="464"/>
      <c r="AE3680" s="465"/>
    </row>
    <row r="3681" spans="27:31" ht="14.4">
      <c r="AA3681" s="463"/>
      <c r="AB3681" s="462"/>
      <c r="AC3681" s="462"/>
      <c r="AD3681" s="464"/>
      <c r="AE3681" s="465"/>
    </row>
    <row r="3682" spans="27:31" ht="14.4">
      <c r="AA3682" s="463"/>
      <c r="AB3682" s="462"/>
      <c r="AC3682" s="462"/>
      <c r="AD3682" s="464"/>
      <c r="AE3682" s="465"/>
    </row>
    <row r="3683" spans="27:31" ht="14.4">
      <c r="AA3683" s="463"/>
      <c r="AB3683" s="462"/>
      <c r="AC3683" s="462"/>
      <c r="AD3683" s="464"/>
      <c r="AE3683" s="465"/>
    </row>
    <row r="3684" spans="27:31" ht="14.4">
      <c r="AA3684" s="463"/>
      <c r="AB3684" s="462"/>
      <c r="AC3684" s="462"/>
      <c r="AD3684" s="464"/>
      <c r="AE3684" s="465"/>
    </row>
    <row r="3685" spans="27:31" ht="14.4">
      <c r="AA3685" s="463"/>
      <c r="AB3685" s="462"/>
      <c r="AC3685" s="462"/>
      <c r="AD3685" s="464"/>
      <c r="AE3685" s="465"/>
    </row>
    <row r="3686" spans="27:31" ht="14.4">
      <c r="AA3686" s="463"/>
      <c r="AB3686" s="462"/>
      <c r="AC3686" s="462"/>
      <c r="AD3686" s="464"/>
      <c r="AE3686" s="465"/>
    </row>
    <row r="3687" spans="27:31" ht="14.4">
      <c r="AA3687" s="463"/>
      <c r="AB3687" s="462"/>
      <c r="AC3687" s="462"/>
      <c r="AD3687" s="464"/>
      <c r="AE3687" s="465"/>
    </row>
    <row r="3688" spans="27:31" ht="14.4">
      <c r="AA3688" s="463"/>
      <c r="AB3688" s="462"/>
      <c r="AC3688" s="462"/>
      <c r="AD3688" s="464"/>
      <c r="AE3688" s="465"/>
    </row>
    <row r="3689" spans="27:31" ht="14.4">
      <c r="AA3689" s="463"/>
      <c r="AB3689" s="462"/>
      <c r="AC3689" s="462"/>
      <c r="AD3689" s="464"/>
      <c r="AE3689" s="465"/>
    </row>
    <row r="3690" spans="27:31" ht="14.4">
      <c r="AA3690" s="463"/>
      <c r="AB3690" s="462"/>
      <c r="AC3690" s="462"/>
      <c r="AD3690" s="464"/>
      <c r="AE3690" s="465"/>
    </row>
    <row r="3691" spans="27:31" ht="14.4">
      <c r="AA3691" s="463"/>
      <c r="AB3691" s="462"/>
      <c r="AC3691" s="462"/>
      <c r="AD3691" s="464"/>
      <c r="AE3691" s="465"/>
    </row>
    <row r="3692" spans="27:31" ht="14.4">
      <c r="AA3692" s="463"/>
      <c r="AB3692" s="462"/>
      <c r="AC3692" s="462"/>
      <c r="AD3692" s="464"/>
      <c r="AE3692" s="465"/>
    </row>
    <row r="3693" spans="27:31" ht="14.4">
      <c r="AA3693" s="463"/>
      <c r="AB3693" s="462"/>
      <c r="AC3693" s="462"/>
      <c r="AD3693" s="464"/>
      <c r="AE3693" s="465"/>
    </row>
    <row r="3694" spans="27:31" ht="14.4">
      <c r="AA3694" s="463"/>
      <c r="AB3694" s="462"/>
      <c r="AC3694" s="462"/>
      <c r="AD3694" s="464"/>
      <c r="AE3694" s="465"/>
    </row>
    <row r="3695" spans="27:31" ht="14.4">
      <c r="AA3695" s="463"/>
      <c r="AB3695" s="462"/>
      <c r="AC3695" s="462"/>
      <c r="AD3695" s="464"/>
      <c r="AE3695" s="465"/>
    </row>
    <row r="3696" spans="27:31" ht="14.4">
      <c r="AA3696" s="463"/>
      <c r="AB3696" s="462"/>
      <c r="AC3696" s="462"/>
      <c r="AD3696" s="464"/>
      <c r="AE3696" s="465"/>
    </row>
    <row r="3697" spans="27:31" ht="14.4">
      <c r="AA3697" s="463"/>
      <c r="AB3697" s="462"/>
      <c r="AC3697" s="462"/>
      <c r="AD3697" s="464"/>
      <c r="AE3697" s="465"/>
    </row>
    <row r="3698" spans="27:31" ht="14.4">
      <c r="AA3698" s="463"/>
      <c r="AB3698" s="462"/>
      <c r="AC3698" s="462"/>
      <c r="AD3698" s="464"/>
      <c r="AE3698" s="465"/>
    </row>
    <row r="3699" spans="27:31" ht="14.4">
      <c r="AA3699" s="463"/>
      <c r="AB3699" s="462"/>
      <c r="AC3699" s="462"/>
      <c r="AD3699" s="464"/>
      <c r="AE3699" s="465"/>
    </row>
    <row r="3700" spans="27:31" ht="14.4">
      <c r="AA3700" s="463"/>
      <c r="AB3700" s="462"/>
      <c r="AC3700" s="462"/>
      <c r="AD3700" s="464"/>
      <c r="AE3700" s="465"/>
    </row>
    <row r="3701" spans="27:31" ht="14.4">
      <c r="AA3701" s="463"/>
      <c r="AB3701" s="462"/>
      <c r="AC3701" s="462"/>
      <c r="AD3701" s="464"/>
      <c r="AE3701" s="465"/>
    </row>
    <row r="3702" spans="27:31" ht="14.4">
      <c r="AA3702" s="463"/>
      <c r="AB3702" s="462"/>
      <c r="AC3702" s="462"/>
      <c r="AD3702" s="464"/>
      <c r="AE3702" s="465"/>
    </row>
    <row r="3703" spans="27:31" ht="14.4">
      <c r="AA3703" s="463"/>
      <c r="AB3703" s="462"/>
      <c r="AC3703" s="462"/>
      <c r="AD3703" s="464"/>
      <c r="AE3703" s="465"/>
    </row>
    <row r="3704" spans="27:31" ht="14.4">
      <c r="AA3704" s="463"/>
      <c r="AB3704" s="462"/>
      <c r="AC3704" s="462"/>
      <c r="AD3704" s="464"/>
      <c r="AE3704" s="465"/>
    </row>
    <row r="3705" spans="27:31" ht="14.4">
      <c r="AA3705" s="463"/>
      <c r="AB3705" s="462"/>
      <c r="AC3705" s="462"/>
      <c r="AD3705" s="464"/>
      <c r="AE3705" s="465"/>
    </row>
    <row r="3706" spans="27:31" ht="14.4">
      <c r="AA3706" s="463"/>
      <c r="AB3706" s="462"/>
      <c r="AC3706" s="462"/>
      <c r="AD3706" s="464"/>
      <c r="AE3706" s="465"/>
    </row>
    <row r="3707" spans="27:31" ht="14.4">
      <c r="AA3707" s="463"/>
      <c r="AB3707" s="462"/>
      <c r="AC3707" s="462"/>
      <c r="AD3707" s="464"/>
      <c r="AE3707" s="465"/>
    </row>
    <row r="3708" spans="27:31" ht="14.4">
      <c r="AA3708" s="463"/>
      <c r="AB3708" s="462"/>
      <c r="AC3708" s="462"/>
      <c r="AD3708" s="464"/>
      <c r="AE3708" s="465"/>
    </row>
    <row r="3709" spans="27:31" ht="14.4">
      <c r="AA3709" s="463"/>
      <c r="AB3709" s="462"/>
      <c r="AC3709" s="462"/>
      <c r="AD3709" s="464"/>
      <c r="AE3709" s="465"/>
    </row>
    <row r="3710" spans="27:31" ht="14.4">
      <c r="AA3710" s="463"/>
      <c r="AB3710" s="462"/>
      <c r="AC3710" s="462"/>
      <c r="AD3710" s="464"/>
      <c r="AE3710" s="465"/>
    </row>
    <row r="3711" spans="27:31" ht="14.4">
      <c r="AA3711" s="463"/>
      <c r="AB3711" s="462"/>
      <c r="AC3711" s="462"/>
      <c r="AD3711" s="464"/>
      <c r="AE3711" s="465"/>
    </row>
    <row r="3712" spans="27:31" ht="14.4">
      <c r="AA3712" s="463"/>
      <c r="AB3712" s="462"/>
      <c r="AC3712" s="462"/>
      <c r="AD3712" s="464"/>
      <c r="AE3712" s="465"/>
    </row>
    <row r="3713" spans="27:31" ht="14.4">
      <c r="AA3713" s="463"/>
      <c r="AB3713" s="462"/>
      <c r="AC3713" s="462"/>
      <c r="AD3713" s="464"/>
      <c r="AE3713" s="465"/>
    </row>
    <row r="3714" spans="27:31" ht="14.4">
      <c r="AA3714" s="463"/>
      <c r="AB3714" s="462"/>
      <c r="AC3714" s="462"/>
      <c r="AD3714" s="464"/>
      <c r="AE3714" s="465"/>
    </row>
    <row r="3715" spans="27:31" ht="14.4">
      <c r="AA3715" s="463"/>
      <c r="AB3715" s="462"/>
      <c r="AC3715" s="462"/>
      <c r="AD3715" s="464"/>
      <c r="AE3715" s="465"/>
    </row>
    <row r="3716" spans="27:31" ht="14.4">
      <c r="AA3716" s="463"/>
      <c r="AB3716" s="462"/>
      <c r="AC3716" s="462"/>
      <c r="AD3716" s="464"/>
      <c r="AE3716" s="465"/>
    </row>
    <row r="3717" spans="27:31" ht="14.4">
      <c r="AA3717" s="463"/>
      <c r="AB3717" s="462"/>
      <c r="AC3717" s="462"/>
      <c r="AD3717" s="464"/>
      <c r="AE3717" s="465"/>
    </row>
    <row r="3718" spans="27:31" ht="14.4">
      <c r="AA3718" s="463"/>
      <c r="AB3718" s="462"/>
      <c r="AC3718" s="462"/>
      <c r="AD3718" s="464"/>
      <c r="AE3718" s="465"/>
    </row>
    <row r="3719" spans="27:31" ht="14.4">
      <c r="AA3719" s="463"/>
      <c r="AB3719" s="462"/>
      <c r="AC3719" s="462"/>
      <c r="AD3719" s="464"/>
      <c r="AE3719" s="465"/>
    </row>
    <row r="3720" spans="27:31" ht="14.4">
      <c r="AA3720" s="463"/>
      <c r="AB3720" s="462"/>
      <c r="AC3720" s="462"/>
      <c r="AD3720" s="464"/>
      <c r="AE3720" s="465"/>
    </row>
    <row r="3721" spans="27:31" ht="14.4">
      <c r="AA3721" s="463"/>
      <c r="AB3721" s="462"/>
      <c r="AC3721" s="462"/>
      <c r="AD3721" s="464"/>
      <c r="AE3721" s="465"/>
    </row>
    <row r="3722" spans="27:31" ht="14.4">
      <c r="AA3722" s="463"/>
      <c r="AB3722" s="462"/>
      <c r="AC3722" s="462"/>
      <c r="AD3722" s="464"/>
      <c r="AE3722" s="465"/>
    </row>
    <row r="3723" spans="27:31" ht="14.4">
      <c r="AA3723" s="463"/>
      <c r="AB3723" s="462"/>
      <c r="AC3723" s="462"/>
      <c r="AD3723" s="464"/>
      <c r="AE3723" s="465"/>
    </row>
    <row r="3724" spans="27:31" ht="14.4">
      <c r="AA3724" s="463"/>
      <c r="AB3724" s="462"/>
      <c r="AC3724" s="462"/>
      <c r="AD3724" s="464"/>
      <c r="AE3724" s="465"/>
    </row>
    <row r="3725" spans="27:31" ht="14.4">
      <c r="AA3725" s="463"/>
      <c r="AB3725" s="462"/>
      <c r="AC3725" s="462"/>
      <c r="AD3725" s="464"/>
      <c r="AE3725" s="465"/>
    </row>
    <row r="3726" spans="27:31" ht="14.4">
      <c r="AA3726" s="463"/>
      <c r="AB3726" s="462"/>
      <c r="AC3726" s="462"/>
      <c r="AD3726" s="464"/>
      <c r="AE3726" s="465"/>
    </row>
    <row r="3727" spans="27:31" ht="14.4">
      <c r="AA3727" s="463"/>
      <c r="AB3727" s="462"/>
      <c r="AC3727" s="462"/>
      <c r="AD3727" s="464"/>
      <c r="AE3727" s="465"/>
    </row>
    <row r="3728" spans="27:31" ht="14.4">
      <c r="AA3728" s="463"/>
      <c r="AB3728" s="462"/>
      <c r="AC3728" s="462"/>
      <c r="AD3728" s="464"/>
      <c r="AE3728" s="465"/>
    </row>
    <row r="3729" spans="27:31" ht="14.4">
      <c r="AA3729" s="463"/>
      <c r="AB3729" s="462"/>
      <c r="AC3729" s="462"/>
      <c r="AD3729" s="464"/>
      <c r="AE3729" s="465"/>
    </row>
    <row r="3730" spans="27:31" ht="14.4">
      <c r="AA3730" s="463"/>
      <c r="AB3730" s="462"/>
      <c r="AC3730" s="462"/>
      <c r="AD3730" s="464"/>
      <c r="AE3730" s="465"/>
    </row>
    <row r="3731" spans="27:31" ht="14.4">
      <c r="AA3731" s="463"/>
      <c r="AB3731" s="462"/>
      <c r="AC3731" s="462"/>
      <c r="AD3731" s="464"/>
      <c r="AE3731" s="465"/>
    </row>
    <row r="3732" spans="27:31" ht="14.4">
      <c r="AA3732" s="463"/>
      <c r="AB3732" s="462"/>
      <c r="AC3732" s="462"/>
      <c r="AD3732" s="464"/>
      <c r="AE3732" s="465"/>
    </row>
    <row r="3733" spans="27:31" ht="14.4">
      <c r="AA3733" s="463"/>
      <c r="AB3733" s="462"/>
      <c r="AC3733" s="462"/>
      <c r="AD3733" s="464"/>
      <c r="AE3733" s="465"/>
    </row>
    <row r="3734" spans="27:31" ht="14.4">
      <c r="AA3734" s="463"/>
      <c r="AB3734" s="462"/>
      <c r="AC3734" s="462"/>
      <c r="AD3734" s="464"/>
      <c r="AE3734" s="465"/>
    </row>
    <row r="3735" spans="27:31" ht="14.4">
      <c r="AA3735" s="463"/>
      <c r="AB3735" s="462"/>
      <c r="AC3735" s="462"/>
      <c r="AD3735" s="464"/>
      <c r="AE3735" s="465"/>
    </row>
    <row r="3736" spans="27:31" ht="14.4">
      <c r="AA3736" s="463"/>
      <c r="AB3736" s="462"/>
      <c r="AC3736" s="462"/>
      <c r="AD3736" s="464"/>
      <c r="AE3736" s="465"/>
    </row>
    <row r="3737" spans="27:31" ht="14.4">
      <c r="AA3737" s="463"/>
      <c r="AB3737" s="462"/>
      <c r="AC3737" s="462"/>
      <c r="AD3737" s="464"/>
      <c r="AE3737" s="465"/>
    </row>
    <row r="3738" spans="27:31" ht="14.4">
      <c r="AA3738" s="463"/>
      <c r="AB3738" s="462"/>
      <c r="AC3738" s="462"/>
      <c r="AD3738" s="464"/>
      <c r="AE3738" s="465"/>
    </row>
    <row r="3739" spans="27:31" ht="14.4">
      <c r="AA3739" s="463"/>
      <c r="AB3739" s="462"/>
      <c r="AC3739" s="462"/>
      <c r="AD3739" s="464"/>
      <c r="AE3739" s="465"/>
    </row>
    <row r="3740" spans="27:31" ht="14.4">
      <c r="AA3740" s="463"/>
      <c r="AB3740" s="462"/>
      <c r="AC3740" s="462"/>
      <c r="AD3740" s="464"/>
      <c r="AE3740" s="465"/>
    </row>
    <row r="3741" spans="27:31" ht="14.4">
      <c r="AA3741" s="463"/>
      <c r="AB3741" s="462"/>
      <c r="AC3741" s="462"/>
      <c r="AD3741" s="464"/>
      <c r="AE3741" s="465"/>
    </row>
    <row r="3742" spans="27:31" ht="14.4">
      <c r="AA3742" s="463"/>
      <c r="AB3742" s="462"/>
      <c r="AC3742" s="462"/>
      <c r="AD3742" s="464"/>
      <c r="AE3742" s="465"/>
    </row>
    <row r="3743" spans="27:31" ht="14.4">
      <c r="AA3743" s="463"/>
      <c r="AB3743" s="462"/>
      <c r="AC3743" s="462"/>
      <c r="AD3743" s="464"/>
      <c r="AE3743" s="465"/>
    </row>
    <row r="3744" spans="27:31" ht="14.4">
      <c r="AA3744" s="463"/>
      <c r="AB3744" s="462"/>
      <c r="AC3744" s="462"/>
      <c r="AD3744" s="464"/>
      <c r="AE3744" s="465"/>
    </row>
    <row r="3745" spans="27:31" ht="14.4">
      <c r="AA3745" s="463"/>
      <c r="AB3745" s="462"/>
      <c r="AC3745" s="462"/>
      <c r="AD3745" s="464"/>
      <c r="AE3745" s="465"/>
    </row>
    <row r="3746" spans="27:31" ht="14.4">
      <c r="AA3746" s="463"/>
      <c r="AB3746" s="462"/>
      <c r="AC3746" s="462"/>
      <c r="AD3746" s="464"/>
      <c r="AE3746" s="465"/>
    </row>
    <row r="3747" spans="27:31" ht="14.4">
      <c r="AA3747" s="463"/>
      <c r="AB3747" s="462"/>
      <c r="AC3747" s="462"/>
      <c r="AD3747" s="464"/>
      <c r="AE3747" s="465"/>
    </row>
    <row r="3748" spans="27:31" ht="14.4">
      <c r="AA3748" s="463"/>
      <c r="AB3748" s="462"/>
      <c r="AC3748" s="462"/>
      <c r="AD3748" s="464"/>
      <c r="AE3748" s="465"/>
    </row>
    <row r="3749" spans="27:31" ht="14.4">
      <c r="AA3749" s="463"/>
      <c r="AB3749" s="462"/>
      <c r="AC3749" s="462"/>
      <c r="AD3749" s="464"/>
      <c r="AE3749" s="465"/>
    </row>
    <row r="3750" spans="27:31" ht="14.4">
      <c r="AA3750" s="463"/>
      <c r="AB3750" s="462"/>
      <c r="AC3750" s="462"/>
      <c r="AD3750" s="464"/>
      <c r="AE3750" s="465"/>
    </row>
    <row r="3751" spans="27:31" ht="14.4">
      <c r="AA3751" s="463"/>
      <c r="AB3751" s="462"/>
      <c r="AC3751" s="462"/>
      <c r="AD3751" s="464"/>
      <c r="AE3751" s="465"/>
    </row>
    <row r="3752" spans="27:31" ht="14.4">
      <c r="AA3752" s="463"/>
      <c r="AB3752" s="462"/>
      <c r="AC3752" s="462"/>
      <c r="AD3752" s="464"/>
      <c r="AE3752" s="465"/>
    </row>
    <row r="3753" spans="27:31" ht="14.4">
      <c r="AA3753" s="463"/>
      <c r="AB3753" s="462"/>
      <c r="AC3753" s="462"/>
      <c r="AD3753" s="464"/>
      <c r="AE3753" s="465"/>
    </row>
    <row r="3754" spans="27:31" ht="14.4">
      <c r="AA3754" s="463"/>
      <c r="AB3754" s="462"/>
      <c r="AC3754" s="462"/>
      <c r="AD3754" s="464"/>
      <c r="AE3754" s="465"/>
    </row>
    <row r="3755" spans="27:31" ht="14.4">
      <c r="AA3755" s="463"/>
      <c r="AB3755" s="462"/>
      <c r="AC3755" s="462"/>
      <c r="AD3755" s="464"/>
      <c r="AE3755" s="465"/>
    </row>
    <row r="3756" spans="27:31" ht="14.4">
      <c r="AA3756" s="463"/>
      <c r="AB3756" s="462"/>
      <c r="AC3756" s="462"/>
      <c r="AD3756" s="464"/>
      <c r="AE3756" s="465"/>
    </row>
    <row r="3757" spans="27:31" ht="14.4">
      <c r="AA3757" s="463"/>
      <c r="AB3757" s="462"/>
      <c r="AC3757" s="462"/>
      <c r="AD3757" s="464"/>
      <c r="AE3757" s="465"/>
    </row>
    <row r="3758" spans="27:31" ht="14.4">
      <c r="AA3758" s="463"/>
      <c r="AB3758" s="462"/>
      <c r="AC3758" s="462"/>
      <c r="AD3758" s="464"/>
      <c r="AE3758" s="465"/>
    </row>
    <row r="3759" spans="27:31" ht="14.4">
      <c r="AA3759" s="463"/>
      <c r="AB3759" s="462"/>
      <c r="AC3759" s="462"/>
      <c r="AD3759" s="464"/>
      <c r="AE3759" s="465"/>
    </row>
    <row r="3760" spans="27:31" ht="14.4">
      <c r="AA3760" s="463"/>
      <c r="AB3760" s="462"/>
      <c r="AC3760" s="462"/>
      <c r="AD3760" s="464"/>
      <c r="AE3760" s="465"/>
    </row>
    <row r="3761" spans="27:31" ht="14.4">
      <c r="AA3761" s="463"/>
      <c r="AB3761" s="462"/>
      <c r="AC3761" s="462"/>
      <c r="AD3761" s="464"/>
      <c r="AE3761" s="465"/>
    </row>
    <row r="3762" spans="27:31" ht="14.4">
      <c r="AA3762" s="463"/>
      <c r="AB3762" s="462"/>
      <c r="AC3762" s="462"/>
      <c r="AD3762" s="464"/>
      <c r="AE3762" s="465"/>
    </row>
    <row r="3763" spans="27:31" ht="14.4">
      <c r="AA3763" s="463"/>
      <c r="AB3763" s="462"/>
      <c r="AC3763" s="462"/>
      <c r="AD3763" s="464"/>
      <c r="AE3763" s="465"/>
    </row>
    <row r="3764" spans="27:31" ht="14.4">
      <c r="AA3764" s="463"/>
      <c r="AB3764" s="462"/>
      <c r="AC3764" s="462"/>
      <c r="AD3764" s="464"/>
      <c r="AE3764" s="465"/>
    </row>
    <row r="3765" spans="27:31" ht="14.4">
      <c r="AA3765" s="463"/>
      <c r="AB3765" s="462"/>
      <c r="AC3765" s="462"/>
      <c r="AD3765" s="464"/>
      <c r="AE3765" s="465"/>
    </row>
    <row r="3766" spans="27:31" ht="14.4">
      <c r="AA3766" s="463"/>
      <c r="AB3766" s="462"/>
      <c r="AC3766" s="462"/>
      <c r="AD3766" s="464"/>
      <c r="AE3766" s="465"/>
    </row>
    <row r="3767" spans="27:31" ht="14.4">
      <c r="AA3767" s="463"/>
      <c r="AB3767" s="462"/>
      <c r="AC3767" s="462"/>
      <c r="AD3767" s="464"/>
      <c r="AE3767" s="465"/>
    </row>
    <row r="3768" spans="27:31" ht="14.4">
      <c r="AA3768" s="463"/>
      <c r="AB3768" s="462"/>
      <c r="AC3768" s="462"/>
      <c r="AD3768" s="464"/>
      <c r="AE3768" s="465"/>
    </row>
    <row r="3769" spans="27:31" ht="14.4">
      <c r="AA3769" s="463"/>
      <c r="AB3769" s="462"/>
      <c r="AC3769" s="462"/>
      <c r="AD3769" s="464"/>
      <c r="AE3769" s="465"/>
    </row>
    <row r="3770" spans="27:31" ht="14.4">
      <c r="AA3770" s="463"/>
      <c r="AB3770" s="462"/>
      <c r="AC3770" s="462"/>
      <c r="AD3770" s="464"/>
      <c r="AE3770" s="465"/>
    </row>
    <row r="3771" spans="27:31" ht="14.4">
      <c r="AA3771" s="463"/>
      <c r="AB3771" s="462"/>
      <c r="AC3771" s="462"/>
      <c r="AD3771" s="464"/>
      <c r="AE3771" s="465"/>
    </row>
    <row r="3772" spans="27:31" ht="14.4">
      <c r="AA3772" s="463"/>
      <c r="AB3772" s="462"/>
      <c r="AC3772" s="462"/>
      <c r="AD3772" s="464"/>
      <c r="AE3772" s="465"/>
    </row>
    <row r="3773" spans="27:31" ht="14.4">
      <c r="AA3773" s="463"/>
      <c r="AB3773" s="462"/>
      <c r="AC3773" s="462"/>
      <c r="AD3773" s="464"/>
      <c r="AE3773" s="465"/>
    </row>
    <row r="3774" spans="27:31" ht="14.4">
      <c r="AA3774" s="463"/>
      <c r="AB3774" s="462"/>
      <c r="AC3774" s="462"/>
      <c r="AD3774" s="464"/>
      <c r="AE3774" s="465"/>
    </row>
    <row r="3775" spans="27:31" ht="14.4">
      <c r="AA3775" s="463"/>
      <c r="AB3775" s="462"/>
      <c r="AC3775" s="462"/>
      <c r="AD3775" s="464"/>
      <c r="AE3775" s="465"/>
    </row>
    <row r="3776" spans="27:31" ht="14.4">
      <c r="AA3776" s="463"/>
      <c r="AB3776" s="462"/>
      <c r="AC3776" s="462"/>
      <c r="AD3776" s="464"/>
      <c r="AE3776" s="465"/>
    </row>
    <row r="3777" spans="27:31" ht="14.4">
      <c r="AA3777" s="463"/>
      <c r="AB3777" s="462"/>
      <c r="AC3777" s="462"/>
      <c r="AD3777" s="464"/>
      <c r="AE3777" s="465"/>
    </row>
    <row r="3778" spans="27:31" ht="14.4">
      <c r="AA3778" s="463"/>
      <c r="AB3778" s="462"/>
      <c r="AC3778" s="462"/>
      <c r="AD3778" s="464"/>
      <c r="AE3778" s="465"/>
    </row>
    <row r="3779" spans="27:31" ht="14.4">
      <c r="AA3779" s="463"/>
      <c r="AB3779" s="462"/>
      <c r="AC3779" s="462"/>
      <c r="AD3779" s="464"/>
      <c r="AE3779" s="465"/>
    </row>
    <row r="3780" spans="27:31" ht="14.4">
      <c r="AA3780" s="463"/>
      <c r="AB3780" s="462"/>
      <c r="AC3780" s="462"/>
      <c r="AD3780" s="464"/>
      <c r="AE3780" s="465"/>
    </row>
    <row r="3781" spans="27:31" ht="14.4">
      <c r="AA3781" s="463"/>
      <c r="AB3781" s="462"/>
      <c r="AC3781" s="462"/>
      <c r="AD3781" s="464"/>
      <c r="AE3781" s="465"/>
    </row>
    <row r="3782" spans="27:31" ht="14.4">
      <c r="AA3782" s="463"/>
      <c r="AB3782" s="462"/>
      <c r="AC3782" s="462"/>
      <c r="AD3782" s="464"/>
      <c r="AE3782" s="465"/>
    </row>
    <row r="3783" spans="27:31" ht="14.4">
      <c r="AA3783" s="463"/>
      <c r="AB3783" s="462"/>
      <c r="AC3783" s="462"/>
      <c r="AD3783" s="464"/>
      <c r="AE3783" s="465"/>
    </row>
    <row r="3784" spans="27:31" ht="14.4">
      <c r="AA3784" s="463"/>
      <c r="AB3784" s="462"/>
      <c r="AC3784" s="462"/>
      <c r="AD3784" s="464"/>
      <c r="AE3784" s="465"/>
    </row>
    <row r="3785" spans="27:31" ht="14.4">
      <c r="AA3785" s="463"/>
      <c r="AB3785" s="462"/>
      <c r="AC3785" s="462"/>
      <c r="AD3785" s="464"/>
      <c r="AE3785" s="465"/>
    </row>
    <row r="3786" spans="27:31" ht="14.4">
      <c r="AA3786" s="463"/>
      <c r="AB3786" s="462"/>
      <c r="AC3786" s="462"/>
      <c r="AD3786" s="464"/>
      <c r="AE3786" s="465"/>
    </row>
    <row r="3787" spans="27:31" ht="14.4">
      <c r="AA3787" s="463"/>
      <c r="AB3787" s="462"/>
      <c r="AC3787" s="462"/>
      <c r="AD3787" s="464"/>
      <c r="AE3787" s="465"/>
    </row>
    <row r="3788" spans="27:31" ht="14.4">
      <c r="AA3788" s="463"/>
      <c r="AB3788" s="462"/>
      <c r="AC3788" s="462"/>
      <c r="AD3788" s="464"/>
      <c r="AE3788" s="465"/>
    </row>
    <row r="3789" spans="27:31" ht="14.4">
      <c r="AA3789" s="463"/>
      <c r="AB3789" s="462"/>
      <c r="AC3789" s="462"/>
      <c r="AD3789" s="464"/>
      <c r="AE3789" s="465"/>
    </row>
    <row r="3790" spans="27:31" ht="14.4">
      <c r="AA3790" s="463"/>
      <c r="AB3790" s="462"/>
      <c r="AC3790" s="462"/>
      <c r="AD3790" s="464"/>
      <c r="AE3790" s="465"/>
    </row>
    <row r="3791" spans="27:31" ht="14.4">
      <c r="AA3791" s="463"/>
      <c r="AB3791" s="462"/>
      <c r="AC3791" s="462"/>
      <c r="AD3791" s="464"/>
      <c r="AE3791" s="465"/>
    </row>
    <row r="3792" spans="27:31" ht="14.4">
      <c r="AA3792" s="463"/>
      <c r="AB3792" s="462"/>
      <c r="AC3792" s="462"/>
      <c r="AD3792" s="464"/>
      <c r="AE3792" s="465"/>
    </row>
    <row r="3793" spans="27:31" ht="14.4">
      <c r="AA3793" s="463"/>
      <c r="AB3793" s="462"/>
      <c r="AC3793" s="462"/>
      <c r="AD3793" s="464"/>
      <c r="AE3793" s="465"/>
    </row>
    <row r="3794" spans="27:31" ht="14.4">
      <c r="AA3794" s="463"/>
      <c r="AB3794" s="462"/>
      <c r="AC3794" s="462"/>
      <c r="AD3794" s="464"/>
      <c r="AE3794" s="465"/>
    </row>
    <row r="3795" spans="27:31" ht="14.4">
      <c r="AA3795" s="463"/>
      <c r="AB3795" s="462"/>
      <c r="AC3795" s="462"/>
      <c r="AD3795" s="464"/>
      <c r="AE3795" s="465"/>
    </row>
    <row r="3796" spans="27:31" ht="14.4">
      <c r="AA3796" s="463"/>
      <c r="AB3796" s="462"/>
      <c r="AC3796" s="462"/>
      <c r="AD3796" s="464"/>
      <c r="AE3796" s="465"/>
    </row>
    <row r="3797" spans="27:31" ht="14.4">
      <c r="AA3797" s="463"/>
      <c r="AB3797" s="462"/>
      <c r="AC3797" s="462"/>
      <c r="AD3797" s="464"/>
      <c r="AE3797" s="465"/>
    </row>
    <row r="3798" spans="27:31" ht="14.4">
      <c r="AA3798" s="463"/>
      <c r="AB3798" s="462"/>
      <c r="AC3798" s="462"/>
      <c r="AD3798" s="464"/>
      <c r="AE3798" s="465"/>
    </row>
    <row r="3799" spans="27:31" ht="14.4">
      <c r="AA3799" s="463"/>
      <c r="AB3799" s="462"/>
      <c r="AC3799" s="462"/>
      <c r="AD3799" s="464"/>
      <c r="AE3799" s="465"/>
    </row>
    <row r="3800" spans="27:31" ht="14.4">
      <c r="AA3800" s="463"/>
      <c r="AB3800" s="462"/>
      <c r="AC3800" s="462"/>
      <c r="AD3800" s="464"/>
      <c r="AE3800" s="465"/>
    </row>
    <row r="3801" spans="27:31" ht="14.4">
      <c r="AA3801" s="463"/>
      <c r="AB3801" s="462"/>
      <c r="AC3801" s="462"/>
      <c r="AD3801" s="464"/>
      <c r="AE3801" s="465"/>
    </row>
    <row r="3802" spans="27:31" ht="14.4">
      <c r="AA3802" s="463"/>
      <c r="AB3802" s="462"/>
      <c r="AC3802" s="462"/>
      <c r="AD3802" s="464"/>
      <c r="AE3802" s="465"/>
    </row>
    <row r="3803" spans="27:31" ht="14.4">
      <c r="AA3803" s="463"/>
      <c r="AB3803" s="462"/>
      <c r="AC3803" s="462"/>
      <c r="AD3803" s="464"/>
      <c r="AE3803" s="465"/>
    </row>
    <row r="3804" spans="27:31" ht="14.4">
      <c r="AA3804" s="463"/>
      <c r="AB3804" s="462"/>
      <c r="AC3804" s="462"/>
      <c r="AD3804" s="464"/>
      <c r="AE3804" s="465"/>
    </row>
    <row r="3805" spans="27:31" ht="14.4">
      <c r="AA3805" s="463"/>
      <c r="AB3805" s="462"/>
      <c r="AC3805" s="462"/>
      <c r="AD3805" s="464"/>
      <c r="AE3805" s="465"/>
    </row>
    <row r="3806" spans="27:31" ht="14.4">
      <c r="AA3806" s="463"/>
      <c r="AB3806" s="462"/>
      <c r="AC3806" s="462"/>
      <c r="AD3806" s="464"/>
      <c r="AE3806" s="465"/>
    </row>
    <row r="3807" spans="27:31" ht="14.4">
      <c r="AA3807" s="463"/>
      <c r="AB3807" s="462"/>
      <c r="AC3807" s="462"/>
      <c r="AD3807" s="464"/>
      <c r="AE3807" s="465"/>
    </row>
    <row r="3808" spans="27:31" ht="14.4">
      <c r="AA3808" s="463"/>
      <c r="AB3808" s="462"/>
      <c r="AC3808" s="462"/>
      <c r="AD3808" s="464"/>
      <c r="AE3808" s="465"/>
    </row>
    <row r="3809" spans="27:31" ht="14.4">
      <c r="AA3809" s="463"/>
      <c r="AB3809" s="462"/>
      <c r="AC3809" s="462"/>
      <c r="AD3809" s="464"/>
      <c r="AE3809" s="465"/>
    </row>
    <row r="3810" spans="27:31" ht="14.4">
      <c r="AA3810" s="463"/>
      <c r="AB3810" s="462"/>
      <c r="AC3810" s="462"/>
      <c r="AD3810" s="464"/>
      <c r="AE3810" s="465"/>
    </row>
    <row r="3811" spans="27:31" ht="14.4">
      <c r="AA3811" s="463"/>
      <c r="AB3811" s="462"/>
      <c r="AC3811" s="462"/>
      <c r="AD3811" s="464"/>
      <c r="AE3811" s="465"/>
    </row>
    <row r="3812" spans="27:31" ht="14.4">
      <c r="AA3812" s="463"/>
      <c r="AB3812" s="462"/>
      <c r="AC3812" s="462"/>
      <c r="AD3812" s="464"/>
      <c r="AE3812" s="465"/>
    </row>
    <row r="3813" spans="27:31" ht="14.4">
      <c r="AA3813" s="463"/>
      <c r="AB3813" s="462"/>
      <c r="AC3813" s="462"/>
      <c r="AD3813" s="464"/>
      <c r="AE3813" s="465"/>
    </row>
    <row r="3814" spans="27:31" ht="14.4">
      <c r="AA3814" s="463"/>
      <c r="AB3814" s="462"/>
      <c r="AC3814" s="462"/>
      <c r="AD3814" s="464"/>
      <c r="AE3814" s="465"/>
    </row>
    <row r="3815" spans="27:31" ht="14.4">
      <c r="AA3815" s="463"/>
      <c r="AB3815" s="462"/>
      <c r="AC3815" s="462"/>
      <c r="AD3815" s="464"/>
      <c r="AE3815" s="465"/>
    </row>
    <row r="3816" spans="27:31" ht="14.4">
      <c r="AA3816" s="463"/>
      <c r="AB3816" s="462"/>
      <c r="AC3816" s="462"/>
      <c r="AD3816" s="464"/>
      <c r="AE3816" s="465"/>
    </row>
    <row r="3817" spans="27:31" ht="14.4">
      <c r="AA3817" s="463"/>
      <c r="AB3817" s="462"/>
      <c r="AC3817" s="462"/>
      <c r="AD3817" s="464"/>
      <c r="AE3817" s="465"/>
    </row>
    <row r="3818" spans="27:31" ht="14.4">
      <c r="AA3818" s="463"/>
      <c r="AB3818" s="462"/>
      <c r="AC3818" s="462"/>
      <c r="AD3818" s="464"/>
      <c r="AE3818" s="465"/>
    </row>
    <row r="3819" spans="27:31" ht="14.4">
      <c r="AA3819" s="463"/>
      <c r="AB3819" s="462"/>
      <c r="AC3819" s="462"/>
      <c r="AD3819" s="464"/>
      <c r="AE3819" s="465"/>
    </row>
    <row r="3820" spans="27:31" ht="14.4">
      <c r="AA3820" s="463"/>
      <c r="AB3820" s="462"/>
      <c r="AC3820" s="462"/>
      <c r="AD3820" s="464"/>
      <c r="AE3820" s="465"/>
    </row>
    <row r="3821" spans="27:31" ht="14.4">
      <c r="AA3821" s="463"/>
      <c r="AB3821" s="462"/>
      <c r="AC3821" s="462"/>
      <c r="AD3821" s="464"/>
      <c r="AE3821" s="465"/>
    </row>
    <row r="3822" spans="27:31" ht="14.4">
      <c r="AA3822" s="463"/>
      <c r="AB3822" s="462"/>
      <c r="AC3822" s="462"/>
      <c r="AD3822" s="464"/>
      <c r="AE3822" s="465"/>
    </row>
    <row r="3823" spans="27:31" ht="14.4">
      <c r="AA3823" s="463"/>
      <c r="AB3823" s="462"/>
      <c r="AC3823" s="462"/>
      <c r="AD3823" s="464"/>
      <c r="AE3823" s="465"/>
    </row>
    <row r="3824" spans="27:31" ht="14.4">
      <c r="AA3824" s="463"/>
      <c r="AB3824" s="462"/>
      <c r="AC3824" s="462"/>
      <c r="AD3824" s="464"/>
      <c r="AE3824" s="465"/>
    </row>
    <row r="3825" spans="27:31" ht="14.4">
      <c r="AA3825" s="463"/>
      <c r="AB3825" s="462"/>
      <c r="AC3825" s="462"/>
      <c r="AD3825" s="464"/>
      <c r="AE3825" s="465"/>
    </row>
    <row r="3826" spans="27:31" ht="14.4">
      <c r="AA3826" s="463"/>
      <c r="AB3826" s="462"/>
      <c r="AC3826" s="462"/>
      <c r="AD3826" s="464"/>
      <c r="AE3826" s="465"/>
    </row>
    <row r="3827" spans="27:31" ht="14.4">
      <c r="AA3827" s="463"/>
      <c r="AB3827" s="462"/>
      <c r="AC3827" s="462"/>
      <c r="AD3827" s="464"/>
      <c r="AE3827" s="465"/>
    </row>
    <row r="3828" spans="27:31" ht="14.4">
      <c r="AA3828" s="463"/>
      <c r="AB3828" s="462"/>
      <c r="AC3828" s="462"/>
      <c r="AD3828" s="464"/>
      <c r="AE3828" s="465"/>
    </row>
    <row r="3829" spans="27:31" ht="14.4">
      <c r="AA3829" s="463"/>
      <c r="AB3829" s="462"/>
      <c r="AC3829" s="462"/>
      <c r="AD3829" s="464"/>
      <c r="AE3829" s="465"/>
    </row>
    <row r="3830" spans="27:31" ht="14.4">
      <c r="AA3830" s="463"/>
      <c r="AB3830" s="462"/>
      <c r="AC3830" s="462"/>
      <c r="AD3830" s="464"/>
      <c r="AE3830" s="465"/>
    </row>
    <row r="3831" spans="27:31" ht="14.4">
      <c r="AA3831" s="463"/>
      <c r="AB3831" s="462"/>
      <c r="AC3831" s="462"/>
      <c r="AD3831" s="464"/>
      <c r="AE3831" s="465"/>
    </row>
    <row r="3832" spans="27:31" ht="14.4">
      <c r="AA3832" s="463"/>
      <c r="AB3832" s="462"/>
      <c r="AC3832" s="462"/>
      <c r="AD3832" s="464"/>
      <c r="AE3832" s="465"/>
    </row>
    <row r="3833" spans="27:31" ht="14.4">
      <c r="AA3833" s="463"/>
      <c r="AB3833" s="462"/>
      <c r="AC3833" s="462"/>
      <c r="AD3833" s="464"/>
      <c r="AE3833" s="465"/>
    </row>
    <row r="3834" spans="27:31" ht="14.4">
      <c r="AA3834" s="463"/>
      <c r="AB3834" s="462"/>
      <c r="AC3834" s="462"/>
      <c r="AD3834" s="464"/>
      <c r="AE3834" s="465"/>
    </row>
    <row r="3835" spans="27:31" ht="14.4">
      <c r="AA3835" s="463"/>
      <c r="AB3835" s="462"/>
      <c r="AC3835" s="462"/>
      <c r="AD3835" s="464"/>
      <c r="AE3835" s="465"/>
    </row>
    <row r="3836" spans="27:31" ht="14.4">
      <c r="AA3836" s="463"/>
      <c r="AB3836" s="462"/>
      <c r="AC3836" s="462"/>
      <c r="AD3836" s="464"/>
      <c r="AE3836" s="465"/>
    </row>
    <row r="3837" spans="27:31" ht="14.4">
      <c r="AA3837" s="463"/>
      <c r="AB3837" s="462"/>
      <c r="AC3837" s="462"/>
      <c r="AD3837" s="464"/>
      <c r="AE3837" s="465"/>
    </row>
    <row r="3838" spans="27:31" ht="14.4">
      <c r="AA3838" s="463"/>
      <c r="AB3838" s="462"/>
      <c r="AC3838" s="462"/>
      <c r="AD3838" s="464"/>
      <c r="AE3838" s="465"/>
    </row>
    <row r="3839" spans="27:31" ht="14.4">
      <c r="AA3839" s="463"/>
      <c r="AB3839" s="462"/>
      <c r="AC3839" s="462"/>
      <c r="AD3839" s="464"/>
      <c r="AE3839" s="465"/>
    </row>
    <row r="3840" spans="27:31" ht="14.4">
      <c r="AA3840" s="463"/>
      <c r="AB3840" s="462"/>
      <c r="AC3840" s="462"/>
      <c r="AD3840" s="464"/>
      <c r="AE3840" s="465"/>
    </row>
    <row r="3841" spans="27:31" ht="14.4">
      <c r="AA3841" s="463"/>
      <c r="AB3841" s="462"/>
      <c r="AC3841" s="462"/>
      <c r="AD3841" s="464"/>
      <c r="AE3841" s="465"/>
    </row>
    <row r="3842" spans="27:31" ht="14.4">
      <c r="AA3842" s="463"/>
      <c r="AB3842" s="462"/>
      <c r="AC3842" s="462"/>
      <c r="AD3842" s="464"/>
      <c r="AE3842" s="465"/>
    </row>
    <row r="3843" spans="27:31" ht="14.4">
      <c r="AA3843" s="463"/>
      <c r="AB3843" s="462"/>
      <c r="AC3843" s="462"/>
      <c r="AD3843" s="464"/>
      <c r="AE3843" s="465"/>
    </row>
    <row r="3844" spans="27:31" ht="14.4">
      <c r="AA3844" s="463"/>
      <c r="AB3844" s="462"/>
      <c r="AC3844" s="462"/>
      <c r="AD3844" s="464"/>
      <c r="AE3844" s="465"/>
    </row>
    <row r="3845" spans="27:31" ht="14.4">
      <c r="AA3845" s="463"/>
      <c r="AB3845" s="462"/>
      <c r="AC3845" s="462"/>
      <c r="AD3845" s="464"/>
      <c r="AE3845" s="465"/>
    </row>
    <row r="3846" spans="27:31" ht="14.4">
      <c r="AA3846" s="463"/>
      <c r="AB3846" s="462"/>
      <c r="AC3846" s="462"/>
      <c r="AD3846" s="464"/>
      <c r="AE3846" s="465"/>
    </row>
    <row r="3847" spans="27:31" ht="14.4">
      <c r="AA3847" s="463"/>
      <c r="AB3847" s="462"/>
      <c r="AC3847" s="462"/>
      <c r="AD3847" s="464"/>
      <c r="AE3847" s="465"/>
    </row>
    <row r="3848" spans="27:31" ht="14.4">
      <c r="AA3848" s="463"/>
      <c r="AB3848" s="462"/>
      <c r="AC3848" s="462"/>
      <c r="AD3848" s="464"/>
      <c r="AE3848" s="465"/>
    </row>
    <row r="3849" spans="27:31" ht="14.4">
      <c r="AA3849" s="463"/>
      <c r="AB3849" s="462"/>
      <c r="AC3849" s="462"/>
      <c r="AD3849" s="464"/>
      <c r="AE3849" s="465"/>
    </row>
    <row r="3850" spans="27:31" ht="14.4">
      <c r="AA3850" s="463"/>
      <c r="AB3850" s="462"/>
      <c r="AC3850" s="462"/>
      <c r="AD3850" s="464"/>
      <c r="AE3850" s="465"/>
    </row>
    <row r="3851" spans="27:31" ht="14.4">
      <c r="AA3851" s="463"/>
      <c r="AB3851" s="462"/>
      <c r="AC3851" s="462"/>
      <c r="AD3851" s="464"/>
      <c r="AE3851" s="465"/>
    </row>
    <row r="3852" spans="27:31" ht="14.4">
      <c r="AA3852" s="463"/>
      <c r="AB3852" s="462"/>
      <c r="AC3852" s="462"/>
      <c r="AD3852" s="464"/>
      <c r="AE3852" s="465"/>
    </row>
    <row r="3853" spans="27:31" ht="14.4">
      <c r="AA3853" s="463"/>
      <c r="AB3853" s="462"/>
      <c r="AC3853" s="462"/>
      <c r="AD3853" s="464"/>
      <c r="AE3853" s="465"/>
    </row>
    <row r="3854" spans="27:31" ht="14.4">
      <c r="AA3854" s="463"/>
      <c r="AB3854" s="462"/>
      <c r="AC3854" s="462"/>
      <c r="AD3854" s="464"/>
      <c r="AE3854" s="465"/>
    </row>
    <row r="3855" spans="27:31" ht="14.4">
      <c r="AA3855" s="463"/>
      <c r="AB3855" s="462"/>
      <c r="AC3855" s="462"/>
      <c r="AD3855" s="464"/>
      <c r="AE3855" s="465"/>
    </row>
    <row r="3856" spans="27:31" ht="14.4">
      <c r="AA3856" s="463"/>
      <c r="AB3856" s="462"/>
      <c r="AC3856" s="462"/>
      <c r="AD3856" s="464"/>
      <c r="AE3856" s="465"/>
    </row>
    <row r="3857" spans="27:31" ht="14.4">
      <c r="AA3857" s="463"/>
      <c r="AB3857" s="462"/>
      <c r="AC3857" s="462"/>
      <c r="AD3857" s="464"/>
      <c r="AE3857" s="465"/>
    </row>
    <row r="3858" spans="27:31" ht="14.4">
      <c r="AA3858" s="463"/>
      <c r="AB3858" s="462"/>
      <c r="AC3858" s="462"/>
      <c r="AD3858" s="464"/>
      <c r="AE3858" s="465"/>
    </row>
    <row r="3859" spans="27:31" ht="14.4">
      <c r="AA3859" s="463"/>
      <c r="AB3859" s="462"/>
      <c r="AC3859" s="462"/>
      <c r="AD3859" s="464"/>
      <c r="AE3859" s="465"/>
    </row>
    <row r="3860" spans="27:31" ht="14.4">
      <c r="AA3860" s="463"/>
      <c r="AB3860" s="462"/>
      <c r="AC3860" s="462"/>
      <c r="AD3860" s="464"/>
      <c r="AE3860" s="465"/>
    </row>
    <row r="3861" spans="27:31" ht="14.4">
      <c r="AA3861" s="463"/>
      <c r="AB3861" s="462"/>
      <c r="AC3861" s="462"/>
      <c r="AD3861" s="464"/>
      <c r="AE3861" s="465"/>
    </row>
    <row r="3862" spans="27:31" ht="14.4">
      <c r="AA3862" s="463"/>
      <c r="AB3862" s="462"/>
      <c r="AC3862" s="462"/>
      <c r="AD3862" s="464"/>
      <c r="AE3862" s="465"/>
    </row>
    <row r="3863" spans="27:31" ht="14.4">
      <c r="AA3863" s="463"/>
      <c r="AB3863" s="462"/>
      <c r="AC3863" s="462"/>
      <c r="AD3863" s="464"/>
      <c r="AE3863" s="465"/>
    </row>
    <row r="3864" spans="27:31" ht="14.4">
      <c r="AA3864" s="463"/>
      <c r="AB3864" s="462"/>
      <c r="AC3864" s="462"/>
      <c r="AD3864" s="464"/>
      <c r="AE3864" s="465"/>
    </row>
    <row r="3865" spans="27:31" ht="14.4">
      <c r="AA3865" s="463"/>
      <c r="AB3865" s="462"/>
      <c r="AC3865" s="462"/>
      <c r="AD3865" s="464"/>
      <c r="AE3865" s="465"/>
    </row>
    <row r="3866" spans="27:31" ht="14.4">
      <c r="AA3866" s="463"/>
      <c r="AB3866" s="462"/>
      <c r="AC3866" s="462"/>
      <c r="AD3866" s="464"/>
      <c r="AE3866" s="465"/>
    </row>
    <row r="3867" spans="27:31" ht="14.4">
      <c r="AA3867" s="463"/>
      <c r="AB3867" s="462"/>
      <c r="AC3867" s="462"/>
      <c r="AD3867" s="464"/>
      <c r="AE3867" s="465"/>
    </row>
    <row r="3868" spans="27:31" ht="14.4">
      <c r="AA3868" s="463"/>
      <c r="AB3868" s="462"/>
      <c r="AC3868" s="462"/>
      <c r="AD3868" s="464"/>
      <c r="AE3868" s="465"/>
    </row>
    <row r="3869" spans="27:31" ht="14.4">
      <c r="AA3869" s="463"/>
      <c r="AB3869" s="462"/>
      <c r="AC3869" s="462"/>
      <c r="AD3869" s="464"/>
      <c r="AE3869" s="465"/>
    </row>
    <row r="3870" spans="27:31" ht="14.4">
      <c r="AA3870" s="463"/>
      <c r="AB3870" s="462"/>
      <c r="AC3870" s="462"/>
      <c r="AD3870" s="464"/>
      <c r="AE3870" s="465"/>
    </row>
    <row r="3871" spans="27:31" ht="14.4">
      <c r="AA3871" s="463"/>
      <c r="AB3871" s="462"/>
      <c r="AC3871" s="462"/>
      <c r="AD3871" s="464"/>
      <c r="AE3871" s="465"/>
    </row>
    <row r="3872" spans="27:31" ht="14.4">
      <c r="AA3872" s="463"/>
      <c r="AB3872" s="462"/>
      <c r="AC3872" s="462"/>
      <c r="AD3872" s="464"/>
      <c r="AE3872" s="465"/>
    </row>
    <row r="3873" spans="27:31" ht="14.4">
      <c r="AA3873" s="463"/>
      <c r="AB3873" s="462"/>
      <c r="AC3873" s="462"/>
      <c r="AD3873" s="464"/>
      <c r="AE3873" s="465"/>
    </row>
    <row r="3874" spans="27:31" ht="14.4">
      <c r="AA3874" s="463"/>
      <c r="AB3874" s="462"/>
      <c r="AC3874" s="462"/>
      <c r="AD3874" s="464"/>
      <c r="AE3874" s="465"/>
    </row>
    <row r="3875" spans="27:31" ht="14.4">
      <c r="AA3875" s="463"/>
      <c r="AB3875" s="462"/>
      <c r="AC3875" s="462"/>
      <c r="AD3875" s="464"/>
      <c r="AE3875" s="465"/>
    </row>
    <row r="3876" spans="27:31" ht="14.4">
      <c r="AA3876" s="463"/>
      <c r="AB3876" s="462"/>
      <c r="AC3876" s="462"/>
      <c r="AD3876" s="464"/>
      <c r="AE3876" s="465"/>
    </row>
    <row r="3877" spans="27:31" ht="14.4">
      <c r="AA3877" s="463"/>
      <c r="AB3877" s="462"/>
      <c r="AC3877" s="462"/>
      <c r="AD3877" s="464"/>
      <c r="AE3877" s="465"/>
    </row>
    <row r="3878" spans="27:31" ht="14.4">
      <c r="AA3878" s="463"/>
      <c r="AB3878" s="462"/>
      <c r="AC3878" s="462"/>
      <c r="AD3878" s="464"/>
      <c r="AE3878" s="465"/>
    </row>
    <row r="3879" spans="27:31" ht="14.4">
      <c r="AA3879" s="463"/>
      <c r="AB3879" s="462"/>
      <c r="AC3879" s="462"/>
      <c r="AD3879" s="464"/>
      <c r="AE3879" s="465"/>
    </row>
    <row r="3880" spans="27:31" ht="14.4">
      <c r="AA3880" s="463"/>
      <c r="AB3880" s="462"/>
      <c r="AC3880" s="462"/>
      <c r="AD3880" s="464"/>
      <c r="AE3880" s="465"/>
    </row>
    <row r="3881" spans="27:31" ht="14.4">
      <c r="AA3881" s="463"/>
      <c r="AB3881" s="462"/>
      <c r="AC3881" s="462"/>
      <c r="AD3881" s="464"/>
      <c r="AE3881" s="465"/>
    </row>
    <row r="3882" spans="27:31" ht="14.4">
      <c r="AA3882" s="463"/>
      <c r="AB3882" s="462"/>
      <c r="AC3882" s="462"/>
      <c r="AD3882" s="464"/>
      <c r="AE3882" s="465"/>
    </row>
    <row r="3883" spans="27:31" ht="14.4">
      <c r="AA3883" s="463"/>
      <c r="AB3883" s="462"/>
      <c r="AC3883" s="462"/>
      <c r="AD3883" s="464"/>
      <c r="AE3883" s="465"/>
    </row>
    <row r="3884" spans="27:31" ht="14.4">
      <c r="AA3884" s="463"/>
      <c r="AB3884" s="462"/>
      <c r="AC3884" s="462"/>
      <c r="AD3884" s="464"/>
      <c r="AE3884" s="465"/>
    </row>
    <row r="3885" spans="27:31" ht="14.4">
      <c r="AA3885" s="463"/>
      <c r="AB3885" s="462"/>
      <c r="AC3885" s="462"/>
      <c r="AD3885" s="464"/>
      <c r="AE3885" s="465"/>
    </row>
    <row r="3886" spans="27:31" ht="14.4">
      <c r="AA3886" s="463"/>
      <c r="AB3886" s="462"/>
      <c r="AC3886" s="462"/>
      <c r="AD3886" s="464"/>
      <c r="AE3886" s="465"/>
    </row>
    <row r="3887" spans="27:31" ht="14.4">
      <c r="AA3887" s="463"/>
      <c r="AB3887" s="462"/>
      <c r="AC3887" s="462"/>
      <c r="AD3887" s="464"/>
      <c r="AE3887" s="465"/>
    </row>
    <row r="3888" spans="27:31" ht="14.4">
      <c r="AA3888" s="463"/>
      <c r="AB3888" s="462"/>
      <c r="AC3888" s="462"/>
      <c r="AD3888" s="464"/>
      <c r="AE3888" s="465"/>
    </row>
    <row r="3889" spans="27:31" ht="14.4">
      <c r="AA3889" s="463"/>
      <c r="AB3889" s="462"/>
      <c r="AC3889" s="462"/>
      <c r="AD3889" s="464"/>
      <c r="AE3889" s="465"/>
    </row>
    <row r="3890" spans="27:31" ht="14.4">
      <c r="AA3890" s="463"/>
      <c r="AB3890" s="462"/>
      <c r="AC3890" s="462"/>
      <c r="AD3890" s="464"/>
      <c r="AE3890" s="465"/>
    </row>
    <row r="3891" spans="27:31" ht="14.4">
      <c r="AA3891" s="463"/>
      <c r="AB3891" s="462"/>
      <c r="AC3891" s="462"/>
      <c r="AD3891" s="464"/>
      <c r="AE3891" s="465"/>
    </row>
    <row r="3892" spans="27:31" ht="14.4">
      <c r="AA3892" s="463"/>
      <c r="AB3892" s="462"/>
      <c r="AC3892" s="462"/>
      <c r="AD3892" s="464"/>
      <c r="AE3892" s="465"/>
    </row>
    <row r="3893" spans="27:31" ht="14.4">
      <c r="AA3893" s="463"/>
      <c r="AB3893" s="462"/>
      <c r="AC3893" s="462"/>
      <c r="AD3893" s="464"/>
      <c r="AE3893" s="465"/>
    </row>
    <row r="3894" spans="27:31" ht="14.4">
      <c r="AA3894" s="463"/>
      <c r="AB3894" s="462"/>
      <c r="AC3894" s="462"/>
      <c r="AD3894" s="464"/>
      <c r="AE3894" s="465"/>
    </row>
    <row r="3895" spans="27:31" ht="14.4">
      <c r="AA3895" s="463"/>
      <c r="AB3895" s="462"/>
      <c r="AC3895" s="462"/>
      <c r="AD3895" s="464"/>
      <c r="AE3895" s="465"/>
    </row>
    <row r="3896" spans="27:31" ht="14.4">
      <c r="AA3896" s="463"/>
      <c r="AB3896" s="462"/>
      <c r="AC3896" s="462"/>
      <c r="AD3896" s="464"/>
      <c r="AE3896" s="465"/>
    </row>
    <row r="3897" spans="27:31" ht="14.4">
      <c r="AA3897" s="463"/>
      <c r="AB3897" s="462"/>
      <c r="AC3897" s="462"/>
      <c r="AD3897" s="464"/>
      <c r="AE3897" s="465"/>
    </row>
    <row r="3898" spans="27:31" ht="14.4">
      <c r="AA3898" s="463"/>
      <c r="AB3898" s="462"/>
      <c r="AC3898" s="462"/>
      <c r="AD3898" s="464"/>
      <c r="AE3898" s="465"/>
    </row>
    <row r="3899" spans="27:31" ht="14.4">
      <c r="AA3899" s="463"/>
      <c r="AB3899" s="462"/>
      <c r="AC3899" s="462"/>
      <c r="AD3899" s="464"/>
      <c r="AE3899" s="465"/>
    </row>
    <row r="3900" spans="27:31" ht="14.4">
      <c r="AA3900" s="463"/>
      <c r="AB3900" s="462"/>
      <c r="AC3900" s="462"/>
      <c r="AD3900" s="464"/>
      <c r="AE3900" s="465"/>
    </row>
    <row r="3901" spans="27:31" ht="14.4">
      <c r="AA3901" s="463"/>
      <c r="AB3901" s="462"/>
      <c r="AC3901" s="462"/>
      <c r="AD3901" s="464"/>
      <c r="AE3901" s="465"/>
    </row>
    <row r="3902" spans="27:31" ht="14.4">
      <c r="AA3902" s="463"/>
      <c r="AB3902" s="462"/>
      <c r="AC3902" s="462"/>
      <c r="AD3902" s="464"/>
      <c r="AE3902" s="465"/>
    </row>
    <row r="3903" spans="27:31" ht="14.4">
      <c r="AA3903" s="463"/>
      <c r="AB3903" s="462"/>
      <c r="AC3903" s="462"/>
      <c r="AD3903" s="464"/>
      <c r="AE3903" s="465"/>
    </row>
    <row r="3904" spans="27:31" ht="14.4">
      <c r="AA3904" s="463"/>
      <c r="AB3904" s="462"/>
      <c r="AC3904" s="462"/>
      <c r="AD3904" s="464"/>
      <c r="AE3904" s="465"/>
    </row>
    <row r="3905" spans="27:31" ht="14.4">
      <c r="AA3905" s="463"/>
      <c r="AB3905" s="462"/>
      <c r="AC3905" s="462"/>
      <c r="AD3905" s="464"/>
      <c r="AE3905" s="465"/>
    </row>
    <row r="3906" spans="27:31" ht="14.4">
      <c r="AA3906" s="463"/>
      <c r="AB3906" s="462"/>
      <c r="AC3906" s="462"/>
      <c r="AD3906" s="464"/>
      <c r="AE3906" s="465"/>
    </row>
    <row r="3907" spans="27:31" ht="14.4">
      <c r="AA3907" s="463"/>
      <c r="AB3907" s="462"/>
      <c r="AC3907" s="462"/>
      <c r="AD3907" s="464"/>
      <c r="AE3907" s="465"/>
    </row>
    <row r="3908" spans="27:31" ht="14.4">
      <c r="AA3908" s="463"/>
      <c r="AB3908" s="462"/>
      <c r="AC3908" s="462"/>
      <c r="AD3908" s="464"/>
      <c r="AE3908" s="465"/>
    </row>
    <row r="3909" spans="27:31" ht="14.4">
      <c r="AA3909" s="463"/>
      <c r="AB3909" s="462"/>
      <c r="AC3909" s="462"/>
      <c r="AD3909" s="464"/>
      <c r="AE3909" s="465"/>
    </row>
    <row r="3910" spans="27:31" ht="14.4">
      <c r="AA3910" s="463"/>
      <c r="AB3910" s="462"/>
      <c r="AC3910" s="462"/>
      <c r="AD3910" s="464"/>
      <c r="AE3910" s="465"/>
    </row>
    <row r="3911" spans="27:31" ht="14.4">
      <c r="AA3911" s="463"/>
      <c r="AB3911" s="462"/>
      <c r="AC3911" s="462"/>
      <c r="AD3911" s="464"/>
      <c r="AE3911" s="465"/>
    </row>
    <row r="3912" spans="27:31" ht="14.4">
      <c r="AA3912" s="463"/>
      <c r="AB3912" s="462"/>
      <c r="AC3912" s="462"/>
      <c r="AD3912" s="464"/>
      <c r="AE3912" s="465"/>
    </row>
    <row r="3913" spans="27:31" ht="14.4">
      <c r="AA3913" s="463"/>
      <c r="AB3913" s="462"/>
      <c r="AC3913" s="462"/>
      <c r="AD3913" s="464"/>
      <c r="AE3913" s="465"/>
    </row>
    <row r="3914" spans="27:31" ht="14.4">
      <c r="AA3914" s="463"/>
      <c r="AB3914" s="462"/>
      <c r="AC3914" s="462"/>
      <c r="AD3914" s="464"/>
      <c r="AE3914" s="465"/>
    </row>
    <row r="3915" spans="27:31" ht="14.4">
      <c r="AA3915" s="463"/>
      <c r="AB3915" s="462"/>
      <c r="AC3915" s="462"/>
      <c r="AD3915" s="464"/>
      <c r="AE3915" s="465"/>
    </row>
    <row r="3916" spans="27:31" ht="14.4">
      <c r="AA3916" s="463"/>
      <c r="AB3916" s="462"/>
      <c r="AC3916" s="462"/>
      <c r="AD3916" s="464"/>
      <c r="AE3916" s="465"/>
    </row>
    <row r="3917" spans="27:31" ht="14.4">
      <c r="AA3917" s="463"/>
      <c r="AB3917" s="462"/>
      <c r="AC3917" s="462"/>
      <c r="AD3917" s="464"/>
      <c r="AE3917" s="465"/>
    </row>
    <row r="3918" spans="27:31" ht="14.4">
      <c r="AA3918" s="463"/>
      <c r="AB3918" s="462"/>
      <c r="AC3918" s="462"/>
      <c r="AD3918" s="464"/>
      <c r="AE3918" s="465"/>
    </row>
    <row r="3919" spans="27:31" ht="14.4">
      <c r="AA3919" s="463"/>
      <c r="AB3919" s="462"/>
      <c r="AC3919" s="462"/>
      <c r="AD3919" s="464"/>
      <c r="AE3919" s="465"/>
    </row>
    <row r="3920" spans="27:31" ht="14.4">
      <c r="AA3920" s="463"/>
      <c r="AB3920" s="462"/>
      <c r="AC3920" s="462"/>
      <c r="AD3920" s="464"/>
      <c r="AE3920" s="465"/>
    </row>
    <row r="3921" spans="27:31" ht="14.4">
      <c r="AA3921" s="463"/>
      <c r="AB3921" s="462"/>
      <c r="AC3921" s="462"/>
      <c r="AD3921" s="464"/>
      <c r="AE3921" s="465"/>
    </row>
    <row r="3922" spans="27:31" ht="14.4">
      <c r="AA3922" s="463"/>
      <c r="AB3922" s="462"/>
      <c r="AC3922" s="462"/>
      <c r="AD3922" s="464"/>
      <c r="AE3922" s="465"/>
    </row>
    <row r="3923" spans="27:31" ht="14.4">
      <c r="AA3923" s="463"/>
      <c r="AB3923" s="462"/>
      <c r="AC3923" s="462"/>
      <c r="AD3923" s="464"/>
      <c r="AE3923" s="465"/>
    </row>
    <row r="3924" spans="27:31" ht="14.4">
      <c r="AA3924" s="463"/>
      <c r="AB3924" s="462"/>
      <c r="AC3924" s="462"/>
      <c r="AD3924" s="464"/>
      <c r="AE3924" s="465"/>
    </row>
    <row r="3925" spans="27:31" ht="14.4">
      <c r="AA3925" s="463"/>
      <c r="AB3925" s="462"/>
      <c r="AC3925" s="462"/>
      <c r="AD3925" s="464"/>
      <c r="AE3925" s="465"/>
    </row>
    <row r="3926" spans="27:31" ht="14.4">
      <c r="AA3926" s="463"/>
      <c r="AB3926" s="462"/>
      <c r="AC3926" s="462"/>
      <c r="AD3926" s="464"/>
      <c r="AE3926" s="465"/>
    </row>
    <row r="3927" spans="27:31" ht="14.4">
      <c r="AA3927" s="463"/>
      <c r="AB3927" s="462"/>
      <c r="AC3927" s="462"/>
      <c r="AD3927" s="464"/>
      <c r="AE3927" s="465"/>
    </row>
    <row r="3928" spans="27:31" ht="14.4">
      <c r="AA3928" s="463"/>
      <c r="AB3928" s="462"/>
      <c r="AC3928" s="462"/>
      <c r="AD3928" s="464"/>
      <c r="AE3928" s="465"/>
    </row>
    <row r="3929" spans="27:31" ht="14.4">
      <c r="AA3929" s="463"/>
      <c r="AB3929" s="462"/>
      <c r="AC3929" s="462"/>
      <c r="AD3929" s="464"/>
      <c r="AE3929" s="465"/>
    </row>
    <row r="3930" spans="27:31" ht="14.4">
      <c r="AA3930" s="463"/>
      <c r="AB3930" s="462"/>
      <c r="AC3930" s="462"/>
      <c r="AD3930" s="464"/>
      <c r="AE3930" s="465"/>
    </row>
    <row r="3931" spans="27:31" ht="14.4">
      <c r="AA3931" s="463"/>
      <c r="AB3931" s="462"/>
      <c r="AC3931" s="462"/>
      <c r="AD3931" s="464"/>
      <c r="AE3931" s="465"/>
    </row>
    <row r="3932" spans="27:31" ht="14.4">
      <c r="AA3932" s="463"/>
      <c r="AB3932" s="462"/>
      <c r="AC3932" s="462"/>
      <c r="AD3932" s="464"/>
      <c r="AE3932" s="465"/>
    </row>
    <row r="3933" spans="27:31" ht="14.4">
      <c r="AA3933" s="463"/>
      <c r="AB3933" s="462"/>
      <c r="AC3933" s="462"/>
      <c r="AD3933" s="464"/>
      <c r="AE3933" s="465"/>
    </row>
    <row r="3934" spans="27:31" ht="14.4">
      <c r="AA3934" s="463"/>
      <c r="AB3934" s="462"/>
      <c r="AC3934" s="462"/>
      <c r="AD3934" s="464"/>
      <c r="AE3934" s="465"/>
    </row>
    <row r="3935" spans="27:31" ht="14.4">
      <c r="AA3935" s="463"/>
      <c r="AB3935" s="462"/>
      <c r="AC3935" s="462"/>
      <c r="AD3935" s="464"/>
      <c r="AE3935" s="465"/>
    </row>
    <row r="3936" spans="27:31" ht="14.4">
      <c r="AA3936" s="463"/>
      <c r="AB3936" s="462"/>
      <c r="AC3936" s="462"/>
      <c r="AD3936" s="464"/>
      <c r="AE3936" s="465"/>
    </row>
    <row r="3937" spans="27:31" ht="14.4">
      <c r="AA3937" s="463"/>
      <c r="AB3937" s="462"/>
      <c r="AC3937" s="462"/>
      <c r="AD3937" s="464"/>
      <c r="AE3937" s="465"/>
    </row>
    <row r="3938" spans="27:31" ht="14.4">
      <c r="AA3938" s="463"/>
      <c r="AB3938" s="462"/>
      <c r="AC3938" s="462"/>
      <c r="AD3938" s="464"/>
      <c r="AE3938" s="465"/>
    </row>
    <row r="3939" spans="27:31" ht="14.4">
      <c r="AA3939" s="463"/>
      <c r="AB3939" s="462"/>
      <c r="AC3939" s="462"/>
      <c r="AD3939" s="464"/>
      <c r="AE3939" s="465"/>
    </row>
    <row r="3940" spans="27:31" ht="14.4">
      <c r="AA3940" s="463"/>
      <c r="AB3940" s="462"/>
      <c r="AC3940" s="462"/>
      <c r="AD3940" s="464"/>
      <c r="AE3940" s="465"/>
    </row>
    <row r="3941" spans="27:31" ht="14.4">
      <c r="AA3941" s="463"/>
      <c r="AB3941" s="462"/>
      <c r="AC3941" s="462"/>
      <c r="AD3941" s="464"/>
      <c r="AE3941" s="465"/>
    </row>
    <row r="3942" spans="27:31" ht="14.4">
      <c r="AA3942" s="463"/>
      <c r="AB3942" s="462"/>
      <c r="AC3942" s="462"/>
      <c r="AD3942" s="464"/>
      <c r="AE3942" s="465"/>
    </row>
    <row r="3943" spans="27:31" ht="14.4">
      <c r="AA3943" s="463"/>
      <c r="AB3943" s="462"/>
      <c r="AC3943" s="462"/>
      <c r="AD3943" s="464"/>
      <c r="AE3943" s="465"/>
    </row>
    <row r="3944" spans="27:31" ht="14.4">
      <c r="AA3944" s="463"/>
      <c r="AB3944" s="462"/>
      <c r="AC3944" s="462"/>
      <c r="AD3944" s="464"/>
      <c r="AE3944" s="465"/>
    </row>
    <row r="3945" spans="27:31" ht="14.4">
      <c r="AA3945" s="463"/>
      <c r="AB3945" s="462"/>
      <c r="AC3945" s="462"/>
      <c r="AD3945" s="464"/>
      <c r="AE3945" s="465"/>
    </row>
    <row r="3946" spans="27:31" ht="14.4">
      <c r="AA3946" s="463"/>
      <c r="AB3946" s="462"/>
      <c r="AC3946" s="462"/>
      <c r="AD3946" s="464"/>
      <c r="AE3946" s="465"/>
    </row>
    <row r="3947" spans="27:31" ht="14.4">
      <c r="AA3947" s="463"/>
      <c r="AB3947" s="462"/>
      <c r="AC3947" s="462"/>
      <c r="AD3947" s="464"/>
      <c r="AE3947" s="465"/>
    </row>
    <row r="3948" spans="27:31" ht="14.4">
      <c r="AA3948" s="463"/>
      <c r="AB3948" s="462"/>
      <c r="AC3948" s="462"/>
      <c r="AD3948" s="464"/>
      <c r="AE3948" s="465"/>
    </row>
    <row r="3949" spans="27:31" ht="14.4">
      <c r="AA3949" s="463"/>
      <c r="AB3949" s="462"/>
      <c r="AC3949" s="462"/>
      <c r="AD3949" s="464"/>
      <c r="AE3949" s="465"/>
    </row>
    <row r="3950" spans="27:31" ht="14.4">
      <c r="AA3950" s="463"/>
      <c r="AB3950" s="462"/>
      <c r="AC3950" s="462"/>
      <c r="AD3950" s="464"/>
      <c r="AE3950" s="465"/>
    </row>
    <row r="3951" spans="27:31" ht="14.4">
      <c r="AA3951" s="463"/>
      <c r="AB3951" s="462"/>
      <c r="AC3951" s="462"/>
      <c r="AD3951" s="464"/>
      <c r="AE3951" s="465"/>
    </row>
    <row r="3952" spans="27:31" ht="14.4">
      <c r="AA3952" s="463"/>
      <c r="AB3952" s="462"/>
      <c r="AC3952" s="462"/>
      <c r="AD3952" s="464"/>
      <c r="AE3952" s="465"/>
    </row>
    <row r="3953" spans="27:31" ht="14.4">
      <c r="AA3953" s="463"/>
      <c r="AB3953" s="462"/>
      <c r="AC3953" s="462"/>
      <c r="AD3953" s="464"/>
      <c r="AE3953" s="465"/>
    </row>
    <row r="3954" spans="27:31" ht="14.4">
      <c r="AA3954" s="463"/>
      <c r="AB3954" s="462"/>
      <c r="AC3954" s="462"/>
      <c r="AD3954" s="464"/>
      <c r="AE3954" s="465"/>
    </row>
    <row r="3955" spans="27:31" ht="14.4">
      <c r="AA3955" s="463"/>
      <c r="AB3955" s="462"/>
      <c r="AC3955" s="462"/>
      <c r="AD3955" s="464"/>
      <c r="AE3955" s="465"/>
    </row>
    <row r="3956" spans="27:31" ht="14.4">
      <c r="AA3956" s="463"/>
      <c r="AB3956" s="462"/>
      <c r="AC3956" s="462"/>
      <c r="AD3956" s="464"/>
      <c r="AE3956" s="465"/>
    </row>
    <row r="3957" spans="27:31" ht="14.4">
      <c r="AA3957" s="463"/>
      <c r="AB3957" s="462"/>
      <c r="AC3957" s="462"/>
      <c r="AD3957" s="464"/>
      <c r="AE3957" s="465"/>
    </row>
    <row r="3958" spans="27:31" ht="14.4">
      <c r="AA3958" s="463"/>
      <c r="AB3958" s="462"/>
      <c r="AC3958" s="462"/>
      <c r="AD3958" s="464"/>
      <c r="AE3958" s="465"/>
    </row>
    <row r="3959" spans="27:31" ht="14.4">
      <c r="AA3959" s="463"/>
      <c r="AB3959" s="462"/>
      <c r="AC3959" s="462"/>
      <c r="AD3959" s="464"/>
      <c r="AE3959" s="465"/>
    </row>
    <row r="3960" spans="27:31" ht="14.4">
      <c r="AA3960" s="463"/>
      <c r="AB3960" s="462"/>
      <c r="AC3960" s="462"/>
      <c r="AD3960" s="464"/>
      <c r="AE3960" s="465"/>
    </row>
    <row r="3961" spans="27:31" ht="14.4">
      <c r="AA3961" s="463"/>
      <c r="AB3961" s="462"/>
      <c r="AC3961" s="462"/>
      <c r="AD3961" s="464"/>
      <c r="AE3961" s="465"/>
    </row>
    <row r="3962" spans="27:31" ht="14.4">
      <c r="AA3962" s="463"/>
      <c r="AB3962" s="462"/>
      <c r="AC3962" s="462"/>
      <c r="AD3962" s="464"/>
      <c r="AE3962" s="465"/>
    </row>
    <row r="3963" spans="27:31" ht="14.4">
      <c r="AA3963" s="463"/>
      <c r="AB3963" s="462"/>
      <c r="AC3963" s="462"/>
      <c r="AD3963" s="464"/>
      <c r="AE3963" s="465"/>
    </row>
    <row r="3964" spans="27:31" ht="14.4">
      <c r="AA3964" s="463"/>
      <c r="AB3964" s="462"/>
      <c r="AC3964" s="462"/>
      <c r="AD3964" s="464"/>
      <c r="AE3964" s="465"/>
    </row>
    <row r="3965" spans="27:31" ht="14.4">
      <c r="AA3965" s="463"/>
      <c r="AB3965" s="462"/>
      <c r="AC3965" s="462"/>
      <c r="AD3965" s="464"/>
      <c r="AE3965" s="465"/>
    </row>
    <row r="3966" spans="27:31" ht="14.4">
      <c r="AA3966" s="463"/>
      <c r="AB3966" s="462"/>
      <c r="AC3966" s="462"/>
      <c r="AD3966" s="464"/>
      <c r="AE3966" s="465"/>
    </row>
    <row r="3967" spans="27:31" ht="14.4">
      <c r="AA3967" s="463"/>
      <c r="AB3967" s="462"/>
      <c r="AC3967" s="462"/>
      <c r="AD3967" s="464"/>
      <c r="AE3967" s="465"/>
    </row>
    <row r="3968" spans="27:31" ht="14.4">
      <c r="AA3968" s="463"/>
      <c r="AB3968" s="462"/>
      <c r="AC3968" s="462"/>
      <c r="AD3968" s="464"/>
      <c r="AE3968" s="465"/>
    </row>
    <row r="3969" spans="27:31" ht="14.4">
      <c r="AA3969" s="463"/>
      <c r="AB3969" s="462"/>
      <c r="AC3969" s="462"/>
      <c r="AD3969" s="464"/>
      <c r="AE3969" s="465"/>
    </row>
    <row r="3970" spans="27:31" ht="14.4">
      <c r="AA3970" s="463"/>
      <c r="AB3970" s="462"/>
      <c r="AC3970" s="462"/>
      <c r="AD3970" s="464"/>
      <c r="AE3970" s="465"/>
    </row>
    <row r="3971" spans="27:31" ht="14.4">
      <c r="AA3971" s="463"/>
      <c r="AB3971" s="462"/>
      <c r="AC3971" s="462"/>
      <c r="AD3971" s="464"/>
      <c r="AE3971" s="465"/>
    </row>
    <row r="3972" spans="27:31" ht="14.4">
      <c r="AA3972" s="463"/>
      <c r="AB3972" s="462"/>
      <c r="AC3972" s="462"/>
      <c r="AD3972" s="464"/>
      <c r="AE3972" s="465"/>
    </row>
    <row r="3973" spans="27:31" ht="14.4">
      <c r="AA3973" s="463"/>
      <c r="AB3973" s="462"/>
      <c r="AC3973" s="462"/>
      <c r="AD3973" s="464"/>
      <c r="AE3973" s="465"/>
    </row>
    <row r="3974" spans="27:31" ht="14.4">
      <c r="AA3974" s="463"/>
      <c r="AB3974" s="462"/>
      <c r="AC3974" s="462"/>
      <c r="AD3974" s="464"/>
      <c r="AE3974" s="465"/>
    </row>
    <row r="3975" spans="27:31" ht="14.4">
      <c r="AA3975" s="463"/>
      <c r="AB3975" s="462"/>
      <c r="AC3975" s="462"/>
      <c r="AD3975" s="464"/>
      <c r="AE3975" s="465"/>
    </row>
    <row r="3976" spans="27:31" ht="14.4">
      <c r="AA3976" s="463"/>
      <c r="AB3976" s="462"/>
      <c r="AC3976" s="462"/>
      <c r="AD3976" s="464"/>
      <c r="AE3976" s="465"/>
    </row>
    <row r="3977" spans="27:31" ht="14.4">
      <c r="AA3977" s="463"/>
      <c r="AB3977" s="462"/>
      <c r="AC3977" s="462"/>
      <c r="AD3977" s="464"/>
      <c r="AE3977" s="465"/>
    </row>
    <row r="3978" spans="27:31" ht="14.4">
      <c r="AA3978" s="463"/>
      <c r="AB3978" s="462"/>
      <c r="AC3978" s="462"/>
      <c r="AD3978" s="464"/>
      <c r="AE3978" s="465"/>
    </row>
    <row r="3979" spans="27:31" ht="14.4">
      <c r="AA3979" s="463"/>
      <c r="AB3979" s="462"/>
      <c r="AC3979" s="462"/>
      <c r="AD3979" s="464"/>
      <c r="AE3979" s="465"/>
    </row>
    <row r="3980" spans="27:31" ht="14.4">
      <c r="AA3980" s="463"/>
      <c r="AB3980" s="462"/>
      <c r="AC3980" s="462"/>
      <c r="AD3980" s="464"/>
      <c r="AE3980" s="465"/>
    </row>
    <row r="3981" spans="27:31" ht="14.4">
      <c r="AA3981" s="463"/>
      <c r="AB3981" s="462"/>
      <c r="AC3981" s="462"/>
      <c r="AD3981" s="464"/>
      <c r="AE3981" s="465"/>
    </row>
    <row r="3982" spans="27:31" ht="14.4">
      <c r="AA3982" s="463"/>
      <c r="AB3982" s="462"/>
      <c r="AC3982" s="462"/>
      <c r="AD3982" s="464"/>
      <c r="AE3982" s="465"/>
    </row>
    <row r="3983" spans="27:31" ht="14.4">
      <c r="AA3983" s="463"/>
      <c r="AB3983" s="462"/>
      <c r="AC3983" s="462"/>
      <c r="AD3983" s="464"/>
      <c r="AE3983" s="465"/>
    </row>
    <row r="3984" spans="27:31" ht="14.4">
      <c r="AA3984" s="463"/>
      <c r="AB3984" s="462"/>
      <c r="AC3984" s="462"/>
      <c r="AD3984" s="464"/>
      <c r="AE3984" s="465"/>
    </row>
    <row r="3985" spans="27:31" ht="14.4">
      <c r="AA3985" s="463"/>
      <c r="AB3985" s="462"/>
      <c r="AC3985" s="462"/>
      <c r="AD3985" s="464"/>
      <c r="AE3985" s="465"/>
    </row>
    <row r="3986" spans="27:31" ht="14.4">
      <c r="AA3986" s="463"/>
      <c r="AB3986" s="462"/>
      <c r="AC3986" s="462"/>
      <c r="AD3986" s="464"/>
      <c r="AE3986" s="465"/>
    </row>
    <row r="3987" spans="27:31" ht="14.4">
      <c r="AA3987" s="463"/>
      <c r="AB3987" s="462"/>
      <c r="AC3987" s="462"/>
      <c r="AD3987" s="464"/>
      <c r="AE3987" s="465"/>
    </row>
    <row r="3988" spans="27:31" ht="14.4">
      <c r="AA3988" s="463"/>
      <c r="AB3988" s="462"/>
      <c r="AC3988" s="462"/>
      <c r="AD3988" s="464"/>
      <c r="AE3988" s="465"/>
    </row>
    <row r="3989" spans="27:31" ht="14.4">
      <c r="AA3989" s="463"/>
      <c r="AB3989" s="462"/>
      <c r="AC3989" s="462"/>
      <c r="AD3989" s="464"/>
      <c r="AE3989" s="465"/>
    </row>
    <row r="3990" spans="27:31" ht="14.4">
      <c r="AA3990" s="463"/>
      <c r="AB3990" s="462"/>
      <c r="AC3990" s="462"/>
      <c r="AD3990" s="464"/>
      <c r="AE3990" s="465"/>
    </row>
    <row r="3991" spans="27:31" ht="14.4">
      <c r="AA3991" s="463"/>
      <c r="AB3991" s="462"/>
      <c r="AC3991" s="462"/>
      <c r="AD3991" s="464"/>
      <c r="AE3991" s="465"/>
    </row>
    <row r="3992" spans="27:31" ht="14.4">
      <c r="AA3992" s="463"/>
      <c r="AB3992" s="462"/>
      <c r="AC3992" s="462"/>
      <c r="AD3992" s="464"/>
      <c r="AE3992" s="465"/>
    </row>
    <row r="3993" spans="27:31" ht="14.4">
      <c r="AA3993" s="463"/>
      <c r="AB3993" s="462"/>
      <c r="AC3993" s="462"/>
      <c r="AD3993" s="464"/>
      <c r="AE3993" s="465"/>
    </row>
    <row r="3994" spans="27:31" ht="14.4">
      <c r="AA3994" s="463"/>
      <c r="AB3994" s="462"/>
      <c r="AC3994" s="462"/>
      <c r="AD3994" s="464"/>
      <c r="AE3994" s="465"/>
    </row>
    <row r="3995" spans="27:31" ht="14.4">
      <c r="AA3995" s="463"/>
      <c r="AB3995" s="462"/>
      <c r="AC3995" s="462"/>
      <c r="AD3995" s="464"/>
      <c r="AE3995" s="465"/>
    </row>
    <row r="3996" spans="27:31" ht="14.4">
      <c r="AA3996" s="463"/>
      <c r="AB3996" s="462"/>
      <c r="AC3996" s="462"/>
      <c r="AD3996" s="464"/>
      <c r="AE3996" s="465"/>
    </row>
    <row r="3997" spans="27:31" ht="14.4">
      <c r="AA3997" s="463"/>
      <c r="AB3997" s="462"/>
      <c r="AC3997" s="462"/>
      <c r="AD3997" s="464"/>
      <c r="AE3997" s="465"/>
    </row>
    <row r="3998" spans="27:31" ht="14.4">
      <c r="AA3998" s="463"/>
      <c r="AB3998" s="462"/>
      <c r="AC3998" s="462"/>
      <c r="AD3998" s="464"/>
      <c r="AE3998" s="465"/>
    </row>
    <row r="3999" spans="27:31" ht="14.4">
      <c r="AA3999" s="463"/>
      <c r="AB3999" s="462"/>
      <c r="AC3999" s="462"/>
      <c r="AD3999" s="464"/>
      <c r="AE3999" s="465"/>
    </row>
    <row r="4000" spans="27:31" ht="14.4">
      <c r="AA4000" s="463"/>
      <c r="AB4000" s="462"/>
      <c r="AC4000" s="462"/>
      <c r="AD4000" s="464"/>
      <c r="AE4000" s="465"/>
    </row>
    <row r="4001" spans="27:31" ht="14.4">
      <c r="AA4001" s="463"/>
      <c r="AB4001" s="462"/>
      <c r="AC4001" s="462"/>
      <c r="AD4001" s="464"/>
      <c r="AE4001" s="465"/>
    </row>
    <row r="4002" spans="27:31" ht="14.4">
      <c r="AA4002" s="463"/>
      <c r="AB4002" s="462"/>
      <c r="AC4002" s="462"/>
      <c r="AD4002" s="464"/>
      <c r="AE4002" s="465"/>
    </row>
    <row r="4003" spans="27:31" ht="14.4">
      <c r="AA4003" s="463"/>
      <c r="AB4003" s="462"/>
      <c r="AC4003" s="462"/>
      <c r="AD4003" s="464"/>
      <c r="AE4003" s="465"/>
    </row>
    <row r="4004" spans="27:31" ht="14.4">
      <c r="AA4004" s="463"/>
      <c r="AB4004" s="462"/>
      <c r="AC4004" s="462"/>
      <c r="AD4004" s="464"/>
      <c r="AE4004" s="465"/>
    </row>
    <row r="4005" spans="27:31" ht="14.4">
      <c r="AA4005" s="463"/>
      <c r="AB4005" s="462"/>
      <c r="AC4005" s="462"/>
      <c r="AD4005" s="464"/>
      <c r="AE4005" s="465"/>
    </row>
    <row r="4006" spans="27:31" ht="14.4">
      <c r="AA4006" s="463"/>
      <c r="AB4006" s="462"/>
      <c r="AC4006" s="462"/>
      <c r="AD4006" s="464"/>
      <c r="AE4006" s="465"/>
    </row>
    <row r="4007" spans="27:31" ht="14.4">
      <c r="AA4007" s="463"/>
      <c r="AB4007" s="462"/>
      <c r="AC4007" s="462"/>
      <c r="AD4007" s="464"/>
      <c r="AE4007" s="465"/>
    </row>
    <row r="4008" spans="27:31" ht="14.4">
      <c r="AA4008" s="463"/>
      <c r="AB4008" s="462"/>
      <c r="AC4008" s="462"/>
      <c r="AD4008" s="464"/>
      <c r="AE4008" s="465"/>
    </row>
    <row r="4009" spans="27:31" ht="14.4">
      <c r="AA4009" s="463"/>
      <c r="AB4009" s="462"/>
      <c r="AC4009" s="462"/>
      <c r="AD4009" s="464"/>
      <c r="AE4009" s="465"/>
    </row>
    <row r="4010" spans="27:31" ht="14.4">
      <c r="AA4010" s="463"/>
      <c r="AB4010" s="462"/>
      <c r="AC4010" s="462"/>
      <c r="AD4010" s="464"/>
      <c r="AE4010" s="465"/>
    </row>
    <row r="4011" spans="27:31" ht="14.4">
      <c r="AA4011" s="463"/>
      <c r="AB4011" s="462"/>
      <c r="AC4011" s="462"/>
      <c r="AD4011" s="464"/>
      <c r="AE4011" s="465"/>
    </row>
    <row r="4012" spans="27:31" ht="14.4">
      <c r="AA4012" s="463"/>
      <c r="AB4012" s="462"/>
      <c r="AC4012" s="462"/>
      <c r="AD4012" s="464"/>
      <c r="AE4012" s="465"/>
    </row>
    <row r="4013" spans="27:31" ht="14.4">
      <c r="AA4013" s="463"/>
      <c r="AB4013" s="462"/>
      <c r="AC4013" s="462"/>
      <c r="AD4013" s="464"/>
      <c r="AE4013" s="465"/>
    </row>
    <row r="4014" spans="27:31" ht="14.4">
      <c r="AA4014" s="463"/>
      <c r="AB4014" s="462"/>
      <c r="AC4014" s="462"/>
      <c r="AD4014" s="464"/>
      <c r="AE4014" s="465"/>
    </row>
    <row r="4015" spans="27:31" ht="14.4">
      <c r="AA4015" s="463"/>
      <c r="AB4015" s="462"/>
      <c r="AC4015" s="462"/>
      <c r="AD4015" s="464"/>
      <c r="AE4015" s="465"/>
    </row>
    <row r="4016" spans="27:31" ht="14.4">
      <c r="AA4016" s="463"/>
      <c r="AB4016" s="462"/>
      <c r="AC4016" s="462"/>
      <c r="AD4016" s="464"/>
      <c r="AE4016" s="465"/>
    </row>
    <row r="4017" spans="27:31" ht="14.4">
      <c r="AA4017" s="463"/>
      <c r="AB4017" s="462"/>
      <c r="AC4017" s="462"/>
      <c r="AD4017" s="464"/>
      <c r="AE4017" s="465"/>
    </row>
    <row r="4018" spans="27:31" ht="14.4">
      <c r="AA4018" s="463"/>
      <c r="AB4018" s="462"/>
      <c r="AC4018" s="462"/>
      <c r="AD4018" s="464"/>
      <c r="AE4018" s="465"/>
    </row>
    <row r="4019" spans="27:31" ht="14.4">
      <c r="AA4019" s="463"/>
      <c r="AB4019" s="462"/>
      <c r="AC4019" s="462"/>
      <c r="AD4019" s="464"/>
      <c r="AE4019" s="465"/>
    </row>
    <row r="4020" spans="27:31" ht="14.4">
      <c r="AA4020" s="463"/>
      <c r="AB4020" s="462"/>
      <c r="AC4020" s="462"/>
      <c r="AD4020" s="464"/>
      <c r="AE4020" s="465"/>
    </row>
    <row r="4021" spans="27:31" ht="14.4">
      <c r="AA4021" s="463"/>
      <c r="AB4021" s="462"/>
      <c r="AC4021" s="462"/>
      <c r="AD4021" s="464"/>
      <c r="AE4021" s="465"/>
    </row>
    <row r="4022" spans="27:31" ht="14.4">
      <c r="AA4022" s="463"/>
      <c r="AB4022" s="462"/>
      <c r="AC4022" s="462"/>
      <c r="AD4022" s="464"/>
      <c r="AE4022" s="465"/>
    </row>
    <row r="4023" spans="27:31" ht="14.4">
      <c r="AA4023" s="463"/>
      <c r="AB4023" s="462"/>
      <c r="AC4023" s="462"/>
      <c r="AD4023" s="464"/>
      <c r="AE4023" s="465"/>
    </row>
    <row r="4024" spans="27:31" ht="14.4">
      <c r="AA4024" s="463"/>
      <c r="AB4024" s="462"/>
      <c r="AC4024" s="462"/>
      <c r="AD4024" s="464"/>
      <c r="AE4024" s="465"/>
    </row>
    <row r="4025" spans="27:31" ht="14.4">
      <c r="AA4025" s="463"/>
      <c r="AB4025" s="462"/>
      <c r="AC4025" s="462"/>
      <c r="AD4025" s="464"/>
      <c r="AE4025" s="465"/>
    </row>
    <row r="4026" spans="27:31" ht="14.4">
      <c r="AA4026" s="463"/>
      <c r="AB4026" s="462"/>
      <c r="AC4026" s="462"/>
      <c r="AD4026" s="464"/>
      <c r="AE4026" s="465"/>
    </row>
    <row r="4027" spans="27:31" ht="14.4">
      <c r="AA4027" s="463"/>
      <c r="AB4027" s="462"/>
      <c r="AC4027" s="462"/>
      <c r="AD4027" s="464"/>
      <c r="AE4027" s="465"/>
    </row>
    <row r="4028" spans="27:31" ht="14.4">
      <c r="AA4028" s="463"/>
      <c r="AB4028" s="462"/>
      <c r="AC4028" s="462"/>
      <c r="AD4028" s="464"/>
      <c r="AE4028" s="465"/>
    </row>
    <row r="4029" spans="27:31" ht="14.4">
      <c r="AA4029" s="463"/>
      <c r="AB4029" s="462"/>
      <c r="AC4029" s="462"/>
      <c r="AD4029" s="464"/>
      <c r="AE4029" s="465"/>
    </row>
    <row r="4030" spans="27:31" ht="14.4">
      <c r="AA4030" s="463"/>
      <c r="AB4030" s="462"/>
      <c r="AC4030" s="462"/>
      <c r="AD4030" s="464"/>
      <c r="AE4030" s="465"/>
    </row>
    <row r="4031" spans="27:31" ht="14.4">
      <c r="AA4031" s="463"/>
      <c r="AB4031" s="462"/>
      <c r="AC4031" s="462"/>
      <c r="AD4031" s="464"/>
      <c r="AE4031" s="465"/>
    </row>
    <row r="4032" spans="27:31" ht="14.4">
      <c r="AA4032" s="463"/>
      <c r="AB4032" s="462"/>
      <c r="AC4032" s="462"/>
      <c r="AD4032" s="464"/>
      <c r="AE4032" s="465"/>
    </row>
    <row r="4033" spans="27:31" ht="14.4">
      <c r="AA4033" s="463"/>
      <c r="AB4033" s="462"/>
      <c r="AC4033" s="462"/>
      <c r="AD4033" s="464"/>
      <c r="AE4033" s="465"/>
    </row>
    <row r="4034" spans="27:31" ht="14.4">
      <c r="AA4034" s="463"/>
      <c r="AB4034" s="462"/>
      <c r="AC4034" s="462"/>
      <c r="AD4034" s="464"/>
      <c r="AE4034" s="465"/>
    </row>
    <row r="4035" spans="27:31" ht="14.4">
      <c r="AA4035" s="463"/>
      <c r="AB4035" s="462"/>
      <c r="AC4035" s="462"/>
      <c r="AD4035" s="464"/>
      <c r="AE4035" s="465"/>
    </row>
    <row r="4036" spans="27:31" ht="14.4">
      <c r="AA4036" s="463"/>
      <c r="AB4036" s="462"/>
      <c r="AC4036" s="462"/>
      <c r="AD4036" s="464"/>
      <c r="AE4036" s="465"/>
    </row>
    <row r="4037" spans="27:31" ht="14.4">
      <c r="AA4037" s="463"/>
      <c r="AB4037" s="462"/>
      <c r="AC4037" s="462"/>
      <c r="AD4037" s="464"/>
      <c r="AE4037" s="465"/>
    </row>
    <row r="4038" spans="27:31" ht="14.4">
      <c r="AA4038" s="463"/>
      <c r="AB4038" s="462"/>
      <c r="AC4038" s="462"/>
      <c r="AD4038" s="464"/>
      <c r="AE4038" s="465"/>
    </row>
    <row r="4039" spans="27:31" ht="14.4">
      <c r="AA4039" s="463"/>
      <c r="AB4039" s="462"/>
      <c r="AC4039" s="462"/>
      <c r="AD4039" s="464"/>
      <c r="AE4039" s="465"/>
    </row>
    <row r="4040" spans="27:31" ht="14.4">
      <c r="AA4040" s="463"/>
      <c r="AB4040" s="462"/>
      <c r="AC4040" s="462"/>
      <c r="AD4040" s="464"/>
      <c r="AE4040" s="465"/>
    </row>
    <row r="4041" spans="27:31" ht="14.4">
      <c r="AA4041" s="463"/>
      <c r="AB4041" s="462"/>
      <c r="AC4041" s="462"/>
      <c r="AD4041" s="464"/>
      <c r="AE4041" s="465"/>
    </row>
    <row r="4042" spans="27:31" ht="14.4">
      <c r="AA4042" s="463"/>
      <c r="AB4042" s="462"/>
      <c r="AC4042" s="462"/>
      <c r="AD4042" s="464"/>
      <c r="AE4042" s="465"/>
    </row>
    <row r="4043" spans="27:31" ht="14.4">
      <c r="AA4043" s="463"/>
      <c r="AB4043" s="462"/>
      <c r="AC4043" s="462"/>
      <c r="AD4043" s="464"/>
      <c r="AE4043" s="465"/>
    </row>
    <row r="4044" spans="27:31" ht="14.4">
      <c r="AA4044" s="463"/>
      <c r="AB4044" s="462"/>
      <c r="AC4044" s="462"/>
      <c r="AD4044" s="464"/>
      <c r="AE4044" s="465"/>
    </row>
    <row r="4045" spans="27:31" ht="14.4">
      <c r="AA4045" s="463"/>
      <c r="AB4045" s="462"/>
      <c r="AC4045" s="462"/>
      <c r="AD4045" s="464"/>
      <c r="AE4045" s="465"/>
    </row>
    <row r="4046" spans="27:31" ht="14.4">
      <c r="AA4046" s="463"/>
      <c r="AB4046" s="462"/>
      <c r="AC4046" s="462"/>
      <c r="AD4046" s="464"/>
      <c r="AE4046" s="465"/>
    </row>
    <row r="4047" spans="27:31" ht="14.4">
      <c r="AA4047" s="463"/>
      <c r="AB4047" s="462"/>
      <c r="AC4047" s="462"/>
      <c r="AD4047" s="464"/>
      <c r="AE4047" s="465"/>
    </row>
    <row r="4048" spans="27:31" ht="14.4">
      <c r="AA4048" s="463"/>
      <c r="AB4048" s="462"/>
      <c r="AC4048" s="462"/>
      <c r="AD4048" s="464"/>
      <c r="AE4048" s="465"/>
    </row>
    <row r="4049" spans="27:31" ht="14.4">
      <c r="AA4049" s="463"/>
      <c r="AB4049" s="462"/>
      <c r="AC4049" s="462"/>
      <c r="AD4049" s="464"/>
      <c r="AE4049" s="465"/>
    </row>
    <row r="4050" spans="27:31" ht="14.4">
      <c r="AA4050" s="463"/>
      <c r="AB4050" s="462"/>
      <c r="AC4050" s="462"/>
      <c r="AD4050" s="464"/>
      <c r="AE4050" s="465"/>
    </row>
    <row r="4051" spans="27:31" ht="14.4">
      <c r="AA4051" s="463"/>
      <c r="AB4051" s="462"/>
      <c r="AC4051" s="462"/>
      <c r="AD4051" s="464"/>
      <c r="AE4051" s="465"/>
    </row>
    <row r="4052" spans="27:31" ht="14.4">
      <c r="AA4052" s="463"/>
      <c r="AB4052" s="462"/>
      <c r="AC4052" s="462"/>
      <c r="AD4052" s="464"/>
      <c r="AE4052" s="465"/>
    </row>
    <row r="4053" spans="27:31" ht="14.4">
      <c r="AA4053" s="463"/>
      <c r="AB4053" s="462"/>
      <c r="AC4053" s="462"/>
      <c r="AD4053" s="464"/>
      <c r="AE4053" s="465"/>
    </row>
    <row r="4054" spans="27:31" ht="14.4">
      <c r="AA4054" s="463"/>
      <c r="AB4054" s="462"/>
      <c r="AC4054" s="462"/>
      <c r="AD4054" s="464"/>
      <c r="AE4054" s="465"/>
    </row>
    <row r="4055" spans="27:31" ht="14.4">
      <c r="AA4055" s="463"/>
      <c r="AB4055" s="462"/>
      <c r="AC4055" s="462"/>
      <c r="AD4055" s="464"/>
      <c r="AE4055" s="465"/>
    </row>
    <row r="4056" spans="27:31" ht="14.4">
      <c r="AA4056" s="463"/>
      <c r="AB4056" s="462"/>
      <c r="AC4056" s="462"/>
      <c r="AD4056" s="464"/>
      <c r="AE4056" s="465"/>
    </row>
    <row r="4057" spans="27:31" ht="14.4">
      <c r="AA4057" s="463"/>
      <c r="AB4057" s="462"/>
      <c r="AC4057" s="462"/>
      <c r="AD4057" s="464"/>
      <c r="AE4057" s="465"/>
    </row>
    <row r="4058" spans="27:31" ht="14.4">
      <c r="AA4058" s="463"/>
      <c r="AB4058" s="462"/>
      <c r="AC4058" s="462"/>
      <c r="AD4058" s="464"/>
      <c r="AE4058" s="465"/>
    </row>
    <row r="4059" spans="27:31" ht="14.4">
      <c r="AA4059" s="463"/>
      <c r="AB4059" s="462"/>
      <c r="AC4059" s="462"/>
      <c r="AD4059" s="464"/>
      <c r="AE4059" s="465"/>
    </row>
    <row r="4060" spans="27:31" ht="14.4">
      <c r="AA4060" s="463"/>
      <c r="AB4060" s="462"/>
      <c r="AC4060" s="462"/>
      <c r="AD4060" s="464"/>
      <c r="AE4060" s="465"/>
    </row>
    <row r="4061" spans="27:31" ht="14.4">
      <c r="AA4061" s="463"/>
      <c r="AB4061" s="462"/>
      <c r="AC4061" s="462"/>
      <c r="AD4061" s="464"/>
      <c r="AE4061" s="465"/>
    </row>
    <row r="4062" spans="27:31" ht="14.4">
      <c r="AA4062" s="463"/>
      <c r="AB4062" s="462"/>
      <c r="AC4062" s="462"/>
      <c r="AD4062" s="464"/>
      <c r="AE4062" s="465"/>
    </row>
    <row r="4063" spans="27:31" ht="14.4">
      <c r="AA4063" s="463"/>
      <c r="AB4063" s="462"/>
      <c r="AC4063" s="462"/>
      <c r="AD4063" s="464"/>
      <c r="AE4063" s="465"/>
    </row>
    <row r="4064" spans="27:31" ht="14.4">
      <c r="AA4064" s="463"/>
      <c r="AB4064" s="462"/>
      <c r="AC4064" s="462"/>
      <c r="AD4064" s="464"/>
      <c r="AE4064" s="465"/>
    </row>
    <row r="4065" spans="27:31" ht="14.4">
      <c r="AA4065" s="463"/>
      <c r="AB4065" s="462"/>
      <c r="AC4065" s="462"/>
      <c r="AD4065" s="464"/>
      <c r="AE4065" s="465"/>
    </row>
    <row r="4066" spans="27:31" ht="14.4">
      <c r="AA4066" s="463"/>
      <c r="AB4066" s="462"/>
      <c r="AC4066" s="462"/>
      <c r="AD4066" s="464"/>
      <c r="AE4066" s="465"/>
    </row>
    <row r="4067" spans="27:31" ht="14.4">
      <c r="AA4067" s="463"/>
      <c r="AB4067" s="462"/>
      <c r="AC4067" s="462"/>
      <c r="AD4067" s="464"/>
      <c r="AE4067" s="465"/>
    </row>
    <row r="4068" spans="27:31" ht="14.4">
      <c r="AA4068" s="463"/>
      <c r="AB4068" s="462"/>
      <c r="AC4068" s="462"/>
      <c r="AD4068" s="464"/>
      <c r="AE4068" s="465"/>
    </row>
    <row r="4069" spans="27:31" ht="14.4">
      <c r="AA4069" s="463"/>
      <c r="AB4069" s="462"/>
      <c r="AC4069" s="462"/>
      <c r="AD4069" s="464"/>
      <c r="AE4069" s="465"/>
    </row>
    <row r="4070" spans="27:31" ht="14.4">
      <c r="AA4070" s="463"/>
      <c r="AB4070" s="462"/>
      <c r="AC4070" s="462"/>
      <c r="AD4070" s="464"/>
      <c r="AE4070" s="465"/>
    </row>
    <row r="4071" spans="27:31" ht="14.4">
      <c r="AA4071" s="463"/>
      <c r="AB4071" s="462"/>
      <c r="AC4071" s="462"/>
      <c r="AD4071" s="464"/>
      <c r="AE4071" s="465"/>
    </row>
    <row r="4072" spans="27:31" ht="14.4">
      <c r="AA4072" s="463"/>
      <c r="AB4072" s="462"/>
      <c r="AC4072" s="462"/>
      <c r="AD4072" s="464"/>
      <c r="AE4072" s="465"/>
    </row>
    <row r="4073" spans="27:31" ht="14.4">
      <c r="AA4073" s="463"/>
      <c r="AB4073" s="462"/>
      <c r="AC4073" s="462"/>
      <c r="AD4073" s="464"/>
      <c r="AE4073" s="465"/>
    </row>
    <row r="4074" spans="27:31" ht="14.4">
      <c r="AA4074" s="463"/>
      <c r="AB4074" s="462"/>
      <c r="AC4074" s="462"/>
      <c r="AD4074" s="464"/>
      <c r="AE4074" s="465"/>
    </row>
    <row r="4075" spans="27:31" ht="14.4">
      <c r="AA4075" s="463"/>
      <c r="AB4075" s="462"/>
      <c r="AC4075" s="462"/>
      <c r="AD4075" s="464"/>
      <c r="AE4075" s="465"/>
    </row>
    <row r="4076" spans="27:31" ht="14.4">
      <c r="AA4076" s="463"/>
      <c r="AB4076" s="462"/>
      <c r="AC4076" s="462"/>
      <c r="AD4076" s="464"/>
      <c r="AE4076" s="465"/>
    </row>
    <row r="4077" spans="27:31" ht="14.4">
      <c r="AA4077" s="463"/>
      <c r="AB4077" s="462"/>
      <c r="AC4077" s="462"/>
      <c r="AD4077" s="464"/>
      <c r="AE4077" s="465"/>
    </row>
    <row r="4078" spans="27:31" ht="14.4">
      <c r="AA4078" s="463"/>
      <c r="AB4078" s="462"/>
      <c r="AC4078" s="462"/>
      <c r="AD4078" s="464"/>
      <c r="AE4078" s="465"/>
    </row>
    <row r="4079" spans="27:31" ht="14.4">
      <c r="AA4079" s="463"/>
      <c r="AB4079" s="462"/>
      <c r="AC4079" s="462"/>
      <c r="AD4079" s="464"/>
      <c r="AE4079" s="465"/>
    </row>
    <row r="4080" spans="27:31" ht="14.4">
      <c r="AA4080" s="463"/>
      <c r="AB4080" s="462"/>
      <c r="AC4080" s="462"/>
      <c r="AD4080" s="464"/>
      <c r="AE4080" s="465"/>
    </row>
    <row r="4081" spans="27:31" ht="14.4">
      <c r="AA4081" s="463"/>
      <c r="AB4081" s="462"/>
      <c r="AC4081" s="462"/>
      <c r="AD4081" s="464"/>
      <c r="AE4081" s="465"/>
    </row>
    <row r="4082" spans="27:31" ht="14.4">
      <c r="AA4082" s="463"/>
      <c r="AB4082" s="462"/>
      <c r="AC4082" s="462"/>
      <c r="AD4082" s="464"/>
      <c r="AE4082" s="465"/>
    </row>
    <row r="4083" spans="27:31" ht="14.4">
      <c r="AA4083" s="463"/>
      <c r="AB4083" s="462"/>
      <c r="AC4083" s="462"/>
      <c r="AD4083" s="464"/>
      <c r="AE4083" s="465"/>
    </row>
    <row r="4084" spans="27:31" ht="14.4">
      <c r="AA4084" s="463"/>
      <c r="AB4084" s="462"/>
      <c r="AC4084" s="462"/>
      <c r="AD4084" s="464"/>
      <c r="AE4084" s="465"/>
    </row>
    <row r="4085" spans="27:31" ht="14.4">
      <c r="AA4085" s="463"/>
      <c r="AB4085" s="462"/>
      <c r="AC4085" s="462"/>
      <c r="AD4085" s="464"/>
      <c r="AE4085" s="465"/>
    </row>
    <row r="4086" spans="27:31" ht="14.4">
      <c r="AA4086" s="463"/>
      <c r="AB4086" s="462"/>
      <c r="AC4086" s="462"/>
      <c r="AD4086" s="464"/>
      <c r="AE4086" s="465"/>
    </row>
    <row r="4087" spans="27:31" ht="14.4">
      <c r="AA4087" s="463"/>
      <c r="AB4087" s="462"/>
      <c r="AC4087" s="462"/>
      <c r="AD4087" s="464"/>
      <c r="AE4087" s="465"/>
    </row>
    <row r="4088" spans="27:31" ht="14.4">
      <c r="AA4088" s="463"/>
      <c r="AB4088" s="462"/>
      <c r="AC4088" s="462"/>
      <c r="AD4088" s="464"/>
      <c r="AE4088" s="465"/>
    </row>
    <row r="4089" spans="27:31" ht="14.4">
      <c r="AA4089" s="463"/>
      <c r="AB4089" s="462"/>
      <c r="AC4089" s="462"/>
      <c r="AD4089" s="464"/>
      <c r="AE4089" s="465"/>
    </row>
    <row r="4090" spans="27:31" ht="14.4">
      <c r="AA4090" s="463"/>
      <c r="AB4090" s="462"/>
      <c r="AC4090" s="462"/>
      <c r="AD4090" s="464"/>
      <c r="AE4090" s="465"/>
    </row>
    <row r="4091" spans="27:31" ht="14.4">
      <c r="AA4091" s="463"/>
      <c r="AB4091" s="462"/>
      <c r="AC4091" s="462"/>
      <c r="AD4091" s="464"/>
      <c r="AE4091" s="465"/>
    </row>
    <row r="4092" spans="27:31" ht="14.4">
      <c r="AA4092" s="463"/>
      <c r="AB4092" s="462"/>
      <c r="AC4092" s="462"/>
      <c r="AD4092" s="464"/>
      <c r="AE4092" s="465"/>
    </row>
    <row r="4093" spans="27:31" ht="14.4">
      <c r="AA4093" s="463"/>
      <c r="AB4093" s="462"/>
      <c r="AC4093" s="462"/>
      <c r="AD4093" s="464"/>
      <c r="AE4093" s="465"/>
    </row>
    <row r="4094" spans="27:31" ht="14.4">
      <c r="AA4094" s="463"/>
      <c r="AB4094" s="462"/>
      <c r="AC4094" s="462"/>
      <c r="AD4094" s="464"/>
      <c r="AE4094" s="465"/>
    </row>
    <row r="4095" spans="27:31" ht="14.4">
      <c r="AA4095" s="463"/>
      <c r="AB4095" s="462"/>
      <c r="AC4095" s="462"/>
      <c r="AD4095" s="464"/>
      <c r="AE4095" s="465"/>
    </row>
    <row r="4096" spans="27:31" ht="14.4">
      <c r="AA4096" s="463"/>
      <c r="AB4096" s="462"/>
      <c r="AC4096" s="462"/>
      <c r="AD4096" s="464"/>
      <c r="AE4096" s="465"/>
    </row>
    <row r="4097" spans="27:31" ht="14.4">
      <c r="AA4097" s="463"/>
      <c r="AB4097" s="462"/>
      <c r="AC4097" s="462"/>
      <c r="AD4097" s="464"/>
      <c r="AE4097" s="465"/>
    </row>
    <row r="4098" spans="27:31" ht="14.4">
      <c r="AA4098" s="463"/>
      <c r="AB4098" s="462"/>
      <c r="AC4098" s="462"/>
      <c r="AD4098" s="464"/>
      <c r="AE4098" s="465"/>
    </row>
    <row r="4099" spans="27:31" ht="14.4">
      <c r="AA4099" s="463"/>
      <c r="AB4099" s="462"/>
      <c r="AC4099" s="462"/>
      <c r="AD4099" s="464"/>
      <c r="AE4099" s="465"/>
    </row>
    <row r="4100" spans="27:31" ht="14.4">
      <c r="AA4100" s="463"/>
      <c r="AB4100" s="462"/>
      <c r="AC4100" s="462"/>
      <c r="AD4100" s="464"/>
      <c r="AE4100" s="465"/>
    </row>
    <row r="4101" spans="27:31" ht="14.4">
      <c r="AA4101" s="463"/>
      <c r="AB4101" s="462"/>
      <c r="AC4101" s="462"/>
      <c r="AD4101" s="464"/>
      <c r="AE4101" s="465"/>
    </row>
    <row r="4102" spans="27:31" ht="14.4">
      <c r="AA4102" s="463"/>
      <c r="AB4102" s="462"/>
      <c r="AC4102" s="462"/>
      <c r="AD4102" s="464"/>
      <c r="AE4102" s="465"/>
    </row>
    <row r="4103" spans="27:31" ht="14.4">
      <c r="AA4103" s="463"/>
      <c r="AB4103" s="462"/>
      <c r="AC4103" s="462"/>
      <c r="AD4103" s="464"/>
      <c r="AE4103" s="465"/>
    </row>
    <row r="4104" spans="27:31" ht="14.4">
      <c r="AA4104" s="463"/>
      <c r="AB4104" s="462"/>
      <c r="AC4104" s="462"/>
      <c r="AD4104" s="464"/>
      <c r="AE4104" s="465"/>
    </row>
    <row r="4105" spans="27:31" ht="14.4">
      <c r="AA4105" s="463"/>
      <c r="AB4105" s="462"/>
      <c r="AC4105" s="462"/>
      <c r="AD4105" s="464"/>
      <c r="AE4105" s="465"/>
    </row>
    <row r="4106" spans="27:31" ht="14.4">
      <c r="AA4106" s="463"/>
      <c r="AB4106" s="462"/>
      <c r="AC4106" s="462"/>
      <c r="AD4106" s="464"/>
      <c r="AE4106" s="465"/>
    </row>
    <row r="4107" spans="27:31" ht="14.4">
      <c r="AA4107" s="463"/>
      <c r="AB4107" s="462"/>
      <c r="AC4107" s="462"/>
      <c r="AD4107" s="464"/>
      <c r="AE4107" s="465"/>
    </row>
    <row r="4108" spans="27:31" ht="14.4">
      <c r="AA4108" s="463"/>
      <c r="AB4108" s="462"/>
      <c r="AC4108" s="462"/>
      <c r="AD4108" s="464"/>
      <c r="AE4108" s="465"/>
    </row>
    <row r="4109" spans="27:31" ht="14.4">
      <c r="AA4109" s="463"/>
      <c r="AB4109" s="462"/>
      <c r="AC4109" s="462"/>
      <c r="AD4109" s="464"/>
      <c r="AE4109" s="465"/>
    </row>
    <row r="4110" spans="27:31" ht="14.4">
      <c r="AA4110" s="463"/>
      <c r="AB4110" s="462"/>
      <c r="AC4110" s="462"/>
      <c r="AD4110" s="464"/>
      <c r="AE4110" s="465"/>
    </row>
    <row r="4111" spans="27:31" ht="14.4">
      <c r="AA4111" s="463"/>
      <c r="AB4111" s="462"/>
      <c r="AC4111" s="462"/>
      <c r="AD4111" s="464"/>
      <c r="AE4111" s="465"/>
    </row>
    <row r="4112" spans="27:31" ht="14.4">
      <c r="AA4112" s="463"/>
      <c r="AB4112" s="462"/>
      <c r="AC4112" s="462"/>
      <c r="AD4112" s="464"/>
      <c r="AE4112" s="465"/>
    </row>
    <row r="4113" spans="27:31" ht="14.4">
      <c r="AA4113" s="463"/>
      <c r="AB4113" s="462"/>
      <c r="AC4113" s="462"/>
      <c r="AD4113" s="464"/>
      <c r="AE4113" s="465"/>
    </row>
    <row r="4114" spans="27:31" ht="14.4">
      <c r="AA4114" s="463"/>
      <c r="AB4114" s="462"/>
      <c r="AC4114" s="462"/>
      <c r="AD4114" s="464"/>
      <c r="AE4114" s="465"/>
    </row>
    <row r="4115" spans="27:31" ht="14.4">
      <c r="AA4115" s="463"/>
      <c r="AB4115" s="462"/>
      <c r="AC4115" s="462"/>
      <c r="AD4115" s="464"/>
      <c r="AE4115" s="465"/>
    </row>
    <row r="4116" spans="27:31" ht="14.4">
      <c r="AA4116" s="463"/>
      <c r="AB4116" s="462"/>
      <c r="AC4116" s="462"/>
      <c r="AD4116" s="464"/>
      <c r="AE4116" s="465"/>
    </row>
    <row r="4117" spans="27:31" ht="14.4">
      <c r="AA4117" s="463"/>
      <c r="AB4117" s="462"/>
      <c r="AC4117" s="462"/>
      <c r="AD4117" s="464"/>
      <c r="AE4117" s="465"/>
    </row>
    <row r="4118" spans="27:31" ht="14.4">
      <c r="AA4118" s="463"/>
      <c r="AB4118" s="462"/>
      <c r="AC4118" s="462"/>
      <c r="AD4118" s="464"/>
      <c r="AE4118" s="465"/>
    </row>
    <row r="4119" spans="27:31" ht="14.4">
      <c r="AA4119" s="463"/>
      <c r="AB4119" s="462"/>
      <c r="AC4119" s="462"/>
      <c r="AD4119" s="464"/>
      <c r="AE4119" s="465"/>
    </row>
    <row r="4120" spans="27:31" ht="14.4">
      <c r="AA4120" s="463"/>
      <c r="AB4120" s="462"/>
      <c r="AC4120" s="462"/>
      <c r="AD4120" s="464"/>
      <c r="AE4120" s="465"/>
    </row>
    <row r="4121" spans="27:31" ht="14.4">
      <c r="AA4121" s="463"/>
      <c r="AB4121" s="462"/>
      <c r="AC4121" s="462"/>
      <c r="AD4121" s="464"/>
      <c r="AE4121" s="465"/>
    </row>
    <row r="4122" spans="27:31" ht="14.4">
      <c r="AA4122" s="463"/>
      <c r="AB4122" s="462"/>
      <c r="AC4122" s="462"/>
      <c r="AD4122" s="464"/>
      <c r="AE4122" s="465"/>
    </row>
    <row r="4123" spans="27:31" ht="14.4">
      <c r="AA4123" s="463"/>
      <c r="AB4123" s="462"/>
      <c r="AC4123" s="462"/>
      <c r="AD4123" s="464"/>
      <c r="AE4123" s="465"/>
    </row>
    <row r="4124" spans="27:31" ht="14.4">
      <c r="AA4124" s="463"/>
      <c r="AB4124" s="462"/>
      <c r="AC4124" s="462"/>
      <c r="AD4124" s="464"/>
      <c r="AE4124" s="465"/>
    </row>
    <row r="4125" spans="27:31" ht="14.4">
      <c r="AA4125" s="463"/>
      <c r="AB4125" s="462"/>
      <c r="AC4125" s="462"/>
      <c r="AD4125" s="464"/>
      <c r="AE4125" s="465"/>
    </row>
    <row r="4126" spans="27:31" ht="14.4">
      <c r="AA4126" s="463"/>
      <c r="AB4126" s="462"/>
      <c r="AC4126" s="462"/>
      <c r="AD4126" s="464"/>
      <c r="AE4126" s="465"/>
    </row>
    <row r="4127" spans="27:31" ht="14.4">
      <c r="AA4127" s="463"/>
      <c r="AB4127" s="462"/>
      <c r="AC4127" s="462"/>
      <c r="AD4127" s="464"/>
      <c r="AE4127" s="465"/>
    </row>
    <row r="4128" spans="27:31" ht="14.4">
      <c r="AA4128" s="463"/>
      <c r="AB4128" s="462"/>
      <c r="AC4128" s="462"/>
      <c r="AD4128" s="464"/>
      <c r="AE4128" s="465"/>
    </row>
    <row r="4129" spans="27:31" ht="14.4">
      <c r="AA4129" s="463"/>
      <c r="AB4129" s="462"/>
      <c r="AC4129" s="462"/>
      <c r="AD4129" s="464"/>
      <c r="AE4129" s="465"/>
    </row>
    <row r="4130" spans="27:31" ht="14.4">
      <c r="AA4130" s="463"/>
      <c r="AB4130" s="462"/>
      <c r="AC4130" s="462"/>
      <c r="AD4130" s="464"/>
      <c r="AE4130" s="465"/>
    </row>
    <row r="4131" spans="27:31" ht="14.4">
      <c r="AA4131" s="463"/>
      <c r="AB4131" s="462"/>
      <c r="AC4131" s="462"/>
      <c r="AD4131" s="464"/>
      <c r="AE4131" s="465"/>
    </row>
    <row r="4132" spans="27:31" ht="14.4">
      <c r="AA4132" s="463"/>
      <c r="AB4132" s="462"/>
      <c r="AC4132" s="462"/>
      <c r="AD4132" s="464"/>
      <c r="AE4132" s="465"/>
    </row>
    <row r="4133" spans="27:31" ht="14.4">
      <c r="AA4133" s="463"/>
      <c r="AB4133" s="462"/>
      <c r="AC4133" s="462"/>
      <c r="AD4133" s="464"/>
      <c r="AE4133" s="465"/>
    </row>
    <row r="4134" spans="27:31" ht="14.4">
      <c r="AA4134" s="463"/>
      <c r="AB4134" s="462"/>
      <c r="AC4134" s="462"/>
      <c r="AD4134" s="464"/>
      <c r="AE4134" s="465"/>
    </row>
    <row r="4135" spans="27:31" ht="14.4">
      <c r="AA4135" s="463"/>
      <c r="AB4135" s="462"/>
      <c r="AC4135" s="462"/>
      <c r="AD4135" s="464"/>
      <c r="AE4135" s="465"/>
    </row>
    <row r="4136" spans="27:31" ht="14.4">
      <c r="AA4136" s="463"/>
      <c r="AB4136" s="462"/>
      <c r="AC4136" s="462"/>
      <c r="AD4136" s="464"/>
      <c r="AE4136" s="465"/>
    </row>
    <row r="4137" spans="27:31" ht="14.4">
      <c r="AA4137" s="463"/>
      <c r="AB4137" s="462"/>
      <c r="AC4137" s="462"/>
      <c r="AD4137" s="464"/>
      <c r="AE4137" s="465"/>
    </row>
    <row r="4138" spans="27:31" ht="14.4">
      <c r="AA4138" s="463"/>
      <c r="AB4138" s="462"/>
      <c r="AC4138" s="462"/>
      <c r="AD4138" s="464"/>
      <c r="AE4138" s="465"/>
    </row>
    <row r="4139" spans="27:31" ht="14.4">
      <c r="AA4139" s="463"/>
      <c r="AB4139" s="462"/>
      <c r="AC4139" s="462"/>
      <c r="AD4139" s="464"/>
      <c r="AE4139" s="465"/>
    </row>
    <row r="4140" spans="27:31" ht="14.4">
      <c r="AA4140" s="463"/>
      <c r="AB4140" s="462"/>
      <c r="AC4140" s="462"/>
      <c r="AD4140" s="464"/>
      <c r="AE4140" s="465"/>
    </row>
    <row r="4141" spans="27:31" ht="14.4">
      <c r="AA4141" s="463"/>
      <c r="AB4141" s="462"/>
      <c r="AC4141" s="462"/>
      <c r="AD4141" s="464"/>
      <c r="AE4141" s="465"/>
    </row>
    <row r="4142" spans="27:31" ht="14.4">
      <c r="AA4142" s="463"/>
      <c r="AB4142" s="462"/>
      <c r="AC4142" s="462"/>
      <c r="AD4142" s="464"/>
      <c r="AE4142" s="465"/>
    </row>
    <row r="4143" spans="27:31" ht="14.4">
      <c r="AA4143" s="463"/>
      <c r="AB4143" s="462"/>
      <c r="AC4143" s="462"/>
      <c r="AD4143" s="464"/>
      <c r="AE4143" s="465"/>
    </row>
    <row r="4144" spans="27:31" ht="14.4">
      <c r="AA4144" s="463"/>
      <c r="AB4144" s="462"/>
      <c r="AC4144" s="462"/>
      <c r="AD4144" s="464"/>
      <c r="AE4144" s="465"/>
    </row>
    <row r="4145" spans="27:31" ht="14.4">
      <c r="AA4145" s="463"/>
      <c r="AB4145" s="462"/>
      <c r="AC4145" s="462"/>
      <c r="AD4145" s="464"/>
      <c r="AE4145" s="465"/>
    </row>
    <row r="4146" spans="27:31" ht="14.4">
      <c r="AA4146" s="463"/>
      <c r="AB4146" s="462"/>
      <c r="AC4146" s="462"/>
      <c r="AD4146" s="464"/>
      <c r="AE4146" s="465"/>
    </row>
    <row r="4147" spans="27:31" ht="14.4">
      <c r="AA4147" s="463"/>
      <c r="AB4147" s="462"/>
      <c r="AC4147" s="462"/>
      <c r="AD4147" s="464"/>
      <c r="AE4147" s="465"/>
    </row>
    <row r="4148" spans="27:31" ht="14.4">
      <c r="AA4148" s="463"/>
      <c r="AB4148" s="462"/>
      <c r="AC4148" s="462"/>
      <c r="AD4148" s="464"/>
      <c r="AE4148" s="465"/>
    </row>
    <row r="4149" spans="27:31" ht="14.4">
      <c r="AA4149" s="463"/>
      <c r="AB4149" s="462"/>
      <c r="AC4149" s="462"/>
      <c r="AD4149" s="464"/>
      <c r="AE4149" s="465"/>
    </row>
    <row r="4150" spans="27:31" ht="14.4">
      <c r="AA4150" s="463"/>
      <c r="AB4150" s="462"/>
      <c r="AC4150" s="462"/>
      <c r="AD4150" s="464"/>
      <c r="AE4150" s="465"/>
    </row>
    <row r="4151" spans="27:31" ht="14.4">
      <c r="AA4151" s="463"/>
      <c r="AB4151" s="462"/>
      <c r="AC4151" s="462"/>
      <c r="AD4151" s="464"/>
      <c r="AE4151" s="465"/>
    </row>
    <row r="4152" spans="27:31" ht="14.4">
      <c r="AA4152" s="463"/>
      <c r="AB4152" s="462"/>
      <c r="AC4152" s="462"/>
      <c r="AD4152" s="464"/>
      <c r="AE4152" s="465"/>
    </row>
    <row r="4153" spans="27:31" ht="14.4">
      <c r="AA4153" s="463"/>
      <c r="AB4153" s="462"/>
      <c r="AC4153" s="462"/>
      <c r="AD4153" s="464"/>
      <c r="AE4153" s="465"/>
    </row>
    <row r="4154" spans="27:31" ht="14.4">
      <c r="AA4154" s="463"/>
      <c r="AB4154" s="462"/>
      <c r="AC4154" s="462"/>
      <c r="AD4154" s="464"/>
      <c r="AE4154" s="465"/>
    </row>
    <row r="4155" spans="27:31" ht="14.4">
      <c r="AA4155" s="463"/>
      <c r="AB4155" s="462"/>
      <c r="AC4155" s="462"/>
      <c r="AD4155" s="464"/>
      <c r="AE4155" s="465"/>
    </row>
    <row r="4156" spans="27:31" ht="14.4">
      <c r="AA4156" s="463"/>
      <c r="AB4156" s="462"/>
      <c r="AC4156" s="462"/>
      <c r="AD4156" s="464"/>
      <c r="AE4156" s="465"/>
    </row>
    <row r="4157" spans="27:31" ht="14.4">
      <c r="AA4157" s="463"/>
      <c r="AB4157" s="462"/>
      <c r="AC4157" s="462"/>
      <c r="AD4157" s="464"/>
      <c r="AE4157" s="465"/>
    </row>
    <row r="4158" spans="27:31" ht="14.4">
      <c r="AA4158" s="463"/>
      <c r="AB4158" s="462"/>
      <c r="AC4158" s="462"/>
      <c r="AD4158" s="464"/>
      <c r="AE4158" s="465"/>
    </row>
    <row r="4159" spans="27:31" ht="14.4">
      <c r="AA4159" s="463"/>
      <c r="AB4159" s="462"/>
      <c r="AC4159" s="462"/>
      <c r="AD4159" s="464"/>
      <c r="AE4159" s="465"/>
    </row>
    <row r="4160" spans="27:31" ht="14.4">
      <c r="AA4160" s="463"/>
      <c r="AB4160" s="462"/>
      <c r="AC4160" s="462"/>
      <c r="AD4160" s="464"/>
      <c r="AE4160" s="465"/>
    </row>
    <row r="4161" spans="27:31" ht="14.4">
      <c r="AA4161" s="463"/>
      <c r="AB4161" s="462"/>
      <c r="AC4161" s="462"/>
      <c r="AD4161" s="464"/>
      <c r="AE4161" s="465"/>
    </row>
    <row r="4162" spans="27:31" ht="14.4">
      <c r="AA4162" s="463"/>
      <c r="AB4162" s="462"/>
      <c r="AC4162" s="462"/>
      <c r="AD4162" s="464"/>
      <c r="AE4162" s="465"/>
    </row>
    <row r="4163" spans="27:31" ht="14.4">
      <c r="AA4163" s="463"/>
      <c r="AB4163" s="462"/>
      <c r="AC4163" s="462"/>
      <c r="AD4163" s="464"/>
      <c r="AE4163" s="465"/>
    </row>
    <row r="4164" spans="27:31" ht="14.4">
      <c r="AA4164" s="463"/>
      <c r="AB4164" s="462"/>
      <c r="AC4164" s="462"/>
      <c r="AD4164" s="464"/>
      <c r="AE4164" s="465"/>
    </row>
    <row r="4165" spans="27:31" ht="14.4">
      <c r="AA4165" s="463"/>
      <c r="AB4165" s="462"/>
      <c r="AC4165" s="462"/>
      <c r="AD4165" s="464"/>
      <c r="AE4165" s="465"/>
    </row>
    <row r="4166" spans="27:31" ht="14.4">
      <c r="AA4166" s="463"/>
      <c r="AB4166" s="462"/>
      <c r="AC4166" s="462"/>
      <c r="AD4166" s="464"/>
      <c r="AE4166" s="465"/>
    </row>
    <row r="4167" spans="27:31" ht="14.4">
      <c r="AA4167" s="463"/>
      <c r="AB4167" s="462"/>
      <c r="AC4167" s="462"/>
      <c r="AD4167" s="464"/>
      <c r="AE4167" s="465"/>
    </row>
    <row r="4168" spans="27:31" ht="14.4">
      <c r="AA4168" s="463"/>
      <c r="AB4168" s="462"/>
      <c r="AC4168" s="462"/>
      <c r="AD4168" s="464"/>
      <c r="AE4168" s="465"/>
    </row>
    <row r="4169" spans="27:31" ht="14.4">
      <c r="AA4169" s="463"/>
      <c r="AB4169" s="462"/>
      <c r="AC4169" s="462"/>
      <c r="AD4169" s="464"/>
      <c r="AE4169" s="465"/>
    </row>
    <row r="4170" spans="27:31" ht="14.4">
      <c r="AA4170" s="463"/>
      <c r="AB4170" s="462"/>
      <c r="AC4170" s="462"/>
      <c r="AD4170" s="464"/>
      <c r="AE4170" s="465"/>
    </row>
    <row r="4171" spans="27:31" ht="14.4">
      <c r="AA4171" s="463"/>
      <c r="AB4171" s="462"/>
      <c r="AC4171" s="462"/>
      <c r="AD4171" s="464"/>
      <c r="AE4171" s="465"/>
    </row>
    <row r="4172" spans="27:31" ht="14.4">
      <c r="AA4172" s="463"/>
      <c r="AB4172" s="462"/>
      <c r="AC4172" s="462"/>
      <c r="AD4172" s="464"/>
      <c r="AE4172" s="465"/>
    </row>
    <row r="4173" spans="27:31" ht="14.4">
      <c r="AA4173" s="463"/>
      <c r="AB4173" s="462"/>
      <c r="AC4173" s="462"/>
      <c r="AD4173" s="464"/>
      <c r="AE4173" s="465"/>
    </row>
    <row r="4174" spans="27:31" ht="14.4">
      <c r="AA4174" s="463"/>
      <c r="AB4174" s="462"/>
      <c r="AC4174" s="462"/>
      <c r="AD4174" s="464"/>
      <c r="AE4174" s="465"/>
    </row>
    <row r="4175" spans="27:31" ht="14.4">
      <c r="AA4175" s="463"/>
      <c r="AB4175" s="462"/>
      <c r="AC4175" s="462"/>
      <c r="AD4175" s="464"/>
      <c r="AE4175" s="465"/>
    </row>
    <row r="4176" spans="27:31" ht="14.4">
      <c r="AA4176" s="463"/>
      <c r="AB4176" s="462"/>
      <c r="AC4176" s="462"/>
      <c r="AD4176" s="464"/>
      <c r="AE4176" s="465"/>
    </row>
    <row r="4177" spans="27:31" ht="14.4">
      <c r="AA4177" s="463"/>
      <c r="AB4177" s="462"/>
      <c r="AC4177" s="462"/>
      <c r="AD4177" s="464"/>
      <c r="AE4177" s="465"/>
    </row>
    <row r="4178" spans="27:31" ht="14.4">
      <c r="AA4178" s="463"/>
      <c r="AB4178" s="462"/>
      <c r="AC4178" s="462"/>
      <c r="AD4178" s="464"/>
      <c r="AE4178" s="465"/>
    </row>
    <row r="4179" spans="27:31" ht="14.4">
      <c r="AA4179" s="463"/>
      <c r="AB4179" s="462"/>
      <c r="AC4179" s="462"/>
      <c r="AD4179" s="464"/>
      <c r="AE4179" s="465"/>
    </row>
    <row r="4180" spans="27:31" ht="14.4">
      <c r="AA4180" s="463"/>
      <c r="AB4180" s="462"/>
      <c r="AC4180" s="462"/>
      <c r="AD4180" s="464"/>
      <c r="AE4180" s="465"/>
    </row>
    <row r="4181" spans="27:31" ht="14.4">
      <c r="AA4181" s="463"/>
      <c r="AB4181" s="462"/>
      <c r="AC4181" s="462"/>
      <c r="AD4181" s="464"/>
      <c r="AE4181" s="465"/>
    </row>
    <row r="4182" spans="27:31" ht="14.4">
      <c r="AA4182" s="463"/>
      <c r="AB4182" s="462"/>
      <c r="AC4182" s="462"/>
      <c r="AD4182" s="464"/>
      <c r="AE4182" s="465"/>
    </row>
    <row r="4183" spans="27:31" ht="14.4">
      <c r="AA4183" s="463"/>
      <c r="AB4183" s="462"/>
      <c r="AC4183" s="462"/>
      <c r="AD4183" s="464"/>
      <c r="AE4183" s="465"/>
    </row>
    <row r="4184" spans="27:31" ht="14.4">
      <c r="AA4184" s="463"/>
      <c r="AB4184" s="462"/>
      <c r="AC4184" s="462"/>
      <c r="AD4184" s="464"/>
      <c r="AE4184" s="465"/>
    </row>
    <row r="4185" spans="27:31" ht="14.4">
      <c r="AA4185" s="463"/>
      <c r="AB4185" s="462"/>
      <c r="AC4185" s="462"/>
      <c r="AD4185" s="464"/>
      <c r="AE4185" s="465"/>
    </row>
    <row r="4186" spans="27:31" ht="14.4">
      <c r="AA4186" s="463"/>
      <c r="AB4186" s="462"/>
      <c r="AC4186" s="462"/>
      <c r="AD4186" s="464"/>
      <c r="AE4186" s="465"/>
    </row>
    <row r="4187" spans="27:31" ht="14.4">
      <c r="AA4187" s="463"/>
      <c r="AB4187" s="462"/>
      <c r="AC4187" s="462"/>
      <c r="AD4187" s="464"/>
      <c r="AE4187" s="465"/>
    </row>
    <row r="4188" spans="27:31" ht="14.4">
      <c r="AA4188" s="463"/>
      <c r="AB4188" s="462"/>
      <c r="AC4188" s="462"/>
      <c r="AD4188" s="464"/>
      <c r="AE4188" s="465"/>
    </row>
    <row r="4189" spans="27:31" ht="14.4">
      <c r="AA4189" s="463"/>
      <c r="AB4189" s="462"/>
      <c r="AC4189" s="462"/>
      <c r="AD4189" s="464"/>
      <c r="AE4189" s="465"/>
    </row>
    <row r="4190" spans="27:31" ht="14.4">
      <c r="AA4190" s="463"/>
      <c r="AB4190" s="462"/>
      <c r="AC4190" s="462"/>
      <c r="AD4190" s="464"/>
      <c r="AE4190" s="465"/>
    </row>
    <row r="4191" spans="27:31" ht="14.4">
      <c r="AA4191" s="463"/>
      <c r="AB4191" s="462"/>
      <c r="AC4191" s="462"/>
      <c r="AD4191" s="464"/>
      <c r="AE4191" s="465"/>
    </row>
    <row r="4192" spans="27:31" ht="14.4">
      <c r="AA4192" s="463"/>
      <c r="AB4192" s="462"/>
      <c r="AC4192" s="462"/>
      <c r="AD4192" s="464"/>
      <c r="AE4192" s="465"/>
    </row>
    <row r="4193" spans="27:31" ht="14.4">
      <c r="AA4193" s="463"/>
      <c r="AB4193" s="462"/>
      <c r="AC4193" s="462"/>
      <c r="AD4193" s="464"/>
      <c r="AE4193" s="465"/>
    </row>
    <row r="4194" spans="27:31" ht="14.4">
      <c r="AA4194" s="463"/>
      <c r="AB4194" s="462"/>
      <c r="AC4194" s="462"/>
      <c r="AD4194" s="464"/>
      <c r="AE4194" s="465"/>
    </row>
    <row r="4195" spans="27:31" ht="14.4">
      <c r="AA4195" s="463"/>
      <c r="AB4195" s="462"/>
      <c r="AC4195" s="462"/>
      <c r="AD4195" s="464"/>
      <c r="AE4195" s="465"/>
    </row>
    <row r="4196" spans="27:31" ht="14.4">
      <c r="AA4196" s="463"/>
      <c r="AB4196" s="462"/>
      <c r="AC4196" s="462"/>
      <c r="AD4196" s="464"/>
      <c r="AE4196" s="465"/>
    </row>
    <row r="4197" spans="27:31" ht="14.4">
      <c r="AA4197" s="463"/>
      <c r="AB4197" s="462"/>
      <c r="AC4197" s="462"/>
      <c r="AD4197" s="464"/>
      <c r="AE4197" s="465"/>
    </row>
    <row r="4198" spans="27:31" ht="14.4">
      <c r="AA4198" s="463"/>
      <c r="AB4198" s="462"/>
      <c r="AC4198" s="462"/>
      <c r="AD4198" s="464"/>
      <c r="AE4198" s="465"/>
    </row>
    <row r="4199" spans="27:31" ht="14.4">
      <c r="AA4199" s="463"/>
      <c r="AB4199" s="462"/>
      <c r="AC4199" s="462"/>
      <c r="AD4199" s="464"/>
      <c r="AE4199" s="465"/>
    </row>
    <row r="4200" spans="27:31" ht="14.4">
      <c r="AA4200" s="463"/>
      <c r="AB4200" s="462"/>
      <c r="AC4200" s="462"/>
      <c r="AD4200" s="464"/>
      <c r="AE4200" s="465"/>
    </row>
    <row r="4201" spans="27:31" ht="14.4">
      <c r="AA4201" s="463"/>
      <c r="AB4201" s="462"/>
      <c r="AC4201" s="462"/>
      <c r="AD4201" s="464"/>
      <c r="AE4201" s="465"/>
    </row>
    <row r="4202" spans="27:31" ht="14.4">
      <c r="AA4202" s="463"/>
      <c r="AB4202" s="462"/>
      <c r="AC4202" s="462"/>
      <c r="AD4202" s="464"/>
      <c r="AE4202" s="465"/>
    </row>
    <row r="4203" spans="27:31" ht="14.4">
      <c r="AA4203" s="463"/>
      <c r="AB4203" s="462"/>
      <c r="AC4203" s="462"/>
      <c r="AD4203" s="464"/>
      <c r="AE4203" s="465"/>
    </row>
    <row r="4204" spans="27:31" ht="14.4">
      <c r="AA4204" s="463"/>
      <c r="AB4204" s="462"/>
      <c r="AC4204" s="462"/>
      <c r="AD4204" s="464"/>
      <c r="AE4204" s="465"/>
    </row>
    <row r="4205" spans="27:31" ht="14.4">
      <c r="AA4205" s="463"/>
      <c r="AB4205" s="462"/>
      <c r="AC4205" s="462"/>
      <c r="AD4205" s="464"/>
      <c r="AE4205" s="465"/>
    </row>
    <row r="4206" spans="27:31" ht="14.4">
      <c r="AA4206" s="463"/>
      <c r="AB4206" s="462"/>
      <c r="AC4206" s="462"/>
      <c r="AD4206" s="464"/>
      <c r="AE4206" s="465"/>
    </row>
    <row r="4207" spans="27:31" ht="14.4">
      <c r="AA4207" s="463"/>
      <c r="AB4207" s="462"/>
      <c r="AC4207" s="462"/>
      <c r="AD4207" s="464"/>
      <c r="AE4207" s="465"/>
    </row>
    <row r="4208" spans="27:31" ht="14.4">
      <c r="AA4208" s="463"/>
      <c r="AB4208" s="462"/>
      <c r="AC4208" s="462"/>
      <c r="AD4208" s="464"/>
      <c r="AE4208" s="465"/>
    </row>
    <row r="4209" spans="27:31" ht="14.4">
      <c r="AA4209" s="463"/>
      <c r="AB4209" s="462"/>
      <c r="AC4209" s="462"/>
      <c r="AD4209" s="464"/>
      <c r="AE4209" s="465"/>
    </row>
    <row r="4210" spans="27:31" ht="14.4">
      <c r="AA4210" s="463"/>
      <c r="AB4210" s="462"/>
      <c r="AC4210" s="462"/>
      <c r="AD4210" s="464"/>
      <c r="AE4210" s="465"/>
    </row>
    <row r="4211" spans="27:31" ht="14.4">
      <c r="AA4211" s="463"/>
      <c r="AB4211" s="462"/>
      <c r="AC4211" s="462"/>
      <c r="AD4211" s="464"/>
      <c r="AE4211" s="465"/>
    </row>
    <row r="4212" spans="27:31" ht="14.4">
      <c r="AA4212" s="463"/>
      <c r="AB4212" s="462"/>
      <c r="AC4212" s="462"/>
      <c r="AD4212" s="464"/>
      <c r="AE4212" s="465"/>
    </row>
    <row r="4213" spans="27:31" ht="14.4">
      <c r="AA4213" s="463"/>
      <c r="AB4213" s="462"/>
      <c r="AC4213" s="462"/>
      <c r="AD4213" s="464"/>
      <c r="AE4213" s="465"/>
    </row>
    <row r="4214" spans="27:31" ht="14.4">
      <c r="AA4214" s="463"/>
      <c r="AB4214" s="462"/>
      <c r="AC4214" s="462"/>
      <c r="AD4214" s="464"/>
      <c r="AE4214" s="465"/>
    </row>
    <row r="4215" spans="27:31" ht="14.4">
      <c r="AA4215" s="463"/>
      <c r="AB4215" s="462"/>
      <c r="AC4215" s="462"/>
      <c r="AD4215" s="464"/>
      <c r="AE4215" s="465"/>
    </row>
    <row r="4216" spans="27:31" ht="14.4">
      <c r="AA4216" s="463"/>
      <c r="AB4216" s="462"/>
      <c r="AC4216" s="462"/>
      <c r="AD4216" s="464"/>
      <c r="AE4216" s="465"/>
    </row>
    <row r="4217" spans="27:31" ht="14.4">
      <c r="AA4217" s="463"/>
      <c r="AB4217" s="462"/>
      <c r="AC4217" s="462"/>
      <c r="AD4217" s="464"/>
      <c r="AE4217" s="465"/>
    </row>
    <row r="4218" spans="27:31" ht="14.4">
      <c r="AA4218" s="463"/>
      <c r="AB4218" s="462"/>
      <c r="AC4218" s="462"/>
      <c r="AD4218" s="464"/>
      <c r="AE4218" s="465"/>
    </row>
    <row r="4219" spans="27:31" ht="14.4">
      <c r="AA4219" s="463"/>
      <c r="AB4219" s="462"/>
      <c r="AC4219" s="462"/>
      <c r="AD4219" s="464"/>
      <c r="AE4219" s="465"/>
    </row>
    <row r="4220" spans="27:31" ht="14.4">
      <c r="AA4220" s="463"/>
      <c r="AB4220" s="462"/>
      <c r="AC4220" s="462"/>
      <c r="AD4220" s="464"/>
      <c r="AE4220" s="465"/>
    </row>
    <row r="4221" spans="27:31" ht="14.4">
      <c r="AA4221" s="463"/>
      <c r="AB4221" s="462"/>
      <c r="AC4221" s="462"/>
      <c r="AD4221" s="464"/>
      <c r="AE4221" s="465"/>
    </row>
    <row r="4222" spans="27:31" ht="14.4">
      <c r="AA4222" s="463"/>
      <c r="AB4222" s="462"/>
      <c r="AC4222" s="462"/>
      <c r="AD4222" s="464"/>
      <c r="AE4222" s="465"/>
    </row>
    <row r="4223" spans="27:31" ht="14.4">
      <c r="AA4223" s="463"/>
      <c r="AB4223" s="462"/>
      <c r="AC4223" s="462"/>
      <c r="AD4223" s="464"/>
      <c r="AE4223" s="465"/>
    </row>
    <row r="4224" spans="27:31" ht="14.4">
      <c r="AA4224" s="463"/>
      <c r="AB4224" s="462"/>
      <c r="AC4224" s="462"/>
      <c r="AD4224" s="464"/>
      <c r="AE4224" s="465"/>
    </row>
    <row r="4225" spans="27:31" ht="14.4">
      <c r="AA4225" s="463"/>
      <c r="AB4225" s="462"/>
      <c r="AC4225" s="462"/>
      <c r="AD4225" s="464"/>
      <c r="AE4225" s="465"/>
    </row>
    <row r="4226" spans="27:31" ht="14.4">
      <c r="AA4226" s="463"/>
      <c r="AB4226" s="462"/>
      <c r="AC4226" s="462"/>
      <c r="AD4226" s="464"/>
      <c r="AE4226" s="465"/>
    </row>
    <row r="4227" spans="27:31" ht="14.4">
      <c r="AA4227" s="463"/>
      <c r="AB4227" s="462"/>
      <c r="AC4227" s="462"/>
      <c r="AD4227" s="464"/>
      <c r="AE4227" s="465"/>
    </row>
    <row r="4228" spans="27:31" ht="14.4">
      <c r="AA4228" s="463"/>
      <c r="AB4228" s="462"/>
      <c r="AC4228" s="462"/>
      <c r="AD4228" s="464"/>
      <c r="AE4228" s="465"/>
    </row>
    <row r="4229" spans="27:31" ht="14.4">
      <c r="AA4229" s="463"/>
      <c r="AB4229" s="462"/>
      <c r="AC4229" s="462"/>
      <c r="AD4229" s="464"/>
      <c r="AE4229" s="465"/>
    </row>
    <row r="4230" spans="27:31" ht="14.4">
      <c r="AA4230" s="463"/>
      <c r="AB4230" s="462"/>
      <c r="AC4230" s="462"/>
      <c r="AD4230" s="464"/>
      <c r="AE4230" s="465"/>
    </row>
    <row r="4231" spans="27:31" ht="14.4">
      <c r="AA4231" s="463"/>
      <c r="AB4231" s="462"/>
      <c r="AC4231" s="462"/>
      <c r="AD4231" s="464"/>
      <c r="AE4231" s="465"/>
    </row>
    <row r="4232" spans="27:31" ht="14.4">
      <c r="AA4232" s="463"/>
      <c r="AB4232" s="462"/>
      <c r="AC4232" s="462"/>
      <c r="AD4232" s="464"/>
      <c r="AE4232" s="465"/>
    </row>
    <row r="4233" spans="27:31" ht="14.4">
      <c r="AA4233" s="463"/>
      <c r="AB4233" s="462"/>
      <c r="AC4233" s="462"/>
      <c r="AD4233" s="464"/>
      <c r="AE4233" s="465"/>
    </row>
    <row r="4234" spans="27:31" ht="14.4">
      <c r="AA4234" s="463"/>
      <c r="AB4234" s="462"/>
      <c r="AC4234" s="462"/>
      <c r="AD4234" s="464"/>
      <c r="AE4234" s="465"/>
    </row>
    <row r="4235" spans="27:31" ht="14.4">
      <c r="AA4235" s="463"/>
      <c r="AB4235" s="462"/>
      <c r="AC4235" s="462"/>
      <c r="AD4235" s="464"/>
      <c r="AE4235" s="465"/>
    </row>
    <row r="4236" spans="27:31" ht="14.4">
      <c r="AA4236" s="463"/>
      <c r="AB4236" s="462"/>
      <c r="AC4236" s="462"/>
      <c r="AD4236" s="464"/>
      <c r="AE4236" s="465"/>
    </row>
    <row r="4237" spans="27:31" ht="14.4">
      <c r="AA4237" s="463"/>
      <c r="AB4237" s="462"/>
      <c r="AC4237" s="462"/>
      <c r="AD4237" s="464"/>
      <c r="AE4237" s="465"/>
    </row>
    <row r="4238" spans="27:31" ht="14.4">
      <c r="AA4238" s="463"/>
      <c r="AB4238" s="462"/>
      <c r="AC4238" s="462"/>
      <c r="AD4238" s="464"/>
      <c r="AE4238" s="465"/>
    </row>
    <row r="4239" spans="27:31" ht="14.4">
      <c r="AA4239" s="463"/>
      <c r="AB4239" s="462"/>
      <c r="AC4239" s="462"/>
      <c r="AD4239" s="464"/>
      <c r="AE4239" s="465"/>
    </row>
    <row r="4240" spans="27:31" ht="14.4">
      <c r="AA4240" s="463"/>
      <c r="AB4240" s="462"/>
      <c r="AC4240" s="462"/>
      <c r="AD4240" s="464"/>
      <c r="AE4240" s="465"/>
    </row>
    <row r="4241" spans="27:31" ht="14.4">
      <c r="AA4241" s="463"/>
      <c r="AB4241" s="462"/>
      <c r="AC4241" s="462"/>
      <c r="AD4241" s="464"/>
      <c r="AE4241" s="465"/>
    </row>
    <row r="4242" spans="27:31" ht="14.4">
      <c r="AA4242" s="463"/>
      <c r="AB4242" s="462"/>
      <c r="AC4242" s="462"/>
      <c r="AD4242" s="464"/>
      <c r="AE4242" s="465"/>
    </row>
    <row r="4243" spans="27:31" ht="14.4">
      <c r="AA4243" s="463"/>
      <c r="AB4243" s="462"/>
      <c r="AC4243" s="462"/>
      <c r="AD4243" s="464"/>
      <c r="AE4243" s="465"/>
    </row>
    <row r="4244" spans="27:31" ht="14.4">
      <c r="AA4244" s="463"/>
      <c r="AB4244" s="462"/>
      <c r="AC4244" s="462"/>
      <c r="AD4244" s="464"/>
      <c r="AE4244" s="465"/>
    </row>
    <row r="4245" spans="27:31" ht="14.4">
      <c r="AA4245" s="463"/>
      <c r="AB4245" s="462"/>
      <c r="AC4245" s="462"/>
      <c r="AD4245" s="464"/>
      <c r="AE4245" s="465"/>
    </row>
    <row r="4246" spans="27:31" ht="14.4">
      <c r="AA4246" s="463"/>
      <c r="AB4246" s="462"/>
      <c r="AC4246" s="462"/>
      <c r="AD4246" s="464"/>
      <c r="AE4246" s="465"/>
    </row>
    <row r="4247" spans="27:31" ht="14.4">
      <c r="AA4247" s="463"/>
      <c r="AB4247" s="462"/>
      <c r="AC4247" s="462"/>
      <c r="AD4247" s="464"/>
      <c r="AE4247" s="465"/>
    </row>
    <row r="4248" spans="27:31" ht="14.4">
      <c r="AA4248" s="463"/>
      <c r="AB4248" s="462"/>
      <c r="AC4248" s="462"/>
      <c r="AD4248" s="464"/>
      <c r="AE4248" s="465"/>
    </row>
    <row r="4249" spans="27:31" ht="14.4">
      <c r="AA4249" s="463"/>
      <c r="AB4249" s="462"/>
      <c r="AC4249" s="462"/>
      <c r="AD4249" s="464"/>
      <c r="AE4249" s="465"/>
    </row>
    <row r="4250" spans="27:31" ht="14.4">
      <c r="AA4250" s="463"/>
      <c r="AB4250" s="462"/>
      <c r="AC4250" s="462"/>
      <c r="AD4250" s="464"/>
      <c r="AE4250" s="465"/>
    </row>
    <row r="4251" spans="27:31" ht="14.4">
      <c r="AA4251" s="463"/>
      <c r="AB4251" s="462"/>
      <c r="AC4251" s="462"/>
      <c r="AD4251" s="464"/>
      <c r="AE4251" s="465"/>
    </row>
    <row r="4252" spans="27:31" ht="14.4">
      <c r="AA4252" s="463"/>
      <c r="AB4252" s="462"/>
      <c r="AC4252" s="462"/>
      <c r="AD4252" s="464"/>
      <c r="AE4252" s="465"/>
    </row>
    <row r="4253" spans="27:31" ht="14.4">
      <c r="AA4253" s="463"/>
      <c r="AB4253" s="462"/>
      <c r="AC4253" s="462"/>
      <c r="AD4253" s="464"/>
      <c r="AE4253" s="465"/>
    </row>
    <row r="4254" spans="27:31" ht="14.4">
      <c r="AA4254" s="463"/>
      <c r="AB4254" s="462"/>
      <c r="AC4254" s="462"/>
      <c r="AD4254" s="464"/>
      <c r="AE4254" s="465"/>
    </row>
    <row r="4255" spans="27:31" ht="14.4">
      <c r="AA4255" s="463"/>
      <c r="AB4255" s="462"/>
      <c r="AC4255" s="462"/>
      <c r="AD4255" s="464"/>
      <c r="AE4255" s="465"/>
    </row>
    <row r="4256" spans="27:31" ht="14.4">
      <c r="AA4256" s="463"/>
      <c r="AB4256" s="462"/>
      <c r="AC4256" s="462"/>
      <c r="AD4256" s="464"/>
      <c r="AE4256" s="465"/>
    </row>
    <row r="4257" spans="27:31" ht="14.4">
      <c r="AA4257" s="463"/>
      <c r="AB4257" s="462"/>
      <c r="AC4257" s="462"/>
      <c r="AD4257" s="464"/>
      <c r="AE4257" s="465"/>
    </row>
    <row r="4258" spans="27:31" ht="14.4">
      <c r="AA4258" s="463"/>
      <c r="AB4258" s="462"/>
      <c r="AC4258" s="462"/>
      <c r="AD4258" s="464"/>
      <c r="AE4258" s="465"/>
    </row>
    <row r="4259" spans="27:31" ht="14.4">
      <c r="AA4259" s="463"/>
      <c r="AB4259" s="462"/>
      <c r="AC4259" s="462"/>
      <c r="AD4259" s="464"/>
      <c r="AE4259" s="465"/>
    </row>
    <row r="4260" spans="27:31" ht="14.4">
      <c r="AA4260" s="463"/>
      <c r="AB4260" s="462"/>
      <c r="AC4260" s="462"/>
      <c r="AD4260" s="464"/>
      <c r="AE4260" s="465"/>
    </row>
    <row r="4261" spans="27:31" ht="14.4">
      <c r="AA4261" s="463"/>
      <c r="AB4261" s="462"/>
      <c r="AC4261" s="462"/>
      <c r="AD4261" s="464"/>
      <c r="AE4261" s="465"/>
    </row>
    <row r="4262" spans="27:31" ht="14.4">
      <c r="AA4262" s="463"/>
      <c r="AB4262" s="462"/>
      <c r="AC4262" s="462"/>
      <c r="AD4262" s="464"/>
      <c r="AE4262" s="465"/>
    </row>
    <row r="4263" spans="27:31" ht="14.4">
      <c r="AA4263" s="463"/>
      <c r="AB4263" s="462"/>
      <c r="AC4263" s="462"/>
      <c r="AD4263" s="464"/>
      <c r="AE4263" s="465"/>
    </row>
    <row r="4264" spans="27:31" ht="14.4">
      <c r="AA4264" s="463"/>
      <c r="AB4264" s="462"/>
      <c r="AC4264" s="462"/>
      <c r="AD4264" s="464"/>
      <c r="AE4264" s="465"/>
    </row>
    <row r="4265" spans="27:31" ht="14.4">
      <c r="AA4265" s="463"/>
      <c r="AB4265" s="462"/>
      <c r="AC4265" s="462"/>
      <c r="AD4265" s="464"/>
      <c r="AE4265" s="465"/>
    </row>
    <row r="4266" spans="27:31" ht="14.4">
      <c r="AA4266" s="463"/>
      <c r="AB4266" s="462"/>
      <c r="AC4266" s="462"/>
      <c r="AD4266" s="464"/>
      <c r="AE4266" s="465"/>
    </row>
    <row r="4267" spans="27:31" ht="14.4">
      <c r="AA4267" s="463"/>
      <c r="AB4267" s="462"/>
      <c r="AC4267" s="462"/>
      <c r="AD4267" s="464"/>
      <c r="AE4267" s="465"/>
    </row>
    <row r="4268" spans="27:31" ht="14.4">
      <c r="AA4268" s="463"/>
      <c r="AB4268" s="462"/>
      <c r="AC4268" s="462"/>
      <c r="AD4268" s="464"/>
      <c r="AE4268" s="465"/>
    </row>
    <row r="4269" spans="27:31" ht="14.4">
      <c r="AA4269" s="463"/>
      <c r="AB4269" s="462"/>
      <c r="AC4269" s="462"/>
      <c r="AD4269" s="464"/>
      <c r="AE4269" s="465"/>
    </row>
    <row r="4270" spans="27:31" ht="14.4">
      <c r="AA4270" s="463"/>
      <c r="AB4270" s="462"/>
      <c r="AC4270" s="462"/>
      <c r="AD4270" s="464"/>
      <c r="AE4270" s="465"/>
    </row>
    <row r="4271" spans="27:31" ht="14.4">
      <c r="AA4271" s="463"/>
      <c r="AB4271" s="462"/>
      <c r="AC4271" s="462"/>
      <c r="AD4271" s="464"/>
      <c r="AE4271" s="465"/>
    </row>
    <row r="4272" spans="27:31" ht="14.4">
      <c r="AA4272" s="463"/>
      <c r="AB4272" s="462"/>
      <c r="AC4272" s="462"/>
      <c r="AD4272" s="464"/>
      <c r="AE4272" s="465"/>
    </row>
    <row r="4273" spans="27:31" ht="14.4">
      <c r="AA4273" s="463"/>
      <c r="AB4273" s="462"/>
      <c r="AC4273" s="462"/>
      <c r="AD4273" s="464"/>
      <c r="AE4273" s="465"/>
    </row>
    <row r="4274" spans="27:31" ht="14.4">
      <c r="AA4274" s="463"/>
      <c r="AB4274" s="462"/>
      <c r="AC4274" s="462"/>
      <c r="AD4274" s="464"/>
      <c r="AE4274" s="465"/>
    </row>
    <row r="4275" spans="27:31" ht="14.4">
      <c r="AA4275" s="463"/>
      <c r="AB4275" s="462"/>
      <c r="AC4275" s="462"/>
      <c r="AD4275" s="464"/>
      <c r="AE4275" s="465"/>
    </row>
    <row r="4276" spans="27:31" ht="14.4">
      <c r="AA4276" s="463"/>
      <c r="AB4276" s="462"/>
      <c r="AC4276" s="462"/>
      <c r="AD4276" s="464"/>
      <c r="AE4276" s="465"/>
    </row>
    <row r="4277" spans="27:31" ht="14.4">
      <c r="AA4277" s="463"/>
      <c r="AB4277" s="462"/>
      <c r="AC4277" s="462"/>
      <c r="AD4277" s="464"/>
      <c r="AE4277" s="465"/>
    </row>
    <row r="4278" spans="27:31" ht="14.4">
      <c r="AA4278" s="463"/>
      <c r="AB4278" s="462"/>
      <c r="AC4278" s="462"/>
      <c r="AD4278" s="464"/>
      <c r="AE4278" s="465"/>
    </row>
    <row r="4279" spans="27:31" ht="14.4">
      <c r="AA4279" s="463"/>
      <c r="AB4279" s="462"/>
      <c r="AC4279" s="462"/>
      <c r="AD4279" s="464"/>
      <c r="AE4279" s="465"/>
    </row>
    <row r="4280" spans="27:31" ht="14.4">
      <c r="AA4280" s="463"/>
      <c r="AB4280" s="462"/>
      <c r="AC4280" s="462"/>
      <c r="AD4280" s="464"/>
      <c r="AE4280" s="465"/>
    </row>
    <row r="4281" spans="27:31" ht="14.4">
      <c r="AA4281" s="463"/>
      <c r="AB4281" s="462"/>
      <c r="AC4281" s="462"/>
      <c r="AD4281" s="464"/>
      <c r="AE4281" s="465"/>
    </row>
    <row r="4282" spans="27:31" ht="14.4">
      <c r="AA4282" s="463"/>
      <c r="AB4282" s="462"/>
      <c r="AC4282" s="462"/>
      <c r="AD4282" s="464"/>
      <c r="AE4282" s="465"/>
    </row>
    <row r="4283" spans="27:31" ht="14.4">
      <c r="AA4283" s="463"/>
      <c r="AB4283" s="462"/>
      <c r="AC4283" s="462"/>
      <c r="AD4283" s="464"/>
      <c r="AE4283" s="465"/>
    </row>
    <row r="4284" spans="27:31" ht="14.4">
      <c r="AA4284" s="463"/>
      <c r="AB4284" s="462"/>
      <c r="AC4284" s="462"/>
      <c r="AD4284" s="464"/>
      <c r="AE4284" s="465"/>
    </row>
    <row r="4285" spans="27:31" ht="14.4">
      <c r="AA4285" s="463"/>
      <c r="AB4285" s="462"/>
      <c r="AC4285" s="462"/>
      <c r="AD4285" s="464"/>
      <c r="AE4285" s="465"/>
    </row>
    <row r="4286" spans="27:31" ht="14.4">
      <c r="AA4286" s="463"/>
      <c r="AB4286" s="462"/>
      <c r="AC4286" s="462"/>
      <c r="AD4286" s="464"/>
      <c r="AE4286" s="465"/>
    </row>
    <row r="4287" spans="27:31" ht="14.4">
      <c r="AA4287" s="463"/>
      <c r="AB4287" s="462"/>
      <c r="AC4287" s="462"/>
      <c r="AD4287" s="464"/>
      <c r="AE4287" s="465"/>
    </row>
    <row r="4288" spans="27:31" ht="14.4">
      <c r="AA4288" s="463"/>
      <c r="AB4288" s="462"/>
      <c r="AC4288" s="462"/>
      <c r="AD4288" s="464"/>
      <c r="AE4288" s="465"/>
    </row>
    <row r="4289" spans="27:31" ht="14.4">
      <c r="AA4289" s="463"/>
      <c r="AB4289" s="462"/>
      <c r="AC4289" s="462"/>
      <c r="AD4289" s="464"/>
      <c r="AE4289" s="465"/>
    </row>
    <row r="4290" spans="27:31" ht="14.4">
      <c r="AA4290" s="463"/>
      <c r="AB4290" s="462"/>
      <c r="AC4290" s="462"/>
      <c r="AD4290" s="464"/>
      <c r="AE4290" s="465"/>
    </row>
    <row r="4291" spans="27:31" ht="14.4">
      <c r="AA4291" s="463"/>
      <c r="AB4291" s="462"/>
      <c r="AC4291" s="462"/>
      <c r="AD4291" s="464"/>
      <c r="AE4291" s="465"/>
    </row>
    <row r="4292" spans="27:31" ht="14.4">
      <c r="AA4292" s="463"/>
      <c r="AB4292" s="462"/>
      <c r="AC4292" s="462"/>
      <c r="AD4292" s="464"/>
      <c r="AE4292" s="465"/>
    </row>
    <row r="4293" spans="27:31" ht="14.4">
      <c r="AA4293" s="463"/>
      <c r="AB4293" s="462"/>
      <c r="AC4293" s="462"/>
      <c r="AD4293" s="464"/>
      <c r="AE4293" s="465"/>
    </row>
    <row r="4294" spans="27:31" ht="14.4">
      <c r="AA4294" s="463"/>
      <c r="AB4294" s="462"/>
      <c r="AC4294" s="462"/>
      <c r="AD4294" s="464"/>
      <c r="AE4294" s="465"/>
    </row>
    <row r="4295" spans="27:31" ht="14.4">
      <c r="AA4295" s="463"/>
      <c r="AB4295" s="462"/>
      <c r="AC4295" s="462"/>
      <c r="AD4295" s="464"/>
      <c r="AE4295" s="465"/>
    </row>
    <row r="4296" spans="27:31" ht="14.4">
      <c r="AA4296" s="463"/>
      <c r="AB4296" s="462"/>
      <c r="AC4296" s="462"/>
      <c r="AD4296" s="464"/>
      <c r="AE4296" s="465"/>
    </row>
    <row r="4297" spans="27:31" ht="14.4">
      <c r="AA4297" s="463"/>
      <c r="AB4297" s="462"/>
      <c r="AC4297" s="462"/>
      <c r="AD4297" s="464"/>
      <c r="AE4297" s="465"/>
    </row>
    <row r="4298" spans="27:31" ht="14.4">
      <c r="AA4298" s="463"/>
      <c r="AB4298" s="462"/>
      <c r="AC4298" s="462"/>
      <c r="AD4298" s="464"/>
      <c r="AE4298" s="465"/>
    </row>
    <row r="4299" spans="27:31" ht="14.4">
      <c r="AA4299" s="463"/>
      <c r="AB4299" s="462"/>
      <c r="AC4299" s="462"/>
      <c r="AD4299" s="464"/>
      <c r="AE4299" s="465"/>
    </row>
    <row r="4300" spans="27:31" ht="14.4">
      <c r="AA4300" s="463"/>
      <c r="AB4300" s="462"/>
      <c r="AC4300" s="462"/>
      <c r="AD4300" s="464"/>
      <c r="AE4300" s="465"/>
    </row>
    <row r="4301" spans="27:31" ht="14.4">
      <c r="AA4301" s="463"/>
      <c r="AB4301" s="462"/>
      <c r="AC4301" s="462"/>
      <c r="AD4301" s="464"/>
      <c r="AE4301" s="465"/>
    </row>
    <row r="4302" spans="27:31" ht="14.4">
      <c r="AA4302" s="463"/>
      <c r="AB4302" s="462"/>
      <c r="AC4302" s="462"/>
      <c r="AD4302" s="464"/>
      <c r="AE4302" s="465"/>
    </row>
    <row r="4303" spans="27:31" ht="14.4">
      <c r="AA4303" s="463"/>
      <c r="AB4303" s="462"/>
      <c r="AC4303" s="462"/>
      <c r="AD4303" s="464"/>
      <c r="AE4303" s="465"/>
    </row>
    <row r="4304" spans="27:31" ht="14.4">
      <c r="AA4304" s="463"/>
      <c r="AB4304" s="462"/>
      <c r="AC4304" s="462"/>
      <c r="AD4304" s="464"/>
      <c r="AE4304" s="465"/>
    </row>
    <row r="4305" spans="27:31" ht="14.4">
      <c r="AA4305" s="463"/>
      <c r="AB4305" s="462"/>
      <c r="AC4305" s="462"/>
      <c r="AD4305" s="464"/>
      <c r="AE4305" s="465"/>
    </row>
    <row r="4306" spans="27:31" ht="14.4">
      <c r="AA4306" s="463"/>
      <c r="AB4306" s="462"/>
      <c r="AC4306" s="462"/>
      <c r="AD4306" s="464"/>
      <c r="AE4306" s="465"/>
    </row>
    <row r="4307" spans="27:31" ht="14.4">
      <c r="AA4307" s="463"/>
      <c r="AB4307" s="462"/>
      <c r="AC4307" s="462"/>
      <c r="AD4307" s="464"/>
      <c r="AE4307" s="465"/>
    </row>
    <row r="4308" spans="27:31" ht="14.4">
      <c r="AA4308" s="463"/>
      <c r="AB4308" s="462"/>
      <c r="AC4308" s="462"/>
      <c r="AD4308" s="464"/>
      <c r="AE4308" s="465"/>
    </row>
    <row r="4309" spans="27:31" ht="14.4">
      <c r="AA4309" s="463"/>
      <c r="AB4309" s="462"/>
      <c r="AC4309" s="462"/>
      <c r="AD4309" s="464"/>
      <c r="AE4309" s="465"/>
    </row>
    <row r="4310" spans="27:31" ht="14.4">
      <c r="AA4310" s="463"/>
      <c r="AB4310" s="462"/>
      <c r="AC4310" s="462"/>
      <c r="AD4310" s="464"/>
      <c r="AE4310" s="465"/>
    </row>
    <row r="4311" spans="27:31" ht="14.4">
      <c r="AA4311" s="463"/>
      <c r="AB4311" s="462"/>
      <c r="AC4311" s="462"/>
      <c r="AD4311" s="464"/>
      <c r="AE4311" s="465"/>
    </row>
    <row r="4312" spans="27:31" ht="14.4">
      <c r="AA4312" s="463"/>
      <c r="AB4312" s="462"/>
      <c r="AC4312" s="462"/>
      <c r="AD4312" s="464"/>
      <c r="AE4312" s="465"/>
    </row>
    <row r="4313" spans="27:31" ht="14.4">
      <c r="AA4313" s="463"/>
      <c r="AB4313" s="462"/>
      <c r="AC4313" s="462"/>
      <c r="AD4313" s="464"/>
      <c r="AE4313" s="465"/>
    </row>
    <row r="4314" spans="27:31" ht="14.4">
      <c r="AA4314" s="463"/>
      <c r="AB4314" s="462"/>
      <c r="AC4314" s="462"/>
      <c r="AD4314" s="464"/>
      <c r="AE4314" s="465"/>
    </row>
    <row r="4315" spans="27:31" ht="14.4">
      <c r="AA4315" s="463"/>
      <c r="AB4315" s="462"/>
      <c r="AC4315" s="462"/>
      <c r="AD4315" s="464"/>
      <c r="AE4315" s="465"/>
    </row>
    <row r="4316" spans="27:31" ht="14.4">
      <c r="AA4316" s="463"/>
      <c r="AB4316" s="462"/>
      <c r="AC4316" s="462"/>
      <c r="AD4316" s="464"/>
      <c r="AE4316" s="465"/>
    </row>
    <row r="4317" spans="27:31" ht="14.4">
      <c r="AA4317" s="463"/>
      <c r="AB4317" s="462"/>
      <c r="AC4317" s="462"/>
      <c r="AD4317" s="464"/>
      <c r="AE4317" s="465"/>
    </row>
    <row r="4318" spans="27:31" ht="14.4">
      <c r="AA4318" s="463"/>
      <c r="AB4318" s="462"/>
      <c r="AC4318" s="462"/>
      <c r="AD4318" s="464"/>
      <c r="AE4318" s="465"/>
    </row>
    <row r="4319" spans="27:31" ht="14.4">
      <c r="AA4319" s="463"/>
      <c r="AB4319" s="462"/>
      <c r="AC4319" s="462"/>
      <c r="AD4319" s="464"/>
      <c r="AE4319" s="465"/>
    </row>
    <row r="4320" spans="27:31" ht="14.4">
      <c r="AA4320" s="463"/>
      <c r="AB4320" s="462"/>
      <c r="AC4320" s="462"/>
      <c r="AD4320" s="464"/>
      <c r="AE4320" s="465"/>
    </row>
    <row r="4321" spans="27:31" ht="14.4">
      <c r="AA4321" s="463"/>
      <c r="AB4321" s="462"/>
      <c r="AC4321" s="462"/>
      <c r="AD4321" s="464"/>
      <c r="AE4321" s="465"/>
    </row>
    <row r="4322" spans="27:31" ht="14.4">
      <c r="AA4322" s="463"/>
      <c r="AB4322" s="462"/>
      <c r="AC4322" s="462"/>
      <c r="AD4322" s="464"/>
      <c r="AE4322" s="465"/>
    </row>
    <row r="4323" spans="27:31" ht="14.4">
      <c r="AA4323" s="463"/>
      <c r="AB4323" s="462"/>
      <c r="AC4323" s="462"/>
      <c r="AD4323" s="464"/>
      <c r="AE4323" s="465"/>
    </row>
    <row r="4324" spans="27:31" ht="14.4">
      <c r="AA4324" s="463"/>
      <c r="AB4324" s="462"/>
      <c r="AC4324" s="462"/>
      <c r="AD4324" s="464"/>
      <c r="AE4324" s="465"/>
    </row>
    <row r="4325" spans="27:31" ht="14.4">
      <c r="AA4325" s="463"/>
      <c r="AB4325" s="462"/>
      <c r="AC4325" s="462"/>
      <c r="AD4325" s="464"/>
      <c r="AE4325" s="465"/>
    </row>
    <row r="4326" spans="27:31" ht="14.4">
      <c r="AA4326" s="463"/>
      <c r="AB4326" s="462"/>
      <c r="AC4326" s="462"/>
      <c r="AD4326" s="464"/>
      <c r="AE4326" s="465"/>
    </row>
    <row r="4327" spans="27:31" ht="14.4">
      <c r="AA4327" s="463"/>
      <c r="AB4327" s="462"/>
      <c r="AC4327" s="462"/>
      <c r="AD4327" s="464"/>
      <c r="AE4327" s="465"/>
    </row>
    <row r="4328" spans="27:31" ht="14.4">
      <c r="AA4328" s="463"/>
      <c r="AB4328" s="462"/>
      <c r="AC4328" s="462"/>
      <c r="AD4328" s="464"/>
      <c r="AE4328" s="465"/>
    </row>
    <row r="4329" spans="27:31" ht="14.4">
      <c r="AA4329" s="463"/>
      <c r="AB4329" s="462"/>
      <c r="AC4329" s="462"/>
      <c r="AD4329" s="464"/>
      <c r="AE4329" s="465"/>
    </row>
    <row r="4330" spans="27:31" ht="14.4">
      <c r="AA4330" s="463"/>
      <c r="AB4330" s="462"/>
      <c r="AC4330" s="462"/>
      <c r="AD4330" s="464"/>
      <c r="AE4330" s="465"/>
    </row>
    <row r="4331" spans="27:31" ht="14.4">
      <c r="AA4331" s="463"/>
      <c r="AB4331" s="462"/>
      <c r="AC4331" s="462"/>
      <c r="AD4331" s="464"/>
      <c r="AE4331" s="465"/>
    </row>
    <row r="4332" spans="27:31" ht="14.4">
      <c r="AA4332" s="463"/>
      <c r="AB4332" s="462"/>
      <c r="AC4332" s="462"/>
      <c r="AD4332" s="464"/>
      <c r="AE4332" s="465"/>
    </row>
    <row r="4333" spans="27:31" ht="14.4">
      <c r="AA4333" s="463"/>
      <c r="AB4333" s="462"/>
      <c r="AC4333" s="462"/>
      <c r="AD4333" s="464"/>
      <c r="AE4333" s="465"/>
    </row>
    <row r="4334" spans="27:31" ht="14.4">
      <c r="AA4334" s="463"/>
      <c r="AB4334" s="462"/>
      <c r="AC4334" s="462"/>
      <c r="AD4334" s="464"/>
      <c r="AE4334" s="465"/>
    </row>
    <row r="4335" spans="27:31" ht="14.4">
      <c r="AA4335" s="463"/>
      <c r="AB4335" s="462"/>
      <c r="AC4335" s="462"/>
      <c r="AD4335" s="464"/>
      <c r="AE4335" s="465"/>
    </row>
    <row r="4336" spans="27:31" ht="14.4">
      <c r="AA4336" s="463"/>
      <c r="AB4336" s="462"/>
      <c r="AC4336" s="462"/>
      <c r="AD4336" s="464"/>
      <c r="AE4336" s="465"/>
    </row>
    <row r="4337" spans="27:31" ht="14.4">
      <c r="AA4337" s="463"/>
      <c r="AB4337" s="462"/>
      <c r="AC4337" s="462"/>
      <c r="AD4337" s="464"/>
      <c r="AE4337" s="465"/>
    </row>
    <row r="4338" spans="27:31" ht="14.4">
      <c r="AA4338" s="463"/>
      <c r="AB4338" s="462"/>
      <c r="AC4338" s="462"/>
      <c r="AD4338" s="464"/>
      <c r="AE4338" s="465"/>
    </row>
    <row r="4339" spans="27:31" ht="14.4">
      <c r="AA4339" s="463"/>
      <c r="AB4339" s="462"/>
      <c r="AC4339" s="462"/>
      <c r="AD4339" s="464"/>
      <c r="AE4339" s="465"/>
    </row>
    <row r="4340" spans="27:31" ht="14.4">
      <c r="AA4340" s="463"/>
      <c r="AB4340" s="462"/>
      <c r="AC4340" s="462"/>
      <c r="AD4340" s="464"/>
      <c r="AE4340" s="465"/>
    </row>
    <row r="4341" spans="27:31" ht="14.4">
      <c r="AA4341" s="463"/>
      <c r="AB4341" s="462"/>
      <c r="AC4341" s="462"/>
      <c r="AD4341" s="464"/>
      <c r="AE4341" s="465"/>
    </row>
    <row r="4342" spans="27:31" ht="14.4">
      <c r="AA4342" s="463"/>
      <c r="AB4342" s="462"/>
      <c r="AC4342" s="462"/>
      <c r="AD4342" s="464"/>
      <c r="AE4342" s="465"/>
    </row>
    <row r="4343" spans="27:31" ht="14.4">
      <c r="AA4343" s="463"/>
      <c r="AB4343" s="462"/>
      <c r="AC4343" s="462"/>
      <c r="AD4343" s="464"/>
      <c r="AE4343" s="465"/>
    </row>
    <row r="4344" spans="27:31" ht="14.4">
      <c r="AA4344" s="463"/>
      <c r="AB4344" s="462"/>
      <c r="AC4344" s="462"/>
      <c r="AD4344" s="464"/>
      <c r="AE4344" s="465"/>
    </row>
    <row r="4345" spans="27:31" ht="14.4">
      <c r="AA4345" s="463"/>
      <c r="AB4345" s="462"/>
      <c r="AC4345" s="462"/>
      <c r="AD4345" s="464"/>
      <c r="AE4345" s="465"/>
    </row>
    <row r="4346" spans="27:31" ht="14.4">
      <c r="AA4346" s="463"/>
      <c r="AB4346" s="462"/>
      <c r="AC4346" s="462"/>
      <c r="AD4346" s="464"/>
      <c r="AE4346" s="465"/>
    </row>
    <row r="4347" spans="27:31" ht="14.4">
      <c r="AA4347" s="463"/>
      <c r="AB4347" s="462"/>
      <c r="AC4347" s="462"/>
      <c r="AD4347" s="464"/>
      <c r="AE4347" s="465"/>
    </row>
    <row r="4348" spans="27:31" ht="14.4">
      <c r="AA4348" s="463"/>
      <c r="AB4348" s="462"/>
      <c r="AC4348" s="462"/>
      <c r="AD4348" s="464"/>
      <c r="AE4348" s="465"/>
    </row>
    <row r="4349" spans="27:31" ht="14.4">
      <c r="AA4349" s="463"/>
      <c r="AB4349" s="462"/>
      <c r="AC4349" s="462"/>
      <c r="AD4349" s="464"/>
      <c r="AE4349" s="465"/>
    </row>
    <row r="4350" spans="27:31" ht="14.4">
      <c r="AA4350" s="463"/>
      <c r="AB4350" s="462"/>
      <c r="AC4350" s="462"/>
      <c r="AD4350" s="464"/>
      <c r="AE4350" s="465"/>
    </row>
    <row r="4351" spans="27:31" ht="14.4">
      <c r="AA4351" s="463"/>
      <c r="AB4351" s="462"/>
      <c r="AC4351" s="462"/>
      <c r="AD4351" s="464"/>
      <c r="AE4351" s="465"/>
    </row>
    <row r="4352" spans="27:31" ht="14.4">
      <c r="AA4352" s="463"/>
      <c r="AB4352" s="462"/>
      <c r="AC4352" s="462"/>
      <c r="AD4352" s="464"/>
      <c r="AE4352" s="465"/>
    </row>
    <row r="4353" spans="27:31" ht="14.4">
      <c r="AA4353" s="463"/>
      <c r="AB4353" s="462"/>
      <c r="AC4353" s="462"/>
      <c r="AD4353" s="464"/>
      <c r="AE4353" s="465"/>
    </row>
    <row r="4354" spans="27:31" ht="14.4">
      <c r="AA4354" s="463"/>
      <c r="AB4354" s="462"/>
      <c r="AC4354" s="462"/>
      <c r="AD4354" s="464"/>
      <c r="AE4354" s="465"/>
    </row>
    <row r="4355" spans="27:31" ht="14.4">
      <c r="AA4355" s="463"/>
      <c r="AB4355" s="462"/>
      <c r="AC4355" s="462"/>
      <c r="AD4355" s="464"/>
      <c r="AE4355" s="465"/>
    </row>
    <row r="4356" spans="27:31" ht="14.4">
      <c r="AA4356" s="463"/>
      <c r="AB4356" s="462"/>
      <c r="AC4356" s="462"/>
      <c r="AD4356" s="464"/>
      <c r="AE4356" s="465"/>
    </row>
    <row r="4357" spans="27:31" ht="14.4">
      <c r="AA4357" s="463"/>
      <c r="AB4357" s="462"/>
      <c r="AC4357" s="462"/>
      <c r="AD4357" s="464"/>
      <c r="AE4357" s="465"/>
    </row>
    <row r="4358" spans="27:31" ht="14.4">
      <c r="AA4358" s="463"/>
      <c r="AB4358" s="462"/>
      <c r="AC4358" s="462"/>
      <c r="AD4358" s="464"/>
      <c r="AE4358" s="465"/>
    </row>
    <row r="4359" spans="27:31" ht="14.4">
      <c r="AA4359" s="463"/>
      <c r="AB4359" s="462"/>
      <c r="AC4359" s="462"/>
      <c r="AD4359" s="464"/>
      <c r="AE4359" s="465"/>
    </row>
    <row r="4360" spans="27:31" ht="14.4">
      <c r="AA4360" s="463"/>
      <c r="AB4360" s="462"/>
      <c r="AC4360" s="462"/>
      <c r="AD4360" s="464"/>
      <c r="AE4360" s="465"/>
    </row>
    <row r="4361" spans="27:31" ht="14.4">
      <c r="AA4361" s="463"/>
      <c r="AB4361" s="462"/>
      <c r="AC4361" s="462"/>
      <c r="AD4361" s="464"/>
      <c r="AE4361" s="465"/>
    </row>
    <row r="4362" spans="27:31" ht="14.4">
      <c r="AA4362" s="463"/>
      <c r="AB4362" s="462"/>
      <c r="AC4362" s="462"/>
      <c r="AD4362" s="464"/>
      <c r="AE4362" s="465"/>
    </row>
    <row r="4363" spans="27:31" ht="14.4">
      <c r="AA4363" s="463"/>
      <c r="AB4363" s="462"/>
      <c r="AC4363" s="462"/>
      <c r="AD4363" s="464"/>
      <c r="AE4363" s="465"/>
    </row>
    <row r="4364" spans="27:31" ht="14.4">
      <c r="AA4364" s="463"/>
      <c r="AB4364" s="462"/>
      <c r="AC4364" s="462"/>
      <c r="AD4364" s="464"/>
      <c r="AE4364" s="465"/>
    </row>
    <row r="4365" spans="27:31" ht="14.4">
      <c r="AA4365" s="463"/>
      <c r="AB4365" s="462"/>
      <c r="AC4365" s="462"/>
      <c r="AD4365" s="464"/>
      <c r="AE4365" s="465"/>
    </row>
    <row r="4366" spans="27:31" ht="14.4">
      <c r="AA4366" s="463"/>
      <c r="AB4366" s="462"/>
      <c r="AC4366" s="462"/>
      <c r="AD4366" s="464"/>
      <c r="AE4366" s="465"/>
    </row>
    <row r="4367" spans="27:31" ht="14.4">
      <c r="AA4367" s="463"/>
      <c r="AB4367" s="462"/>
      <c r="AC4367" s="462"/>
      <c r="AD4367" s="464"/>
      <c r="AE4367" s="465"/>
    </row>
    <row r="4368" spans="27:31" ht="14.4">
      <c r="AA4368" s="463"/>
      <c r="AB4368" s="462"/>
      <c r="AC4368" s="462"/>
      <c r="AD4368" s="464"/>
      <c r="AE4368" s="465"/>
    </row>
    <row r="4369" spans="27:31" ht="14.4">
      <c r="AA4369" s="463"/>
      <c r="AB4369" s="462"/>
      <c r="AC4369" s="462"/>
      <c r="AD4369" s="464"/>
      <c r="AE4369" s="465"/>
    </row>
    <row r="4370" spans="27:31" ht="14.4">
      <c r="AA4370" s="463"/>
      <c r="AB4370" s="462"/>
      <c r="AC4370" s="462"/>
      <c r="AD4370" s="464"/>
      <c r="AE4370" s="465"/>
    </row>
    <row r="4371" spans="27:31" ht="14.4">
      <c r="AA4371" s="463"/>
      <c r="AB4371" s="462"/>
      <c r="AC4371" s="462"/>
      <c r="AD4371" s="464"/>
      <c r="AE4371" s="465"/>
    </row>
    <row r="4372" spans="27:31" ht="14.4">
      <c r="AA4372" s="463"/>
      <c r="AB4372" s="462"/>
      <c r="AC4372" s="462"/>
      <c r="AD4372" s="464"/>
      <c r="AE4372" s="465"/>
    </row>
    <row r="4373" spans="27:31" ht="14.4">
      <c r="AA4373" s="463"/>
      <c r="AB4373" s="462"/>
      <c r="AC4373" s="462"/>
      <c r="AD4373" s="464"/>
      <c r="AE4373" s="465"/>
    </row>
    <row r="4374" spans="27:31" ht="14.4">
      <c r="AA4374" s="463"/>
      <c r="AB4374" s="462"/>
      <c r="AC4374" s="462"/>
      <c r="AD4374" s="464"/>
      <c r="AE4374" s="465"/>
    </row>
    <row r="4375" spans="27:31" ht="14.4">
      <c r="AA4375" s="463"/>
      <c r="AB4375" s="462"/>
      <c r="AC4375" s="462"/>
      <c r="AD4375" s="464"/>
      <c r="AE4375" s="465"/>
    </row>
    <row r="4376" spans="27:31" ht="14.4">
      <c r="AA4376" s="463"/>
      <c r="AB4376" s="462"/>
      <c r="AC4376" s="462"/>
      <c r="AD4376" s="464"/>
      <c r="AE4376" s="465"/>
    </row>
    <row r="4377" spans="27:31" ht="14.4">
      <c r="AA4377" s="463"/>
      <c r="AB4377" s="462"/>
      <c r="AC4377" s="462"/>
      <c r="AD4377" s="464"/>
      <c r="AE4377" s="465"/>
    </row>
    <row r="4378" spans="27:31" ht="14.4">
      <c r="AA4378" s="463"/>
      <c r="AB4378" s="462"/>
      <c r="AC4378" s="462"/>
      <c r="AD4378" s="464"/>
      <c r="AE4378" s="465"/>
    </row>
    <row r="4379" spans="27:31" ht="14.4">
      <c r="AA4379" s="463"/>
      <c r="AB4379" s="462"/>
      <c r="AC4379" s="462"/>
      <c r="AD4379" s="464"/>
      <c r="AE4379" s="465"/>
    </row>
    <row r="4380" spans="27:31" ht="14.4">
      <c r="AA4380" s="463"/>
      <c r="AB4380" s="462"/>
      <c r="AC4380" s="462"/>
      <c r="AD4380" s="464"/>
      <c r="AE4380" s="465"/>
    </row>
    <row r="4381" spans="27:31" ht="14.4">
      <c r="AA4381" s="463"/>
      <c r="AB4381" s="462"/>
      <c r="AC4381" s="462"/>
      <c r="AD4381" s="464"/>
      <c r="AE4381" s="465"/>
    </row>
    <row r="4382" spans="27:31" ht="14.4">
      <c r="AA4382" s="463"/>
      <c r="AB4382" s="462"/>
      <c r="AC4382" s="462"/>
      <c r="AD4382" s="464"/>
      <c r="AE4382" s="465"/>
    </row>
    <row r="4383" spans="27:31" ht="14.4">
      <c r="AA4383" s="463"/>
      <c r="AB4383" s="462"/>
      <c r="AC4383" s="462"/>
      <c r="AD4383" s="464"/>
      <c r="AE4383" s="465"/>
    </row>
    <row r="4384" spans="27:31" ht="14.4">
      <c r="AA4384" s="463"/>
      <c r="AB4384" s="462"/>
      <c r="AC4384" s="462"/>
      <c r="AD4384" s="464"/>
      <c r="AE4384" s="465"/>
    </row>
    <row r="4385" spans="27:31" ht="14.4">
      <c r="AA4385" s="463"/>
      <c r="AB4385" s="462"/>
      <c r="AC4385" s="462"/>
      <c r="AD4385" s="464"/>
      <c r="AE4385" s="465"/>
    </row>
    <row r="4386" spans="27:31" ht="14.4">
      <c r="AA4386" s="463"/>
      <c r="AB4386" s="462"/>
      <c r="AC4386" s="462"/>
      <c r="AD4386" s="464"/>
      <c r="AE4386" s="465"/>
    </row>
    <row r="4387" spans="27:31" ht="14.4">
      <c r="AA4387" s="463"/>
      <c r="AB4387" s="462"/>
      <c r="AC4387" s="462"/>
      <c r="AD4387" s="464"/>
      <c r="AE4387" s="465"/>
    </row>
    <row r="4388" spans="27:31" ht="14.4">
      <c r="AA4388" s="463"/>
      <c r="AB4388" s="462"/>
      <c r="AC4388" s="462"/>
      <c r="AD4388" s="464"/>
      <c r="AE4388" s="465"/>
    </row>
    <row r="4389" spans="27:31" ht="14.4">
      <c r="AA4389" s="463"/>
      <c r="AB4389" s="462"/>
      <c r="AC4389" s="462"/>
      <c r="AD4389" s="464"/>
      <c r="AE4389" s="465"/>
    </row>
    <row r="4390" spans="27:31" ht="14.4">
      <c r="AA4390" s="463"/>
      <c r="AB4390" s="462"/>
      <c r="AC4390" s="462"/>
      <c r="AD4390" s="464"/>
      <c r="AE4390" s="465"/>
    </row>
    <row r="4391" spans="27:31" ht="14.4">
      <c r="AA4391" s="463"/>
      <c r="AB4391" s="462"/>
      <c r="AC4391" s="462"/>
      <c r="AD4391" s="464"/>
      <c r="AE4391" s="465"/>
    </row>
    <row r="4392" spans="27:31" ht="14.4">
      <c r="AA4392" s="463"/>
      <c r="AB4392" s="462"/>
      <c r="AC4392" s="462"/>
      <c r="AD4392" s="464"/>
      <c r="AE4392" s="465"/>
    </row>
    <row r="4393" spans="27:31" ht="14.4">
      <c r="AA4393" s="463"/>
      <c r="AB4393" s="462"/>
      <c r="AC4393" s="462"/>
      <c r="AD4393" s="464"/>
      <c r="AE4393" s="465"/>
    </row>
    <row r="4394" spans="27:31" ht="14.4">
      <c r="AA4394" s="463"/>
      <c r="AB4394" s="462"/>
      <c r="AC4394" s="462"/>
      <c r="AD4394" s="464"/>
      <c r="AE4394" s="465"/>
    </row>
    <row r="4395" spans="27:31" ht="14.4">
      <c r="AA4395" s="463"/>
      <c r="AB4395" s="462"/>
      <c r="AC4395" s="462"/>
      <c r="AD4395" s="464"/>
      <c r="AE4395" s="465"/>
    </row>
    <row r="4396" spans="27:31" ht="14.4">
      <c r="AA4396" s="463"/>
      <c r="AB4396" s="462"/>
      <c r="AC4396" s="462"/>
      <c r="AD4396" s="464"/>
      <c r="AE4396" s="465"/>
    </row>
    <row r="4397" spans="27:31" ht="14.4">
      <c r="AA4397" s="463"/>
      <c r="AB4397" s="462"/>
      <c r="AC4397" s="462"/>
      <c r="AD4397" s="464"/>
      <c r="AE4397" s="465"/>
    </row>
    <row r="4398" spans="27:31" ht="14.4">
      <c r="AA4398" s="463"/>
      <c r="AB4398" s="462"/>
      <c r="AC4398" s="462"/>
      <c r="AD4398" s="464"/>
      <c r="AE4398" s="465"/>
    </row>
    <row r="4399" spans="27:31" ht="14.4">
      <c r="AA4399" s="463"/>
      <c r="AB4399" s="462"/>
      <c r="AC4399" s="462"/>
      <c r="AD4399" s="464"/>
      <c r="AE4399" s="465"/>
    </row>
    <row r="4400" spans="27:31" ht="14.4">
      <c r="AA4400" s="463"/>
      <c r="AB4400" s="462"/>
      <c r="AC4400" s="462"/>
      <c r="AD4400" s="464"/>
      <c r="AE4400" s="465"/>
    </row>
    <row r="4401" spans="27:31" ht="14.4">
      <c r="AA4401" s="463"/>
      <c r="AB4401" s="462"/>
      <c r="AC4401" s="462"/>
      <c r="AD4401" s="464"/>
      <c r="AE4401" s="465"/>
    </row>
    <row r="4402" spans="27:31" ht="14.4">
      <c r="AA4402" s="463"/>
      <c r="AB4402" s="462"/>
      <c r="AC4402" s="462"/>
      <c r="AD4402" s="464"/>
      <c r="AE4402" s="465"/>
    </row>
    <row r="4403" spans="27:31" ht="14.4">
      <c r="AA4403" s="463"/>
      <c r="AB4403" s="462"/>
      <c r="AC4403" s="462"/>
      <c r="AD4403" s="464"/>
      <c r="AE4403" s="465"/>
    </row>
    <row r="4404" spans="27:31" ht="14.4">
      <c r="AA4404" s="463"/>
      <c r="AB4404" s="462"/>
      <c r="AC4404" s="462"/>
      <c r="AD4404" s="464"/>
      <c r="AE4404" s="465"/>
    </row>
    <row r="4405" spans="27:31" ht="14.4">
      <c r="AA4405" s="463"/>
      <c r="AB4405" s="462"/>
      <c r="AC4405" s="462"/>
      <c r="AD4405" s="464"/>
      <c r="AE4405" s="465"/>
    </row>
    <row r="4406" spans="27:31" ht="14.4">
      <c r="AA4406" s="463"/>
      <c r="AB4406" s="462"/>
      <c r="AC4406" s="462"/>
      <c r="AD4406" s="464"/>
      <c r="AE4406" s="465"/>
    </row>
    <row r="4407" spans="27:31" ht="14.4">
      <c r="AA4407" s="463"/>
      <c r="AB4407" s="462"/>
      <c r="AC4407" s="462"/>
      <c r="AD4407" s="464"/>
      <c r="AE4407" s="465"/>
    </row>
    <row r="4408" spans="27:31" ht="14.4">
      <c r="AA4408" s="463"/>
      <c r="AB4408" s="462"/>
      <c r="AC4408" s="462"/>
      <c r="AD4408" s="464"/>
      <c r="AE4408" s="465"/>
    </row>
    <row r="4409" spans="27:31" ht="14.4">
      <c r="AA4409" s="463"/>
      <c r="AB4409" s="462"/>
      <c r="AC4409" s="462"/>
      <c r="AD4409" s="464"/>
      <c r="AE4409" s="465"/>
    </row>
    <row r="4410" spans="27:31" ht="14.4">
      <c r="AA4410" s="463"/>
      <c r="AB4410" s="462"/>
      <c r="AC4410" s="462"/>
      <c r="AD4410" s="464"/>
      <c r="AE4410" s="465"/>
    </row>
    <row r="4411" spans="27:31" ht="14.4">
      <c r="AA4411" s="463"/>
      <c r="AB4411" s="462"/>
      <c r="AC4411" s="462"/>
      <c r="AD4411" s="464"/>
      <c r="AE4411" s="465"/>
    </row>
    <row r="4412" spans="27:31" ht="14.4">
      <c r="AA4412" s="463"/>
      <c r="AB4412" s="462"/>
      <c r="AC4412" s="462"/>
      <c r="AD4412" s="464"/>
      <c r="AE4412" s="465"/>
    </row>
    <row r="4413" spans="27:31" ht="14.4">
      <c r="AA4413" s="463"/>
      <c r="AB4413" s="462"/>
      <c r="AC4413" s="462"/>
      <c r="AD4413" s="464"/>
      <c r="AE4413" s="465"/>
    </row>
    <row r="4414" spans="27:31" ht="14.4">
      <c r="AA4414" s="463"/>
      <c r="AB4414" s="462"/>
      <c r="AC4414" s="462"/>
      <c r="AD4414" s="464"/>
      <c r="AE4414" s="465"/>
    </row>
    <row r="4415" spans="27:31" ht="14.4">
      <c r="AA4415" s="463"/>
      <c r="AB4415" s="462"/>
      <c r="AC4415" s="462"/>
      <c r="AD4415" s="464"/>
      <c r="AE4415" s="465"/>
    </row>
    <row r="4416" spans="27:31" ht="14.4">
      <c r="AA4416" s="463"/>
      <c r="AB4416" s="462"/>
      <c r="AC4416" s="462"/>
      <c r="AD4416" s="464"/>
      <c r="AE4416" s="465"/>
    </row>
    <row r="4417" spans="27:31" ht="14.4">
      <c r="AA4417" s="463"/>
      <c r="AB4417" s="462"/>
      <c r="AC4417" s="462"/>
      <c r="AD4417" s="464"/>
      <c r="AE4417" s="465"/>
    </row>
    <row r="4418" spans="27:31" ht="14.4">
      <c r="AA4418" s="463"/>
      <c r="AB4418" s="462"/>
      <c r="AC4418" s="462"/>
      <c r="AD4418" s="464"/>
      <c r="AE4418" s="465"/>
    </row>
    <row r="4419" spans="27:31" ht="14.4">
      <c r="AA4419" s="463"/>
      <c r="AB4419" s="462"/>
      <c r="AC4419" s="462"/>
      <c r="AD4419" s="464"/>
      <c r="AE4419" s="465"/>
    </row>
    <row r="4420" spans="27:31" ht="14.4">
      <c r="AA4420" s="463"/>
      <c r="AB4420" s="462"/>
      <c r="AC4420" s="462"/>
      <c r="AD4420" s="464"/>
      <c r="AE4420" s="465"/>
    </row>
    <row r="4421" spans="27:31" ht="14.4">
      <c r="AA4421" s="463"/>
      <c r="AB4421" s="462"/>
      <c r="AC4421" s="462"/>
      <c r="AD4421" s="464"/>
      <c r="AE4421" s="465"/>
    </row>
    <row r="4422" spans="27:31" ht="14.4">
      <c r="AA4422" s="463"/>
      <c r="AB4422" s="462"/>
      <c r="AC4422" s="462"/>
      <c r="AD4422" s="464"/>
      <c r="AE4422" s="465"/>
    </row>
    <row r="4423" spans="27:31" ht="14.4">
      <c r="AA4423" s="463"/>
      <c r="AB4423" s="462"/>
      <c r="AC4423" s="462"/>
      <c r="AD4423" s="464"/>
      <c r="AE4423" s="465"/>
    </row>
    <row r="4424" spans="27:31" ht="14.4">
      <c r="AA4424" s="463"/>
      <c r="AB4424" s="462"/>
      <c r="AC4424" s="462"/>
      <c r="AD4424" s="464"/>
      <c r="AE4424" s="465"/>
    </row>
    <row r="4425" spans="27:31" ht="14.4">
      <c r="AA4425" s="463"/>
      <c r="AB4425" s="462"/>
      <c r="AC4425" s="462"/>
      <c r="AD4425" s="464"/>
      <c r="AE4425" s="465"/>
    </row>
    <row r="4426" spans="27:31" ht="14.4">
      <c r="AA4426" s="463"/>
      <c r="AB4426" s="462"/>
      <c r="AC4426" s="462"/>
      <c r="AD4426" s="464"/>
      <c r="AE4426" s="465"/>
    </row>
    <row r="4427" spans="27:31" ht="14.4">
      <c r="AA4427" s="463"/>
      <c r="AB4427" s="462"/>
      <c r="AC4427" s="462"/>
      <c r="AD4427" s="464"/>
      <c r="AE4427" s="465"/>
    </row>
    <row r="4428" spans="27:31" ht="14.4">
      <c r="AA4428" s="463"/>
      <c r="AB4428" s="462"/>
      <c r="AC4428" s="462"/>
      <c r="AD4428" s="464"/>
      <c r="AE4428" s="465"/>
    </row>
    <row r="4429" spans="27:31" ht="14.4">
      <c r="AA4429" s="463"/>
      <c r="AB4429" s="462"/>
      <c r="AC4429" s="462"/>
      <c r="AD4429" s="464"/>
      <c r="AE4429" s="465"/>
    </row>
    <row r="4430" spans="27:31" ht="14.4">
      <c r="AA4430" s="463"/>
      <c r="AB4430" s="462"/>
      <c r="AC4430" s="462"/>
      <c r="AD4430" s="464"/>
      <c r="AE4430" s="465"/>
    </row>
    <row r="4431" spans="27:31" ht="14.4">
      <c r="AA4431" s="463"/>
      <c r="AB4431" s="462"/>
      <c r="AC4431" s="462"/>
      <c r="AD4431" s="464"/>
      <c r="AE4431" s="465"/>
    </row>
    <row r="4432" spans="27:31" ht="14.4">
      <c r="AA4432" s="463"/>
      <c r="AB4432" s="462"/>
      <c r="AC4432" s="462"/>
      <c r="AD4432" s="464"/>
      <c r="AE4432" s="465"/>
    </row>
    <row r="4433" spans="27:31" ht="14.4">
      <c r="AA4433" s="463"/>
      <c r="AB4433" s="462"/>
      <c r="AC4433" s="462"/>
      <c r="AD4433" s="464"/>
      <c r="AE4433" s="465"/>
    </row>
    <row r="4434" spans="27:31" ht="14.4">
      <c r="AA4434" s="463"/>
      <c r="AB4434" s="462"/>
      <c r="AC4434" s="462"/>
      <c r="AD4434" s="464"/>
      <c r="AE4434" s="465"/>
    </row>
    <row r="4435" spans="27:31" ht="14.4">
      <c r="AA4435" s="463"/>
      <c r="AB4435" s="462"/>
      <c r="AC4435" s="462"/>
      <c r="AD4435" s="464"/>
      <c r="AE4435" s="465"/>
    </row>
    <row r="4436" spans="27:31" ht="14.4">
      <c r="AA4436" s="463"/>
      <c r="AB4436" s="462"/>
      <c r="AC4436" s="462"/>
      <c r="AD4436" s="464"/>
      <c r="AE4436" s="465"/>
    </row>
    <row r="4437" spans="27:31" ht="14.4">
      <c r="AA4437" s="463"/>
      <c r="AB4437" s="462"/>
      <c r="AC4437" s="462"/>
      <c r="AD4437" s="464"/>
      <c r="AE4437" s="465"/>
    </row>
    <row r="4438" spans="27:31" ht="14.4">
      <c r="AA4438" s="463"/>
      <c r="AB4438" s="462"/>
      <c r="AC4438" s="462"/>
      <c r="AD4438" s="464"/>
      <c r="AE4438" s="465"/>
    </row>
    <row r="4439" spans="27:31" ht="14.4">
      <c r="AA4439" s="463"/>
      <c r="AB4439" s="462"/>
      <c r="AC4439" s="462"/>
      <c r="AD4439" s="464"/>
      <c r="AE4439" s="465"/>
    </row>
    <row r="4440" spans="27:31" ht="14.4">
      <c r="AA4440" s="463"/>
      <c r="AB4440" s="462"/>
      <c r="AC4440" s="462"/>
      <c r="AD4440" s="464"/>
      <c r="AE4440" s="465"/>
    </row>
    <row r="4441" spans="27:31" ht="14.4">
      <c r="AA4441" s="463"/>
      <c r="AB4441" s="462"/>
      <c r="AC4441" s="462"/>
      <c r="AD4441" s="464"/>
      <c r="AE4441" s="465"/>
    </row>
    <row r="4442" spans="27:31" ht="14.4">
      <c r="AA4442" s="463"/>
      <c r="AB4442" s="462"/>
      <c r="AC4442" s="462"/>
      <c r="AD4442" s="464"/>
      <c r="AE4442" s="465"/>
    </row>
    <row r="4443" spans="27:31" ht="14.4">
      <c r="AA4443" s="463"/>
      <c r="AB4443" s="462"/>
      <c r="AC4443" s="462"/>
      <c r="AD4443" s="464"/>
      <c r="AE4443" s="465"/>
    </row>
    <row r="4444" spans="27:31" ht="14.4">
      <c r="AA4444" s="463"/>
      <c r="AB4444" s="462"/>
      <c r="AC4444" s="462"/>
      <c r="AD4444" s="464"/>
      <c r="AE4444" s="465"/>
    </row>
    <row r="4445" spans="27:31" ht="14.4">
      <c r="AA4445" s="463"/>
      <c r="AB4445" s="462"/>
      <c r="AC4445" s="462"/>
      <c r="AD4445" s="464"/>
      <c r="AE4445" s="465"/>
    </row>
    <row r="4446" spans="27:31" ht="14.4">
      <c r="AA4446" s="463"/>
      <c r="AB4446" s="462"/>
      <c r="AC4446" s="462"/>
      <c r="AD4446" s="464"/>
      <c r="AE4446" s="465"/>
    </row>
    <row r="4447" spans="27:31" ht="14.4">
      <c r="AA4447" s="463"/>
      <c r="AB4447" s="462"/>
      <c r="AC4447" s="462"/>
      <c r="AD4447" s="464"/>
      <c r="AE4447" s="465"/>
    </row>
    <row r="4448" spans="27:31" ht="14.4">
      <c r="AA4448" s="463"/>
      <c r="AB4448" s="462"/>
      <c r="AC4448" s="462"/>
      <c r="AD4448" s="464"/>
      <c r="AE4448" s="465"/>
    </row>
    <row r="4449" spans="27:31" ht="14.4">
      <c r="AA4449" s="463"/>
      <c r="AB4449" s="462"/>
      <c r="AC4449" s="462"/>
      <c r="AD4449" s="464"/>
      <c r="AE4449" s="465"/>
    </row>
    <row r="4450" spans="27:31" ht="14.4">
      <c r="AA4450" s="463"/>
      <c r="AB4450" s="462"/>
      <c r="AC4450" s="462"/>
      <c r="AD4450" s="464"/>
      <c r="AE4450" s="465"/>
    </row>
    <row r="4451" spans="27:31" ht="14.4">
      <c r="AA4451" s="463"/>
      <c r="AB4451" s="462"/>
      <c r="AC4451" s="462"/>
      <c r="AD4451" s="464"/>
      <c r="AE4451" s="465"/>
    </row>
    <row r="4452" spans="27:31" ht="14.4">
      <c r="AA4452" s="463"/>
      <c r="AB4452" s="462"/>
      <c r="AC4452" s="462"/>
      <c r="AD4452" s="464"/>
      <c r="AE4452" s="465"/>
    </row>
    <row r="4453" spans="27:31" ht="14.4">
      <c r="AA4453" s="463"/>
      <c r="AB4453" s="462"/>
      <c r="AC4453" s="462"/>
      <c r="AD4453" s="464"/>
      <c r="AE4453" s="465"/>
    </row>
    <row r="4454" spans="27:31" ht="14.4">
      <c r="AA4454" s="463"/>
      <c r="AB4454" s="462"/>
      <c r="AC4454" s="462"/>
      <c r="AD4454" s="464"/>
      <c r="AE4454" s="465"/>
    </row>
    <row r="4455" spans="27:31" ht="14.4">
      <c r="AA4455" s="463"/>
      <c r="AB4455" s="462"/>
      <c r="AC4455" s="462"/>
      <c r="AD4455" s="464"/>
      <c r="AE4455" s="465"/>
    </row>
    <row r="4456" spans="27:31" ht="14.4">
      <c r="AA4456" s="463"/>
      <c r="AB4456" s="462"/>
      <c r="AC4456" s="462"/>
      <c r="AD4456" s="464"/>
      <c r="AE4456" s="465"/>
    </row>
    <row r="4457" spans="27:31" ht="14.4">
      <c r="AA4457" s="463"/>
      <c r="AB4457" s="462"/>
      <c r="AC4457" s="462"/>
      <c r="AD4457" s="464"/>
      <c r="AE4457" s="465"/>
    </row>
    <row r="4458" spans="27:31" ht="14.4">
      <c r="AA4458" s="463"/>
      <c r="AB4458" s="462"/>
      <c r="AC4458" s="462"/>
      <c r="AD4458" s="464"/>
      <c r="AE4458" s="465"/>
    </row>
    <row r="4459" spans="27:31" ht="14.4">
      <c r="AA4459" s="463"/>
      <c r="AB4459" s="462"/>
      <c r="AC4459" s="462"/>
      <c r="AD4459" s="464"/>
      <c r="AE4459" s="465"/>
    </row>
    <row r="4460" spans="27:31" ht="14.4">
      <c r="AA4460" s="463"/>
      <c r="AB4460" s="462"/>
      <c r="AC4460" s="462"/>
      <c r="AD4460" s="464"/>
      <c r="AE4460" s="465"/>
    </row>
    <row r="4461" spans="27:31" ht="14.4">
      <c r="AA4461" s="463"/>
      <c r="AB4461" s="462"/>
      <c r="AC4461" s="462"/>
      <c r="AD4461" s="464"/>
      <c r="AE4461" s="465"/>
    </row>
    <row r="4462" spans="27:31" ht="14.4">
      <c r="AA4462" s="463"/>
      <c r="AB4462" s="462"/>
      <c r="AC4462" s="462"/>
      <c r="AD4462" s="464"/>
      <c r="AE4462" s="465"/>
    </row>
    <row r="4463" spans="27:31" ht="14.4">
      <c r="AA4463" s="463"/>
      <c r="AB4463" s="462"/>
      <c r="AC4463" s="462"/>
      <c r="AD4463" s="464"/>
      <c r="AE4463" s="465"/>
    </row>
    <row r="4464" spans="27:31" ht="14.4">
      <c r="AA4464" s="463"/>
      <c r="AB4464" s="462"/>
      <c r="AC4464" s="462"/>
      <c r="AD4464" s="464"/>
      <c r="AE4464" s="465"/>
    </row>
    <row r="4465" spans="27:31" ht="14.4">
      <c r="AA4465" s="463"/>
      <c r="AB4465" s="462"/>
      <c r="AC4465" s="462"/>
      <c r="AD4465" s="464"/>
      <c r="AE4465" s="465"/>
    </row>
    <row r="4466" spans="27:31" ht="14.4">
      <c r="AA4466" s="463"/>
      <c r="AB4466" s="462"/>
      <c r="AC4466" s="462"/>
      <c r="AD4466" s="464"/>
      <c r="AE4466" s="465"/>
    </row>
    <row r="4467" spans="27:31" ht="14.4">
      <c r="AA4467" s="463"/>
      <c r="AB4467" s="462"/>
      <c r="AC4467" s="462"/>
      <c r="AD4467" s="464"/>
      <c r="AE4467" s="465"/>
    </row>
    <row r="4468" spans="27:31" ht="14.4">
      <c r="AA4468" s="463"/>
      <c r="AB4468" s="462"/>
      <c r="AC4468" s="462"/>
      <c r="AD4468" s="464"/>
      <c r="AE4468" s="465"/>
    </row>
    <row r="4469" spans="27:31" ht="14.4">
      <c r="AA4469" s="463"/>
      <c r="AB4469" s="462"/>
      <c r="AC4469" s="462"/>
      <c r="AD4469" s="464"/>
      <c r="AE4469" s="465"/>
    </row>
    <row r="4470" spans="27:31" ht="14.4">
      <c r="AA4470" s="463"/>
      <c r="AB4470" s="462"/>
      <c r="AC4470" s="462"/>
      <c r="AD4470" s="464"/>
      <c r="AE4470" s="465"/>
    </row>
    <row r="4471" spans="27:31" ht="14.4">
      <c r="AA4471" s="463"/>
      <c r="AB4471" s="462"/>
      <c r="AC4471" s="462"/>
      <c r="AD4471" s="464"/>
      <c r="AE4471" s="465"/>
    </row>
    <row r="4472" spans="27:31" ht="14.4">
      <c r="AA4472" s="463"/>
      <c r="AB4472" s="462"/>
      <c r="AC4472" s="462"/>
      <c r="AD4472" s="464"/>
      <c r="AE4472" s="465"/>
    </row>
    <row r="4473" spans="27:31" ht="14.4">
      <c r="AA4473" s="463"/>
      <c r="AB4473" s="462"/>
      <c r="AC4473" s="462"/>
      <c r="AD4473" s="464"/>
      <c r="AE4473" s="465"/>
    </row>
    <row r="4474" spans="27:31" ht="14.4">
      <c r="AA4474" s="463"/>
      <c r="AB4474" s="462"/>
      <c r="AC4474" s="462"/>
      <c r="AD4474" s="464"/>
      <c r="AE4474" s="465"/>
    </row>
    <row r="4475" spans="27:31" ht="14.4">
      <c r="AA4475" s="463"/>
      <c r="AB4475" s="462"/>
      <c r="AC4475" s="462"/>
      <c r="AD4475" s="464"/>
      <c r="AE4475" s="465"/>
    </row>
    <row r="4476" spans="27:31" ht="14.4">
      <c r="AA4476" s="463"/>
      <c r="AB4476" s="462"/>
      <c r="AC4476" s="462"/>
      <c r="AD4476" s="464"/>
      <c r="AE4476" s="465"/>
    </row>
    <row r="4477" spans="27:31" ht="14.4">
      <c r="AA4477" s="463"/>
      <c r="AB4477" s="462"/>
      <c r="AC4477" s="462"/>
      <c r="AD4477" s="464"/>
      <c r="AE4477" s="465"/>
    </row>
    <row r="4478" spans="27:31" ht="14.4">
      <c r="AA4478" s="463"/>
      <c r="AB4478" s="462"/>
      <c r="AC4478" s="462"/>
      <c r="AD4478" s="464"/>
      <c r="AE4478" s="465"/>
    </row>
    <row r="4479" spans="27:31" ht="14.4">
      <c r="AA4479" s="463"/>
      <c r="AB4479" s="462"/>
      <c r="AC4479" s="462"/>
      <c r="AD4479" s="464"/>
      <c r="AE4479" s="465"/>
    </row>
    <row r="4480" spans="27:31" ht="14.4">
      <c r="AA4480" s="463"/>
      <c r="AB4480" s="462"/>
      <c r="AC4480" s="462"/>
      <c r="AD4480" s="464"/>
      <c r="AE4480" s="465"/>
    </row>
    <row r="4481" spans="27:31" ht="14.4">
      <c r="AA4481" s="463"/>
      <c r="AB4481" s="462"/>
      <c r="AC4481" s="462"/>
      <c r="AD4481" s="464"/>
      <c r="AE4481" s="465"/>
    </row>
    <row r="4482" spans="27:31" ht="14.4">
      <c r="AA4482" s="463"/>
      <c r="AB4482" s="462"/>
      <c r="AC4482" s="462"/>
      <c r="AD4482" s="464"/>
      <c r="AE4482" s="465"/>
    </row>
    <row r="4483" spans="27:31" ht="14.4">
      <c r="AA4483" s="463"/>
      <c r="AB4483" s="462"/>
      <c r="AC4483" s="462"/>
      <c r="AD4483" s="464"/>
      <c r="AE4483" s="465"/>
    </row>
    <row r="4484" spans="27:31" ht="14.4">
      <c r="AA4484" s="463"/>
      <c r="AB4484" s="462"/>
      <c r="AC4484" s="462"/>
      <c r="AD4484" s="464"/>
      <c r="AE4484" s="465"/>
    </row>
    <row r="4485" spans="27:31" ht="14.4">
      <c r="AA4485" s="463"/>
      <c r="AB4485" s="462"/>
      <c r="AC4485" s="462"/>
      <c r="AD4485" s="464"/>
      <c r="AE4485" s="465"/>
    </row>
    <row r="4486" spans="27:31" ht="14.4">
      <c r="AA4486" s="463"/>
      <c r="AB4486" s="462"/>
      <c r="AC4486" s="462"/>
      <c r="AD4486" s="464"/>
      <c r="AE4486" s="465"/>
    </row>
    <row r="4487" spans="27:31" ht="14.4">
      <c r="AA4487" s="463"/>
      <c r="AB4487" s="462"/>
      <c r="AC4487" s="462"/>
      <c r="AD4487" s="464"/>
      <c r="AE4487" s="465"/>
    </row>
    <row r="4488" spans="27:31" ht="14.4">
      <c r="AA4488" s="463"/>
      <c r="AB4488" s="462"/>
      <c r="AC4488" s="462"/>
      <c r="AD4488" s="464"/>
      <c r="AE4488" s="465"/>
    </row>
    <row r="4489" spans="27:31" ht="14.4">
      <c r="AA4489" s="463"/>
      <c r="AB4489" s="462"/>
      <c r="AC4489" s="462"/>
      <c r="AD4489" s="464"/>
      <c r="AE4489" s="465"/>
    </row>
    <row r="4490" spans="27:31" ht="14.4">
      <c r="AA4490" s="463"/>
      <c r="AB4490" s="462"/>
      <c r="AC4490" s="462"/>
      <c r="AD4490" s="464"/>
      <c r="AE4490" s="465"/>
    </row>
    <row r="4491" spans="27:31" ht="14.4">
      <c r="AA4491" s="463"/>
      <c r="AB4491" s="462"/>
      <c r="AC4491" s="462"/>
      <c r="AD4491" s="464"/>
      <c r="AE4491" s="465"/>
    </row>
    <row r="4492" spans="27:31" ht="14.4">
      <c r="AA4492" s="463"/>
      <c r="AB4492" s="462"/>
      <c r="AC4492" s="462"/>
      <c r="AD4492" s="464"/>
      <c r="AE4492" s="465"/>
    </row>
    <row r="4493" spans="27:31" ht="14.4">
      <c r="AA4493" s="463"/>
      <c r="AB4493" s="462"/>
      <c r="AC4493" s="462"/>
      <c r="AD4493" s="464"/>
      <c r="AE4493" s="465"/>
    </row>
    <row r="4494" spans="27:31" ht="14.4">
      <c r="AA4494" s="463"/>
      <c r="AB4494" s="462"/>
      <c r="AC4494" s="462"/>
      <c r="AD4494" s="464"/>
      <c r="AE4494" s="465"/>
    </row>
    <row r="4495" spans="27:31" ht="14.4">
      <c r="AA4495" s="463"/>
      <c r="AB4495" s="462"/>
      <c r="AC4495" s="462"/>
      <c r="AD4495" s="464"/>
      <c r="AE4495" s="465"/>
    </row>
    <row r="4496" spans="27:31" ht="14.4">
      <c r="AA4496" s="463"/>
      <c r="AB4496" s="462"/>
      <c r="AC4496" s="462"/>
      <c r="AD4496" s="464"/>
      <c r="AE4496" s="465"/>
    </row>
    <row r="4497" spans="27:31" ht="14.4">
      <c r="AA4497" s="463"/>
      <c r="AB4497" s="462"/>
      <c r="AC4497" s="462"/>
      <c r="AD4497" s="464"/>
      <c r="AE4497" s="465"/>
    </row>
    <row r="4498" spans="27:31" ht="14.4">
      <c r="AA4498" s="463"/>
      <c r="AB4498" s="462"/>
      <c r="AC4498" s="462"/>
      <c r="AD4498" s="464"/>
      <c r="AE4498" s="465"/>
    </row>
    <row r="4499" spans="27:31" ht="14.4">
      <c r="AA4499" s="463"/>
      <c r="AB4499" s="462"/>
      <c r="AC4499" s="462"/>
      <c r="AD4499" s="464"/>
      <c r="AE4499" s="465"/>
    </row>
    <row r="4500" spans="27:31" ht="14.4">
      <c r="AA4500" s="463"/>
      <c r="AB4500" s="462"/>
      <c r="AC4500" s="462"/>
      <c r="AD4500" s="464"/>
      <c r="AE4500" s="465"/>
    </row>
    <row r="4501" spans="27:31" ht="14.4">
      <c r="AA4501" s="463"/>
      <c r="AB4501" s="462"/>
      <c r="AC4501" s="462"/>
      <c r="AD4501" s="464"/>
      <c r="AE4501" s="465"/>
    </row>
    <row r="4502" spans="27:31" ht="14.4">
      <c r="AA4502" s="463"/>
      <c r="AB4502" s="462"/>
      <c r="AC4502" s="462"/>
      <c r="AD4502" s="464"/>
      <c r="AE4502" s="465"/>
    </row>
    <row r="4503" spans="27:31" ht="14.4">
      <c r="AA4503" s="463"/>
      <c r="AB4503" s="462"/>
      <c r="AC4503" s="462"/>
      <c r="AD4503" s="464"/>
      <c r="AE4503" s="465"/>
    </row>
    <row r="4504" spans="27:31" ht="14.4">
      <c r="AA4504" s="463"/>
      <c r="AB4504" s="462"/>
      <c r="AC4504" s="462"/>
      <c r="AD4504" s="464"/>
      <c r="AE4504" s="465"/>
    </row>
    <row r="4505" spans="27:31" ht="14.4">
      <c r="AA4505" s="463"/>
      <c r="AB4505" s="462"/>
      <c r="AC4505" s="462"/>
      <c r="AD4505" s="464"/>
      <c r="AE4505" s="465"/>
    </row>
    <row r="4506" spans="27:31" ht="14.4">
      <c r="AA4506" s="463"/>
      <c r="AB4506" s="462"/>
      <c r="AC4506" s="462"/>
      <c r="AD4506" s="464"/>
      <c r="AE4506" s="465"/>
    </row>
    <row r="4507" spans="27:31" ht="14.4">
      <c r="AA4507" s="463"/>
      <c r="AB4507" s="462"/>
      <c r="AC4507" s="462"/>
      <c r="AD4507" s="464"/>
      <c r="AE4507" s="465"/>
    </row>
    <row r="4508" spans="27:31" ht="14.4">
      <c r="AA4508" s="463"/>
      <c r="AB4508" s="462"/>
      <c r="AC4508" s="462"/>
      <c r="AD4508" s="464"/>
      <c r="AE4508" s="465"/>
    </row>
    <row r="4509" spans="27:31" ht="14.4">
      <c r="AA4509" s="463"/>
      <c r="AB4509" s="462"/>
      <c r="AC4509" s="462"/>
      <c r="AD4509" s="464"/>
      <c r="AE4509" s="465"/>
    </row>
    <row r="4510" spans="27:31" ht="14.4">
      <c r="AA4510" s="463"/>
      <c r="AB4510" s="462"/>
      <c r="AC4510" s="462"/>
      <c r="AD4510" s="464"/>
      <c r="AE4510" s="465"/>
    </row>
    <row r="4511" spans="27:31" ht="14.4">
      <c r="AA4511" s="463"/>
      <c r="AB4511" s="462"/>
      <c r="AC4511" s="462"/>
      <c r="AD4511" s="464"/>
      <c r="AE4511" s="465"/>
    </row>
    <row r="4512" spans="27:31" ht="14.4">
      <c r="AA4512" s="463"/>
      <c r="AB4512" s="462"/>
      <c r="AC4512" s="462"/>
      <c r="AD4512" s="464"/>
      <c r="AE4512" s="465"/>
    </row>
    <row r="4513" spans="27:31" ht="14.4">
      <c r="AA4513" s="463"/>
      <c r="AB4513" s="462"/>
      <c r="AC4513" s="462"/>
      <c r="AD4513" s="464"/>
      <c r="AE4513" s="465"/>
    </row>
    <row r="4514" spans="27:31" ht="14.4">
      <c r="AA4514" s="463"/>
      <c r="AB4514" s="462"/>
      <c r="AC4514" s="462"/>
      <c r="AD4514" s="464"/>
      <c r="AE4514" s="465"/>
    </row>
    <row r="4515" spans="27:31" ht="14.4">
      <c r="AA4515" s="463"/>
      <c r="AB4515" s="462"/>
      <c r="AC4515" s="462"/>
      <c r="AD4515" s="464"/>
      <c r="AE4515" s="465"/>
    </row>
    <row r="4516" spans="27:31" ht="14.4">
      <c r="AA4516" s="463"/>
      <c r="AB4516" s="462"/>
      <c r="AC4516" s="462"/>
      <c r="AD4516" s="464"/>
      <c r="AE4516" s="465"/>
    </row>
    <row r="4517" spans="27:31" ht="14.4">
      <c r="AA4517" s="463"/>
      <c r="AB4517" s="462"/>
      <c r="AC4517" s="462"/>
      <c r="AD4517" s="464"/>
      <c r="AE4517" s="465"/>
    </row>
    <row r="4518" spans="27:31" ht="14.4">
      <c r="AA4518" s="463"/>
      <c r="AB4518" s="462"/>
      <c r="AC4518" s="462"/>
      <c r="AD4518" s="464"/>
      <c r="AE4518" s="465"/>
    </row>
    <row r="4519" spans="27:31" ht="14.4">
      <c r="AA4519" s="463"/>
      <c r="AB4519" s="462"/>
      <c r="AC4519" s="462"/>
      <c r="AD4519" s="464"/>
      <c r="AE4519" s="465"/>
    </row>
    <row r="4520" spans="27:31" ht="14.4">
      <c r="AA4520" s="463"/>
      <c r="AB4520" s="462"/>
      <c r="AC4520" s="462"/>
      <c r="AD4520" s="464"/>
      <c r="AE4520" s="465"/>
    </row>
    <row r="4521" spans="27:31" ht="14.4">
      <c r="AA4521" s="463"/>
      <c r="AB4521" s="462"/>
      <c r="AC4521" s="462"/>
      <c r="AD4521" s="464"/>
      <c r="AE4521" s="465"/>
    </row>
    <row r="4522" spans="27:31" ht="14.4">
      <c r="AA4522" s="463"/>
      <c r="AB4522" s="462"/>
      <c r="AC4522" s="462"/>
      <c r="AD4522" s="464"/>
      <c r="AE4522" s="465"/>
    </row>
    <row r="4523" spans="27:31" ht="14.4">
      <c r="AA4523" s="463"/>
      <c r="AB4523" s="462"/>
      <c r="AC4523" s="462"/>
      <c r="AD4523" s="464"/>
      <c r="AE4523" s="465"/>
    </row>
    <row r="4524" spans="27:31" ht="14.4">
      <c r="AA4524" s="463"/>
      <c r="AB4524" s="462"/>
      <c r="AC4524" s="462"/>
      <c r="AD4524" s="464"/>
      <c r="AE4524" s="465"/>
    </row>
    <row r="4525" spans="27:31" ht="14.4">
      <c r="AA4525" s="463"/>
      <c r="AB4525" s="462"/>
      <c r="AC4525" s="462"/>
      <c r="AD4525" s="464"/>
      <c r="AE4525" s="465"/>
    </row>
    <row r="4526" spans="27:31" ht="14.4">
      <c r="AA4526" s="463"/>
      <c r="AB4526" s="462"/>
      <c r="AC4526" s="462"/>
      <c r="AD4526" s="464"/>
      <c r="AE4526" s="465"/>
    </row>
    <row r="4527" spans="27:31" ht="14.4">
      <c r="AA4527" s="463"/>
      <c r="AB4527" s="462"/>
      <c r="AC4527" s="462"/>
      <c r="AD4527" s="464"/>
      <c r="AE4527" s="465"/>
    </row>
    <row r="4528" spans="27:31" ht="14.4">
      <c r="AA4528" s="463"/>
      <c r="AB4528" s="462"/>
      <c r="AC4528" s="462"/>
      <c r="AD4528" s="464"/>
      <c r="AE4528" s="465"/>
    </row>
    <row r="4529" spans="27:31" ht="14.4">
      <c r="AA4529" s="463"/>
      <c r="AB4529" s="462"/>
      <c r="AC4529" s="462"/>
      <c r="AD4529" s="464"/>
      <c r="AE4529" s="465"/>
    </row>
    <row r="4530" spans="27:31" ht="14.4">
      <c r="AA4530" s="463"/>
      <c r="AB4530" s="462"/>
      <c r="AC4530" s="462"/>
      <c r="AD4530" s="464"/>
      <c r="AE4530" s="465"/>
    </row>
    <row r="4531" spans="27:31" ht="14.4">
      <c r="AA4531" s="463"/>
      <c r="AB4531" s="462"/>
      <c r="AC4531" s="462"/>
      <c r="AD4531" s="464"/>
      <c r="AE4531" s="465"/>
    </row>
    <row r="4532" spans="27:31" ht="14.4">
      <c r="AA4532" s="463"/>
      <c r="AB4532" s="462"/>
      <c r="AC4532" s="462"/>
      <c r="AD4532" s="464"/>
      <c r="AE4532" s="465"/>
    </row>
    <row r="4533" spans="27:31" ht="14.4">
      <c r="AA4533" s="463"/>
      <c r="AB4533" s="462"/>
      <c r="AC4533" s="462"/>
      <c r="AD4533" s="464"/>
      <c r="AE4533" s="465"/>
    </row>
    <row r="4534" spans="27:31" ht="14.4">
      <c r="AA4534" s="463"/>
      <c r="AB4534" s="462"/>
      <c r="AC4534" s="462"/>
      <c r="AD4534" s="464"/>
      <c r="AE4534" s="465"/>
    </row>
    <row r="4535" spans="27:31" ht="14.4">
      <c r="AA4535" s="463"/>
      <c r="AB4535" s="462"/>
      <c r="AC4535" s="462"/>
      <c r="AD4535" s="464"/>
      <c r="AE4535" s="465"/>
    </row>
    <row r="4536" spans="27:31" ht="14.4">
      <c r="AA4536" s="463"/>
      <c r="AB4536" s="462"/>
      <c r="AC4536" s="462"/>
      <c r="AD4536" s="464"/>
      <c r="AE4536" s="465"/>
    </row>
    <row r="4537" spans="27:31" ht="14.4">
      <c r="AA4537" s="463"/>
      <c r="AB4537" s="462"/>
      <c r="AC4537" s="462"/>
      <c r="AD4537" s="464"/>
      <c r="AE4537" s="465"/>
    </row>
    <row r="4538" spans="27:31" ht="14.4">
      <c r="AA4538" s="463"/>
      <c r="AB4538" s="462"/>
      <c r="AC4538" s="462"/>
      <c r="AD4538" s="464"/>
      <c r="AE4538" s="465"/>
    </row>
    <row r="4539" spans="27:31" ht="14.4">
      <c r="AA4539" s="463"/>
      <c r="AB4539" s="462"/>
      <c r="AC4539" s="462"/>
      <c r="AD4539" s="464"/>
      <c r="AE4539" s="465"/>
    </row>
    <row r="4540" spans="27:31" ht="14.4">
      <c r="AA4540" s="463"/>
      <c r="AB4540" s="462"/>
      <c r="AC4540" s="462"/>
      <c r="AD4540" s="464"/>
      <c r="AE4540" s="465"/>
    </row>
    <row r="4541" spans="27:31" ht="14.4">
      <c r="AA4541" s="463"/>
      <c r="AB4541" s="462"/>
      <c r="AC4541" s="462"/>
      <c r="AD4541" s="464"/>
      <c r="AE4541" s="465"/>
    </row>
    <row r="4542" spans="27:31" ht="14.4">
      <c r="AA4542" s="463"/>
      <c r="AB4542" s="462"/>
      <c r="AC4542" s="462"/>
      <c r="AD4542" s="464"/>
      <c r="AE4542" s="465"/>
    </row>
    <row r="4543" spans="27:31" ht="14.4">
      <c r="AA4543" s="463"/>
      <c r="AB4543" s="462"/>
      <c r="AC4543" s="462"/>
      <c r="AD4543" s="464"/>
      <c r="AE4543" s="465"/>
    </row>
    <row r="4544" spans="27:31" ht="14.4">
      <c r="AA4544" s="463"/>
      <c r="AB4544" s="462"/>
      <c r="AC4544" s="462"/>
      <c r="AD4544" s="464"/>
      <c r="AE4544" s="465"/>
    </row>
    <row r="4545" spans="27:31" ht="14.4">
      <c r="AA4545" s="463"/>
      <c r="AB4545" s="462"/>
      <c r="AC4545" s="462"/>
      <c r="AD4545" s="464"/>
      <c r="AE4545" s="465"/>
    </row>
    <row r="4546" spans="27:31" ht="14.4">
      <c r="AA4546" s="463"/>
      <c r="AB4546" s="462"/>
      <c r="AC4546" s="462"/>
      <c r="AD4546" s="464"/>
      <c r="AE4546" s="465"/>
    </row>
    <row r="4547" spans="27:31" ht="14.4">
      <c r="AA4547" s="463"/>
      <c r="AB4547" s="462"/>
      <c r="AC4547" s="462"/>
      <c r="AD4547" s="464"/>
      <c r="AE4547" s="465"/>
    </row>
    <row r="4548" spans="27:31" ht="14.4">
      <c r="AA4548" s="463"/>
      <c r="AB4548" s="462"/>
      <c r="AC4548" s="462"/>
      <c r="AD4548" s="464"/>
      <c r="AE4548" s="465"/>
    </row>
    <row r="4549" spans="27:31" ht="14.4">
      <c r="AA4549" s="463"/>
      <c r="AB4549" s="462"/>
      <c r="AC4549" s="462"/>
      <c r="AD4549" s="464"/>
      <c r="AE4549" s="465"/>
    </row>
    <row r="4550" spans="27:31" ht="14.4">
      <c r="AA4550" s="463"/>
      <c r="AB4550" s="462"/>
      <c r="AC4550" s="462"/>
      <c r="AD4550" s="464"/>
      <c r="AE4550" s="465"/>
    </row>
    <row r="4551" spans="27:31" ht="14.4">
      <c r="AA4551" s="463"/>
      <c r="AB4551" s="462"/>
      <c r="AC4551" s="462"/>
      <c r="AD4551" s="464"/>
      <c r="AE4551" s="465"/>
    </row>
    <row r="4552" spans="27:31" ht="14.4">
      <c r="AA4552" s="463"/>
      <c r="AB4552" s="462"/>
      <c r="AC4552" s="462"/>
      <c r="AD4552" s="464"/>
      <c r="AE4552" s="465"/>
    </row>
    <row r="4553" spans="27:31" ht="14.4">
      <c r="AA4553" s="463"/>
      <c r="AB4553" s="462"/>
      <c r="AC4553" s="462"/>
      <c r="AD4553" s="464"/>
      <c r="AE4553" s="465"/>
    </row>
    <row r="4554" spans="27:31" ht="14.4">
      <c r="AA4554" s="463"/>
      <c r="AB4554" s="462"/>
      <c r="AC4554" s="462"/>
      <c r="AD4554" s="464"/>
      <c r="AE4554" s="465"/>
    </row>
    <row r="4555" spans="27:31" ht="14.4">
      <c r="AA4555" s="463"/>
      <c r="AB4555" s="462"/>
      <c r="AC4555" s="462"/>
      <c r="AD4555" s="464"/>
      <c r="AE4555" s="465"/>
    </row>
    <row r="4556" spans="27:31" ht="14.4">
      <c r="AA4556" s="463"/>
      <c r="AB4556" s="462"/>
      <c r="AC4556" s="462"/>
      <c r="AD4556" s="464"/>
      <c r="AE4556" s="465"/>
    </row>
    <row r="4557" spans="27:31" ht="14.4">
      <c r="AA4557" s="463"/>
      <c r="AB4557" s="462"/>
      <c r="AC4557" s="462"/>
      <c r="AD4557" s="464"/>
      <c r="AE4557" s="465"/>
    </row>
    <row r="4558" spans="27:31" ht="14.4">
      <c r="AA4558" s="463"/>
      <c r="AB4558" s="462"/>
      <c r="AC4558" s="462"/>
      <c r="AD4558" s="464"/>
      <c r="AE4558" s="465"/>
    </row>
    <row r="4559" spans="27:31" ht="14.4">
      <c r="AA4559" s="463"/>
      <c r="AB4559" s="462"/>
      <c r="AC4559" s="462"/>
      <c r="AD4559" s="464"/>
      <c r="AE4559" s="465"/>
    </row>
    <row r="4560" spans="27:31" ht="14.4">
      <c r="AA4560" s="463"/>
      <c r="AB4560" s="462"/>
      <c r="AC4560" s="462"/>
      <c r="AD4560" s="464"/>
      <c r="AE4560" s="465"/>
    </row>
    <row r="4561" spans="27:31" ht="14.4">
      <c r="AA4561" s="463"/>
      <c r="AB4561" s="462"/>
      <c r="AC4561" s="462"/>
      <c r="AD4561" s="464"/>
      <c r="AE4561" s="465"/>
    </row>
    <row r="4562" spans="27:31" ht="14.4">
      <c r="AA4562" s="463"/>
      <c r="AB4562" s="462"/>
      <c r="AC4562" s="462"/>
      <c r="AD4562" s="464"/>
      <c r="AE4562" s="465"/>
    </row>
    <row r="4563" spans="27:31" ht="14.4">
      <c r="AA4563" s="463"/>
      <c r="AB4563" s="462"/>
      <c r="AC4563" s="462"/>
      <c r="AD4563" s="464"/>
      <c r="AE4563" s="465"/>
    </row>
    <row r="4564" spans="27:31" ht="14.4">
      <c r="AA4564" s="463"/>
      <c r="AB4564" s="462"/>
      <c r="AC4564" s="462"/>
      <c r="AD4564" s="464"/>
      <c r="AE4564" s="465"/>
    </row>
    <row r="4565" spans="27:31" ht="14.4">
      <c r="AA4565" s="463"/>
      <c r="AB4565" s="462"/>
      <c r="AC4565" s="462"/>
      <c r="AD4565" s="464"/>
      <c r="AE4565" s="465"/>
    </row>
    <row r="4566" spans="27:31" ht="14.4">
      <c r="AA4566" s="463"/>
      <c r="AB4566" s="462"/>
      <c r="AC4566" s="462"/>
      <c r="AD4566" s="464"/>
      <c r="AE4566" s="465"/>
    </row>
    <row r="4567" spans="27:31" ht="14.4">
      <c r="AA4567" s="463"/>
      <c r="AB4567" s="462"/>
      <c r="AC4567" s="462"/>
      <c r="AD4567" s="464"/>
      <c r="AE4567" s="465"/>
    </row>
    <row r="4568" spans="27:31" ht="14.4">
      <c r="AA4568" s="463"/>
      <c r="AB4568" s="462"/>
      <c r="AC4568" s="462"/>
      <c r="AD4568" s="464"/>
      <c r="AE4568" s="465"/>
    </row>
    <row r="4569" spans="27:31" ht="14.4">
      <c r="AA4569" s="463"/>
      <c r="AB4569" s="462"/>
      <c r="AC4569" s="462"/>
      <c r="AD4569" s="464"/>
      <c r="AE4569" s="465"/>
    </row>
    <row r="4570" spans="27:31" ht="14.4">
      <c r="AA4570" s="463"/>
      <c r="AB4570" s="462"/>
      <c r="AC4570" s="462"/>
      <c r="AD4570" s="464"/>
      <c r="AE4570" s="465"/>
    </row>
    <row r="4571" spans="27:31" ht="14.4">
      <c r="AA4571" s="463"/>
      <c r="AB4571" s="462"/>
      <c r="AC4571" s="462"/>
      <c r="AD4571" s="464"/>
      <c r="AE4571" s="465"/>
    </row>
    <row r="4572" spans="27:31" ht="14.4">
      <c r="AA4572" s="463"/>
      <c r="AB4572" s="462"/>
      <c r="AC4572" s="462"/>
      <c r="AD4572" s="464"/>
      <c r="AE4572" s="465"/>
    </row>
    <row r="4573" spans="27:31" ht="14.4">
      <c r="AA4573" s="463"/>
      <c r="AB4573" s="462"/>
      <c r="AC4573" s="462"/>
      <c r="AD4573" s="464"/>
      <c r="AE4573" s="465"/>
    </row>
    <row r="4574" spans="27:31" ht="14.4">
      <c r="AA4574" s="463"/>
      <c r="AB4574" s="462"/>
      <c r="AC4574" s="462"/>
      <c r="AD4574" s="464"/>
      <c r="AE4574" s="465"/>
    </row>
    <row r="4575" spans="27:31" ht="14.4">
      <c r="AA4575" s="463"/>
      <c r="AB4575" s="462"/>
      <c r="AC4575" s="462"/>
      <c r="AD4575" s="464"/>
      <c r="AE4575" s="465"/>
    </row>
    <row r="4576" spans="27:31" ht="14.4">
      <c r="AA4576" s="463"/>
      <c r="AB4576" s="462"/>
      <c r="AC4576" s="462"/>
      <c r="AD4576" s="464"/>
      <c r="AE4576" s="465"/>
    </row>
    <row r="4577" spans="27:31" ht="14.4">
      <c r="AA4577" s="463"/>
      <c r="AB4577" s="462"/>
      <c r="AC4577" s="462"/>
      <c r="AD4577" s="464"/>
      <c r="AE4577" s="465"/>
    </row>
    <row r="4578" spans="27:31" ht="14.4">
      <c r="AA4578" s="463"/>
      <c r="AB4578" s="462"/>
      <c r="AC4578" s="462"/>
      <c r="AD4578" s="464"/>
      <c r="AE4578" s="465"/>
    </row>
    <row r="4579" spans="27:31" ht="14.4">
      <c r="AA4579" s="463"/>
      <c r="AB4579" s="462"/>
      <c r="AC4579" s="462"/>
      <c r="AD4579" s="464"/>
      <c r="AE4579" s="465"/>
    </row>
    <row r="4580" spans="27:31" ht="14.4">
      <c r="AA4580" s="463"/>
      <c r="AB4580" s="462"/>
      <c r="AC4580" s="462"/>
      <c r="AD4580" s="464"/>
      <c r="AE4580" s="465"/>
    </row>
    <row r="4581" spans="27:31" ht="14.4">
      <c r="AA4581" s="463"/>
      <c r="AB4581" s="462"/>
      <c r="AC4581" s="462"/>
      <c r="AD4581" s="464"/>
      <c r="AE4581" s="465"/>
    </row>
    <row r="4582" spans="27:31" ht="14.4">
      <c r="AA4582" s="463"/>
      <c r="AB4582" s="462"/>
      <c r="AC4582" s="462"/>
      <c r="AD4582" s="464"/>
      <c r="AE4582" s="465"/>
    </row>
    <row r="4583" spans="27:31" ht="14.4">
      <c r="AA4583" s="463"/>
      <c r="AB4583" s="462"/>
      <c r="AC4583" s="462"/>
      <c r="AD4583" s="464"/>
      <c r="AE4583" s="465"/>
    </row>
    <row r="4584" spans="27:31" ht="14.4">
      <c r="AA4584" s="463"/>
      <c r="AB4584" s="462"/>
      <c r="AC4584" s="462"/>
      <c r="AD4584" s="464"/>
      <c r="AE4584" s="465"/>
    </row>
    <row r="4585" spans="27:31" ht="14.4">
      <c r="AA4585" s="463"/>
      <c r="AB4585" s="462"/>
      <c r="AC4585" s="462"/>
      <c r="AD4585" s="464"/>
      <c r="AE4585" s="465"/>
    </row>
    <row r="4586" spans="27:31" ht="14.4">
      <c r="AA4586" s="463"/>
      <c r="AB4586" s="462"/>
      <c r="AC4586" s="462"/>
      <c r="AD4586" s="464"/>
      <c r="AE4586" s="465"/>
    </row>
    <row r="4587" spans="27:31" ht="14.4">
      <c r="AA4587" s="463"/>
      <c r="AB4587" s="462"/>
      <c r="AC4587" s="462"/>
      <c r="AD4587" s="464"/>
      <c r="AE4587" s="465"/>
    </row>
    <row r="4588" spans="27:31" ht="14.4">
      <c r="AA4588" s="463"/>
      <c r="AB4588" s="462"/>
      <c r="AC4588" s="462"/>
      <c r="AD4588" s="464"/>
      <c r="AE4588" s="465"/>
    </row>
    <row r="4589" spans="27:31" ht="14.4">
      <c r="AA4589" s="463"/>
      <c r="AB4589" s="462"/>
      <c r="AC4589" s="462"/>
      <c r="AD4589" s="464"/>
      <c r="AE4589" s="465"/>
    </row>
    <row r="4590" spans="27:31" ht="14.4">
      <c r="AA4590" s="463"/>
      <c r="AB4590" s="462"/>
      <c r="AC4590" s="462"/>
      <c r="AD4590" s="464"/>
      <c r="AE4590" s="465"/>
    </row>
    <row r="4591" spans="27:31" ht="14.4">
      <c r="AA4591" s="463"/>
      <c r="AB4591" s="462"/>
      <c r="AC4591" s="462"/>
      <c r="AD4591" s="464"/>
      <c r="AE4591" s="465"/>
    </row>
    <row r="4592" spans="27:31" ht="14.4">
      <c r="AA4592" s="463"/>
      <c r="AB4592" s="462"/>
      <c r="AC4592" s="462"/>
      <c r="AD4592" s="464"/>
      <c r="AE4592" s="465"/>
    </row>
    <row r="4593" spans="27:31" ht="14.4">
      <c r="AA4593" s="463"/>
      <c r="AB4593" s="462"/>
      <c r="AC4593" s="462"/>
      <c r="AD4593" s="464"/>
      <c r="AE4593" s="465"/>
    </row>
    <row r="4594" spans="27:31" ht="14.4">
      <c r="AA4594" s="463"/>
      <c r="AB4594" s="462"/>
      <c r="AC4594" s="462"/>
      <c r="AD4594" s="464"/>
      <c r="AE4594" s="465"/>
    </row>
    <row r="4595" spans="27:31" ht="14.4">
      <c r="AA4595" s="463"/>
      <c r="AB4595" s="462"/>
      <c r="AC4595" s="462"/>
      <c r="AD4595" s="464"/>
      <c r="AE4595" s="465"/>
    </row>
    <row r="4596" spans="27:31" ht="14.4">
      <c r="AA4596" s="463"/>
      <c r="AB4596" s="462"/>
      <c r="AC4596" s="462"/>
      <c r="AD4596" s="464"/>
      <c r="AE4596" s="465"/>
    </row>
    <row r="4597" spans="27:31" ht="14.4">
      <c r="AA4597" s="463"/>
      <c r="AB4597" s="462"/>
      <c r="AC4597" s="462"/>
      <c r="AD4597" s="464"/>
      <c r="AE4597" s="465"/>
    </row>
    <row r="4598" spans="27:31" ht="14.4">
      <c r="AA4598" s="463"/>
      <c r="AB4598" s="462"/>
      <c r="AC4598" s="462"/>
      <c r="AD4598" s="464"/>
      <c r="AE4598" s="465"/>
    </row>
    <row r="4599" spans="27:31" ht="14.4">
      <c r="AA4599" s="463"/>
      <c r="AB4599" s="462"/>
      <c r="AC4599" s="462"/>
      <c r="AD4599" s="464"/>
      <c r="AE4599" s="465"/>
    </row>
    <row r="4600" spans="27:31" ht="14.4">
      <c r="AA4600" s="463"/>
      <c r="AB4600" s="462"/>
      <c r="AC4600" s="462"/>
      <c r="AD4600" s="464"/>
      <c r="AE4600" s="465"/>
    </row>
    <row r="4601" spans="27:31" ht="14.4">
      <c r="AA4601" s="463"/>
      <c r="AB4601" s="462"/>
      <c r="AC4601" s="462"/>
      <c r="AD4601" s="464"/>
      <c r="AE4601" s="465"/>
    </row>
    <row r="4602" spans="27:31" ht="14.4">
      <c r="AA4602" s="463"/>
      <c r="AB4602" s="462"/>
      <c r="AC4602" s="462"/>
      <c r="AD4602" s="464"/>
      <c r="AE4602" s="465"/>
    </row>
    <row r="4603" spans="27:31" ht="14.4">
      <c r="AA4603" s="463"/>
      <c r="AB4603" s="462"/>
      <c r="AC4603" s="462"/>
      <c r="AD4603" s="464"/>
      <c r="AE4603" s="465"/>
    </row>
    <row r="4604" spans="27:31" ht="14.4">
      <c r="AA4604" s="463"/>
      <c r="AB4604" s="462"/>
      <c r="AC4604" s="462"/>
      <c r="AD4604" s="464"/>
      <c r="AE4604" s="465"/>
    </row>
    <row r="4605" spans="27:31" ht="14.4">
      <c r="AA4605" s="463"/>
      <c r="AB4605" s="462"/>
      <c r="AC4605" s="462"/>
      <c r="AD4605" s="464"/>
      <c r="AE4605" s="465"/>
    </row>
    <row r="4606" spans="27:31" ht="14.4">
      <c r="AA4606" s="463"/>
      <c r="AB4606" s="462"/>
      <c r="AC4606" s="462"/>
      <c r="AD4606" s="464"/>
      <c r="AE4606" s="465"/>
    </row>
    <row r="4607" spans="27:31" ht="14.4">
      <c r="AA4607" s="463"/>
      <c r="AB4607" s="462"/>
      <c r="AC4607" s="462"/>
      <c r="AD4607" s="464"/>
      <c r="AE4607" s="465"/>
    </row>
    <row r="4608" spans="27:31" ht="14.4">
      <c r="AA4608" s="463"/>
      <c r="AB4608" s="462"/>
      <c r="AC4608" s="462"/>
      <c r="AD4608" s="464"/>
      <c r="AE4608" s="465"/>
    </row>
    <row r="4609" spans="27:31" ht="14.4">
      <c r="AA4609" s="463"/>
      <c r="AB4609" s="462"/>
      <c r="AC4609" s="462"/>
      <c r="AD4609" s="464"/>
      <c r="AE4609" s="465"/>
    </row>
    <row r="4610" spans="27:31" ht="14.4">
      <c r="AA4610" s="463"/>
      <c r="AB4610" s="462"/>
      <c r="AC4610" s="462"/>
      <c r="AD4610" s="464"/>
      <c r="AE4610" s="465"/>
    </row>
    <row r="4611" spans="27:31" ht="14.4">
      <c r="AA4611" s="463"/>
      <c r="AB4611" s="462"/>
      <c r="AC4611" s="462"/>
      <c r="AD4611" s="464"/>
      <c r="AE4611" s="465"/>
    </row>
    <row r="4612" spans="27:31" ht="14.4">
      <c r="AA4612" s="463"/>
      <c r="AB4612" s="462"/>
      <c r="AC4612" s="462"/>
      <c r="AD4612" s="464"/>
      <c r="AE4612" s="465"/>
    </row>
    <row r="4613" spans="27:31" ht="14.4">
      <c r="AA4613" s="463"/>
      <c r="AB4613" s="462"/>
      <c r="AC4613" s="462"/>
      <c r="AD4613" s="464"/>
      <c r="AE4613" s="465"/>
    </row>
    <row r="4614" spans="27:31" ht="14.4">
      <c r="AA4614" s="463"/>
      <c r="AB4614" s="462"/>
      <c r="AC4614" s="462"/>
      <c r="AD4614" s="464"/>
      <c r="AE4614" s="465"/>
    </row>
    <row r="4615" spans="27:31" ht="14.4">
      <c r="AA4615" s="463"/>
      <c r="AB4615" s="462"/>
      <c r="AC4615" s="462"/>
      <c r="AD4615" s="464"/>
      <c r="AE4615" s="465"/>
    </row>
    <row r="4616" spans="27:31" ht="14.4">
      <c r="AA4616" s="463"/>
      <c r="AB4616" s="462"/>
      <c r="AC4616" s="462"/>
      <c r="AD4616" s="464"/>
      <c r="AE4616" s="465"/>
    </row>
    <row r="4617" spans="27:31" ht="14.4">
      <c r="AA4617" s="463"/>
      <c r="AB4617" s="462"/>
      <c r="AC4617" s="462"/>
      <c r="AD4617" s="464"/>
      <c r="AE4617" s="465"/>
    </row>
    <row r="4618" spans="27:31" ht="14.4">
      <c r="AA4618" s="463"/>
      <c r="AB4618" s="462"/>
      <c r="AC4618" s="462"/>
      <c r="AD4618" s="464"/>
      <c r="AE4618" s="465"/>
    </row>
    <row r="4619" spans="27:31" ht="14.4">
      <c r="AA4619" s="463"/>
      <c r="AB4619" s="462"/>
      <c r="AC4619" s="462"/>
      <c r="AD4619" s="464"/>
      <c r="AE4619" s="465"/>
    </row>
    <row r="4620" spans="27:31" ht="14.4">
      <c r="AA4620" s="463"/>
      <c r="AB4620" s="462"/>
      <c r="AC4620" s="462"/>
      <c r="AD4620" s="464"/>
      <c r="AE4620" s="465"/>
    </row>
    <row r="4621" spans="27:31" ht="14.4">
      <c r="AA4621" s="463"/>
      <c r="AB4621" s="462"/>
      <c r="AC4621" s="462"/>
      <c r="AD4621" s="464"/>
      <c r="AE4621" s="465"/>
    </row>
    <row r="4622" spans="27:31" ht="14.4">
      <c r="AA4622" s="463"/>
      <c r="AB4622" s="462"/>
      <c r="AC4622" s="462"/>
      <c r="AD4622" s="464"/>
      <c r="AE4622" s="465"/>
    </row>
    <row r="4623" spans="27:31" ht="14.4">
      <c r="AA4623" s="463"/>
      <c r="AB4623" s="462"/>
      <c r="AC4623" s="462"/>
      <c r="AD4623" s="464"/>
      <c r="AE4623" s="465"/>
    </row>
    <row r="4624" spans="27:31" ht="14.4">
      <c r="AA4624" s="463"/>
      <c r="AB4624" s="462"/>
      <c r="AC4624" s="462"/>
      <c r="AD4624" s="464"/>
      <c r="AE4624" s="465"/>
    </row>
    <row r="4625" spans="27:31" ht="14.4">
      <c r="AA4625" s="463"/>
      <c r="AB4625" s="462"/>
      <c r="AC4625" s="462"/>
      <c r="AD4625" s="464"/>
      <c r="AE4625" s="465"/>
    </row>
    <row r="4626" spans="27:31" ht="14.4">
      <c r="AA4626" s="463"/>
      <c r="AB4626" s="462"/>
      <c r="AC4626" s="462"/>
      <c r="AD4626" s="464"/>
      <c r="AE4626" s="465"/>
    </row>
    <row r="4627" spans="27:31" ht="14.4">
      <c r="AA4627" s="463"/>
      <c r="AB4627" s="462"/>
      <c r="AC4627" s="462"/>
      <c r="AD4627" s="464"/>
      <c r="AE4627" s="465"/>
    </row>
    <row r="4628" spans="27:31" ht="14.4">
      <c r="AA4628" s="463"/>
      <c r="AB4628" s="462"/>
      <c r="AC4628" s="462"/>
      <c r="AD4628" s="464"/>
      <c r="AE4628" s="465"/>
    </row>
    <row r="4629" spans="27:31" ht="14.4">
      <c r="AA4629" s="463"/>
      <c r="AB4629" s="462"/>
      <c r="AC4629" s="462"/>
      <c r="AD4629" s="464"/>
      <c r="AE4629" s="465"/>
    </row>
    <row r="4630" spans="27:31" ht="14.4">
      <c r="AA4630" s="463"/>
      <c r="AB4630" s="462"/>
      <c r="AC4630" s="462"/>
      <c r="AD4630" s="464"/>
      <c r="AE4630" s="465"/>
    </row>
    <row r="4631" spans="27:31" ht="14.4">
      <c r="AA4631" s="463"/>
      <c r="AB4631" s="462"/>
      <c r="AC4631" s="462"/>
      <c r="AD4631" s="464"/>
      <c r="AE4631" s="465"/>
    </row>
    <row r="4632" spans="27:31" ht="14.4">
      <c r="AA4632" s="463"/>
      <c r="AB4632" s="462"/>
      <c r="AC4632" s="462"/>
      <c r="AD4632" s="464"/>
      <c r="AE4632" s="465"/>
    </row>
    <row r="4633" spans="27:31" ht="14.4">
      <c r="AA4633" s="463"/>
      <c r="AB4633" s="462"/>
      <c r="AC4633" s="462"/>
      <c r="AD4633" s="464"/>
      <c r="AE4633" s="465"/>
    </row>
    <row r="4634" spans="27:31" ht="14.4">
      <c r="AA4634" s="463"/>
      <c r="AB4634" s="462"/>
      <c r="AC4634" s="462"/>
      <c r="AD4634" s="464"/>
      <c r="AE4634" s="465"/>
    </row>
    <row r="4635" spans="27:31" ht="14.4">
      <c r="AA4635" s="463"/>
      <c r="AB4635" s="462"/>
      <c r="AC4635" s="462"/>
      <c r="AD4635" s="464"/>
      <c r="AE4635" s="465"/>
    </row>
    <row r="4636" spans="27:31" ht="14.4">
      <c r="AA4636" s="463"/>
      <c r="AB4636" s="462"/>
      <c r="AC4636" s="462"/>
      <c r="AD4636" s="464"/>
      <c r="AE4636" s="465"/>
    </row>
    <row r="4637" spans="27:31" ht="14.4">
      <c r="AA4637" s="463"/>
      <c r="AB4637" s="462"/>
      <c r="AC4637" s="462"/>
      <c r="AD4637" s="464"/>
      <c r="AE4637" s="465"/>
    </row>
    <row r="4638" spans="27:31" ht="14.4">
      <c r="AA4638" s="463"/>
      <c r="AB4638" s="462"/>
      <c r="AC4638" s="462"/>
      <c r="AD4638" s="464"/>
      <c r="AE4638" s="465"/>
    </row>
    <row r="4639" spans="27:31" ht="14.4">
      <c r="AA4639" s="463"/>
      <c r="AB4639" s="462"/>
      <c r="AC4639" s="462"/>
      <c r="AD4639" s="464"/>
      <c r="AE4639" s="465"/>
    </row>
    <row r="4640" spans="27:31" ht="14.4">
      <c r="AA4640" s="463"/>
      <c r="AB4640" s="462"/>
      <c r="AC4640" s="462"/>
      <c r="AD4640" s="464"/>
      <c r="AE4640" s="465"/>
    </row>
    <row r="4641" spans="27:31" ht="14.4">
      <c r="AA4641" s="463"/>
      <c r="AB4641" s="462"/>
      <c r="AC4641" s="462"/>
      <c r="AD4641" s="464"/>
      <c r="AE4641" s="465"/>
    </row>
    <row r="4642" spans="27:31" ht="14.4">
      <c r="AA4642" s="463"/>
      <c r="AB4642" s="462"/>
      <c r="AC4642" s="462"/>
      <c r="AD4642" s="464"/>
      <c r="AE4642" s="465"/>
    </row>
    <row r="4643" spans="27:31" ht="14.4">
      <c r="AA4643" s="463"/>
      <c r="AB4643" s="462"/>
      <c r="AC4643" s="462"/>
      <c r="AD4643" s="464"/>
      <c r="AE4643" s="465"/>
    </row>
    <row r="4644" spans="27:31" ht="14.4">
      <c r="AA4644" s="463"/>
      <c r="AB4644" s="462"/>
      <c r="AC4644" s="462"/>
      <c r="AD4644" s="464"/>
      <c r="AE4644" s="465"/>
    </row>
    <row r="4645" spans="27:31" ht="14.4">
      <c r="AA4645" s="463"/>
      <c r="AB4645" s="462"/>
      <c r="AC4645" s="462"/>
      <c r="AD4645" s="464"/>
      <c r="AE4645" s="465"/>
    </row>
    <row r="4646" spans="27:31" ht="14.4">
      <c r="AA4646" s="463"/>
      <c r="AB4646" s="462"/>
      <c r="AC4646" s="462"/>
      <c r="AD4646" s="464"/>
      <c r="AE4646" s="465"/>
    </row>
    <row r="4647" spans="27:31" ht="14.4">
      <c r="AA4647" s="463"/>
      <c r="AB4647" s="462"/>
      <c r="AC4647" s="462"/>
      <c r="AD4647" s="464"/>
      <c r="AE4647" s="465"/>
    </row>
    <row r="4648" spans="27:31" ht="14.4">
      <c r="AA4648" s="463"/>
      <c r="AB4648" s="462"/>
      <c r="AC4648" s="462"/>
      <c r="AD4648" s="464"/>
      <c r="AE4648" s="465"/>
    </row>
    <row r="4649" spans="27:31" ht="14.4">
      <c r="AA4649" s="463"/>
      <c r="AB4649" s="462"/>
      <c r="AC4649" s="462"/>
      <c r="AD4649" s="464"/>
      <c r="AE4649" s="465"/>
    </row>
    <row r="4650" spans="27:31" ht="14.4">
      <c r="AA4650" s="463"/>
      <c r="AB4650" s="462"/>
      <c r="AC4650" s="462"/>
      <c r="AD4650" s="464"/>
      <c r="AE4650" s="465"/>
    </row>
    <row r="4651" spans="27:31" ht="14.4">
      <c r="AA4651" s="463"/>
      <c r="AB4651" s="462"/>
      <c r="AC4651" s="462"/>
      <c r="AD4651" s="464"/>
      <c r="AE4651" s="465"/>
    </row>
    <row r="4652" spans="27:31" ht="14.4">
      <c r="AA4652" s="463"/>
      <c r="AB4652" s="462"/>
      <c r="AC4652" s="462"/>
      <c r="AD4652" s="464"/>
      <c r="AE4652" s="465"/>
    </row>
    <row r="4653" spans="27:31" ht="14.4">
      <c r="AA4653" s="463"/>
      <c r="AB4653" s="462"/>
      <c r="AC4653" s="462"/>
      <c r="AD4653" s="464"/>
      <c r="AE4653" s="465"/>
    </row>
    <row r="4654" spans="27:31" ht="14.4">
      <c r="AA4654" s="463"/>
      <c r="AB4654" s="462"/>
      <c r="AC4654" s="462"/>
      <c r="AD4654" s="464"/>
      <c r="AE4654" s="465"/>
    </row>
    <row r="4655" spans="27:31" ht="14.4">
      <c r="AA4655" s="463"/>
      <c r="AB4655" s="462"/>
      <c r="AC4655" s="462"/>
      <c r="AD4655" s="464"/>
      <c r="AE4655" s="465"/>
    </row>
    <row r="4656" spans="27:31" ht="14.4">
      <c r="AA4656" s="463"/>
      <c r="AB4656" s="462"/>
      <c r="AC4656" s="462"/>
      <c r="AD4656" s="464"/>
      <c r="AE4656" s="465"/>
    </row>
    <row r="4657" spans="27:31" ht="14.4">
      <c r="AA4657" s="463"/>
      <c r="AB4657" s="462"/>
      <c r="AC4657" s="462"/>
      <c r="AD4657" s="464"/>
      <c r="AE4657" s="465"/>
    </row>
    <row r="4658" spans="27:31" ht="14.4">
      <c r="AA4658" s="463"/>
      <c r="AB4658" s="462"/>
      <c r="AC4658" s="462"/>
      <c r="AD4658" s="464"/>
      <c r="AE4658" s="465"/>
    </row>
    <row r="4659" spans="27:31" ht="14.4">
      <c r="AA4659" s="463"/>
      <c r="AB4659" s="462"/>
      <c r="AC4659" s="462"/>
      <c r="AD4659" s="464"/>
      <c r="AE4659" s="465"/>
    </row>
    <row r="4660" spans="27:31" ht="14.4">
      <c r="AA4660" s="463"/>
      <c r="AB4660" s="462"/>
      <c r="AC4660" s="462"/>
      <c r="AD4660" s="464"/>
      <c r="AE4660" s="465"/>
    </row>
    <row r="4661" spans="27:31" ht="14.4">
      <c r="AA4661" s="463"/>
      <c r="AB4661" s="462"/>
      <c r="AC4661" s="462"/>
      <c r="AD4661" s="464"/>
      <c r="AE4661" s="465"/>
    </row>
    <row r="4662" spans="27:31" ht="14.4">
      <c r="AA4662" s="463"/>
      <c r="AB4662" s="462"/>
      <c r="AC4662" s="462"/>
      <c r="AD4662" s="464"/>
      <c r="AE4662" s="465"/>
    </row>
    <row r="4663" spans="27:31" ht="14.4">
      <c r="AA4663" s="463"/>
      <c r="AB4663" s="462"/>
      <c r="AC4663" s="462"/>
      <c r="AD4663" s="464"/>
      <c r="AE4663" s="465"/>
    </row>
    <row r="4664" spans="27:31" ht="14.4">
      <c r="AA4664" s="463"/>
      <c r="AB4664" s="462"/>
      <c r="AC4664" s="462"/>
      <c r="AD4664" s="464"/>
      <c r="AE4664" s="465"/>
    </row>
    <row r="4665" spans="27:31" ht="14.4">
      <c r="AA4665" s="463"/>
      <c r="AB4665" s="462"/>
      <c r="AC4665" s="462"/>
      <c r="AD4665" s="464"/>
      <c r="AE4665" s="465"/>
    </row>
    <row r="4666" spans="27:31" ht="14.4">
      <c r="AA4666" s="463"/>
      <c r="AB4666" s="462"/>
      <c r="AC4666" s="462"/>
      <c r="AD4666" s="464"/>
      <c r="AE4666" s="465"/>
    </row>
    <row r="4667" spans="27:31" ht="14.4">
      <c r="AA4667" s="463"/>
      <c r="AB4667" s="462"/>
      <c r="AC4667" s="462"/>
      <c r="AD4667" s="464"/>
      <c r="AE4667" s="465"/>
    </row>
    <row r="4668" spans="27:31" ht="14.4">
      <c r="AA4668" s="463"/>
      <c r="AB4668" s="462"/>
      <c r="AC4668" s="462"/>
      <c r="AD4668" s="464"/>
      <c r="AE4668" s="465"/>
    </row>
    <row r="4669" spans="27:31" ht="14.4">
      <c r="AA4669" s="463"/>
      <c r="AB4669" s="462"/>
      <c r="AC4669" s="462"/>
      <c r="AD4669" s="464"/>
      <c r="AE4669" s="465"/>
    </row>
    <row r="4670" spans="27:31" ht="14.4">
      <c r="AA4670" s="463"/>
      <c r="AB4670" s="462"/>
      <c r="AC4670" s="462"/>
      <c r="AD4670" s="464"/>
      <c r="AE4670" s="465"/>
    </row>
    <row r="4671" spans="27:31" ht="14.4">
      <c r="AA4671" s="463"/>
      <c r="AB4671" s="462"/>
      <c r="AC4671" s="462"/>
      <c r="AD4671" s="464"/>
      <c r="AE4671" s="465"/>
    </row>
    <row r="4672" spans="27:31" ht="14.4">
      <c r="AA4672" s="463"/>
      <c r="AB4672" s="462"/>
      <c r="AC4672" s="462"/>
      <c r="AD4672" s="464"/>
      <c r="AE4672" s="465"/>
    </row>
    <row r="4673" spans="27:31" ht="14.4">
      <c r="AA4673" s="463"/>
      <c r="AB4673" s="462"/>
      <c r="AC4673" s="462"/>
      <c r="AD4673" s="464"/>
      <c r="AE4673" s="465"/>
    </row>
    <row r="4674" spans="27:31" ht="14.4">
      <c r="AA4674" s="463"/>
      <c r="AB4674" s="462"/>
      <c r="AC4674" s="462"/>
      <c r="AD4674" s="464"/>
      <c r="AE4674" s="465"/>
    </row>
    <row r="4675" spans="27:31" ht="14.4">
      <c r="AA4675" s="463"/>
      <c r="AB4675" s="462"/>
      <c r="AC4675" s="462"/>
      <c r="AD4675" s="464"/>
      <c r="AE4675" s="465"/>
    </row>
    <row r="4676" spans="27:31" ht="14.4">
      <c r="AA4676" s="463"/>
      <c r="AB4676" s="462"/>
      <c r="AC4676" s="462"/>
      <c r="AD4676" s="464"/>
      <c r="AE4676" s="465"/>
    </row>
    <row r="4677" spans="27:31" ht="14.4">
      <c r="AA4677" s="463"/>
      <c r="AB4677" s="462"/>
      <c r="AC4677" s="462"/>
      <c r="AD4677" s="464"/>
      <c r="AE4677" s="465"/>
    </row>
    <row r="4678" spans="27:31" ht="14.4">
      <c r="AA4678" s="463"/>
      <c r="AB4678" s="462"/>
      <c r="AC4678" s="462"/>
      <c r="AD4678" s="464"/>
      <c r="AE4678" s="465"/>
    </row>
    <row r="4679" spans="27:31" ht="14.4">
      <c r="AA4679" s="463"/>
      <c r="AB4679" s="462"/>
      <c r="AC4679" s="462"/>
      <c r="AD4679" s="464"/>
      <c r="AE4679" s="465"/>
    </row>
    <row r="4680" spans="27:31" ht="14.4">
      <c r="AA4680" s="463"/>
      <c r="AB4680" s="462"/>
      <c r="AC4680" s="462"/>
      <c r="AD4680" s="464"/>
      <c r="AE4680" s="465"/>
    </row>
    <row r="4681" spans="27:31" ht="14.4">
      <c r="AA4681" s="463"/>
      <c r="AB4681" s="462"/>
      <c r="AC4681" s="462"/>
      <c r="AD4681" s="464"/>
      <c r="AE4681" s="465"/>
    </row>
    <row r="4682" spans="27:31" ht="14.4">
      <c r="AA4682" s="463"/>
      <c r="AB4682" s="462"/>
      <c r="AC4682" s="462"/>
      <c r="AD4682" s="464"/>
      <c r="AE4682" s="465"/>
    </row>
    <row r="4683" spans="27:31" ht="14.4">
      <c r="AA4683" s="463"/>
      <c r="AB4683" s="462"/>
      <c r="AC4683" s="462"/>
      <c r="AD4683" s="464"/>
      <c r="AE4683" s="465"/>
    </row>
    <row r="4684" spans="27:31" ht="14.4">
      <c r="AA4684" s="463"/>
      <c r="AB4684" s="462"/>
      <c r="AC4684" s="462"/>
      <c r="AD4684" s="464"/>
      <c r="AE4684" s="465"/>
    </row>
    <row r="4685" spans="27:31" ht="14.4">
      <c r="AA4685" s="463"/>
      <c r="AB4685" s="462"/>
      <c r="AC4685" s="462"/>
      <c r="AD4685" s="464"/>
      <c r="AE4685" s="465"/>
    </row>
    <row r="4686" spans="27:31" ht="14.4">
      <c r="AA4686" s="463"/>
      <c r="AB4686" s="462"/>
      <c r="AC4686" s="462"/>
      <c r="AD4686" s="464"/>
      <c r="AE4686" s="465"/>
    </row>
    <row r="4687" spans="27:31" ht="14.4">
      <c r="AA4687" s="463"/>
      <c r="AB4687" s="462"/>
      <c r="AC4687" s="462"/>
      <c r="AD4687" s="464"/>
      <c r="AE4687" s="465"/>
    </row>
    <row r="4688" spans="27:31" ht="14.4">
      <c r="AA4688" s="463"/>
      <c r="AB4688" s="462"/>
      <c r="AC4688" s="462"/>
      <c r="AD4688" s="464"/>
      <c r="AE4688" s="465"/>
    </row>
    <row r="4689" spans="27:31" ht="14.4">
      <c r="AA4689" s="463"/>
      <c r="AB4689" s="462"/>
      <c r="AC4689" s="462"/>
      <c r="AD4689" s="464"/>
      <c r="AE4689" s="465"/>
    </row>
    <row r="4690" spans="27:31" ht="14.4">
      <c r="AA4690" s="463"/>
      <c r="AB4690" s="462"/>
      <c r="AC4690" s="462"/>
      <c r="AD4690" s="464"/>
      <c r="AE4690" s="465"/>
    </row>
    <row r="4691" spans="27:31" ht="14.4">
      <c r="AA4691" s="463"/>
      <c r="AB4691" s="462"/>
      <c r="AC4691" s="462"/>
      <c r="AD4691" s="464"/>
      <c r="AE4691" s="465"/>
    </row>
    <row r="4692" spans="27:31" ht="14.4">
      <c r="AA4692" s="463"/>
      <c r="AB4692" s="462"/>
      <c r="AC4692" s="462"/>
      <c r="AD4692" s="464"/>
      <c r="AE4692" s="465"/>
    </row>
    <row r="4693" spans="27:31" ht="14.4">
      <c r="AA4693" s="463"/>
      <c r="AB4693" s="462"/>
      <c r="AC4693" s="462"/>
      <c r="AD4693" s="464"/>
      <c r="AE4693" s="465"/>
    </row>
    <row r="4694" spans="27:31" ht="14.4">
      <c r="AA4694" s="463"/>
      <c r="AB4694" s="462"/>
      <c r="AC4694" s="462"/>
      <c r="AD4694" s="464"/>
      <c r="AE4694" s="465"/>
    </row>
    <row r="4695" spans="27:31" ht="14.4">
      <c r="AA4695" s="463"/>
      <c r="AB4695" s="462"/>
      <c r="AC4695" s="462"/>
      <c r="AD4695" s="464"/>
      <c r="AE4695" s="465"/>
    </row>
    <row r="4696" spans="27:31" ht="14.4">
      <c r="AA4696" s="463"/>
      <c r="AB4696" s="462"/>
      <c r="AC4696" s="462"/>
      <c r="AD4696" s="464"/>
      <c r="AE4696" s="465"/>
    </row>
    <row r="4697" spans="27:31" ht="14.4">
      <c r="AA4697" s="463"/>
      <c r="AB4697" s="462"/>
      <c r="AC4697" s="462"/>
      <c r="AD4697" s="464"/>
      <c r="AE4697" s="465"/>
    </row>
    <row r="4698" spans="27:31" ht="14.4">
      <c r="AA4698" s="463"/>
      <c r="AB4698" s="462"/>
      <c r="AC4698" s="462"/>
      <c r="AD4698" s="464"/>
      <c r="AE4698" s="465"/>
    </row>
    <row r="4699" spans="27:31" ht="14.4">
      <c r="AA4699" s="463"/>
      <c r="AB4699" s="462"/>
      <c r="AC4699" s="462"/>
      <c r="AD4699" s="464"/>
      <c r="AE4699" s="465"/>
    </row>
    <row r="4700" spans="27:31" ht="14.4">
      <c r="AA4700" s="463"/>
      <c r="AB4700" s="462"/>
      <c r="AC4700" s="462"/>
      <c r="AD4700" s="464"/>
      <c r="AE4700" s="465"/>
    </row>
    <row r="4701" spans="27:31" ht="14.4">
      <c r="AA4701" s="463"/>
      <c r="AB4701" s="462"/>
      <c r="AC4701" s="462"/>
      <c r="AD4701" s="464"/>
      <c r="AE4701" s="465"/>
    </row>
    <row r="4702" spans="27:31" ht="14.4">
      <c r="AA4702" s="463"/>
      <c r="AB4702" s="462"/>
      <c r="AC4702" s="462"/>
      <c r="AD4702" s="464"/>
      <c r="AE4702" s="465"/>
    </row>
    <row r="4703" spans="27:31" ht="14.4">
      <c r="AA4703" s="463"/>
      <c r="AB4703" s="462"/>
      <c r="AC4703" s="462"/>
      <c r="AD4703" s="464"/>
      <c r="AE4703" s="465"/>
    </row>
    <row r="4704" spans="27:31" ht="14.4">
      <c r="AA4704" s="463"/>
      <c r="AB4704" s="462"/>
      <c r="AC4704" s="462"/>
      <c r="AD4704" s="464"/>
      <c r="AE4704" s="465"/>
    </row>
    <row r="4705" spans="27:31" ht="14.4">
      <c r="AA4705" s="463"/>
      <c r="AB4705" s="462"/>
      <c r="AC4705" s="462"/>
      <c r="AD4705" s="464"/>
      <c r="AE4705" s="465"/>
    </row>
    <row r="4706" spans="27:31" ht="14.4">
      <c r="AA4706" s="463"/>
      <c r="AB4706" s="462"/>
      <c r="AC4706" s="462"/>
      <c r="AD4706" s="464"/>
      <c r="AE4706" s="465"/>
    </row>
    <row r="4707" spans="27:31" ht="14.4">
      <c r="AA4707" s="463"/>
      <c r="AB4707" s="462"/>
      <c r="AC4707" s="462"/>
      <c r="AD4707" s="464"/>
      <c r="AE4707" s="465"/>
    </row>
    <row r="4708" spans="27:31" ht="14.4">
      <c r="AA4708" s="463"/>
      <c r="AB4708" s="462"/>
      <c r="AC4708" s="462"/>
      <c r="AD4708" s="464"/>
      <c r="AE4708" s="465"/>
    </row>
    <row r="4709" spans="27:31" ht="14.4">
      <c r="AA4709" s="463"/>
      <c r="AB4709" s="462"/>
      <c r="AC4709" s="462"/>
      <c r="AD4709" s="464"/>
      <c r="AE4709" s="465"/>
    </row>
    <row r="4710" spans="27:31" ht="14.4">
      <c r="AA4710" s="463"/>
      <c r="AB4710" s="462"/>
      <c r="AC4710" s="462"/>
      <c r="AD4710" s="464"/>
      <c r="AE4710" s="465"/>
    </row>
    <row r="4711" spans="27:31" ht="14.4">
      <c r="AA4711" s="463"/>
      <c r="AB4711" s="462"/>
      <c r="AC4711" s="462"/>
      <c r="AD4711" s="464"/>
      <c r="AE4711" s="465"/>
    </row>
    <row r="4712" spans="27:31" ht="14.4">
      <c r="AA4712" s="463"/>
      <c r="AB4712" s="462"/>
      <c r="AC4712" s="462"/>
      <c r="AD4712" s="464"/>
      <c r="AE4712" s="465"/>
    </row>
    <row r="4713" spans="27:31" ht="14.4">
      <c r="AA4713" s="463"/>
      <c r="AB4713" s="462"/>
      <c r="AC4713" s="462"/>
      <c r="AD4713" s="464"/>
      <c r="AE4713" s="465"/>
    </row>
    <row r="4714" spans="27:31" ht="14.4">
      <c r="AA4714" s="463"/>
      <c r="AB4714" s="462"/>
      <c r="AC4714" s="462"/>
      <c r="AD4714" s="464"/>
      <c r="AE4714" s="465"/>
    </row>
    <row r="4715" spans="27:31" ht="14.4">
      <c r="AA4715" s="463"/>
      <c r="AB4715" s="462"/>
      <c r="AC4715" s="462"/>
      <c r="AD4715" s="464"/>
      <c r="AE4715" s="465"/>
    </row>
    <row r="4716" spans="27:31" ht="14.4">
      <c r="AA4716" s="463"/>
      <c r="AB4716" s="462"/>
      <c r="AC4716" s="462"/>
      <c r="AD4716" s="464"/>
      <c r="AE4716" s="465"/>
    </row>
    <row r="4717" spans="27:31" ht="14.4">
      <c r="AA4717" s="463"/>
      <c r="AB4717" s="462"/>
      <c r="AC4717" s="462"/>
      <c r="AD4717" s="464"/>
      <c r="AE4717" s="465"/>
    </row>
    <row r="4718" spans="27:31" ht="14.4">
      <c r="AA4718" s="463"/>
      <c r="AB4718" s="462"/>
      <c r="AC4718" s="462"/>
      <c r="AD4718" s="464"/>
      <c r="AE4718" s="465"/>
    </row>
    <row r="4719" spans="27:31" ht="14.4">
      <c r="AA4719" s="463"/>
      <c r="AB4719" s="462"/>
      <c r="AC4719" s="462"/>
      <c r="AD4719" s="464"/>
      <c r="AE4719" s="465"/>
    </row>
    <row r="4720" spans="27:31" ht="14.4">
      <c r="AA4720" s="463"/>
      <c r="AB4720" s="462"/>
      <c r="AC4720" s="462"/>
      <c r="AD4720" s="464"/>
      <c r="AE4720" s="465"/>
    </row>
    <row r="4721" spans="27:31" ht="14.4">
      <c r="AA4721" s="463"/>
      <c r="AB4721" s="462"/>
      <c r="AC4721" s="462"/>
      <c r="AD4721" s="464"/>
      <c r="AE4721" s="465"/>
    </row>
    <row r="4722" spans="27:31" ht="14.4">
      <c r="AA4722" s="463"/>
      <c r="AB4722" s="462"/>
      <c r="AC4722" s="462"/>
      <c r="AD4722" s="464"/>
      <c r="AE4722" s="465"/>
    </row>
    <row r="4723" spans="27:31" ht="14.4">
      <c r="AA4723" s="463"/>
      <c r="AB4723" s="462"/>
      <c r="AC4723" s="462"/>
      <c r="AD4723" s="464"/>
      <c r="AE4723" s="465"/>
    </row>
    <row r="4724" spans="27:31" ht="14.4">
      <c r="AA4724" s="463"/>
      <c r="AB4724" s="462"/>
      <c r="AC4724" s="462"/>
      <c r="AD4724" s="464"/>
      <c r="AE4724" s="465"/>
    </row>
    <row r="4725" spans="27:31" ht="14.4">
      <c r="AA4725" s="463"/>
      <c r="AB4725" s="462"/>
      <c r="AC4725" s="462"/>
      <c r="AD4725" s="464"/>
      <c r="AE4725" s="465"/>
    </row>
    <row r="4726" spans="27:31" ht="14.4">
      <c r="AA4726" s="463"/>
      <c r="AB4726" s="462"/>
      <c r="AC4726" s="462"/>
      <c r="AD4726" s="464"/>
      <c r="AE4726" s="465"/>
    </row>
    <row r="4727" spans="27:31" ht="14.4">
      <c r="AA4727" s="463"/>
      <c r="AB4727" s="462"/>
      <c r="AC4727" s="462"/>
      <c r="AD4727" s="464"/>
      <c r="AE4727" s="465"/>
    </row>
    <row r="4728" spans="27:31" ht="14.4">
      <c r="AA4728" s="463"/>
      <c r="AB4728" s="462"/>
      <c r="AC4728" s="462"/>
      <c r="AD4728" s="464"/>
      <c r="AE4728" s="465"/>
    </row>
    <row r="4729" spans="27:31" ht="14.4">
      <c r="AA4729" s="463"/>
      <c r="AB4729" s="462"/>
      <c r="AC4729" s="462"/>
      <c r="AD4729" s="464"/>
      <c r="AE4729" s="465"/>
    </row>
    <row r="4730" spans="27:31" ht="14.4">
      <c r="AA4730" s="463"/>
      <c r="AB4730" s="462"/>
      <c r="AC4730" s="462"/>
      <c r="AD4730" s="464"/>
      <c r="AE4730" s="465"/>
    </row>
    <row r="4731" spans="27:31" ht="14.4">
      <c r="AA4731" s="463"/>
      <c r="AB4731" s="462"/>
      <c r="AC4731" s="462"/>
      <c r="AD4731" s="464"/>
      <c r="AE4731" s="465"/>
    </row>
    <row r="4732" spans="27:31" ht="14.4">
      <c r="AA4732" s="463"/>
      <c r="AB4732" s="462"/>
      <c r="AC4732" s="462"/>
      <c r="AD4732" s="464"/>
      <c r="AE4732" s="465"/>
    </row>
    <row r="4733" spans="27:31" ht="14.4">
      <c r="AA4733" s="463"/>
      <c r="AB4733" s="462"/>
      <c r="AC4733" s="462"/>
      <c r="AD4733" s="464"/>
      <c r="AE4733" s="465"/>
    </row>
    <row r="4734" spans="27:31" ht="14.4">
      <c r="AA4734" s="463"/>
      <c r="AB4734" s="462"/>
      <c r="AC4734" s="462"/>
      <c r="AD4734" s="464"/>
      <c r="AE4734" s="465"/>
    </row>
    <row r="4735" spans="27:31" ht="14.4">
      <c r="AA4735" s="463"/>
      <c r="AB4735" s="462"/>
      <c r="AC4735" s="462"/>
      <c r="AD4735" s="464"/>
      <c r="AE4735" s="465"/>
    </row>
    <row r="4736" spans="27:31" ht="14.4">
      <c r="AA4736" s="463"/>
      <c r="AB4736" s="462"/>
      <c r="AC4736" s="462"/>
      <c r="AD4736" s="464"/>
      <c r="AE4736" s="465"/>
    </row>
    <row r="4737" spans="27:31" ht="14.4">
      <c r="AA4737" s="463"/>
      <c r="AB4737" s="462"/>
      <c r="AC4737" s="462"/>
      <c r="AD4737" s="464"/>
      <c r="AE4737" s="465"/>
    </row>
    <row r="4738" spans="27:31" ht="14.4">
      <c r="AA4738" s="463"/>
      <c r="AB4738" s="462"/>
      <c r="AC4738" s="462"/>
      <c r="AD4738" s="464"/>
      <c r="AE4738" s="465"/>
    </row>
    <row r="4739" spans="27:31" ht="14.4">
      <c r="AA4739" s="463"/>
      <c r="AB4739" s="462"/>
      <c r="AC4739" s="462"/>
      <c r="AD4739" s="464"/>
      <c r="AE4739" s="465"/>
    </row>
    <row r="4740" spans="27:31" ht="14.4">
      <c r="AA4740" s="463"/>
      <c r="AB4740" s="462"/>
      <c r="AC4740" s="462"/>
      <c r="AD4740" s="464"/>
      <c r="AE4740" s="465"/>
    </row>
    <row r="4741" spans="27:31" ht="14.4">
      <c r="AA4741" s="463"/>
      <c r="AB4741" s="462"/>
      <c r="AC4741" s="462"/>
      <c r="AD4741" s="464"/>
      <c r="AE4741" s="465"/>
    </row>
    <row r="4742" spans="27:31" ht="14.4">
      <c r="AA4742" s="463"/>
      <c r="AB4742" s="462"/>
      <c r="AC4742" s="462"/>
      <c r="AD4742" s="464"/>
      <c r="AE4742" s="465"/>
    </row>
    <row r="4743" spans="27:31" ht="14.4">
      <c r="AA4743" s="463"/>
      <c r="AB4743" s="462"/>
      <c r="AC4743" s="462"/>
      <c r="AD4743" s="464"/>
      <c r="AE4743" s="465"/>
    </row>
    <row r="4744" spans="27:31" ht="14.4">
      <c r="AA4744" s="463"/>
      <c r="AB4744" s="462"/>
      <c r="AC4744" s="462"/>
      <c r="AD4744" s="464"/>
      <c r="AE4744" s="465"/>
    </row>
    <row r="4745" spans="27:31" ht="14.4">
      <c r="AA4745" s="463"/>
      <c r="AB4745" s="462"/>
      <c r="AC4745" s="462"/>
      <c r="AD4745" s="464"/>
      <c r="AE4745" s="465"/>
    </row>
    <row r="4746" spans="27:31" ht="14.4">
      <c r="AA4746" s="463"/>
      <c r="AB4746" s="462"/>
      <c r="AC4746" s="462"/>
      <c r="AD4746" s="464"/>
      <c r="AE4746" s="465"/>
    </row>
    <row r="4747" spans="27:31" ht="14.4">
      <c r="AA4747" s="463"/>
      <c r="AB4747" s="462"/>
      <c r="AC4747" s="462"/>
      <c r="AD4747" s="464"/>
      <c r="AE4747" s="465"/>
    </row>
    <row r="4748" spans="27:31" ht="14.4">
      <c r="AA4748" s="463"/>
      <c r="AB4748" s="462"/>
      <c r="AC4748" s="462"/>
      <c r="AD4748" s="464"/>
      <c r="AE4748" s="465"/>
    </row>
    <row r="4749" spans="27:31" ht="14.4">
      <c r="AA4749" s="463"/>
      <c r="AB4749" s="462"/>
      <c r="AC4749" s="462"/>
      <c r="AD4749" s="464"/>
      <c r="AE4749" s="465"/>
    </row>
    <row r="4750" spans="27:31" ht="14.4">
      <c r="AA4750" s="463"/>
      <c r="AB4750" s="462"/>
      <c r="AC4750" s="462"/>
      <c r="AD4750" s="464"/>
      <c r="AE4750" s="465"/>
    </row>
    <row r="4751" spans="27:31" ht="14.4">
      <c r="AA4751" s="463"/>
      <c r="AB4751" s="462"/>
      <c r="AC4751" s="462"/>
      <c r="AD4751" s="464"/>
      <c r="AE4751" s="465"/>
    </row>
    <row r="4752" spans="27:31" ht="14.4">
      <c r="AA4752" s="463"/>
      <c r="AB4752" s="462"/>
      <c r="AC4752" s="462"/>
      <c r="AD4752" s="464"/>
      <c r="AE4752" s="465"/>
    </row>
    <row r="4753" spans="27:31" ht="14.4">
      <c r="AA4753" s="463"/>
      <c r="AB4753" s="462"/>
      <c r="AC4753" s="462"/>
      <c r="AD4753" s="464"/>
      <c r="AE4753" s="465"/>
    </row>
    <row r="4754" spans="27:31" ht="14.4">
      <c r="AA4754" s="463"/>
      <c r="AB4754" s="462"/>
      <c r="AC4754" s="462"/>
      <c r="AD4754" s="464"/>
      <c r="AE4754" s="465"/>
    </row>
    <row r="4755" spans="27:31" ht="14.4">
      <c r="AA4755" s="463"/>
      <c r="AB4755" s="462"/>
      <c r="AC4755" s="462"/>
      <c r="AD4755" s="464"/>
      <c r="AE4755" s="465"/>
    </row>
    <row r="4756" spans="27:31" ht="14.4">
      <c r="AA4756" s="463"/>
      <c r="AB4756" s="462"/>
      <c r="AC4756" s="462"/>
      <c r="AD4756" s="464"/>
      <c r="AE4756" s="465"/>
    </row>
    <row r="4757" spans="27:31" ht="14.4">
      <c r="AA4757" s="463"/>
      <c r="AB4757" s="462"/>
      <c r="AC4757" s="462"/>
      <c r="AD4757" s="464"/>
      <c r="AE4757" s="465"/>
    </row>
    <row r="4758" spans="27:31" ht="14.4">
      <c r="AA4758" s="463"/>
      <c r="AB4758" s="462"/>
      <c r="AC4758" s="462"/>
      <c r="AD4758" s="464"/>
      <c r="AE4758" s="465"/>
    </row>
    <row r="4759" spans="27:31" ht="14.4">
      <c r="AA4759" s="463"/>
      <c r="AB4759" s="462"/>
      <c r="AC4759" s="462"/>
      <c r="AD4759" s="464"/>
      <c r="AE4759" s="465"/>
    </row>
    <row r="4760" spans="27:31" ht="14.4">
      <c r="AA4760" s="463"/>
      <c r="AB4760" s="462"/>
      <c r="AC4760" s="462"/>
      <c r="AD4760" s="464"/>
      <c r="AE4760" s="465"/>
    </row>
    <row r="4761" spans="27:31" ht="14.4">
      <c r="AA4761" s="463"/>
      <c r="AB4761" s="462"/>
      <c r="AC4761" s="462"/>
      <c r="AD4761" s="464"/>
      <c r="AE4761" s="465"/>
    </row>
    <row r="4762" spans="27:31" ht="14.4">
      <c r="AA4762" s="463"/>
      <c r="AB4762" s="462"/>
      <c r="AC4762" s="462"/>
      <c r="AD4762" s="464"/>
      <c r="AE4762" s="465"/>
    </row>
    <row r="4763" spans="27:31" ht="14.4">
      <c r="AA4763" s="463"/>
      <c r="AB4763" s="462"/>
      <c r="AC4763" s="462"/>
      <c r="AD4763" s="464"/>
      <c r="AE4763" s="465"/>
    </row>
    <row r="4764" spans="27:31" ht="14.4">
      <c r="AA4764" s="463"/>
      <c r="AB4764" s="462"/>
      <c r="AC4764" s="462"/>
      <c r="AD4764" s="464"/>
      <c r="AE4764" s="465"/>
    </row>
    <row r="4765" spans="27:31" ht="14.4">
      <c r="AA4765" s="463"/>
      <c r="AB4765" s="462"/>
      <c r="AC4765" s="462"/>
      <c r="AD4765" s="464"/>
      <c r="AE4765" s="465"/>
    </row>
    <row r="4766" spans="27:31" ht="14.4">
      <c r="AA4766" s="463"/>
      <c r="AB4766" s="462"/>
      <c r="AC4766" s="462"/>
      <c r="AD4766" s="464"/>
      <c r="AE4766" s="465"/>
    </row>
    <row r="4767" spans="27:31" ht="14.4">
      <c r="AA4767" s="463"/>
      <c r="AB4767" s="462"/>
      <c r="AC4767" s="462"/>
      <c r="AD4767" s="464"/>
      <c r="AE4767" s="465"/>
    </row>
    <row r="4768" spans="27:31" ht="14.4">
      <c r="AA4768" s="463"/>
      <c r="AB4768" s="462"/>
      <c r="AC4768" s="462"/>
      <c r="AD4768" s="464"/>
      <c r="AE4768" s="465"/>
    </row>
    <row r="4769" spans="27:31" ht="14.4">
      <c r="AA4769" s="463"/>
      <c r="AB4769" s="462"/>
      <c r="AC4769" s="462"/>
      <c r="AD4769" s="464"/>
      <c r="AE4769" s="465"/>
    </row>
    <row r="4770" spans="27:31" ht="14.4">
      <c r="AA4770" s="463"/>
      <c r="AB4770" s="462"/>
      <c r="AC4770" s="462"/>
      <c r="AD4770" s="464"/>
      <c r="AE4770" s="465"/>
    </row>
    <row r="4771" spans="27:31" ht="14.4">
      <c r="AA4771" s="463"/>
      <c r="AB4771" s="462"/>
      <c r="AC4771" s="462"/>
      <c r="AD4771" s="464"/>
      <c r="AE4771" s="465"/>
    </row>
    <row r="4772" spans="27:31" ht="14.4">
      <c r="AA4772" s="463"/>
      <c r="AB4772" s="462"/>
      <c r="AC4772" s="462"/>
      <c r="AD4772" s="464"/>
      <c r="AE4772" s="465"/>
    </row>
    <row r="4773" spans="27:31" ht="14.4">
      <c r="AA4773" s="463"/>
      <c r="AB4773" s="462"/>
      <c r="AC4773" s="462"/>
      <c r="AD4773" s="464"/>
      <c r="AE4773" s="465"/>
    </row>
    <row r="4774" spans="27:31" ht="14.4">
      <c r="AA4774" s="463"/>
      <c r="AB4774" s="462"/>
      <c r="AC4774" s="462"/>
      <c r="AD4774" s="464"/>
      <c r="AE4774" s="465"/>
    </row>
    <row r="4775" spans="27:31" ht="14.4">
      <c r="AA4775" s="463"/>
      <c r="AB4775" s="462"/>
      <c r="AC4775" s="462"/>
      <c r="AD4775" s="464"/>
      <c r="AE4775" s="465"/>
    </row>
    <row r="4776" spans="27:31" ht="14.4">
      <c r="AA4776" s="463"/>
      <c r="AB4776" s="462"/>
      <c r="AC4776" s="462"/>
      <c r="AD4776" s="464"/>
      <c r="AE4776" s="465"/>
    </row>
    <row r="4777" spans="27:31" ht="14.4">
      <c r="AA4777" s="463"/>
      <c r="AB4777" s="462"/>
      <c r="AC4777" s="462"/>
      <c r="AD4777" s="464"/>
      <c r="AE4777" s="465"/>
    </row>
    <row r="4778" spans="27:31" ht="14.4">
      <c r="AA4778" s="463"/>
      <c r="AB4778" s="462"/>
      <c r="AC4778" s="462"/>
      <c r="AD4778" s="464"/>
      <c r="AE4778" s="465"/>
    </row>
    <row r="4779" spans="27:31" ht="14.4">
      <c r="AA4779" s="463"/>
      <c r="AB4779" s="462"/>
      <c r="AC4779" s="462"/>
      <c r="AD4779" s="464"/>
      <c r="AE4779" s="465"/>
    </row>
    <row r="4780" spans="27:31" ht="14.4">
      <c r="AA4780" s="463"/>
      <c r="AB4780" s="462"/>
      <c r="AC4780" s="462"/>
      <c r="AD4780" s="464"/>
      <c r="AE4780" s="465"/>
    </row>
    <row r="4781" spans="27:31" ht="14.4">
      <c r="AA4781" s="463"/>
      <c r="AB4781" s="462"/>
      <c r="AC4781" s="462"/>
      <c r="AD4781" s="464"/>
      <c r="AE4781" s="465"/>
    </row>
    <row r="4782" spans="27:31" ht="14.4">
      <c r="AA4782" s="463"/>
      <c r="AB4782" s="462"/>
      <c r="AC4782" s="462"/>
      <c r="AD4782" s="464"/>
      <c r="AE4782" s="465"/>
    </row>
    <row r="4783" spans="27:31" ht="14.4">
      <c r="AA4783" s="463"/>
      <c r="AB4783" s="462"/>
      <c r="AC4783" s="462"/>
      <c r="AD4783" s="464"/>
      <c r="AE4783" s="465"/>
    </row>
    <row r="4784" spans="27:31" ht="14.4">
      <c r="AA4784" s="463"/>
      <c r="AB4784" s="462"/>
      <c r="AC4784" s="462"/>
      <c r="AD4784" s="464"/>
      <c r="AE4784" s="465"/>
    </row>
    <row r="4785" spans="27:31" ht="14.4">
      <c r="AA4785" s="463"/>
      <c r="AB4785" s="462"/>
      <c r="AC4785" s="462"/>
      <c r="AD4785" s="464"/>
      <c r="AE4785" s="465"/>
    </row>
    <row r="4786" spans="27:31" ht="14.4">
      <c r="AA4786" s="463"/>
      <c r="AB4786" s="462"/>
      <c r="AC4786" s="462"/>
      <c r="AD4786" s="464"/>
      <c r="AE4786" s="465"/>
    </row>
    <row r="4787" spans="27:31" ht="14.4">
      <c r="AA4787" s="463"/>
      <c r="AB4787" s="462"/>
      <c r="AC4787" s="462"/>
      <c r="AD4787" s="464"/>
      <c r="AE4787" s="465"/>
    </row>
    <row r="4788" spans="27:31" ht="14.4">
      <c r="AA4788" s="463"/>
      <c r="AB4788" s="462"/>
      <c r="AC4788" s="462"/>
      <c r="AD4788" s="464"/>
      <c r="AE4788" s="465"/>
    </row>
    <row r="4789" spans="27:31" ht="14.4">
      <c r="AA4789" s="463"/>
      <c r="AB4789" s="462"/>
      <c r="AC4789" s="462"/>
      <c r="AD4789" s="464"/>
      <c r="AE4789" s="465"/>
    </row>
    <row r="4790" spans="27:31" ht="14.4">
      <c r="AA4790" s="463"/>
      <c r="AB4790" s="462"/>
      <c r="AC4790" s="462"/>
      <c r="AD4790" s="464"/>
      <c r="AE4790" s="465"/>
    </row>
    <row r="4791" spans="27:31" ht="14.4">
      <c r="AA4791" s="463"/>
      <c r="AB4791" s="462"/>
      <c r="AC4791" s="462"/>
      <c r="AD4791" s="464"/>
      <c r="AE4791" s="465"/>
    </row>
    <row r="4792" spans="27:31" ht="14.4">
      <c r="AA4792" s="463"/>
      <c r="AB4792" s="462"/>
      <c r="AC4792" s="462"/>
      <c r="AD4792" s="464"/>
      <c r="AE4792" s="465"/>
    </row>
    <row r="4793" spans="27:31" ht="14.4">
      <c r="AA4793" s="463"/>
      <c r="AB4793" s="462"/>
      <c r="AC4793" s="462"/>
      <c r="AD4793" s="464"/>
      <c r="AE4793" s="465"/>
    </row>
    <row r="4794" spans="27:31" ht="14.4">
      <c r="AA4794" s="463"/>
      <c r="AB4794" s="462"/>
      <c r="AC4794" s="462"/>
      <c r="AD4794" s="464"/>
      <c r="AE4794" s="465"/>
    </row>
    <row r="4795" spans="27:31" ht="14.4">
      <c r="AA4795" s="463"/>
      <c r="AB4795" s="462"/>
      <c r="AC4795" s="462"/>
      <c r="AD4795" s="464"/>
      <c r="AE4795" s="465"/>
    </row>
    <row r="4796" spans="27:31" ht="14.4">
      <c r="AA4796" s="463"/>
      <c r="AB4796" s="462"/>
      <c r="AC4796" s="462"/>
      <c r="AD4796" s="464"/>
      <c r="AE4796" s="465"/>
    </row>
    <row r="4797" spans="27:31" ht="14.4">
      <c r="AA4797" s="463"/>
      <c r="AB4797" s="462"/>
      <c r="AC4797" s="462"/>
      <c r="AD4797" s="464"/>
      <c r="AE4797" s="465"/>
    </row>
    <row r="4798" spans="27:31" ht="14.4">
      <c r="AA4798" s="463"/>
      <c r="AB4798" s="462"/>
      <c r="AC4798" s="462"/>
      <c r="AD4798" s="464"/>
      <c r="AE4798" s="465"/>
    </row>
    <row r="4799" spans="27:31" ht="14.4">
      <c r="AA4799" s="463"/>
      <c r="AB4799" s="462"/>
      <c r="AC4799" s="462"/>
      <c r="AD4799" s="464"/>
      <c r="AE4799" s="465"/>
    </row>
    <row r="4800" spans="27:31" ht="14.4">
      <c r="AA4800" s="463"/>
      <c r="AB4800" s="462"/>
      <c r="AC4800" s="462"/>
      <c r="AD4800" s="464"/>
      <c r="AE4800" s="465"/>
    </row>
    <row r="4801" spans="27:31" ht="14.4">
      <c r="AA4801" s="463"/>
      <c r="AB4801" s="462"/>
      <c r="AC4801" s="462"/>
      <c r="AD4801" s="464"/>
      <c r="AE4801" s="465"/>
    </row>
    <row r="4802" spans="27:31" ht="14.4">
      <c r="AA4802" s="463"/>
      <c r="AB4802" s="462"/>
      <c r="AC4802" s="462"/>
      <c r="AD4802" s="464"/>
      <c r="AE4802" s="465"/>
    </row>
    <row r="4803" spans="27:31" ht="14.4">
      <c r="AA4803" s="463"/>
      <c r="AB4803" s="462"/>
      <c r="AC4803" s="462"/>
      <c r="AD4803" s="464"/>
      <c r="AE4803" s="465"/>
    </row>
    <row r="4804" spans="27:31" ht="14.4">
      <c r="AA4804" s="463"/>
      <c r="AB4804" s="462"/>
      <c r="AC4804" s="462"/>
      <c r="AD4804" s="464"/>
      <c r="AE4804" s="465"/>
    </row>
    <row r="4805" spans="27:31" ht="14.4">
      <c r="AA4805" s="463"/>
      <c r="AB4805" s="462"/>
      <c r="AC4805" s="462"/>
      <c r="AD4805" s="464"/>
      <c r="AE4805" s="465"/>
    </row>
    <row r="4806" spans="27:31" ht="14.4">
      <c r="AA4806" s="463"/>
      <c r="AB4806" s="462"/>
      <c r="AC4806" s="462"/>
      <c r="AD4806" s="464"/>
      <c r="AE4806" s="465"/>
    </row>
    <row r="4807" spans="27:31" ht="14.4">
      <c r="AA4807" s="463"/>
      <c r="AB4807" s="462"/>
      <c r="AC4807" s="462"/>
      <c r="AD4807" s="464"/>
      <c r="AE4807" s="465"/>
    </row>
    <row r="4808" spans="27:31" ht="14.4">
      <c r="AA4808" s="463"/>
      <c r="AB4808" s="462"/>
      <c r="AC4808" s="462"/>
      <c r="AD4808" s="464"/>
      <c r="AE4808" s="465"/>
    </row>
    <row r="4809" spans="27:31" ht="14.4">
      <c r="AA4809" s="463"/>
      <c r="AB4809" s="462"/>
      <c r="AC4809" s="462"/>
      <c r="AD4809" s="464"/>
      <c r="AE4809" s="465"/>
    </row>
    <row r="4810" spans="27:31" ht="14.4">
      <c r="AA4810" s="463"/>
      <c r="AB4810" s="462"/>
      <c r="AC4810" s="462"/>
      <c r="AD4810" s="464"/>
      <c r="AE4810" s="465"/>
    </row>
    <row r="4811" spans="27:31" ht="14.4">
      <c r="AA4811" s="463"/>
      <c r="AB4811" s="462"/>
      <c r="AC4811" s="462"/>
      <c r="AD4811" s="464"/>
      <c r="AE4811" s="465"/>
    </row>
    <row r="4812" spans="27:31" ht="14.4">
      <c r="AA4812" s="463"/>
      <c r="AB4812" s="462"/>
      <c r="AC4812" s="462"/>
      <c r="AD4812" s="464"/>
      <c r="AE4812" s="465"/>
    </row>
    <row r="4813" spans="27:31" ht="14.4">
      <c r="AA4813" s="463"/>
      <c r="AB4813" s="462"/>
      <c r="AC4813" s="462"/>
      <c r="AD4813" s="464"/>
      <c r="AE4813" s="465"/>
    </row>
    <row r="4814" spans="27:31" ht="14.4">
      <c r="AA4814" s="463"/>
      <c r="AB4814" s="462"/>
      <c r="AC4814" s="462"/>
      <c r="AD4814" s="464"/>
      <c r="AE4814" s="465"/>
    </row>
    <row r="4815" spans="27:31" ht="14.4">
      <c r="AA4815" s="463"/>
      <c r="AB4815" s="462"/>
      <c r="AC4815" s="462"/>
      <c r="AD4815" s="464"/>
      <c r="AE4815" s="465"/>
    </row>
    <row r="4816" spans="27:31" ht="14.4">
      <c r="AA4816" s="463"/>
      <c r="AB4816" s="462"/>
      <c r="AC4816" s="462"/>
      <c r="AD4816" s="464"/>
      <c r="AE4816" s="465"/>
    </row>
    <row r="4817" spans="27:31" ht="14.4">
      <c r="AA4817" s="463"/>
      <c r="AB4817" s="462"/>
      <c r="AC4817" s="462"/>
      <c r="AD4817" s="464"/>
      <c r="AE4817" s="465"/>
    </row>
    <row r="4818" spans="27:31" ht="14.4">
      <c r="AA4818" s="463"/>
      <c r="AB4818" s="462"/>
      <c r="AC4818" s="462"/>
      <c r="AD4818" s="464"/>
      <c r="AE4818" s="465"/>
    </row>
    <row r="4819" spans="27:31" ht="14.4">
      <c r="AA4819" s="463"/>
      <c r="AB4819" s="462"/>
      <c r="AC4819" s="462"/>
      <c r="AD4819" s="464"/>
      <c r="AE4819" s="465"/>
    </row>
    <row r="4820" spans="27:31" ht="14.4">
      <c r="AA4820" s="463"/>
      <c r="AB4820" s="462"/>
      <c r="AC4820" s="462"/>
      <c r="AD4820" s="464"/>
      <c r="AE4820" s="465"/>
    </row>
    <row r="4821" spans="27:31" ht="14.4">
      <c r="AA4821" s="463"/>
      <c r="AB4821" s="462"/>
      <c r="AC4821" s="462"/>
      <c r="AD4821" s="464"/>
      <c r="AE4821" s="465"/>
    </row>
    <row r="4822" spans="27:31" ht="14.4">
      <c r="AA4822" s="463"/>
      <c r="AB4822" s="462"/>
      <c r="AC4822" s="462"/>
      <c r="AD4822" s="464"/>
      <c r="AE4822" s="465"/>
    </row>
    <row r="4823" spans="27:31" ht="14.4">
      <c r="AA4823" s="463"/>
      <c r="AB4823" s="462"/>
      <c r="AC4823" s="462"/>
      <c r="AD4823" s="464"/>
      <c r="AE4823" s="465"/>
    </row>
    <row r="4824" spans="27:31" ht="14.4">
      <c r="AA4824" s="463"/>
      <c r="AB4824" s="462"/>
      <c r="AC4824" s="462"/>
      <c r="AD4824" s="464"/>
      <c r="AE4824" s="465"/>
    </row>
    <row r="4825" spans="27:31" ht="14.4">
      <c r="AA4825" s="463"/>
      <c r="AB4825" s="462"/>
      <c r="AC4825" s="462"/>
      <c r="AD4825" s="464"/>
      <c r="AE4825" s="465"/>
    </row>
    <row r="4826" spans="27:31" ht="14.4">
      <c r="AA4826" s="463"/>
      <c r="AB4826" s="462"/>
      <c r="AC4826" s="462"/>
      <c r="AD4826" s="464"/>
      <c r="AE4826" s="465"/>
    </row>
    <row r="4827" spans="27:31" ht="14.4">
      <c r="AA4827" s="463"/>
      <c r="AB4827" s="462"/>
      <c r="AC4827" s="462"/>
      <c r="AD4827" s="464"/>
      <c r="AE4827" s="465"/>
    </row>
    <row r="4828" spans="27:31" ht="14.4">
      <c r="AA4828" s="463"/>
      <c r="AB4828" s="462"/>
      <c r="AC4828" s="462"/>
      <c r="AD4828" s="464"/>
      <c r="AE4828" s="465"/>
    </row>
    <row r="4829" spans="27:31" ht="14.4">
      <c r="AA4829" s="463"/>
      <c r="AB4829" s="462"/>
      <c r="AC4829" s="462"/>
      <c r="AD4829" s="464"/>
      <c r="AE4829" s="465"/>
    </row>
    <row r="4830" spans="27:31" ht="14.4">
      <c r="AA4830" s="463"/>
      <c r="AB4830" s="462"/>
      <c r="AC4830" s="462"/>
      <c r="AD4830" s="464"/>
      <c r="AE4830" s="465"/>
    </row>
    <row r="4831" spans="27:31" ht="14.4">
      <c r="AA4831" s="463"/>
      <c r="AB4831" s="462"/>
      <c r="AC4831" s="462"/>
      <c r="AD4831" s="464"/>
      <c r="AE4831" s="465"/>
    </row>
    <row r="4832" spans="27:31" ht="14.4">
      <c r="AA4832" s="463"/>
      <c r="AB4832" s="462"/>
      <c r="AC4832" s="462"/>
      <c r="AD4832" s="464"/>
      <c r="AE4832" s="465"/>
    </row>
    <row r="4833" spans="27:31" ht="14.4">
      <c r="AA4833" s="463"/>
      <c r="AB4833" s="462"/>
      <c r="AC4833" s="462"/>
      <c r="AD4833" s="464"/>
      <c r="AE4833" s="465"/>
    </row>
    <row r="4834" spans="27:31" ht="14.4">
      <c r="AA4834" s="463"/>
      <c r="AB4834" s="462"/>
      <c r="AC4834" s="462"/>
      <c r="AD4834" s="464"/>
      <c r="AE4834" s="465"/>
    </row>
    <row r="4835" spans="27:31" ht="14.4">
      <c r="AA4835" s="463"/>
      <c r="AB4835" s="462"/>
      <c r="AC4835" s="462"/>
      <c r="AD4835" s="464"/>
      <c r="AE4835" s="465"/>
    </row>
    <row r="4836" spans="27:31" ht="14.4">
      <c r="AA4836" s="463"/>
      <c r="AB4836" s="462"/>
      <c r="AC4836" s="462"/>
      <c r="AD4836" s="464"/>
      <c r="AE4836" s="465"/>
    </row>
    <row r="4837" spans="27:31" ht="14.4">
      <c r="AA4837" s="463"/>
      <c r="AB4837" s="462"/>
      <c r="AC4837" s="462"/>
      <c r="AD4837" s="464"/>
      <c r="AE4837" s="465"/>
    </row>
    <row r="4838" spans="27:31" ht="14.4">
      <c r="AA4838" s="463"/>
      <c r="AB4838" s="462"/>
      <c r="AC4838" s="462"/>
      <c r="AD4838" s="464"/>
      <c r="AE4838" s="465"/>
    </row>
    <row r="4839" spans="27:31" ht="14.4">
      <c r="AA4839" s="463"/>
      <c r="AB4839" s="462"/>
      <c r="AC4839" s="462"/>
      <c r="AD4839" s="464"/>
      <c r="AE4839" s="465"/>
    </row>
    <row r="4840" spans="27:31" ht="14.4">
      <c r="AA4840" s="463"/>
      <c r="AB4840" s="462"/>
      <c r="AC4840" s="462"/>
      <c r="AD4840" s="464"/>
      <c r="AE4840" s="465"/>
    </row>
    <row r="4841" spans="27:31" ht="14.4">
      <c r="AA4841" s="463"/>
      <c r="AB4841" s="462"/>
      <c r="AC4841" s="462"/>
      <c r="AD4841" s="464"/>
      <c r="AE4841" s="465"/>
    </row>
    <row r="4842" spans="27:31" ht="14.4">
      <c r="AA4842" s="463"/>
      <c r="AB4842" s="462"/>
      <c r="AC4842" s="462"/>
      <c r="AD4842" s="464"/>
      <c r="AE4842" s="465"/>
    </row>
    <row r="4843" spans="27:31" ht="14.4">
      <c r="AA4843" s="463"/>
      <c r="AB4843" s="462"/>
      <c r="AC4843" s="462"/>
      <c r="AD4843" s="464"/>
      <c r="AE4843" s="465"/>
    </row>
    <row r="4844" spans="27:31" ht="14.4">
      <c r="AA4844" s="463"/>
      <c r="AB4844" s="462"/>
      <c r="AC4844" s="462"/>
      <c r="AD4844" s="464"/>
      <c r="AE4844" s="465"/>
    </row>
    <row r="4845" spans="27:31" ht="14.4">
      <c r="AA4845" s="463"/>
      <c r="AB4845" s="462"/>
      <c r="AC4845" s="462"/>
      <c r="AD4845" s="464"/>
      <c r="AE4845" s="465"/>
    </row>
    <row r="4846" spans="27:31" ht="14.4">
      <c r="AA4846" s="463"/>
      <c r="AB4846" s="462"/>
      <c r="AC4846" s="462"/>
      <c r="AD4846" s="464"/>
      <c r="AE4846" s="465"/>
    </row>
    <row r="4847" spans="27:31" ht="14.4">
      <c r="AA4847" s="463"/>
      <c r="AB4847" s="462"/>
      <c r="AC4847" s="462"/>
      <c r="AD4847" s="464"/>
      <c r="AE4847" s="465"/>
    </row>
    <row r="4848" spans="27:31" ht="14.4">
      <c r="AA4848" s="463"/>
      <c r="AB4848" s="462"/>
      <c r="AC4848" s="462"/>
      <c r="AD4848" s="464"/>
      <c r="AE4848" s="465"/>
    </row>
    <row r="4849" spans="27:31" ht="14.4">
      <c r="AA4849" s="463"/>
      <c r="AB4849" s="462"/>
      <c r="AC4849" s="462"/>
      <c r="AD4849" s="464"/>
      <c r="AE4849" s="465"/>
    </row>
    <row r="4850" spans="27:31" ht="14.4">
      <c r="AA4850" s="463"/>
      <c r="AB4850" s="462"/>
      <c r="AC4850" s="462"/>
      <c r="AD4850" s="464"/>
      <c r="AE4850" s="465"/>
    </row>
    <row r="4851" spans="27:31" ht="14.4">
      <c r="AA4851" s="463"/>
      <c r="AB4851" s="462"/>
      <c r="AC4851" s="462"/>
      <c r="AD4851" s="464"/>
      <c r="AE4851" s="465"/>
    </row>
    <row r="4852" spans="27:31" ht="14.4">
      <c r="AA4852" s="463"/>
      <c r="AB4852" s="462"/>
      <c r="AC4852" s="462"/>
      <c r="AD4852" s="464"/>
      <c r="AE4852" s="465"/>
    </row>
    <row r="4853" spans="27:31" ht="14.4">
      <c r="AA4853" s="463"/>
      <c r="AB4853" s="462"/>
      <c r="AC4853" s="462"/>
      <c r="AD4853" s="464"/>
      <c r="AE4853" s="465"/>
    </row>
    <row r="4854" spans="27:31" ht="14.4">
      <c r="AA4854" s="463"/>
      <c r="AB4854" s="462"/>
      <c r="AC4854" s="462"/>
      <c r="AD4854" s="464"/>
      <c r="AE4854" s="465"/>
    </row>
    <row r="4855" spans="27:31" ht="14.4">
      <c r="AA4855" s="463"/>
      <c r="AB4855" s="462"/>
      <c r="AC4855" s="462"/>
      <c r="AD4855" s="464"/>
      <c r="AE4855" s="465"/>
    </row>
    <row r="4856" spans="27:31" ht="14.4">
      <c r="AA4856" s="463"/>
      <c r="AB4856" s="462"/>
      <c r="AC4856" s="462"/>
      <c r="AD4856" s="464"/>
      <c r="AE4856" s="465"/>
    </row>
    <row r="4857" spans="27:31" ht="14.4">
      <c r="AA4857" s="463"/>
      <c r="AB4857" s="462"/>
      <c r="AC4857" s="462"/>
      <c r="AD4857" s="464"/>
      <c r="AE4857" s="465"/>
    </row>
    <row r="4858" spans="27:31" ht="14.4">
      <c r="AA4858" s="463"/>
      <c r="AB4858" s="462"/>
      <c r="AC4858" s="462"/>
      <c r="AD4858" s="464"/>
      <c r="AE4858" s="465"/>
    </row>
    <row r="4859" spans="27:31" ht="14.4">
      <c r="AA4859" s="463"/>
      <c r="AB4859" s="462"/>
      <c r="AC4859" s="462"/>
      <c r="AD4859" s="464"/>
      <c r="AE4859" s="465"/>
    </row>
    <row r="4860" spans="27:31" ht="14.4">
      <c r="AA4860" s="463"/>
      <c r="AB4860" s="462"/>
      <c r="AC4860" s="462"/>
      <c r="AD4860" s="464"/>
      <c r="AE4860" s="465"/>
    </row>
    <row r="4861" spans="27:31" ht="14.4">
      <c r="AA4861" s="463"/>
      <c r="AB4861" s="462"/>
      <c r="AC4861" s="462"/>
      <c r="AD4861" s="464"/>
      <c r="AE4861" s="465"/>
    </row>
    <row r="4862" spans="27:31" ht="14.4">
      <c r="AA4862" s="463"/>
      <c r="AB4862" s="462"/>
      <c r="AC4862" s="462"/>
      <c r="AD4862" s="464"/>
      <c r="AE4862" s="465"/>
    </row>
    <row r="4863" spans="27:31" ht="14.4">
      <c r="AA4863" s="463"/>
      <c r="AB4863" s="462"/>
      <c r="AC4863" s="462"/>
      <c r="AD4863" s="464"/>
      <c r="AE4863" s="465"/>
    </row>
    <row r="4864" spans="27:31" ht="14.4">
      <c r="AA4864" s="463"/>
      <c r="AB4864" s="462"/>
      <c r="AC4864" s="462"/>
      <c r="AD4864" s="464"/>
      <c r="AE4864" s="465"/>
    </row>
    <row r="4865" spans="27:31" ht="14.4">
      <c r="AA4865" s="463"/>
      <c r="AB4865" s="462"/>
      <c r="AC4865" s="462"/>
      <c r="AD4865" s="464"/>
      <c r="AE4865" s="465"/>
    </row>
    <row r="4866" spans="27:31" ht="14.4">
      <c r="AA4866" s="463"/>
      <c r="AB4866" s="462"/>
      <c r="AC4866" s="462"/>
      <c r="AD4866" s="464"/>
      <c r="AE4866" s="465"/>
    </row>
    <row r="4867" spans="27:31" ht="14.4">
      <c r="AA4867" s="463"/>
      <c r="AB4867" s="462"/>
      <c r="AC4867" s="462"/>
      <c r="AD4867" s="464"/>
      <c r="AE4867" s="465"/>
    </row>
    <row r="4868" spans="27:31" ht="14.4">
      <c r="AA4868" s="463"/>
      <c r="AB4868" s="462"/>
      <c r="AC4868" s="462"/>
      <c r="AD4868" s="464"/>
      <c r="AE4868" s="465"/>
    </row>
    <row r="4869" spans="27:31" ht="14.4">
      <c r="AA4869" s="463"/>
      <c r="AB4869" s="462"/>
      <c r="AC4869" s="462"/>
      <c r="AD4869" s="464"/>
      <c r="AE4869" s="465"/>
    </row>
    <row r="4870" spans="27:31" ht="14.4">
      <c r="AA4870" s="463"/>
      <c r="AB4870" s="462"/>
      <c r="AC4870" s="462"/>
      <c r="AD4870" s="464"/>
      <c r="AE4870" s="465"/>
    </row>
    <row r="4871" spans="27:31" ht="14.4">
      <c r="AA4871" s="463"/>
      <c r="AB4871" s="462"/>
      <c r="AC4871" s="462"/>
      <c r="AD4871" s="464"/>
      <c r="AE4871" s="465"/>
    </row>
    <row r="4872" spans="27:31" ht="14.4">
      <c r="AA4872" s="463"/>
      <c r="AB4872" s="462"/>
      <c r="AC4872" s="462"/>
      <c r="AD4872" s="464"/>
      <c r="AE4872" s="465"/>
    </row>
    <row r="4873" spans="27:31" ht="14.4">
      <c r="AA4873" s="463"/>
      <c r="AB4873" s="462"/>
      <c r="AC4873" s="462"/>
      <c r="AD4873" s="464"/>
      <c r="AE4873" s="465"/>
    </row>
    <row r="4874" spans="27:31" ht="14.4">
      <c r="AA4874" s="463"/>
      <c r="AB4874" s="462"/>
      <c r="AC4874" s="462"/>
      <c r="AD4874" s="464"/>
      <c r="AE4874" s="465"/>
    </row>
    <row r="4875" spans="27:31" ht="14.4">
      <c r="AA4875" s="463"/>
      <c r="AB4875" s="462"/>
      <c r="AC4875" s="462"/>
      <c r="AD4875" s="464"/>
      <c r="AE4875" s="465"/>
    </row>
    <row r="4876" spans="27:31" ht="14.4">
      <c r="AA4876" s="463"/>
      <c r="AB4876" s="462"/>
      <c r="AC4876" s="462"/>
      <c r="AD4876" s="464"/>
      <c r="AE4876" s="465"/>
    </row>
    <row r="4877" spans="27:31" ht="14.4">
      <c r="AA4877" s="463"/>
      <c r="AB4877" s="462"/>
      <c r="AC4877" s="462"/>
      <c r="AD4877" s="464"/>
      <c r="AE4877" s="465"/>
    </row>
    <row r="4878" spans="27:31" ht="14.4">
      <c r="AA4878" s="463"/>
      <c r="AB4878" s="462"/>
      <c r="AC4878" s="462"/>
      <c r="AD4878" s="464"/>
      <c r="AE4878" s="465"/>
    </row>
    <row r="4879" spans="27:31" ht="14.4">
      <c r="AA4879" s="463"/>
      <c r="AB4879" s="462"/>
      <c r="AC4879" s="462"/>
      <c r="AD4879" s="464"/>
      <c r="AE4879" s="465"/>
    </row>
    <row r="4880" spans="27:31" ht="14.4">
      <c r="AA4880" s="463"/>
      <c r="AB4880" s="462"/>
      <c r="AC4880" s="462"/>
      <c r="AD4880" s="464"/>
      <c r="AE4880" s="465"/>
    </row>
    <row r="4881" spans="27:31" ht="14.4">
      <c r="AA4881" s="463"/>
      <c r="AB4881" s="462"/>
      <c r="AC4881" s="462"/>
      <c r="AD4881" s="464"/>
      <c r="AE4881" s="465"/>
    </row>
    <row r="4882" spans="27:31" ht="14.4">
      <c r="AA4882" s="463"/>
      <c r="AB4882" s="462"/>
      <c r="AC4882" s="462"/>
      <c r="AD4882" s="464"/>
      <c r="AE4882" s="465"/>
    </row>
    <row r="4883" spans="27:31" ht="14.4">
      <c r="AA4883" s="463"/>
      <c r="AB4883" s="462"/>
      <c r="AC4883" s="462"/>
      <c r="AD4883" s="464"/>
      <c r="AE4883" s="465"/>
    </row>
    <row r="4884" spans="27:31" ht="14.4">
      <c r="AA4884" s="463"/>
      <c r="AB4884" s="462"/>
      <c r="AC4884" s="462"/>
      <c r="AD4884" s="464"/>
      <c r="AE4884" s="465"/>
    </row>
    <row r="4885" spans="27:31" ht="14.4">
      <c r="AA4885" s="463"/>
      <c r="AB4885" s="462"/>
      <c r="AC4885" s="462"/>
      <c r="AD4885" s="464"/>
      <c r="AE4885" s="465"/>
    </row>
    <row r="4886" spans="27:31" ht="14.4">
      <c r="AA4886" s="463"/>
      <c r="AB4886" s="462"/>
      <c r="AC4886" s="462"/>
      <c r="AD4886" s="464"/>
      <c r="AE4886" s="465"/>
    </row>
    <row r="4887" spans="27:31" ht="14.4">
      <c r="AA4887" s="463"/>
      <c r="AB4887" s="462"/>
      <c r="AC4887" s="462"/>
      <c r="AD4887" s="464"/>
      <c r="AE4887" s="465"/>
    </row>
    <row r="4888" spans="27:31" ht="14.4">
      <c r="AA4888" s="463"/>
      <c r="AB4888" s="462"/>
      <c r="AC4888" s="462"/>
      <c r="AD4888" s="464"/>
      <c r="AE4888" s="465"/>
    </row>
    <row r="4889" spans="27:31" ht="14.4">
      <c r="AA4889" s="463"/>
      <c r="AB4889" s="462"/>
      <c r="AC4889" s="462"/>
      <c r="AD4889" s="464"/>
      <c r="AE4889" s="465"/>
    </row>
    <row r="4890" spans="27:31" ht="14.4">
      <c r="AA4890" s="463"/>
      <c r="AB4890" s="462"/>
      <c r="AC4890" s="462"/>
      <c r="AD4890" s="464"/>
      <c r="AE4890" s="465"/>
    </row>
    <row r="4891" spans="27:31" ht="14.4">
      <c r="AA4891" s="463"/>
      <c r="AB4891" s="462"/>
      <c r="AC4891" s="462"/>
      <c r="AD4891" s="464"/>
      <c r="AE4891" s="465"/>
    </row>
    <row r="4892" spans="27:31" ht="14.4">
      <c r="AA4892" s="463"/>
      <c r="AB4892" s="462"/>
      <c r="AC4892" s="462"/>
      <c r="AD4892" s="464"/>
      <c r="AE4892" s="465"/>
    </row>
    <row r="4893" spans="27:31" ht="14.4">
      <c r="AA4893" s="463"/>
      <c r="AB4893" s="462"/>
      <c r="AC4893" s="462"/>
      <c r="AD4893" s="464"/>
      <c r="AE4893" s="465"/>
    </row>
    <row r="4894" spans="27:31" ht="14.4">
      <c r="AA4894" s="463"/>
      <c r="AB4894" s="462"/>
      <c r="AC4894" s="462"/>
      <c r="AD4894" s="464"/>
      <c r="AE4894" s="465"/>
    </row>
    <row r="4895" spans="27:31" ht="14.4">
      <c r="AA4895" s="463"/>
      <c r="AB4895" s="462"/>
      <c r="AC4895" s="462"/>
      <c r="AD4895" s="464"/>
      <c r="AE4895" s="465"/>
    </row>
    <row r="4896" spans="27:31" ht="14.4">
      <c r="AA4896" s="463"/>
      <c r="AB4896" s="462"/>
      <c r="AC4896" s="462"/>
      <c r="AD4896" s="464"/>
      <c r="AE4896" s="465"/>
    </row>
    <row r="4897" spans="27:31" ht="14.4">
      <c r="AA4897" s="463"/>
      <c r="AB4897" s="462"/>
      <c r="AC4897" s="462"/>
      <c r="AD4897" s="464"/>
      <c r="AE4897" s="465"/>
    </row>
    <row r="4898" spans="27:31" ht="14.4">
      <c r="AA4898" s="463"/>
      <c r="AB4898" s="462"/>
      <c r="AC4898" s="462"/>
      <c r="AD4898" s="464"/>
      <c r="AE4898" s="465"/>
    </row>
    <row r="4899" spans="27:31" ht="14.4">
      <c r="AA4899" s="463"/>
      <c r="AB4899" s="462"/>
      <c r="AC4899" s="462"/>
      <c r="AD4899" s="464"/>
      <c r="AE4899" s="465"/>
    </row>
    <row r="4900" spans="27:31" ht="14.4">
      <c r="AA4900" s="463"/>
      <c r="AB4900" s="462"/>
      <c r="AC4900" s="462"/>
      <c r="AD4900" s="464"/>
      <c r="AE4900" s="465"/>
    </row>
    <row r="4901" spans="27:31" ht="14.4">
      <c r="AA4901" s="463"/>
      <c r="AB4901" s="462"/>
      <c r="AC4901" s="462"/>
      <c r="AD4901" s="464"/>
      <c r="AE4901" s="465"/>
    </row>
    <row r="4902" spans="27:31" ht="14.4">
      <c r="AA4902" s="463"/>
      <c r="AB4902" s="462"/>
      <c r="AC4902" s="462"/>
      <c r="AD4902" s="464"/>
      <c r="AE4902" s="465"/>
    </row>
    <row r="4903" spans="27:31" ht="14.4">
      <c r="AA4903" s="463"/>
      <c r="AB4903" s="462"/>
      <c r="AC4903" s="462"/>
      <c r="AD4903" s="464"/>
      <c r="AE4903" s="465"/>
    </row>
    <row r="4904" spans="27:31" ht="14.4">
      <c r="AA4904" s="463"/>
      <c r="AB4904" s="462"/>
      <c r="AC4904" s="462"/>
      <c r="AD4904" s="464"/>
      <c r="AE4904" s="465"/>
    </row>
    <row r="4905" spans="27:31" ht="14.4">
      <c r="AA4905" s="463"/>
      <c r="AB4905" s="462"/>
      <c r="AC4905" s="462"/>
      <c r="AD4905" s="464"/>
      <c r="AE4905" s="465"/>
    </row>
    <row r="4906" spans="27:31" ht="14.4">
      <c r="AA4906" s="463"/>
      <c r="AB4906" s="462"/>
      <c r="AC4906" s="462"/>
      <c r="AD4906" s="464"/>
      <c r="AE4906" s="465"/>
    </row>
    <row r="4907" spans="27:31" ht="14.4">
      <c r="AA4907" s="463"/>
      <c r="AB4907" s="462"/>
      <c r="AC4907" s="462"/>
      <c r="AD4907" s="464"/>
      <c r="AE4907" s="465"/>
    </row>
    <row r="4908" spans="27:31" ht="14.4">
      <c r="AA4908" s="463"/>
      <c r="AB4908" s="462"/>
      <c r="AC4908" s="462"/>
      <c r="AD4908" s="464"/>
      <c r="AE4908" s="465"/>
    </row>
    <row r="4909" spans="27:31" ht="14.4">
      <c r="AA4909" s="463"/>
      <c r="AB4909" s="462"/>
      <c r="AC4909" s="462"/>
      <c r="AD4909" s="464"/>
      <c r="AE4909" s="465"/>
    </row>
    <row r="4910" spans="27:31" ht="14.4">
      <c r="AA4910" s="463"/>
      <c r="AB4910" s="462"/>
      <c r="AC4910" s="462"/>
      <c r="AD4910" s="464"/>
      <c r="AE4910" s="465"/>
    </row>
    <row r="4911" spans="27:31" ht="14.4">
      <c r="AA4911" s="463"/>
      <c r="AB4911" s="462"/>
      <c r="AC4911" s="462"/>
      <c r="AD4911" s="464"/>
      <c r="AE4911" s="465"/>
    </row>
    <row r="4912" spans="27:31" ht="14.4">
      <c r="AA4912" s="463"/>
      <c r="AB4912" s="462"/>
      <c r="AC4912" s="462"/>
      <c r="AD4912" s="464"/>
      <c r="AE4912" s="465"/>
    </row>
    <row r="4913" spans="27:31" ht="14.4">
      <c r="AA4913" s="463"/>
      <c r="AB4913" s="462"/>
      <c r="AC4913" s="462"/>
      <c r="AD4913" s="464"/>
      <c r="AE4913" s="465"/>
    </row>
    <row r="4914" spans="27:31" ht="14.4">
      <c r="AA4914" s="463"/>
      <c r="AB4914" s="462"/>
      <c r="AC4914" s="462"/>
      <c r="AD4914" s="464"/>
      <c r="AE4914" s="465"/>
    </row>
    <row r="4915" spans="27:31" ht="14.4">
      <c r="AA4915" s="463"/>
      <c r="AB4915" s="462"/>
      <c r="AC4915" s="462"/>
      <c r="AD4915" s="464"/>
      <c r="AE4915" s="465"/>
    </row>
    <row r="4916" spans="27:31" ht="14.4">
      <c r="AA4916" s="463"/>
      <c r="AB4916" s="462"/>
      <c r="AC4916" s="462"/>
      <c r="AD4916" s="464"/>
      <c r="AE4916" s="465"/>
    </row>
    <row r="4917" spans="27:31" ht="14.4">
      <c r="AA4917" s="463"/>
      <c r="AB4917" s="462"/>
      <c r="AC4917" s="462"/>
      <c r="AD4917" s="464"/>
      <c r="AE4917" s="465"/>
    </row>
    <row r="4918" spans="27:31" ht="14.4">
      <c r="AA4918" s="463"/>
      <c r="AB4918" s="462"/>
      <c r="AC4918" s="462"/>
      <c r="AD4918" s="464"/>
      <c r="AE4918" s="465"/>
    </row>
    <row r="4919" spans="27:31" ht="14.4">
      <c r="AA4919" s="463"/>
      <c r="AB4919" s="462"/>
      <c r="AC4919" s="462"/>
      <c r="AD4919" s="464"/>
      <c r="AE4919" s="465"/>
    </row>
    <row r="4920" spans="27:31" ht="14.4">
      <c r="AA4920" s="463"/>
      <c r="AB4920" s="462"/>
      <c r="AC4920" s="462"/>
      <c r="AD4920" s="464"/>
      <c r="AE4920" s="465"/>
    </row>
    <row r="4921" spans="27:31" ht="14.4">
      <c r="AA4921" s="463"/>
      <c r="AB4921" s="462"/>
      <c r="AC4921" s="462"/>
      <c r="AD4921" s="464"/>
      <c r="AE4921" s="465"/>
    </row>
    <row r="4922" spans="27:31" ht="14.4">
      <c r="AA4922" s="463"/>
      <c r="AB4922" s="462"/>
      <c r="AC4922" s="462"/>
      <c r="AD4922" s="464"/>
      <c r="AE4922" s="465"/>
    </row>
    <row r="4923" spans="27:31" ht="14.4">
      <c r="AA4923" s="463"/>
      <c r="AB4923" s="462"/>
      <c r="AC4923" s="462"/>
      <c r="AD4923" s="464"/>
      <c r="AE4923" s="465"/>
    </row>
    <row r="4924" spans="27:31" ht="14.4">
      <c r="AA4924" s="463"/>
      <c r="AB4924" s="462"/>
      <c r="AC4924" s="462"/>
      <c r="AD4924" s="464"/>
      <c r="AE4924" s="465"/>
    </row>
    <row r="4925" spans="27:31" ht="14.4">
      <c r="AA4925" s="463"/>
      <c r="AB4925" s="462"/>
      <c r="AC4925" s="462"/>
      <c r="AD4925" s="464"/>
      <c r="AE4925" s="465"/>
    </row>
    <row r="4926" spans="27:31" ht="14.4">
      <c r="AA4926" s="463"/>
      <c r="AB4926" s="462"/>
      <c r="AC4926" s="462"/>
      <c r="AD4926" s="464"/>
      <c r="AE4926" s="465"/>
    </row>
    <row r="4927" spans="27:31" ht="14.4">
      <c r="AA4927" s="463"/>
      <c r="AB4927" s="462"/>
      <c r="AC4927" s="462"/>
      <c r="AD4927" s="464"/>
      <c r="AE4927" s="465"/>
    </row>
    <row r="4928" spans="27:31" ht="14.4">
      <c r="AA4928" s="463"/>
      <c r="AB4928" s="462"/>
      <c r="AC4928" s="462"/>
      <c r="AD4928" s="464"/>
      <c r="AE4928" s="465"/>
    </row>
    <row r="4929" spans="27:31" ht="14.4">
      <c r="AA4929" s="463"/>
      <c r="AB4929" s="462"/>
      <c r="AC4929" s="462"/>
      <c r="AD4929" s="464"/>
      <c r="AE4929" s="465"/>
    </row>
    <row r="4930" spans="27:31" ht="14.4">
      <c r="AA4930" s="463"/>
      <c r="AB4930" s="462"/>
      <c r="AC4930" s="462"/>
      <c r="AD4930" s="464"/>
      <c r="AE4930" s="465"/>
    </row>
    <row r="4931" spans="27:31" ht="14.4">
      <c r="AA4931" s="463"/>
      <c r="AB4931" s="462"/>
      <c r="AC4931" s="462"/>
      <c r="AD4931" s="464"/>
      <c r="AE4931" s="465"/>
    </row>
    <row r="4932" spans="27:31" ht="14.4">
      <c r="AA4932" s="463"/>
      <c r="AB4932" s="462"/>
      <c r="AC4932" s="462"/>
      <c r="AD4932" s="464"/>
      <c r="AE4932" s="465"/>
    </row>
    <row r="4933" spans="27:31" ht="14.4">
      <c r="AA4933" s="463"/>
      <c r="AB4933" s="462"/>
      <c r="AC4933" s="462"/>
      <c r="AD4933" s="464"/>
      <c r="AE4933" s="465"/>
    </row>
    <row r="4934" spans="27:31" ht="14.4">
      <c r="AA4934" s="463"/>
      <c r="AB4934" s="462"/>
      <c r="AC4934" s="462"/>
      <c r="AD4934" s="464"/>
      <c r="AE4934" s="465"/>
    </row>
    <row r="4935" spans="27:31" ht="14.4">
      <c r="AA4935" s="463"/>
      <c r="AB4935" s="462"/>
      <c r="AC4935" s="462"/>
      <c r="AD4935" s="464"/>
      <c r="AE4935" s="465"/>
    </row>
    <row r="4936" spans="27:31" ht="14.4">
      <c r="AA4936" s="463"/>
      <c r="AB4936" s="462"/>
      <c r="AC4936" s="462"/>
      <c r="AD4936" s="464"/>
      <c r="AE4936" s="465"/>
    </row>
    <row r="4937" spans="27:31" ht="14.4">
      <c r="AA4937" s="463"/>
      <c r="AB4937" s="462"/>
      <c r="AC4937" s="462"/>
      <c r="AD4937" s="464"/>
      <c r="AE4937" s="465"/>
    </row>
    <row r="4938" spans="27:31" ht="14.4">
      <c r="AA4938" s="463"/>
      <c r="AB4938" s="462"/>
      <c r="AC4938" s="462"/>
      <c r="AD4938" s="464"/>
      <c r="AE4938" s="465"/>
    </row>
    <row r="4939" spans="27:31" ht="14.4">
      <c r="AA4939" s="463"/>
      <c r="AB4939" s="462"/>
      <c r="AC4939" s="462"/>
      <c r="AD4939" s="464"/>
      <c r="AE4939" s="465"/>
    </row>
    <row r="4940" spans="27:31" ht="14.4">
      <c r="AA4940" s="463"/>
      <c r="AB4940" s="462"/>
      <c r="AC4940" s="462"/>
      <c r="AD4940" s="464"/>
      <c r="AE4940" s="465"/>
    </row>
    <row r="4941" spans="27:31" ht="14.4">
      <c r="AA4941" s="463"/>
      <c r="AB4941" s="462"/>
      <c r="AC4941" s="462"/>
      <c r="AD4941" s="464"/>
      <c r="AE4941" s="465"/>
    </row>
    <row r="4942" spans="27:31" ht="14.4">
      <c r="AA4942" s="463"/>
      <c r="AB4942" s="462"/>
      <c r="AC4942" s="462"/>
      <c r="AD4942" s="464"/>
      <c r="AE4942" s="465"/>
    </row>
    <row r="4943" spans="27:31" ht="14.4">
      <c r="AA4943" s="463"/>
      <c r="AB4943" s="462"/>
      <c r="AC4943" s="462"/>
      <c r="AD4943" s="464"/>
      <c r="AE4943" s="465"/>
    </row>
    <row r="4944" spans="27:31" ht="14.4">
      <c r="AA4944" s="463"/>
      <c r="AB4944" s="462"/>
      <c r="AC4944" s="462"/>
      <c r="AD4944" s="464"/>
      <c r="AE4944" s="465"/>
    </row>
    <row r="4945" spans="27:31" ht="14.4">
      <c r="AA4945" s="463"/>
      <c r="AB4945" s="462"/>
      <c r="AC4945" s="462"/>
      <c r="AD4945" s="464"/>
      <c r="AE4945" s="465"/>
    </row>
    <row r="4946" spans="27:31" ht="14.4">
      <c r="AA4946" s="463"/>
      <c r="AB4946" s="462"/>
      <c r="AC4946" s="462"/>
      <c r="AD4946" s="464"/>
      <c r="AE4946" s="465"/>
    </row>
    <row r="4947" spans="27:31" ht="14.4">
      <c r="AA4947" s="463"/>
      <c r="AB4947" s="462"/>
      <c r="AC4947" s="462"/>
      <c r="AD4947" s="464"/>
      <c r="AE4947" s="465"/>
    </row>
    <row r="4948" spans="27:31" ht="14.4">
      <c r="AA4948" s="463"/>
      <c r="AB4948" s="462"/>
      <c r="AC4948" s="462"/>
      <c r="AD4948" s="464"/>
      <c r="AE4948" s="465"/>
    </row>
    <row r="4949" spans="27:31" ht="14.4">
      <c r="AA4949" s="463"/>
      <c r="AB4949" s="462"/>
      <c r="AC4949" s="462"/>
      <c r="AD4949" s="464"/>
      <c r="AE4949" s="465"/>
    </row>
    <row r="4950" spans="27:31" ht="14.4">
      <c r="AA4950" s="463"/>
      <c r="AB4950" s="462"/>
      <c r="AC4950" s="462"/>
      <c r="AD4950" s="464"/>
      <c r="AE4950" s="465"/>
    </row>
    <row r="4951" spans="27:31" ht="14.4">
      <c r="AA4951" s="463"/>
      <c r="AB4951" s="462"/>
      <c r="AC4951" s="462"/>
      <c r="AD4951" s="464"/>
      <c r="AE4951" s="465"/>
    </row>
    <row r="4952" spans="27:31" ht="14.4">
      <c r="AA4952" s="463"/>
      <c r="AB4952" s="462"/>
      <c r="AC4952" s="462"/>
      <c r="AD4952" s="464"/>
      <c r="AE4952" s="465"/>
    </row>
    <row r="4953" spans="27:31" ht="14.4">
      <c r="AA4953" s="463"/>
      <c r="AB4953" s="462"/>
      <c r="AC4953" s="462"/>
      <c r="AD4953" s="464"/>
      <c r="AE4953" s="465"/>
    </row>
    <row r="4954" spans="27:31" ht="14.4">
      <c r="AA4954" s="463"/>
      <c r="AB4954" s="462"/>
      <c r="AC4954" s="462"/>
      <c r="AD4954" s="464"/>
      <c r="AE4954" s="465"/>
    </row>
    <row r="4955" spans="27:31" ht="14.4">
      <c r="AA4955" s="463"/>
      <c r="AB4955" s="462"/>
      <c r="AC4955" s="462"/>
      <c r="AD4955" s="464"/>
      <c r="AE4955" s="465"/>
    </row>
    <row r="4956" spans="27:31" ht="14.4">
      <c r="AA4956" s="463"/>
      <c r="AB4956" s="462"/>
      <c r="AC4956" s="462"/>
      <c r="AD4956" s="464"/>
      <c r="AE4956" s="465"/>
    </row>
    <row r="4957" spans="27:31" ht="14.4">
      <c r="AA4957" s="463"/>
      <c r="AB4957" s="462"/>
      <c r="AC4957" s="462"/>
      <c r="AD4957" s="464"/>
      <c r="AE4957" s="465"/>
    </row>
    <row r="4958" spans="27:31" ht="14.4">
      <c r="AA4958" s="463"/>
      <c r="AB4958" s="462"/>
      <c r="AC4958" s="462"/>
      <c r="AD4958" s="464"/>
      <c r="AE4958" s="465"/>
    </row>
    <row r="4959" spans="27:31" ht="14.4">
      <c r="AA4959" s="463"/>
      <c r="AB4959" s="462"/>
      <c r="AC4959" s="462"/>
      <c r="AD4959" s="464"/>
      <c r="AE4959" s="465"/>
    </row>
    <row r="4960" spans="27:31" ht="14.4">
      <c r="AA4960" s="463"/>
      <c r="AB4960" s="462"/>
      <c r="AC4960" s="462"/>
      <c r="AD4960" s="464"/>
      <c r="AE4960" s="465"/>
    </row>
    <row r="4961" spans="27:31" ht="14.4">
      <c r="AA4961" s="463"/>
      <c r="AB4961" s="462"/>
      <c r="AC4961" s="462"/>
      <c r="AD4961" s="464"/>
      <c r="AE4961" s="465"/>
    </row>
    <row r="4962" spans="27:31" ht="14.4">
      <c r="AA4962" s="463"/>
      <c r="AB4962" s="462"/>
      <c r="AC4962" s="462"/>
      <c r="AD4962" s="464"/>
      <c r="AE4962" s="465"/>
    </row>
    <row r="4963" spans="27:31" ht="14.4">
      <c r="AA4963" s="463"/>
      <c r="AB4963" s="462"/>
      <c r="AC4963" s="462"/>
      <c r="AD4963" s="464"/>
      <c r="AE4963" s="465"/>
    </row>
    <row r="4964" spans="27:31" ht="14.4">
      <c r="AA4964" s="463"/>
      <c r="AB4964" s="462"/>
      <c r="AC4964" s="462"/>
      <c r="AD4964" s="464"/>
      <c r="AE4964" s="465"/>
    </row>
    <row r="4965" spans="27:31" ht="14.4">
      <c r="AA4965" s="463"/>
      <c r="AB4965" s="462"/>
      <c r="AC4965" s="462"/>
      <c r="AD4965" s="464"/>
      <c r="AE4965" s="465"/>
    </row>
    <row r="4966" spans="27:31" ht="14.4">
      <c r="AA4966" s="463"/>
      <c r="AB4966" s="462"/>
      <c r="AC4966" s="462"/>
      <c r="AD4966" s="464"/>
      <c r="AE4966" s="465"/>
    </row>
    <row r="4967" spans="27:31" ht="14.4">
      <c r="AA4967" s="463"/>
      <c r="AB4967" s="462"/>
      <c r="AC4967" s="462"/>
      <c r="AD4967" s="464"/>
      <c r="AE4967" s="465"/>
    </row>
    <row r="4968" spans="27:31" ht="14.4">
      <c r="AA4968" s="463"/>
      <c r="AB4968" s="462"/>
      <c r="AC4968" s="462"/>
      <c r="AD4968" s="464"/>
      <c r="AE4968" s="465"/>
    </row>
    <row r="4969" spans="27:31" ht="14.4">
      <c r="AA4969" s="463"/>
      <c r="AB4969" s="462"/>
      <c r="AC4969" s="462"/>
      <c r="AD4969" s="464"/>
      <c r="AE4969" s="465"/>
    </row>
    <row r="4970" spans="27:31" ht="14.4">
      <c r="AA4970" s="463"/>
      <c r="AB4970" s="462"/>
      <c r="AC4970" s="462"/>
      <c r="AD4970" s="464"/>
      <c r="AE4970" s="465"/>
    </row>
    <row r="4971" spans="27:31" ht="14.4">
      <c r="AA4971" s="463"/>
      <c r="AB4971" s="462"/>
      <c r="AC4971" s="462"/>
      <c r="AD4971" s="464"/>
      <c r="AE4971" s="465"/>
    </row>
    <row r="4972" spans="27:31" ht="14.4">
      <c r="AA4972" s="463"/>
      <c r="AB4972" s="462"/>
      <c r="AC4972" s="462"/>
      <c r="AD4972" s="464"/>
      <c r="AE4972" s="465"/>
    </row>
    <row r="4973" spans="27:31" ht="14.4">
      <c r="AA4973" s="463"/>
      <c r="AB4973" s="462"/>
      <c r="AC4973" s="462"/>
      <c r="AD4973" s="464"/>
      <c r="AE4973" s="465"/>
    </row>
    <row r="4974" spans="27:31" ht="14.4">
      <c r="AA4974" s="463"/>
      <c r="AB4974" s="462"/>
      <c r="AC4974" s="462"/>
      <c r="AD4974" s="464"/>
      <c r="AE4974" s="465"/>
    </row>
    <row r="4975" spans="27:31" ht="14.4">
      <c r="AA4975" s="463"/>
      <c r="AB4975" s="462"/>
      <c r="AC4975" s="462"/>
      <c r="AD4975" s="464"/>
      <c r="AE4975" s="465"/>
    </row>
    <row r="4976" spans="27:31" ht="14.4">
      <c r="AA4976" s="463"/>
      <c r="AB4976" s="462"/>
      <c r="AC4976" s="462"/>
      <c r="AD4976" s="464"/>
      <c r="AE4976" s="465"/>
    </row>
    <row r="4977" spans="27:31" ht="14.4">
      <c r="AA4977" s="463"/>
      <c r="AB4977" s="462"/>
      <c r="AC4977" s="462"/>
      <c r="AD4977" s="464"/>
      <c r="AE4977" s="465"/>
    </row>
    <row r="4978" spans="27:31" ht="14.4">
      <c r="AA4978" s="463"/>
      <c r="AB4978" s="462"/>
      <c r="AC4978" s="462"/>
      <c r="AD4978" s="464"/>
      <c r="AE4978" s="465"/>
    </row>
    <row r="4979" spans="27:31" ht="14.4">
      <c r="AA4979" s="463"/>
      <c r="AB4979" s="462"/>
      <c r="AC4979" s="462"/>
      <c r="AD4979" s="464"/>
      <c r="AE4979" s="465"/>
    </row>
    <row r="4980" spans="27:31" ht="14.4">
      <c r="AA4980" s="463"/>
      <c r="AB4980" s="462"/>
      <c r="AC4980" s="462"/>
      <c r="AD4980" s="464"/>
      <c r="AE4980" s="465"/>
    </row>
    <row r="4981" spans="27:31" ht="14.4">
      <c r="AA4981" s="463"/>
      <c r="AB4981" s="462"/>
      <c r="AC4981" s="462"/>
      <c r="AD4981" s="464"/>
      <c r="AE4981" s="465"/>
    </row>
    <row r="4982" spans="27:31" ht="14.4">
      <c r="AA4982" s="463"/>
      <c r="AB4982" s="462"/>
      <c r="AC4982" s="462"/>
      <c r="AD4982" s="464"/>
      <c r="AE4982" s="465"/>
    </row>
    <row r="4983" spans="27:31" ht="14.4">
      <c r="AA4983" s="463"/>
      <c r="AB4983" s="462"/>
      <c r="AC4983" s="462"/>
      <c r="AD4983" s="464"/>
      <c r="AE4983" s="465"/>
    </row>
    <row r="4984" spans="27:31" ht="14.4">
      <c r="AA4984" s="463"/>
      <c r="AB4984" s="462"/>
      <c r="AC4984" s="462"/>
      <c r="AD4984" s="464"/>
      <c r="AE4984" s="465"/>
    </row>
    <row r="4985" spans="27:31" ht="14.4">
      <c r="AA4985" s="463"/>
      <c r="AB4985" s="462"/>
      <c r="AC4985" s="462"/>
      <c r="AD4985" s="464"/>
      <c r="AE4985" s="465"/>
    </row>
    <row r="4986" spans="27:31" ht="14.4">
      <c r="AA4986" s="463"/>
      <c r="AB4986" s="462"/>
      <c r="AC4986" s="462"/>
      <c r="AD4986" s="464"/>
      <c r="AE4986" s="465"/>
    </row>
    <row r="4987" spans="27:31" ht="14.4">
      <c r="AA4987" s="463"/>
      <c r="AB4987" s="462"/>
      <c r="AC4987" s="462"/>
      <c r="AD4987" s="464"/>
      <c r="AE4987" s="465"/>
    </row>
    <row r="4988" spans="27:31" ht="14.4">
      <c r="AA4988" s="463"/>
      <c r="AB4988" s="462"/>
      <c r="AC4988" s="462"/>
      <c r="AD4988" s="464"/>
      <c r="AE4988" s="465"/>
    </row>
    <row r="4989" spans="27:31" ht="14.4">
      <c r="AA4989" s="463"/>
      <c r="AB4989" s="462"/>
      <c r="AC4989" s="462"/>
      <c r="AD4989" s="464"/>
      <c r="AE4989" s="465"/>
    </row>
    <row r="4990" spans="27:31" ht="14.4">
      <c r="AA4990" s="463"/>
      <c r="AB4990" s="462"/>
      <c r="AC4990" s="462"/>
      <c r="AD4990" s="464"/>
      <c r="AE4990" s="465"/>
    </row>
    <row r="4991" spans="27:31" ht="14.4">
      <c r="AA4991" s="463"/>
      <c r="AB4991" s="462"/>
      <c r="AC4991" s="462"/>
      <c r="AD4991" s="464"/>
      <c r="AE4991" s="465"/>
    </row>
    <row r="4992" spans="27:31" ht="14.4">
      <c r="AA4992" s="463"/>
      <c r="AB4992" s="462"/>
      <c r="AC4992" s="462"/>
      <c r="AD4992" s="464"/>
      <c r="AE4992" s="465"/>
    </row>
    <row r="4993" spans="27:31" ht="14.4">
      <c r="AA4993" s="463"/>
      <c r="AB4993" s="462"/>
      <c r="AC4993" s="462"/>
      <c r="AD4993" s="464"/>
      <c r="AE4993" s="465"/>
    </row>
    <row r="4994" spans="27:31" ht="14.4">
      <c r="AA4994" s="463"/>
      <c r="AB4994" s="462"/>
      <c r="AC4994" s="462"/>
      <c r="AD4994" s="464"/>
      <c r="AE4994" s="465"/>
    </row>
    <row r="4995" spans="27:31" ht="14.4">
      <c r="AA4995" s="463"/>
      <c r="AB4995" s="462"/>
      <c r="AC4995" s="462"/>
      <c r="AD4995" s="464"/>
      <c r="AE4995" s="465"/>
    </row>
    <row r="4996" spans="27:31" ht="14.4">
      <c r="AA4996" s="463"/>
      <c r="AB4996" s="462"/>
      <c r="AC4996" s="462"/>
      <c r="AD4996" s="464"/>
      <c r="AE4996" s="465"/>
    </row>
    <row r="4997" spans="27:31" ht="14.4">
      <c r="AA4997" s="463"/>
      <c r="AB4997" s="462"/>
      <c r="AC4997" s="462"/>
      <c r="AD4997" s="464"/>
      <c r="AE4997" s="465"/>
    </row>
    <row r="4998" spans="27:31" ht="14.4">
      <c r="AA4998" s="463"/>
      <c r="AB4998" s="462"/>
      <c r="AC4998" s="462"/>
      <c r="AD4998" s="464"/>
      <c r="AE4998" s="465"/>
    </row>
    <row r="4999" spans="27:31" ht="14.4">
      <c r="AA4999" s="463"/>
      <c r="AB4999" s="462"/>
      <c r="AC4999" s="462"/>
      <c r="AD4999" s="464"/>
      <c r="AE4999" s="465"/>
    </row>
    <row r="5000" spans="27:31" ht="14.4">
      <c r="AA5000" s="463"/>
      <c r="AB5000" s="462"/>
      <c r="AC5000" s="462"/>
      <c r="AD5000" s="464"/>
      <c r="AE5000" s="465"/>
    </row>
    <row r="5001" spans="27:31" ht="14.4">
      <c r="AA5001" s="463"/>
      <c r="AB5001" s="462"/>
      <c r="AC5001" s="462"/>
      <c r="AD5001" s="464"/>
      <c r="AE5001" s="465"/>
    </row>
    <row r="5002" spans="27:31" ht="14.4">
      <c r="AA5002" s="463"/>
      <c r="AB5002" s="462"/>
      <c r="AC5002" s="462"/>
      <c r="AD5002" s="464"/>
      <c r="AE5002" s="465"/>
    </row>
    <row r="5003" spans="27:31" ht="14.4">
      <c r="AA5003" s="463"/>
      <c r="AB5003" s="462"/>
      <c r="AC5003" s="462"/>
      <c r="AD5003" s="464"/>
      <c r="AE5003" s="465"/>
    </row>
    <row r="5004" spans="27:31" ht="14.4">
      <c r="AA5004" s="463"/>
      <c r="AB5004" s="462"/>
      <c r="AC5004" s="462"/>
      <c r="AD5004" s="464"/>
      <c r="AE5004" s="465"/>
    </row>
    <row r="5005" spans="27:31" ht="14.4">
      <c r="AA5005" s="463"/>
      <c r="AB5005" s="462"/>
      <c r="AC5005" s="462"/>
      <c r="AD5005" s="464"/>
      <c r="AE5005" s="465"/>
    </row>
    <row r="5006" spans="27:31" ht="14.4">
      <c r="AA5006" s="463"/>
      <c r="AB5006" s="462"/>
      <c r="AC5006" s="462"/>
      <c r="AD5006" s="464"/>
      <c r="AE5006" s="465"/>
    </row>
    <row r="5007" spans="27:31" ht="14.4">
      <c r="AA5007" s="463"/>
      <c r="AB5007" s="462"/>
      <c r="AC5007" s="462"/>
      <c r="AD5007" s="464"/>
      <c r="AE5007" s="465"/>
    </row>
    <row r="5008" spans="27:31" ht="14.4">
      <c r="AA5008" s="463"/>
      <c r="AB5008" s="462"/>
      <c r="AC5008" s="462"/>
      <c r="AD5008" s="464"/>
      <c r="AE5008" s="465"/>
    </row>
    <row r="5009" spans="27:31" ht="14.4">
      <c r="AA5009" s="463"/>
      <c r="AB5009" s="462"/>
      <c r="AC5009" s="462"/>
      <c r="AD5009" s="464"/>
      <c r="AE5009" s="465"/>
    </row>
    <row r="5010" spans="27:31" ht="14.4">
      <c r="AA5010" s="463"/>
      <c r="AB5010" s="462"/>
      <c r="AC5010" s="462"/>
      <c r="AD5010" s="464"/>
      <c r="AE5010" s="465"/>
    </row>
    <row r="5011" spans="27:31" ht="14.4">
      <c r="AA5011" s="463"/>
      <c r="AB5011" s="462"/>
      <c r="AC5011" s="462"/>
      <c r="AD5011" s="464"/>
      <c r="AE5011" s="465"/>
    </row>
    <row r="5012" spans="27:31" ht="14.4">
      <c r="AA5012" s="463"/>
      <c r="AB5012" s="462"/>
      <c r="AC5012" s="462"/>
      <c r="AD5012" s="464"/>
      <c r="AE5012" s="465"/>
    </row>
    <row r="5013" spans="27:31" ht="14.4">
      <c r="AA5013" s="463"/>
      <c r="AB5013" s="462"/>
      <c r="AC5013" s="462"/>
      <c r="AD5013" s="464"/>
      <c r="AE5013" s="465"/>
    </row>
    <row r="5014" spans="27:31" ht="14.4">
      <c r="AA5014" s="463"/>
      <c r="AB5014" s="462"/>
      <c r="AC5014" s="462"/>
      <c r="AD5014" s="464"/>
      <c r="AE5014" s="465"/>
    </row>
    <row r="5015" spans="27:31" ht="14.4">
      <c r="AA5015" s="463"/>
      <c r="AB5015" s="462"/>
      <c r="AC5015" s="462"/>
      <c r="AD5015" s="464"/>
      <c r="AE5015" s="465"/>
    </row>
    <row r="5016" spans="27:31" ht="14.4">
      <c r="AA5016" s="463"/>
      <c r="AB5016" s="462"/>
      <c r="AC5016" s="462"/>
      <c r="AD5016" s="464"/>
      <c r="AE5016" s="465"/>
    </row>
    <row r="5017" spans="27:31" ht="14.4">
      <c r="AA5017" s="463"/>
      <c r="AB5017" s="462"/>
      <c r="AC5017" s="462"/>
      <c r="AD5017" s="464"/>
      <c r="AE5017" s="465"/>
    </row>
    <row r="5018" spans="27:31" ht="14.4">
      <c r="AA5018" s="463"/>
      <c r="AB5018" s="462"/>
      <c r="AC5018" s="462"/>
      <c r="AD5018" s="464"/>
      <c r="AE5018" s="465"/>
    </row>
    <row r="5019" spans="27:31" ht="14.4">
      <c r="AA5019" s="463"/>
      <c r="AB5019" s="462"/>
      <c r="AC5019" s="462"/>
      <c r="AD5019" s="464"/>
      <c r="AE5019" s="465"/>
    </row>
    <row r="5020" spans="27:31" ht="14.4">
      <c r="AA5020" s="463"/>
      <c r="AB5020" s="462"/>
      <c r="AC5020" s="462"/>
      <c r="AD5020" s="464"/>
      <c r="AE5020" s="465"/>
    </row>
    <row r="5021" spans="27:31" ht="14.4">
      <c r="AA5021" s="463"/>
      <c r="AB5021" s="462"/>
      <c r="AC5021" s="462"/>
      <c r="AD5021" s="464"/>
      <c r="AE5021" s="465"/>
    </row>
    <row r="5022" spans="27:31" ht="14.4">
      <c r="AA5022" s="463"/>
      <c r="AB5022" s="462"/>
      <c r="AC5022" s="462"/>
      <c r="AD5022" s="464"/>
      <c r="AE5022" s="465"/>
    </row>
    <row r="5023" spans="27:31" ht="14.4">
      <c r="AA5023" s="463"/>
      <c r="AB5023" s="462"/>
      <c r="AC5023" s="462"/>
      <c r="AD5023" s="464"/>
      <c r="AE5023" s="465"/>
    </row>
    <row r="5024" spans="27:31" ht="14.4">
      <c r="AA5024" s="463"/>
      <c r="AB5024" s="462"/>
      <c r="AC5024" s="462"/>
      <c r="AD5024" s="464"/>
      <c r="AE5024" s="465"/>
    </row>
    <row r="5025" spans="27:31" ht="14.4">
      <c r="AA5025" s="463"/>
      <c r="AB5025" s="462"/>
      <c r="AC5025" s="462"/>
      <c r="AD5025" s="464"/>
      <c r="AE5025" s="465"/>
    </row>
    <row r="5026" spans="27:31" ht="14.4">
      <c r="AA5026" s="463"/>
      <c r="AB5026" s="462"/>
      <c r="AC5026" s="462"/>
      <c r="AD5026" s="464"/>
      <c r="AE5026" s="465"/>
    </row>
    <row r="5027" spans="27:31" ht="14.4">
      <c r="AA5027" s="463"/>
      <c r="AB5027" s="462"/>
      <c r="AC5027" s="462"/>
      <c r="AD5027" s="464"/>
      <c r="AE5027" s="465"/>
    </row>
    <row r="5028" spans="27:31" ht="14.4">
      <c r="AA5028" s="463"/>
      <c r="AB5028" s="462"/>
      <c r="AC5028" s="462"/>
      <c r="AD5028" s="464"/>
      <c r="AE5028" s="465"/>
    </row>
    <row r="5029" spans="27:31" ht="14.4">
      <c r="AA5029" s="463"/>
      <c r="AB5029" s="462"/>
      <c r="AC5029" s="462"/>
      <c r="AD5029" s="464"/>
      <c r="AE5029" s="465"/>
    </row>
    <row r="5030" spans="27:31" ht="14.4">
      <c r="AA5030" s="463"/>
      <c r="AB5030" s="462"/>
      <c r="AC5030" s="462"/>
      <c r="AD5030" s="464"/>
      <c r="AE5030" s="465"/>
    </row>
    <row r="5031" spans="27:31" ht="14.4">
      <c r="AA5031" s="463"/>
      <c r="AB5031" s="462"/>
      <c r="AC5031" s="462"/>
      <c r="AD5031" s="464"/>
      <c r="AE5031" s="465"/>
    </row>
    <row r="5032" spans="27:31" ht="14.4">
      <c r="AA5032" s="463"/>
      <c r="AB5032" s="462"/>
      <c r="AC5032" s="462"/>
      <c r="AD5032" s="464"/>
      <c r="AE5032" s="465"/>
    </row>
    <row r="5033" spans="27:31" ht="14.4">
      <c r="AA5033" s="463"/>
      <c r="AB5033" s="462"/>
      <c r="AC5033" s="462"/>
      <c r="AD5033" s="464"/>
      <c r="AE5033" s="465"/>
    </row>
    <row r="5034" spans="27:31" ht="14.4">
      <c r="AA5034" s="463"/>
      <c r="AB5034" s="462"/>
      <c r="AC5034" s="462"/>
      <c r="AD5034" s="464"/>
      <c r="AE5034" s="465"/>
    </row>
    <row r="5035" spans="27:31" ht="14.4">
      <c r="AA5035" s="463"/>
      <c r="AB5035" s="462"/>
      <c r="AC5035" s="462"/>
      <c r="AD5035" s="464"/>
      <c r="AE5035" s="465"/>
    </row>
    <row r="5036" spans="27:31" ht="14.4">
      <c r="AA5036" s="463"/>
      <c r="AB5036" s="462"/>
      <c r="AC5036" s="462"/>
      <c r="AD5036" s="464"/>
      <c r="AE5036" s="465"/>
    </row>
    <row r="5037" spans="27:31" ht="14.4">
      <c r="AA5037" s="463"/>
      <c r="AB5037" s="462"/>
      <c r="AC5037" s="462"/>
      <c r="AD5037" s="464"/>
      <c r="AE5037" s="465"/>
    </row>
    <row r="5038" spans="27:31" ht="14.4">
      <c r="AA5038" s="463"/>
      <c r="AB5038" s="462"/>
      <c r="AC5038" s="462"/>
      <c r="AD5038" s="464"/>
      <c r="AE5038" s="465"/>
    </row>
    <row r="5039" spans="27:31" ht="14.4">
      <c r="AA5039" s="463"/>
      <c r="AB5039" s="462"/>
      <c r="AC5039" s="462"/>
      <c r="AD5039" s="464"/>
      <c r="AE5039" s="465"/>
    </row>
    <row r="5040" spans="27:31" ht="14.4">
      <c r="AA5040" s="463"/>
      <c r="AB5040" s="462"/>
      <c r="AC5040" s="462"/>
      <c r="AD5040" s="464"/>
      <c r="AE5040" s="465"/>
    </row>
    <row r="5041" spans="27:31" ht="14.4">
      <c r="AA5041" s="463"/>
      <c r="AB5041" s="462"/>
      <c r="AC5041" s="462"/>
      <c r="AD5041" s="464"/>
      <c r="AE5041" s="465"/>
    </row>
    <row r="5042" spans="27:31" ht="14.4">
      <c r="AA5042" s="463"/>
      <c r="AB5042" s="462"/>
      <c r="AC5042" s="462"/>
      <c r="AD5042" s="464"/>
      <c r="AE5042" s="465"/>
    </row>
    <row r="5043" spans="27:31" ht="14.4">
      <c r="AA5043" s="463"/>
      <c r="AB5043" s="462"/>
      <c r="AC5043" s="462"/>
      <c r="AD5043" s="464"/>
      <c r="AE5043" s="465"/>
    </row>
    <row r="5044" spans="27:31" ht="14.4">
      <c r="AA5044" s="463"/>
      <c r="AB5044" s="462"/>
      <c r="AC5044" s="462"/>
      <c r="AD5044" s="464"/>
      <c r="AE5044" s="465"/>
    </row>
    <row r="5045" spans="27:31" ht="14.4">
      <c r="AA5045" s="463"/>
      <c r="AB5045" s="462"/>
      <c r="AC5045" s="462"/>
      <c r="AD5045" s="464"/>
      <c r="AE5045" s="465"/>
    </row>
    <row r="5046" spans="27:31" ht="14.4">
      <c r="AA5046" s="463"/>
      <c r="AB5046" s="462"/>
      <c r="AC5046" s="462"/>
      <c r="AD5046" s="464"/>
      <c r="AE5046" s="465"/>
    </row>
    <row r="5047" spans="27:31" ht="14.4">
      <c r="AA5047" s="463"/>
      <c r="AB5047" s="462"/>
      <c r="AC5047" s="462"/>
      <c r="AD5047" s="464"/>
      <c r="AE5047" s="465"/>
    </row>
    <row r="5048" spans="27:31" ht="14.4">
      <c r="AA5048" s="463"/>
      <c r="AB5048" s="462"/>
      <c r="AC5048" s="462"/>
      <c r="AD5048" s="464"/>
      <c r="AE5048" s="465"/>
    </row>
    <row r="5049" spans="27:31" ht="14.4">
      <c r="AA5049" s="463"/>
      <c r="AB5049" s="462"/>
      <c r="AC5049" s="462"/>
      <c r="AD5049" s="464"/>
      <c r="AE5049" s="465"/>
    </row>
    <row r="5050" spans="27:31" ht="14.4">
      <c r="AA5050" s="463"/>
      <c r="AB5050" s="462"/>
      <c r="AC5050" s="462"/>
      <c r="AD5050" s="464"/>
      <c r="AE5050" s="465"/>
    </row>
    <row r="5051" spans="27:31" ht="14.4">
      <c r="AA5051" s="463"/>
      <c r="AB5051" s="462"/>
      <c r="AC5051" s="462"/>
      <c r="AD5051" s="464"/>
      <c r="AE5051" s="465"/>
    </row>
    <row r="5052" spans="27:31" ht="14.4">
      <c r="AA5052" s="463"/>
      <c r="AB5052" s="462"/>
      <c r="AC5052" s="462"/>
      <c r="AD5052" s="464"/>
      <c r="AE5052" s="465"/>
    </row>
    <row r="5053" spans="27:31" ht="14.4">
      <c r="AA5053" s="463"/>
      <c r="AB5053" s="462"/>
      <c r="AC5053" s="462"/>
      <c r="AD5053" s="464"/>
      <c r="AE5053" s="465"/>
    </row>
    <row r="5054" spans="27:31" ht="14.4">
      <c r="AA5054" s="463"/>
      <c r="AB5054" s="462"/>
      <c r="AC5054" s="462"/>
      <c r="AD5054" s="464"/>
      <c r="AE5054" s="465"/>
    </row>
    <row r="5055" spans="27:31" ht="14.4">
      <c r="AA5055" s="463"/>
      <c r="AB5055" s="462"/>
      <c r="AC5055" s="462"/>
      <c r="AD5055" s="464"/>
      <c r="AE5055" s="465"/>
    </row>
    <row r="5056" spans="27:31" ht="14.4">
      <c r="AA5056" s="463"/>
      <c r="AB5056" s="462"/>
      <c r="AC5056" s="462"/>
      <c r="AD5056" s="464"/>
      <c r="AE5056" s="465"/>
    </row>
    <row r="5057" spans="27:31" ht="14.4">
      <c r="AA5057" s="463"/>
      <c r="AB5057" s="462"/>
      <c r="AC5057" s="462"/>
      <c r="AD5057" s="464"/>
      <c r="AE5057" s="465"/>
    </row>
    <row r="5058" spans="27:31" ht="14.4">
      <c r="AA5058" s="463"/>
      <c r="AB5058" s="462"/>
      <c r="AC5058" s="462"/>
      <c r="AD5058" s="464"/>
      <c r="AE5058" s="465"/>
    </row>
    <row r="5059" spans="27:31" ht="14.4">
      <c r="AA5059" s="463"/>
      <c r="AB5059" s="462"/>
      <c r="AC5059" s="462"/>
      <c r="AD5059" s="464"/>
      <c r="AE5059" s="465"/>
    </row>
    <row r="5060" spans="27:31" ht="14.4">
      <c r="AA5060" s="463"/>
      <c r="AB5060" s="462"/>
      <c r="AC5060" s="462"/>
      <c r="AD5060" s="464"/>
      <c r="AE5060" s="465"/>
    </row>
    <row r="5061" spans="27:31" ht="14.4">
      <c r="AA5061" s="463"/>
      <c r="AB5061" s="462"/>
      <c r="AC5061" s="462"/>
      <c r="AD5061" s="464"/>
      <c r="AE5061" s="465"/>
    </row>
    <row r="5062" spans="27:31" ht="14.4">
      <c r="AA5062" s="463"/>
      <c r="AB5062" s="462"/>
      <c r="AC5062" s="462"/>
      <c r="AD5062" s="464"/>
      <c r="AE5062" s="465"/>
    </row>
    <row r="5063" spans="27:31" ht="14.4">
      <c r="AA5063" s="463"/>
      <c r="AB5063" s="462"/>
      <c r="AC5063" s="462"/>
      <c r="AD5063" s="464"/>
      <c r="AE5063" s="465"/>
    </row>
    <row r="5064" spans="27:31" ht="14.4">
      <c r="AA5064" s="463"/>
      <c r="AB5064" s="462"/>
      <c r="AC5064" s="462"/>
      <c r="AD5064" s="464"/>
      <c r="AE5064" s="465"/>
    </row>
    <row r="5065" spans="27:31" ht="14.4">
      <c r="AA5065" s="463"/>
      <c r="AB5065" s="462"/>
      <c r="AC5065" s="462"/>
      <c r="AD5065" s="464"/>
      <c r="AE5065" s="465"/>
    </row>
    <row r="5066" spans="27:31" ht="14.4">
      <c r="AA5066" s="463"/>
      <c r="AB5066" s="462"/>
      <c r="AC5066" s="462"/>
      <c r="AD5066" s="464"/>
      <c r="AE5066" s="465"/>
    </row>
    <row r="5067" spans="27:31" ht="14.4">
      <c r="AA5067" s="463"/>
      <c r="AB5067" s="462"/>
      <c r="AC5067" s="462"/>
      <c r="AD5067" s="464"/>
      <c r="AE5067" s="465"/>
    </row>
    <row r="5068" spans="27:31" ht="14.4">
      <c r="AA5068" s="463"/>
      <c r="AB5068" s="462"/>
      <c r="AC5068" s="462"/>
      <c r="AD5068" s="464"/>
      <c r="AE5068" s="465"/>
    </row>
    <row r="5069" spans="27:31" ht="14.4">
      <c r="AA5069" s="463"/>
      <c r="AB5069" s="462"/>
      <c r="AC5069" s="462"/>
      <c r="AD5069" s="464"/>
      <c r="AE5069" s="465"/>
    </row>
    <row r="5070" spans="27:31" ht="14.4">
      <c r="AA5070" s="463"/>
      <c r="AB5070" s="462"/>
      <c r="AC5070" s="462"/>
      <c r="AD5070" s="464"/>
      <c r="AE5070" s="465"/>
    </row>
    <row r="5071" spans="27:31" ht="14.4">
      <c r="AA5071" s="463"/>
      <c r="AB5071" s="462"/>
      <c r="AC5071" s="462"/>
      <c r="AD5071" s="464"/>
      <c r="AE5071" s="465"/>
    </row>
    <row r="5072" spans="27:31" ht="14.4">
      <c r="AA5072" s="463"/>
      <c r="AB5072" s="462"/>
      <c r="AC5072" s="462"/>
      <c r="AD5072" s="464"/>
      <c r="AE5072" s="465"/>
    </row>
    <row r="5073" spans="27:31" ht="14.4">
      <c r="AA5073" s="463"/>
      <c r="AB5073" s="462"/>
      <c r="AC5073" s="462"/>
      <c r="AD5073" s="464"/>
      <c r="AE5073" s="465"/>
    </row>
    <row r="5074" spans="27:31" ht="14.4">
      <c r="AA5074" s="463"/>
      <c r="AB5074" s="462"/>
      <c r="AC5074" s="462"/>
      <c r="AD5074" s="464"/>
      <c r="AE5074" s="465"/>
    </row>
    <row r="5075" spans="27:31" ht="14.4">
      <c r="AA5075" s="463"/>
      <c r="AB5075" s="462"/>
      <c r="AC5075" s="462"/>
      <c r="AD5075" s="464"/>
      <c r="AE5075" s="465"/>
    </row>
    <row r="5076" spans="27:31" ht="14.4">
      <c r="AA5076" s="463"/>
      <c r="AB5076" s="462"/>
      <c r="AC5076" s="462"/>
      <c r="AD5076" s="464"/>
      <c r="AE5076" s="465"/>
    </row>
    <row r="5077" spans="27:31" ht="14.4">
      <c r="AA5077" s="463"/>
      <c r="AB5077" s="462"/>
      <c r="AC5077" s="462"/>
      <c r="AD5077" s="464"/>
      <c r="AE5077" s="465"/>
    </row>
    <row r="5078" spans="27:31" ht="14.4">
      <c r="AA5078" s="463"/>
      <c r="AB5078" s="462"/>
      <c r="AC5078" s="462"/>
      <c r="AD5078" s="464"/>
      <c r="AE5078" s="465"/>
    </row>
    <row r="5079" spans="27:31" ht="14.4">
      <c r="AA5079" s="463"/>
      <c r="AB5079" s="462"/>
      <c r="AC5079" s="462"/>
      <c r="AD5079" s="464"/>
      <c r="AE5079" s="465"/>
    </row>
    <row r="5080" spans="27:31" ht="14.4">
      <c r="AA5080" s="463"/>
      <c r="AB5080" s="462"/>
      <c r="AC5080" s="462"/>
      <c r="AD5080" s="464"/>
      <c r="AE5080" s="465"/>
    </row>
    <row r="5081" spans="27:31" ht="14.4">
      <c r="AA5081" s="463"/>
      <c r="AB5081" s="462"/>
      <c r="AC5081" s="462"/>
      <c r="AD5081" s="464"/>
      <c r="AE5081" s="465"/>
    </row>
    <row r="5082" spans="27:31" ht="14.4">
      <c r="AA5082" s="463"/>
      <c r="AB5082" s="462"/>
      <c r="AC5082" s="462"/>
      <c r="AD5082" s="464"/>
      <c r="AE5082" s="465"/>
    </row>
    <row r="5083" spans="27:31" ht="14.4">
      <c r="AA5083" s="463"/>
      <c r="AB5083" s="462"/>
      <c r="AC5083" s="462"/>
      <c r="AD5083" s="464"/>
      <c r="AE5083" s="465"/>
    </row>
    <row r="5084" spans="27:31" ht="14.4">
      <c r="AA5084" s="463"/>
      <c r="AB5084" s="462"/>
      <c r="AC5084" s="462"/>
      <c r="AD5084" s="464"/>
      <c r="AE5084" s="465"/>
    </row>
    <row r="5085" spans="27:31" ht="14.4">
      <c r="AA5085" s="463"/>
      <c r="AB5085" s="462"/>
      <c r="AC5085" s="462"/>
      <c r="AD5085" s="464"/>
      <c r="AE5085" s="465"/>
    </row>
    <row r="5086" spans="27:31" ht="14.4">
      <c r="AA5086" s="463"/>
      <c r="AB5086" s="462"/>
      <c r="AC5086" s="462"/>
      <c r="AD5086" s="464"/>
      <c r="AE5086" s="465"/>
    </row>
    <row r="5087" spans="27:31" ht="14.4">
      <c r="AA5087" s="463"/>
      <c r="AB5087" s="462"/>
      <c r="AC5087" s="462"/>
      <c r="AD5087" s="464"/>
      <c r="AE5087" s="465"/>
    </row>
    <row r="5088" spans="27:31" ht="14.4">
      <c r="AA5088" s="463"/>
      <c r="AB5088" s="462"/>
      <c r="AC5088" s="462"/>
      <c r="AD5088" s="464"/>
      <c r="AE5088" s="465"/>
    </row>
    <row r="5089" spans="27:31" ht="14.4">
      <c r="AA5089" s="463"/>
      <c r="AB5089" s="462"/>
      <c r="AC5089" s="462"/>
      <c r="AD5089" s="464"/>
      <c r="AE5089" s="465"/>
    </row>
    <row r="5090" spans="27:31" ht="14.4">
      <c r="AA5090" s="463"/>
      <c r="AB5090" s="462"/>
      <c r="AC5090" s="462"/>
      <c r="AD5090" s="464"/>
      <c r="AE5090" s="465"/>
    </row>
    <row r="5091" spans="27:31" ht="14.4">
      <c r="AA5091" s="463"/>
      <c r="AB5091" s="462"/>
      <c r="AC5091" s="462"/>
      <c r="AD5091" s="464"/>
      <c r="AE5091" s="465"/>
    </row>
    <row r="5092" spans="27:31" ht="14.4">
      <c r="AA5092" s="463"/>
      <c r="AB5092" s="462"/>
      <c r="AC5092" s="462"/>
      <c r="AD5092" s="464"/>
      <c r="AE5092" s="465"/>
    </row>
    <row r="5093" spans="27:31" ht="14.4">
      <c r="AA5093" s="463"/>
      <c r="AB5093" s="462"/>
      <c r="AC5093" s="462"/>
      <c r="AD5093" s="464"/>
      <c r="AE5093" s="465"/>
    </row>
    <row r="5094" spans="27:31" ht="14.4">
      <c r="AA5094" s="463"/>
      <c r="AB5094" s="462"/>
      <c r="AC5094" s="462"/>
      <c r="AD5094" s="464"/>
      <c r="AE5094" s="465"/>
    </row>
    <row r="5095" spans="27:31" ht="14.4">
      <c r="AA5095" s="463"/>
      <c r="AB5095" s="462"/>
      <c r="AC5095" s="462"/>
      <c r="AD5095" s="464"/>
      <c r="AE5095" s="465"/>
    </row>
    <row r="5096" spans="27:31" ht="14.4">
      <c r="AA5096" s="463"/>
      <c r="AB5096" s="462"/>
      <c r="AC5096" s="462"/>
      <c r="AD5096" s="464"/>
      <c r="AE5096" s="465"/>
    </row>
    <row r="5097" spans="27:31" ht="14.4">
      <c r="AA5097" s="463"/>
      <c r="AB5097" s="462"/>
      <c r="AC5097" s="462"/>
      <c r="AD5097" s="464"/>
      <c r="AE5097" s="465"/>
    </row>
    <row r="5098" spans="27:31" ht="14.4">
      <c r="AA5098" s="463"/>
      <c r="AB5098" s="462"/>
      <c r="AC5098" s="462"/>
      <c r="AD5098" s="464"/>
      <c r="AE5098" s="465"/>
    </row>
    <row r="5099" spans="27:31" ht="14.4">
      <c r="AA5099" s="463"/>
      <c r="AB5099" s="462"/>
      <c r="AC5099" s="462"/>
      <c r="AD5099" s="464"/>
      <c r="AE5099" s="465"/>
    </row>
    <row r="5100" spans="27:31" ht="14.4">
      <c r="AA5100" s="463"/>
      <c r="AB5100" s="462"/>
      <c r="AC5100" s="462"/>
      <c r="AD5100" s="464"/>
      <c r="AE5100" s="465"/>
    </row>
    <row r="5101" spans="27:31" ht="14.4">
      <c r="AA5101" s="463"/>
      <c r="AB5101" s="462"/>
      <c r="AC5101" s="462"/>
      <c r="AD5101" s="464"/>
      <c r="AE5101" s="465"/>
    </row>
    <row r="5102" spans="27:31" ht="14.4">
      <c r="AA5102" s="463"/>
      <c r="AB5102" s="462"/>
      <c r="AC5102" s="462"/>
      <c r="AD5102" s="464"/>
      <c r="AE5102" s="465"/>
    </row>
    <row r="5103" spans="27:31" ht="14.4">
      <c r="AA5103" s="463"/>
      <c r="AB5103" s="462"/>
      <c r="AC5103" s="462"/>
      <c r="AD5103" s="464"/>
      <c r="AE5103" s="465"/>
    </row>
    <row r="5104" spans="27:31" ht="14.4">
      <c r="AA5104" s="463"/>
      <c r="AB5104" s="462"/>
      <c r="AC5104" s="462"/>
      <c r="AD5104" s="464"/>
      <c r="AE5104" s="465"/>
    </row>
    <row r="5105" spans="27:31" ht="14.4">
      <c r="AA5105" s="463"/>
      <c r="AB5105" s="462"/>
      <c r="AC5105" s="462"/>
      <c r="AD5105" s="464"/>
      <c r="AE5105" s="465"/>
    </row>
    <row r="5106" spans="27:31" ht="14.4">
      <c r="AA5106" s="463"/>
      <c r="AB5106" s="462"/>
      <c r="AC5106" s="462"/>
      <c r="AD5106" s="464"/>
      <c r="AE5106" s="465"/>
    </row>
    <row r="5107" spans="27:31" ht="14.4">
      <c r="AA5107" s="463"/>
      <c r="AB5107" s="462"/>
      <c r="AC5107" s="462"/>
      <c r="AD5107" s="464"/>
      <c r="AE5107" s="465"/>
    </row>
    <row r="5108" spans="27:31" ht="14.4">
      <c r="AA5108" s="463"/>
      <c r="AB5108" s="462"/>
      <c r="AC5108" s="462"/>
      <c r="AD5108" s="464"/>
      <c r="AE5108" s="465"/>
    </row>
    <row r="5109" spans="27:31" ht="14.4">
      <c r="AA5109" s="463"/>
      <c r="AB5109" s="462"/>
      <c r="AC5109" s="462"/>
      <c r="AD5109" s="464"/>
      <c r="AE5109" s="465"/>
    </row>
    <row r="5110" spans="27:31" ht="14.4">
      <c r="AA5110" s="463"/>
      <c r="AB5110" s="462"/>
      <c r="AC5110" s="462"/>
      <c r="AD5110" s="464"/>
      <c r="AE5110" s="465"/>
    </row>
    <row r="5111" spans="27:31" ht="14.4">
      <c r="AA5111" s="463"/>
      <c r="AB5111" s="462"/>
      <c r="AC5111" s="462"/>
      <c r="AD5111" s="464"/>
      <c r="AE5111" s="465"/>
    </row>
    <row r="5112" spans="27:31" ht="14.4">
      <c r="AA5112" s="463"/>
      <c r="AB5112" s="462"/>
      <c r="AC5112" s="462"/>
      <c r="AD5112" s="464"/>
      <c r="AE5112" s="465"/>
    </row>
    <row r="5113" spans="27:31" ht="14.4">
      <c r="AA5113" s="463"/>
      <c r="AB5113" s="462"/>
      <c r="AC5113" s="462"/>
      <c r="AD5113" s="464"/>
      <c r="AE5113" s="465"/>
    </row>
    <row r="5114" spans="27:31" ht="14.4">
      <c r="AA5114" s="463"/>
      <c r="AB5114" s="462"/>
      <c r="AC5114" s="462"/>
      <c r="AD5114" s="464"/>
      <c r="AE5114" s="465"/>
    </row>
    <row r="5115" spans="27:31" ht="14.4">
      <c r="AA5115" s="463"/>
      <c r="AB5115" s="462"/>
      <c r="AC5115" s="462"/>
      <c r="AD5115" s="464"/>
      <c r="AE5115" s="465"/>
    </row>
    <row r="5116" spans="27:31" ht="14.4">
      <c r="AA5116" s="463"/>
      <c r="AB5116" s="462"/>
      <c r="AC5116" s="462"/>
      <c r="AD5116" s="464"/>
      <c r="AE5116" s="465"/>
    </row>
    <row r="5117" spans="27:31" ht="14.4">
      <c r="AA5117" s="463"/>
      <c r="AB5117" s="462"/>
      <c r="AC5117" s="462"/>
      <c r="AD5117" s="464"/>
      <c r="AE5117" s="465"/>
    </row>
    <row r="5118" spans="27:31" ht="14.4">
      <c r="AA5118" s="463"/>
      <c r="AB5118" s="462"/>
      <c r="AC5118" s="462"/>
      <c r="AD5118" s="464"/>
      <c r="AE5118" s="465"/>
    </row>
    <row r="5119" spans="27:31" ht="14.4">
      <c r="AA5119" s="463"/>
      <c r="AB5119" s="462"/>
      <c r="AC5119" s="462"/>
      <c r="AD5119" s="464"/>
      <c r="AE5119" s="465"/>
    </row>
    <row r="5120" spans="27:31" ht="14.4">
      <c r="AA5120" s="463"/>
      <c r="AB5120" s="462"/>
      <c r="AC5120" s="462"/>
      <c r="AD5120" s="464"/>
      <c r="AE5120" s="465"/>
    </row>
    <row r="5121" spans="27:31" ht="14.4">
      <c r="AA5121" s="463"/>
      <c r="AB5121" s="462"/>
      <c r="AC5121" s="462"/>
      <c r="AD5121" s="464"/>
      <c r="AE5121" s="465"/>
    </row>
    <row r="5122" spans="27:31" ht="14.4">
      <c r="AA5122" s="463"/>
      <c r="AB5122" s="462"/>
      <c r="AC5122" s="462"/>
      <c r="AD5122" s="464"/>
      <c r="AE5122" s="465"/>
    </row>
    <row r="5123" spans="27:31" ht="14.4">
      <c r="AA5123" s="463"/>
      <c r="AB5123" s="462"/>
      <c r="AC5123" s="462"/>
      <c r="AD5123" s="464"/>
      <c r="AE5123" s="465"/>
    </row>
    <row r="5124" spans="27:31" ht="14.4">
      <c r="AA5124" s="463"/>
      <c r="AB5124" s="462"/>
      <c r="AC5124" s="462"/>
      <c r="AD5124" s="464"/>
      <c r="AE5124" s="465"/>
    </row>
    <row r="5125" spans="27:31" ht="14.4">
      <c r="AA5125" s="463"/>
      <c r="AB5125" s="462"/>
      <c r="AC5125" s="462"/>
      <c r="AD5125" s="464"/>
      <c r="AE5125" s="465"/>
    </row>
    <row r="5126" spans="27:31" ht="14.4">
      <c r="AA5126" s="463"/>
      <c r="AB5126" s="462"/>
      <c r="AC5126" s="462"/>
      <c r="AD5126" s="464"/>
      <c r="AE5126" s="465"/>
    </row>
    <row r="5127" spans="27:31" ht="14.4">
      <c r="AA5127" s="463"/>
      <c r="AB5127" s="462"/>
      <c r="AC5127" s="462"/>
      <c r="AD5127" s="464"/>
      <c r="AE5127" s="465"/>
    </row>
    <row r="5128" spans="27:31" ht="14.4">
      <c r="AA5128" s="463"/>
      <c r="AB5128" s="462"/>
      <c r="AC5128" s="462"/>
      <c r="AD5128" s="464"/>
      <c r="AE5128" s="465"/>
    </row>
    <row r="5129" spans="27:31" ht="14.4">
      <c r="AA5129" s="463"/>
      <c r="AB5129" s="462"/>
      <c r="AC5129" s="462"/>
      <c r="AD5129" s="464"/>
      <c r="AE5129" s="465"/>
    </row>
    <row r="5130" spans="27:31" ht="14.4">
      <c r="AA5130" s="463"/>
      <c r="AB5130" s="462"/>
      <c r="AC5130" s="462"/>
      <c r="AD5130" s="464"/>
      <c r="AE5130" s="465"/>
    </row>
    <row r="5131" spans="27:31" ht="14.4">
      <c r="AA5131" s="463"/>
      <c r="AB5131" s="462"/>
      <c r="AC5131" s="462"/>
      <c r="AD5131" s="464"/>
      <c r="AE5131" s="465"/>
    </row>
    <row r="5132" spans="27:31" ht="14.4">
      <c r="AA5132" s="463"/>
      <c r="AB5132" s="462"/>
      <c r="AC5132" s="462"/>
      <c r="AD5132" s="464"/>
      <c r="AE5132" s="465"/>
    </row>
    <row r="5133" spans="27:31" ht="14.4">
      <c r="AA5133" s="463"/>
      <c r="AB5133" s="462"/>
      <c r="AC5133" s="462"/>
      <c r="AD5133" s="464"/>
      <c r="AE5133" s="465"/>
    </row>
    <row r="5134" spans="27:31" ht="14.4">
      <c r="AA5134" s="463"/>
      <c r="AB5134" s="462"/>
      <c r="AC5134" s="462"/>
      <c r="AD5134" s="464"/>
      <c r="AE5134" s="465"/>
    </row>
    <row r="5135" spans="27:31" ht="14.4">
      <c r="AA5135" s="463"/>
      <c r="AB5135" s="462"/>
      <c r="AC5135" s="462"/>
      <c r="AD5135" s="464"/>
      <c r="AE5135" s="465"/>
    </row>
    <row r="5136" spans="27:31" ht="14.4">
      <c r="AA5136" s="463"/>
      <c r="AB5136" s="462"/>
      <c r="AC5136" s="462"/>
      <c r="AD5136" s="464"/>
      <c r="AE5136" s="465"/>
    </row>
    <row r="5137" spans="27:31" ht="14.4">
      <c r="AA5137" s="463"/>
      <c r="AB5137" s="462"/>
      <c r="AC5137" s="462"/>
      <c r="AD5137" s="464"/>
      <c r="AE5137" s="465"/>
    </row>
    <row r="5138" spans="27:31" ht="14.4">
      <c r="AA5138" s="463"/>
      <c r="AB5138" s="462"/>
      <c r="AC5138" s="462"/>
      <c r="AD5138" s="464"/>
      <c r="AE5138" s="465"/>
    </row>
    <row r="5139" spans="27:31" ht="14.4">
      <c r="AA5139" s="463"/>
      <c r="AB5139" s="462"/>
      <c r="AC5139" s="462"/>
      <c r="AD5139" s="464"/>
      <c r="AE5139" s="465"/>
    </row>
    <row r="5140" spans="27:31" ht="14.4">
      <c r="AA5140" s="463"/>
      <c r="AB5140" s="462"/>
      <c r="AC5140" s="462"/>
      <c r="AD5140" s="464"/>
      <c r="AE5140" s="465"/>
    </row>
    <row r="5141" spans="27:31" ht="14.4">
      <c r="AA5141" s="463"/>
      <c r="AB5141" s="462"/>
      <c r="AC5141" s="462"/>
      <c r="AD5141" s="464"/>
      <c r="AE5141" s="465"/>
    </row>
    <row r="5142" spans="27:31" ht="14.4">
      <c r="AA5142" s="463"/>
      <c r="AB5142" s="462"/>
      <c r="AC5142" s="462"/>
      <c r="AD5142" s="464"/>
      <c r="AE5142" s="465"/>
    </row>
    <row r="5143" spans="27:31" ht="14.4">
      <c r="AA5143" s="463"/>
      <c r="AB5143" s="462"/>
      <c r="AC5143" s="462"/>
      <c r="AD5143" s="464"/>
      <c r="AE5143" s="465"/>
    </row>
    <row r="5144" spans="27:31" ht="14.4">
      <c r="AA5144" s="463"/>
      <c r="AB5144" s="462"/>
      <c r="AC5144" s="462"/>
      <c r="AD5144" s="464"/>
      <c r="AE5144" s="465"/>
    </row>
    <row r="5145" spans="27:31" ht="14.4">
      <c r="AA5145" s="463"/>
      <c r="AB5145" s="462"/>
      <c r="AC5145" s="462"/>
      <c r="AD5145" s="464"/>
      <c r="AE5145" s="465"/>
    </row>
    <row r="5146" spans="27:31" ht="14.4">
      <c r="AA5146" s="463"/>
      <c r="AB5146" s="462"/>
      <c r="AC5146" s="462"/>
      <c r="AD5146" s="464"/>
      <c r="AE5146" s="465"/>
    </row>
    <row r="5147" spans="27:31" ht="14.4">
      <c r="AA5147" s="463"/>
      <c r="AB5147" s="462"/>
      <c r="AC5147" s="462"/>
      <c r="AD5147" s="464"/>
      <c r="AE5147" s="465"/>
    </row>
    <row r="5148" spans="27:31" ht="14.4">
      <c r="AA5148" s="463"/>
      <c r="AB5148" s="462"/>
      <c r="AC5148" s="462"/>
      <c r="AD5148" s="464"/>
      <c r="AE5148" s="465"/>
    </row>
    <row r="5149" spans="27:31" ht="14.4">
      <c r="AA5149" s="463"/>
      <c r="AB5149" s="462"/>
      <c r="AC5149" s="462"/>
      <c r="AD5149" s="464"/>
      <c r="AE5149" s="465"/>
    </row>
    <row r="5150" spans="27:31" ht="14.4">
      <c r="AA5150" s="463"/>
      <c r="AB5150" s="462"/>
      <c r="AC5150" s="462"/>
      <c r="AD5150" s="464"/>
      <c r="AE5150" s="465"/>
    </row>
    <row r="5151" spans="27:31" ht="14.4">
      <c r="AA5151" s="463"/>
      <c r="AB5151" s="462"/>
      <c r="AC5151" s="462"/>
      <c r="AD5151" s="464"/>
      <c r="AE5151" s="465"/>
    </row>
    <row r="5152" spans="27:31" ht="14.4">
      <c r="AA5152" s="463"/>
      <c r="AB5152" s="462"/>
      <c r="AC5152" s="462"/>
      <c r="AD5152" s="464"/>
      <c r="AE5152" s="465"/>
    </row>
    <row r="5153" spans="27:31" ht="14.4">
      <c r="AA5153" s="463"/>
      <c r="AB5153" s="462"/>
      <c r="AC5153" s="462"/>
      <c r="AD5153" s="464"/>
      <c r="AE5153" s="465"/>
    </row>
    <row r="5154" spans="27:31" ht="14.4">
      <c r="AA5154" s="463"/>
      <c r="AB5154" s="462"/>
      <c r="AC5154" s="462"/>
      <c r="AD5154" s="464"/>
      <c r="AE5154" s="465"/>
    </row>
    <row r="5155" spans="27:31" ht="14.4">
      <c r="AA5155" s="463"/>
      <c r="AB5155" s="462"/>
      <c r="AC5155" s="462"/>
      <c r="AD5155" s="464"/>
      <c r="AE5155" s="465"/>
    </row>
    <row r="5156" spans="27:31" ht="14.4">
      <c r="AA5156" s="463"/>
      <c r="AB5156" s="462"/>
      <c r="AC5156" s="462"/>
      <c r="AD5156" s="464"/>
      <c r="AE5156" s="465"/>
    </row>
    <row r="5157" spans="27:31" ht="14.4">
      <c r="AA5157" s="463"/>
      <c r="AB5157" s="462"/>
      <c r="AC5157" s="462"/>
      <c r="AD5157" s="464"/>
      <c r="AE5157" s="465"/>
    </row>
    <row r="5158" spans="27:31" ht="14.4">
      <c r="AA5158" s="463"/>
      <c r="AB5158" s="462"/>
      <c r="AC5158" s="462"/>
      <c r="AD5158" s="464"/>
      <c r="AE5158" s="465"/>
    </row>
    <row r="5159" spans="27:31" ht="14.4">
      <c r="AA5159" s="463"/>
      <c r="AB5159" s="462"/>
      <c r="AC5159" s="462"/>
      <c r="AD5159" s="464"/>
      <c r="AE5159" s="465"/>
    </row>
    <row r="5160" spans="27:31" ht="14.4">
      <c r="AA5160" s="463"/>
      <c r="AB5160" s="462"/>
      <c r="AC5160" s="462"/>
      <c r="AD5160" s="464"/>
      <c r="AE5160" s="465"/>
    </row>
    <row r="5161" spans="27:31" ht="14.4">
      <c r="AA5161" s="463"/>
      <c r="AB5161" s="462"/>
      <c r="AC5161" s="462"/>
      <c r="AD5161" s="464"/>
      <c r="AE5161" s="465"/>
    </row>
    <row r="5162" spans="27:31" ht="14.4">
      <c r="AA5162" s="463"/>
      <c r="AB5162" s="462"/>
      <c r="AC5162" s="462"/>
      <c r="AD5162" s="464"/>
      <c r="AE5162" s="465"/>
    </row>
    <row r="5163" spans="27:31" ht="14.4">
      <c r="AA5163" s="463"/>
      <c r="AB5163" s="462"/>
      <c r="AC5163" s="462"/>
      <c r="AD5163" s="464"/>
      <c r="AE5163" s="465"/>
    </row>
    <row r="5164" spans="27:31" ht="14.4">
      <c r="AA5164" s="463"/>
      <c r="AB5164" s="462"/>
      <c r="AC5164" s="462"/>
      <c r="AD5164" s="464"/>
      <c r="AE5164" s="465"/>
    </row>
    <row r="5165" spans="27:31" ht="14.4">
      <c r="AA5165" s="463"/>
      <c r="AB5165" s="462"/>
      <c r="AC5165" s="462"/>
      <c r="AD5165" s="464"/>
      <c r="AE5165" s="465"/>
    </row>
    <row r="5166" spans="27:31" ht="14.4">
      <c r="AA5166" s="463"/>
      <c r="AB5166" s="462"/>
      <c r="AC5166" s="462"/>
      <c r="AD5166" s="464"/>
      <c r="AE5166" s="465"/>
    </row>
    <row r="5167" spans="27:31" ht="14.4">
      <c r="AA5167" s="463"/>
      <c r="AB5167" s="462"/>
      <c r="AC5167" s="462"/>
      <c r="AD5167" s="464"/>
      <c r="AE5167" s="465"/>
    </row>
    <row r="5168" spans="27:31" ht="14.4">
      <c r="AA5168" s="463"/>
      <c r="AB5168" s="462"/>
      <c r="AC5168" s="462"/>
      <c r="AD5168" s="464"/>
      <c r="AE5168" s="465"/>
    </row>
    <row r="5169" spans="27:31" ht="14.4">
      <c r="AA5169" s="463"/>
      <c r="AB5169" s="462"/>
      <c r="AC5169" s="462"/>
      <c r="AD5169" s="464"/>
      <c r="AE5169" s="465"/>
    </row>
    <row r="5170" spans="27:31" ht="14.4">
      <c r="AA5170" s="463"/>
      <c r="AB5170" s="462"/>
      <c r="AC5170" s="462"/>
      <c r="AD5170" s="464"/>
      <c r="AE5170" s="465"/>
    </row>
    <row r="5171" spans="27:31" ht="14.4">
      <c r="AA5171" s="463"/>
      <c r="AB5171" s="462"/>
      <c r="AC5171" s="462"/>
      <c r="AD5171" s="464"/>
      <c r="AE5171" s="465"/>
    </row>
    <row r="5172" spans="27:31" ht="14.4">
      <c r="AA5172" s="463"/>
      <c r="AB5172" s="462"/>
      <c r="AC5172" s="462"/>
      <c r="AD5172" s="464"/>
      <c r="AE5172" s="465"/>
    </row>
    <row r="5173" spans="27:31" ht="14.4">
      <c r="AA5173" s="463"/>
      <c r="AB5173" s="462"/>
      <c r="AC5173" s="462"/>
      <c r="AD5173" s="464"/>
      <c r="AE5173" s="465"/>
    </row>
    <row r="5174" spans="27:31" ht="14.4">
      <c r="AA5174" s="463"/>
      <c r="AB5174" s="462"/>
      <c r="AC5174" s="462"/>
      <c r="AD5174" s="464"/>
      <c r="AE5174" s="465"/>
    </row>
    <row r="5175" spans="27:31" ht="14.4">
      <c r="AA5175" s="463"/>
      <c r="AB5175" s="462"/>
      <c r="AC5175" s="462"/>
      <c r="AD5175" s="464"/>
      <c r="AE5175" s="465"/>
    </row>
    <row r="5176" spans="27:31" ht="14.4">
      <c r="AA5176" s="463"/>
      <c r="AB5176" s="462"/>
      <c r="AC5176" s="462"/>
      <c r="AD5176" s="464"/>
      <c r="AE5176" s="465"/>
    </row>
    <row r="5177" spans="27:31" ht="14.4">
      <c r="AA5177" s="463"/>
      <c r="AB5177" s="462"/>
      <c r="AC5177" s="462"/>
      <c r="AD5177" s="464"/>
      <c r="AE5177" s="465"/>
    </row>
    <row r="5178" spans="27:31" ht="14.4">
      <c r="AA5178" s="463"/>
      <c r="AB5178" s="462"/>
      <c r="AC5178" s="462"/>
      <c r="AD5178" s="464"/>
      <c r="AE5178" s="465"/>
    </row>
    <row r="5179" spans="27:31" ht="14.4">
      <c r="AA5179" s="463"/>
      <c r="AB5179" s="462"/>
      <c r="AC5179" s="462"/>
      <c r="AD5179" s="464"/>
      <c r="AE5179" s="465"/>
    </row>
    <row r="5180" spans="27:31" ht="14.4">
      <c r="AA5180" s="463"/>
      <c r="AB5180" s="462"/>
      <c r="AC5180" s="462"/>
      <c r="AD5180" s="464"/>
      <c r="AE5180" s="465"/>
    </row>
    <row r="5181" spans="27:31" ht="14.4">
      <c r="AA5181" s="463"/>
      <c r="AB5181" s="462"/>
      <c r="AC5181" s="462"/>
      <c r="AD5181" s="464"/>
      <c r="AE5181" s="465"/>
    </row>
    <row r="5182" spans="27:31" ht="14.4">
      <c r="AA5182" s="463"/>
      <c r="AB5182" s="462"/>
      <c r="AC5182" s="462"/>
      <c r="AD5182" s="464"/>
      <c r="AE5182" s="465"/>
    </row>
    <row r="5183" spans="27:31" ht="14.4">
      <c r="AA5183" s="463"/>
      <c r="AB5183" s="462"/>
      <c r="AC5183" s="462"/>
      <c r="AD5183" s="464"/>
      <c r="AE5183" s="465"/>
    </row>
    <row r="5184" spans="27:31" ht="14.4">
      <c r="AA5184" s="463"/>
      <c r="AB5184" s="462"/>
      <c r="AC5184" s="462"/>
      <c r="AD5184" s="464"/>
      <c r="AE5184" s="465"/>
    </row>
    <row r="5185" spans="27:31" ht="14.4">
      <c r="AA5185" s="463"/>
      <c r="AB5185" s="462"/>
      <c r="AC5185" s="462"/>
      <c r="AD5185" s="464"/>
      <c r="AE5185" s="465"/>
    </row>
    <row r="5186" spans="27:31" ht="14.4">
      <c r="AA5186" s="463"/>
      <c r="AB5186" s="462"/>
      <c r="AC5186" s="462"/>
      <c r="AD5186" s="464"/>
      <c r="AE5186" s="465"/>
    </row>
    <row r="5187" spans="27:31" ht="14.4">
      <c r="AA5187" s="463"/>
      <c r="AB5187" s="462"/>
      <c r="AC5187" s="462"/>
      <c r="AD5187" s="464"/>
      <c r="AE5187" s="465"/>
    </row>
    <row r="5188" spans="27:31" ht="14.4">
      <c r="AA5188" s="463"/>
      <c r="AB5188" s="462"/>
      <c r="AC5188" s="462"/>
      <c r="AD5188" s="464"/>
      <c r="AE5188" s="465"/>
    </row>
    <row r="5189" spans="27:31" ht="14.4">
      <c r="AA5189" s="463"/>
      <c r="AB5189" s="462"/>
      <c r="AC5189" s="462"/>
      <c r="AD5189" s="464"/>
      <c r="AE5189" s="465"/>
    </row>
    <row r="5190" spans="27:31" ht="14.4">
      <c r="AA5190" s="463"/>
      <c r="AB5190" s="462"/>
      <c r="AC5190" s="462"/>
      <c r="AD5190" s="464"/>
      <c r="AE5190" s="465"/>
    </row>
    <row r="5191" spans="27:31" ht="14.4">
      <c r="AA5191" s="463"/>
      <c r="AB5191" s="462"/>
      <c r="AC5191" s="462"/>
      <c r="AD5191" s="464"/>
      <c r="AE5191" s="465"/>
    </row>
    <row r="5192" spans="27:31" ht="14.4">
      <c r="AA5192" s="463"/>
      <c r="AB5192" s="462"/>
      <c r="AC5192" s="462"/>
      <c r="AD5192" s="464"/>
      <c r="AE5192" s="465"/>
    </row>
    <row r="5193" spans="27:31" ht="14.4">
      <c r="AA5193" s="463"/>
      <c r="AB5193" s="462"/>
      <c r="AC5193" s="462"/>
      <c r="AD5193" s="464"/>
      <c r="AE5193" s="465"/>
    </row>
    <row r="5194" spans="27:31" ht="14.4">
      <c r="AA5194" s="463"/>
      <c r="AB5194" s="462"/>
      <c r="AC5194" s="462"/>
      <c r="AD5194" s="464"/>
      <c r="AE5194" s="465"/>
    </row>
    <row r="5195" spans="27:31" ht="14.4">
      <c r="AA5195" s="463"/>
      <c r="AB5195" s="462"/>
      <c r="AC5195" s="462"/>
      <c r="AD5195" s="464"/>
      <c r="AE5195" s="465"/>
    </row>
    <row r="5196" spans="27:31" ht="14.4">
      <c r="AA5196" s="463"/>
      <c r="AB5196" s="462"/>
      <c r="AC5196" s="462"/>
      <c r="AD5196" s="464"/>
      <c r="AE5196" s="465"/>
    </row>
    <row r="5197" spans="27:31" ht="14.4">
      <c r="AA5197" s="463"/>
      <c r="AB5197" s="462"/>
      <c r="AC5197" s="462"/>
      <c r="AD5197" s="464"/>
      <c r="AE5197" s="465"/>
    </row>
    <row r="5198" spans="27:31" ht="14.4">
      <c r="AA5198" s="463"/>
      <c r="AB5198" s="462"/>
      <c r="AC5198" s="462"/>
      <c r="AD5198" s="464"/>
      <c r="AE5198" s="465"/>
    </row>
    <row r="5199" spans="27:31" ht="14.4">
      <c r="AA5199" s="463"/>
      <c r="AB5199" s="462"/>
      <c r="AC5199" s="462"/>
      <c r="AD5199" s="464"/>
      <c r="AE5199" s="465"/>
    </row>
    <row r="5200" spans="27:31" ht="14.4">
      <c r="AA5200" s="463"/>
      <c r="AB5200" s="462"/>
      <c r="AC5200" s="462"/>
      <c r="AD5200" s="464"/>
      <c r="AE5200" s="465"/>
    </row>
    <row r="5201" spans="27:31" ht="14.4">
      <c r="AA5201" s="463"/>
      <c r="AB5201" s="462"/>
      <c r="AC5201" s="462"/>
      <c r="AD5201" s="464"/>
      <c r="AE5201" s="465"/>
    </row>
    <row r="5202" spans="27:31" ht="14.4">
      <c r="AA5202" s="463"/>
      <c r="AB5202" s="462"/>
      <c r="AC5202" s="462"/>
      <c r="AD5202" s="464"/>
      <c r="AE5202" s="465"/>
    </row>
    <row r="5203" spans="27:31" ht="14.4">
      <c r="AA5203" s="463"/>
      <c r="AB5203" s="462"/>
      <c r="AC5203" s="462"/>
      <c r="AD5203" s="464"/>
      <c r="AE5203" s="465"/>
    </row>
    <row r="5204" spans="27:31" ht="14.4">
      <c r="AA5204" s="463"/>
      <c r="AB5204" s="462"/>
      <c r="AC5204" s="462"/>
      <c r="AD5204" s="464"/>
      <c r="AE5204" s="465"/>
    </row>
    <row r="5205" spans="27:31" ht="14.4">
      <c r="AA5205" s="463"/>
      <c r="AB5205" s="462"/>
      <c r="AC5205" s="462"/>
      <c r="AD5205" s="464"/>
      <c r="AE5205" s="465"/>
    </row>
    <row r="5206" spans="27:31" ht="14.4">
      <c r="AA5206" s="463"/>
      <c r="AB5206" s="462"/>
      <c r="AC5206" s="462"/>
      <c r="AD5206" s="464"/>
      <c r="AE5206" s="465"/>
    </row>
    <row r="5207" spans="27:31" ht="14.4">
      <c r="AA5207" s="463"/>
      <c r="AB5207" s="462"/>
      <c r="AC5207" s="462"/>
      <c r="AD5207" s="464"/>
      <c r="AE5207" s="465"/>
    </row>
    <row r="5208" spans="27:31" ht="14.4">
      <c r="AA5208" s="463"/>
      <c r="AB5208" s="462"/>
      <c r="AC5208" s="462"/>
      <c r="AD5208" s="464"/>
      <c r="AE5208" s="465"/>
    </row>
    <row r="5209" spans="27:31" ht="14.4">
      <c r="AA5209" s="463"/>
      <c r="AB5209" s="462"/>
      <c r="AC5209" s="462"/>
      <c r="AD5209" s="464"/>
      <c r="AE5209" s="465"/>
    </row>
    <row r="5210" spans="27:31" ht="14.4">
      <c r="AA5210" s="463"/>
      <c r="AB5210" s="462"/>
      <c r="AC5210" s="462"/>
      <c r="AD5210" s="464"/>
      <c r="AE5210" s="465"/>
    </row>
    <row r="5211" spans="27:31" ht="14.4">
      <c r="AA5211" s="463"/>
      <c r="AB5211" s="462"/>
      <c r="AC5211" s="462"/>
      <c r="AD5211" s="464"/>
      <c r="AE5211" s="465"/>
    </row>
    <row r="5212" spans="27:31" ht="14.4">
      <c r="AA5212" s="463"/>
      <c r="AB5212" s="462"/>
      <c r="AC5212" s="462"/>
      <c r="AD5212" s="464"/>
      <c r="AE5212" s="465"/>
    </row>
    <row r="5213" spans="27:31" ht="14.4">
      <c r="AA5213" s="463"/>
      <c r="AB5213" s="462"/>
      <c r="AC5213" s="462"/>
      <c r="AD5213" s="464"/>
      <c r="AE5213" s="465"/>
    </row>
    <row r="5214" spans="27:31" ht="14.4">
      <c r="AA5214" s="463"/>
      <c r="AB5214" s="462"/>
      <c r="AC5214" s="462"/>
      <c r="AD5214" s="464"/>
      <c r="AE5214" s="465"/>
    </row>
    <row r="5215" spans="27:31" ht="14.4">
      <c r="AA5215" s="463"/>
      <c r="AB5215" s="462"/>
      <c r="AC5215" s="462"/>
      <c r="AD5215" s="464"/>
      <c r="AE5215" s="465"/>
    </row>
    <row r="5216" spans="27:31" ht="14.4">
      <c r="AA5216" s="463"/>
      <c r="AB5216" s="462"/>
      <c r="AC5216" s="462"/>
      <c r="AD5216" s="464"/>
      <c r="AE5216" s="465"/>
    </row>
    <row r="5217" spans="27:31" ht="14.4">
      <c r="AA5217" s="463"/>
      <c r="AB5217" s="462"/>
      <c r="AC5217" s="462"/>
      <c r="AD5217" s="464"/>
      <c r="AE5217" s="465"/>
    </row>
    <row r="5218" spans="27:31" ht="14.4">
      <c r="AA5218" s="463"/>
      <c r="AB5218" s="462"/>
      <c r="AC5218" s="462"/>
      <c r="AD5218" s="464"/>
      <c r="AE5218" s="465"/>
    </row>
    <row r="5219" spans="27:31" ht="14.4">
      <c r="AA5219" s="463"/>
      <c r="AB5219" s="462"/>
      <c r="AC5219" s="462"/>
      <c r="AD5219" s="464"/>
      <c r="AE5219" s="465"/>
    </row>
    <row r="5220" spans="27:31" ht="14.4">
      <c r="AA5220" s="463"/>
      <c r="AB5220" s="462"/>
      <c r="AC5220" s="462"/>
      <c r="AD5220" s="464"/>
      <c r="AE5220" s="465"/>
    </row>
    <row r="5221" spans="27:31" ht="14.4">
      <c r="AA5221" s="463"/>
      <c r="AB5221" s="462"/>
      <c r="AC5221" s="462"/>
      <c r="AD5221" s="464"/>
      <c r="AE5221" s="465"/>
    </row>
    <row r="5222" spans="27:31" ht="14.4">
      <c r="AA5222" s="463"/>
      <c r="AB5222" s="462"/>
      <c r="AC5222" s="462"/>
      <c r="AD5222" s="464"/>
      <c r="AE5222" s="465"/>
    </row>
    <row r="5223" spans="27:31" ht="14.4">
      <c r="AA5223" s="463"/>
      <c r="AB5223" s="462"/>
      <c r="AC5223" s="462"/>
      <c r="AD5223" s="464"/>
      <c r="AE5223" s="465"/>
    </row>
    <row r="5224" spans="27:31" ht="14.4">
      <c r="AA5224" s="463"/>
      <c r="AB5224" s="462"/>
      <c r="AC5224" s="462"/>
      <c r="AD5224" s="464"/>
      <c r="AE5224" s="465"/>
    </row>
    <row r="5225" spans="27:31" ht="14.4">
      <c r="AA5225" s="463"/>
      <c r="AB5225" s="462"/>
      <c r="AC5225" s="462"/>
      <c r="AD5225" s="464"/>
      <c r="AE5225" s="465"/>
    </row>
    <row r="5226" spans="27:31" ht="14.4">
      <c r="AA5226" s="463"/>
      <c r="AB5226" s="462"/>
      <c r="AC5226" s="462"/>
      <c r="AD5226" s="464"/>
      <c r="AE5226" s="465"/>
    </row>
    <row r="5227" spans="27:31" ht="14.4">
      <c r="AA5227" s="463"/>
      <c r="AB5227" s="462"/>
      <c r="AC5227" s="462"/>
      <c r="AD5227" s="464"/>
      <c r="AE5227" s="465"/>
    </row>
    <row r="5228" spans="27:31" ht="14.4">
      <c r="AA5228" s="463"/>
      <c r="AB5228" s="462"/>
      <c r="AC5228" s="462"/>
      <c r="AD5228" s="464"/>
      <c r="AE5228" s="465"/>
    </row>
    <row r="5229" spans="27:31" ht="14.4">
      <c r="AA5229" s="463"/>
      <c r="AB5229" s="462"/>
      <c r="AC5229" s="462"/>
      <c r="AD5229" s="464"/>
      <c r="AE5229" s="465"/>
    </row>
    <row r="5230" spans="27:31" ht="14.4">
      <c r="AA5230" s="463"/>
      <c r="AB5230" s="462"/>
      <c r="AC5230" s="462"/>
      <c r="AD5230" s="464"/>
      <c r="AE5230" s="465"/>
    </row>
    <row r="5231" spans="27:31" ht="14.4">
      <c r="AA5231" s="463"/>
      <c r="AB5231" s="462"/>
      <c r="AC5231" s="462"/>
      <c r="AD5231" s="464"/>
      <c r="AE5231" s="465"/>
    </row>
    <row r="5232" spans="27:31" ht="14.4">
      <c r="AA5232" s="463"/>
      <c r="AB5232" s="462"/>
      <c r="AC5232" s="462"/>
      <c r="AD5232" s="464"/>
      <c r="AE5232" s="465"/>
    </row>
    <row r="5233" spans="27:31" ht="14.4">
      <c r="AA5233" s="463"/>
      <c r="AB5233" s="462"/>
      <c r="AC5233" s="462"/>
      <c r="AD5233" s="464"/>
      <c r="AE5233" s="465"/>
    </row>
    <row r="5234" spans="27:31" ht="14.4">
      <c r="AA5234" s="463"/>
      <c r="AB5234" s="462"/>
      <c r="AC5234" s="462"/>
      <c r="AD5234" s="464"/>
      <c r="AE5234" s="465"/>
    </row>
    <row r="5235" spans="27:31" ht="14.4">
      <c r="AA5235" s="463"/>
      <c r="AB5235" s="462"/>
      <c r="AC5235" s="462"/>
      <c r="AD5235" s="464"/>
      <c r="AE5235" s="465"/>
    </row>
    <row r="5236" spans="27:31" ht="14.4">
      <c r="AA5236" s="463"/>
      <c r="AB5236" s="462"/>
      <c r="AC5236" s="462"/>
      <c r="AD5236" s="464"/>
      <c r="AE5236" s="465"/>
    </row>
    <row r="5237" spans="27:31" ht="14.4">
      <c r="AA5237" s="463"/>
      <c r="AB5237" s="462"/>
      <c r="AC5237" s="462"/>
      <c r="AD5237" s="464"/>
      <c r="AE5237" s="465"/>
    </row>
    <row r="5238" spans="27:31" ht="14.4">
      <c r="AA5238" s="463"/>
      <c r="AB5238" s="462"/>
      <c r="AC5238" s="462"/>
      <c r="AD5238" s="464"/>
      <c r="AE5238" s="465"/>
    </row>
    <row r="5239" spans="27:31" ht="14.4">
      <c r="AA5239" s="463"/>
      <c r="AB5239" s="462"/>
      <c r="AC5239" s="462"/>
      <c r="AD5239" s="464"/>
      <c r="AE5239" s="465"/>
    </row>
    <row r="5240" spans="27:31" ht="14.4">
      <c r="AA5240" s="463"/>
      <c r="AB5240" s="462"/>
      <c r="AC5240" s="462"/>
      <c r="AD5240" s="464"/>
      <c r="AE5240" s="465"/>
    </row>
    <row r="5241" spans="27:31" ht="14.4">
      <c r="AA5241" s="463"/>
      <c r="AB5241" s="462"/>
      <c r="AC5241" s="462"/>
      <c r="AD5241" s="464"/>
      <c r="AE5241" s="465"/>
    </row>
    <row r="5242" spans="27:31" ht="14.4">
      <c r="AA5242" s="463"/>
      <c r="AB5242" s="462"/>
      <c r="AC5242" s="462"/>
      <c r="AD5242" s="464"/>
      <c r="AE5242" s="465"/>
    </row>
    <row r="5243" spans="27:31" ht="14.4">
      <c r="AA5243" s="463"/>
      <c r="AB5243" s="462"/>
      <c r="AC5243" s="462"/>
      <c r="AD5243" s="464"/>
      <c r="AE5243" s="465"/>
    </row>
    <row r="5244" spans="27:31" ht="14.4">
      <c r="AA5244" s="463"/>
      <c r="AB5244" s="462"/>
      <c r="AC5244" s="462"/>
      <c r="AD5244" s="464"/>
      <c r="AE5244" s="465"/>
    </row>
    <row r="5245" spans="27:31" ht="14.4">
      <c r="AA5245" s="463"/>
      <c r="AB5245" s="462"/>
      <c r="AC5245" s="462"/>
      <c r="AD5245" s="464"/>
      <c r="AE5245" s="465"/>
    </row>
    <row r="5246" spans="27:31" ht="14.4">
      <c r="AA5246" s="463"/>
      <c r="AB5246" s="462"/>
      <c r="AC5246" s="462"/>
      <c r="AD5246" s="464"/>
      <c r="AE5246" s="465"/>
    </row>
    <row r="5247" spans="27:31" ht="14.4">
      <c r="AA5247" s="463"/>
      <c r="AB5247" s="462"/>
      <c r="AC5247" s="462"/>
      <c r="AD5247" s="464"/>
      <c r="AE5247" s="465"/>
    </row>
    <row r="5248" spans="27:31" ht="14.4">
      <c r="AA5248" s="463"/>
      <c r="AB5248" s="462"/>
      <c r="AC5248" s="462"/>
      <c r="AD5248" s="464"/>
      <c r="AE5248" s="465"/>
    </row>
    <row r="5249" spans="27:31" ht="14.4">
      <c r="AA5249" s="463"/>
      <c r="AB5249" s="462"/>
      <c r="AC5249" s="462"/>
      <c r="AD5249" s="464"/>
      <c r="AE5249" s="465"/>
    </row>
    <row r="5250" spans="27:31" ht="14.4">
      <c r="AA5250" s="463"/>
      <c r="AB5250" s="462"/>
      <c r="AC5250" s="462"/>
      <c r="AD5250" s="464"/>
      <c r="AE5250" s="465"/>
    </row>
    <row r="5251" spans="27:31" ht="14.4">
      <c r="AA5251" s="463"/>
      <c r="AB5251" s="462"/>
      <c r="AC5251" s="462"/>
      <c r="AD5251" s="464"/>
      <c r="AE5251" s="465"/>
    </row>
    <row r="5252" spans="27:31" ht="14.4">
      <c r="AA5252" s="463"/>
      <c r="AB5252" s="462"/>
      <c r="AC5252" s="462"/>
      <c r="AD5252" s="464"/>
      <c r="AE5252" s="465"/>
    </row>
    <row r="5253" spans="27:31" ht="14.4">
      <c r="AA5253" s="463"/>
      <c r="AB5253" s="462"/>
      <c r="AC5253" s="462"/>
      <c r="AD5253" s="464"/>
      <c r="AE5253" s="465"/>
    </row>
    <row r="5254" spans="27:31" ht="14.4">
      <c r="AA5254" s="463"/>
      <c r="AB5254" s="462"/>
      <c r="AC5254" s="462"/>
      <c r="AD5254" s="464"/>
      <c r="AE5254" s="465"/>
    </row>
    <row r="5255" spans="27:31" ht="14.4">
      <c r="AA5255" s="463"/>
      <c r="AB5255" s="462"/>
      <c r="AC5255" s="462"/>
      <c r="AD5255" s="464"/>
      <c r="AE5255" s="465"/>
    </row>
    <row r="5256" spans="27:31" ht="14.4">
      <c r="AA5256" s="463"/>
      <c r="AB5256" s="462"/>
      <c r="AC5256" s="462"/>
      <c r="AD5256" s="464"/>
      <c r="AE5256" s="465"/>
    </row>
    <row r="5257" spans="27:31" ht="14.4">
      <c r="AA5257" s="463"/>
      <c r="AB5257" s="462"/>
      <c r="AC5257" s="462"/>
      <c r="AD5257" s="464"/>
      <c r="AE5257" s="465"/>
    </row>
    <row r="5258" spans="27:31" ht="14.4">
      <c r="AA5258" s="463"/>
      <c r="AB5258" s="462"/>
      <c r="AC5258" s="462"/>
      <c r="AD5258" s="464"/>
      <c r="AE5258" s="465"/>
    </row>
    <row r="5259" spans="27:31" ht="14.4">
      <c r="AA5259" s="463"/>
      <c r="AB5259" s="462"/>
      <c r="AC5259" s="462"/>
      <c r="AD5259" s="464"/>
      <c r="AE5259" s="465"/>
    </row>
    <row r="5260" spans="27:31" ht="14.4">
      <c r="AA5260" s="463"/>
      <c r="AB5260" s="462"/>
      <c r="AC5260" s="462"/>
      <c r="AD5260" s="464"/>
      <c r="AE5260" s="465"/>
    </row>
    <row r="5261" spans="27:31" ht="14.4">
      <c r="AA5261" s="463"/>
      <c r="AB5261" s="462"/>
      <c r="AC5261" s="462"/>
      <c r="AD5261" s="464"/>
      <c r="AE5261" s="465"/>
    </row>
    <row r="5262" spans="27:31" ht="14.4">
      <c r="AA5262" s="463"/>
      <c r="AB5262" s="462"/>
      <c r="AC5262" s="462"/>
      <c r="AD5262" s="464"/>
      <c r="AE5262" s="465"/>
    </row>
    <row r="5263" spans="27:31" ht="14.4">
      <c r="AA5263" s="463"/>
      <c r="AB5263" s="462"/>
      <c r="AC5263" s="462"/>
      <c r="AD5263" s="464"/>
      <c r="AE5263" s="465"/>
    </row>
    <row r="5264" spans="27:31" ht="14.4">
      <c r="AA5264" s="463"/>
      <c r="AB5264" s="462"/>
      <c r="AC5264" s="462"/>
      <c r="AD5264" s="464"/>
      <c r="AE5264" s="465"/>
    </row>
    <row r="5265" spans="27:31" ht="14.4">
      <c r="AA5265" s="463"/>
      <c r="AB5265" s="462"/>
      <c r="AC5265" s="462"/>
      <c r="AD5265" s="464"/>
      <c r="AE5265" s="465"/>
    </row>
    <row r="5266" spans="27:31" ht="14.4">
      <c r="AA5266" s="463"/>
      <c r="AB5266" s="462"/>
      <c r="AC5266" s="462"/>
      <c r="AD5266" s="464"/>
      <c r="AE5266" s="465"/>
    </row>
    <row r="5267" spans="27:31" ht="14.4">
      <c r="AA5267" s="463"/>
      <c r="AB5267" s="462"/>
      <c r="AC5267" s="462"/>
      <c r="AD5267" s="464"/>
      <c r="AE5267" s="465"/>
    </row>
    <row r="5268" spans="27:31" ht="14.4">
      <c r="AA5268" s="463"/>
      <c r="AB5268" s="462"/>
      <c r="AC5268" s="462"/>
      <c r="AD5268" s="464"/>
      <c r="AE5268" s="465"/>
    </row>
    <row r="5269" spans="27:31" ht="14.4">
      <c r="AA5269" s="463"/>
      <c r="AB5269" s="462"/>
      <c r="AC5269" s="462"/>
      <c r="AD5269" s="464"/>
      <c r="AE5269" s="465"/>
    </row>
    <row r="5270" spans="27:31" ht="14.4">
      <c r="AA5270" s="463"/>
      <c r="AB5270" s="462"/>
      <c r="AC5270" s="462"/>
      <c r="AD5270" s="464"/>
      <c r="AE5270" s="465"/>
    </row>
    <row r="5271" spans="27:31" ht="14.4">
      <c r="AA5271" s="463"/>
      <c r="AB5271" s="462"/>
      <c r="AC5271" s="462"/>
      <c r="AD5271" s="464"/>
      <c r="AE5271" s="465"/>
    </row>
    <row r="5272" spans="27:31" ht="14.4">
      <c r="AA5272" s="463"/>
      <c r="AB5272" s="462"/>
      <c r="AC5272" s="462"/>
      <c r="AD5272" s="464"/>
      <c r="AE5272" s="465"/>
    </row>
    <row r="5273" spans="27:31" ht="14.4">
      <c r="AA5273" s="463"/>
      <c r="AB5273" s="462"/>
      <c r="AC5273" s="462"/>
      <c r="AD5273" s="464"/>
      <c r="AE5273" s="465"/>
    </row>
    <row r="5274" spans="27:31" ht="14.4">
      <c r="AA5274" s="463"/>
      <c r="AB5274" s="462"/>
      <c r="AC5274" s="462"/>
      <c r="AD5274" s="464"/>
      <c r="AE5274" s="465"/>
    </row>
    <row r="5275" spans="27:31" ht="14.4">
      <c r="AA5275" s="463"/>
      <c r="AB5275" s="462"/>
      <c r="AC5275" s="462"/>
      <c r="AD5275" s="464"/>
      <c r="AE5275" s="465"/>
    </row>
    <row r="5276" spans="27:31" ht="14.4">
      <c r="AA5276" s="463"/>
      <c r="AB5276" s="462"/>
      <c r="AC5276" s="462"/>
      <c r="AD5276" s="464"/>
      <c r="AE5276" s="465"/>
    </row>
    <row r="5277" spans="27:31" ht="14.4">
      <c r="AA5277" s="463"/>
      <c r="AB5277" s="462"/>
      <c r="AC5277" s="462"/>
      <c r="AD5277" s="464"/>
      <c r="AE5277" s="465"/>
    </row>
    <row r="5278" spans="27:31" ht="14.4">
      <c r="AA5278" s="463"/>
      <c r="AB5278" s="462"/>
      <c r="AC5278" s="462"/>
      <c r="AD5278" s="464"/>
      <c r="AE5278" s="465"/>
    </row>
    <row r="5279" spans="27:31" ht="14.4">
      <c r="AA5279" s="463"/>
      <c r="AB5279" s="462"/>
      <c r="AC5279" s="462"/>
      <c r="AD5279" s="464"/>
      <c r="AE5279" s="465"/>
    </row>
    <row r="5280" spans="27:31" ht="14.4">
      <c r="AA5280" s="463"/>
      <c r="AB5280" s="462"/>
      <c r="AC5280" s="462"/>
      <c r="AD5280" s="464"/>
      <c r="AE5280" s="465"/>
    </row>
    <row r="5281" spans="27:31" ht="14.4">
      <c r="AA5281" s="463"/>
      <c r="AB5281" s="462"/>
      <c r="AC5281" s="462"/>
      <c r="AD5281" s="464"/>
      <c r="AE5281" s="465"/>
    </row>
    <row r="5282" spans="27:31" ht="14.4">
      <c r="AA5282" s="463"/>
      <c r="AB5282" s="462"/>
      <c r="AC5282" s="462"/>
      <c r="AD5282" s="464"/>
      <c r="AE5282" s="465"/>
    </row>
    <row r="5283" spans="27:31" ht="14.4">
      <c r="AA5283" s="463"/>
      <c r="AB5283" s="462"/>
      <c r="AC5283" s="462"/>
      <c r="AD5283" s="464"/>
      <c r="AE5283" s="465"/>
    </row>
    <row r="5284" spans="27:31" ht="14.4">
      <c r="AA5284" s="463"/>
      <c r="AB5284" s="462"/>
      <c r="AC5284" s="462"/>
      <c r="AD5284" s="464"/>
      <c r="AE5284" s="465"/>
    </row>
    <row r="5285" spans="27:31" ht="14.4">
      <c r="AA5285" s="463"/>
      <c r="AB5285" s="462"/>
      <c r="AC5285" s="462"/>
      <c r="AD5285" s="464"/>
      <c r="AE5285" s="465"/>
    </row>
    <row r="5286" spans="27:31" ht="14.4">
      <c r="AA5286" s="463"/>
      <c r="AB5286" s="462"/>
      <c r="AC5286" s="462"/>
      <c r="AD5286" s="464"/>
      <c r="AE5286" s="465"/>
    </row>
    <row r="5287" spans="27:31" ht="14.4">
      <c r="AA5287" s="463"/>
      <c r="AB5287" s="462"/>
      <c r="AC5287" s="462"/>
      <c r="AD5287" s="464"/>
      <c r="AE5287" s="465"/>
    </row>
    <row r="5288" spans="27:31" ht="14.4">
      <c r="AA5288" s="463"/>
      <c r="AB5288" s="462"/>
      <c r="AC5288" s="462"/>
      <c r="AD5288" s="464"/>
      <c r="AE5288" s="465"/>
    </row>
    <row r="5289" spans="27:31" ht="14.4">
      <c r="AA5289" s="463"/>
      <c r="AB5289" s="462"/>
      <c r="AC5289" s="462"/>
      <c r="AD5289" s="464"/>
      <c r="AE5289" s="465"/>
    </row>
    <row r="5290" spans="27:31" ht="14.4">
      <c r="AA5290" s="463"/>
      <c r="AB5290" s="462"/>
      <c r="AC5290" s="462"/>
      <c r="AD5290" s="464"/>
      <c r="AE5290" s="465"/>
    </row>
    <row r="5291" spans="27:31" ht="14.4">
      <c r="AA5291" s="463"/>
      <c r="AB5291" s="462"/>
      <c r="AC5291" s="462"/>
      <c r="AD5291" s="464"/>
      <c r="AE5291" s="465"/>
    </row>
    <row r="5292" spans="27:31" ht="14.4">
      <c r="AA5292" s="463"/>
      <c r="AB5292" s="462"/>
      <c r="AC5292" s="462"/>
      <c r="AD5292" s="464"/>
      <c r="AE5292" s="465"/>
    </row>
    <row r="5293" spans="27:31" ht="14.4">
      <c r="AA5293" s="463"/>
      <c r="AB5293" s="462"/>
      <c r="AC5293" s="462"/>
      <c r="AD5293" s="464"/>
      <c r="AE5293" s="465"/>
    </row>
    <row r="5294" spans="27:31" ht="14.4">
      <c r="AA5294" s="463"/>
      <c r="AB5294" s="462"/>
      <c r="AC5294" s="462"/>
      <c r="AD5294" s="464"/>
      <c r="AE5294" s="465"/>
    </row>
    <row r="5295" spans="27:31" ht="14.4">
      <c r="AA5295" s="463"/>
      <c r="AB5295" s="462"/>
      <c r="AC5295" s="462"/>
      <c r="AD5295" s="464"/>
      <c r="AE5295" s="465"/>
    </row>
    <row r="5296" spans="27:31" ht="14.4">
      <c r="AA5296" s="463"/>
      <c r="AB5296" s="462"/>
      <c r="AC5296" s="462"/>
      <c r="AD5296" s="464"/>
      <c r="AE5296" s="465"/>
    </row>
    <row r="5297" spans="27:31" ht="14.4">
      <c r="AA5297" s="463"/>
      <c r="AB5297" s="462"/>
      <c r="AC5297" s="462"/>
      <c r="AD5297" s="464"/>
      <c r="AE5297" s="465"/>
    </row>
    <row r="5298" spans="27:31" ht="14.4">
      <c r="AA5298" s="463"/>
      <c r="AB5298" s="462"/>
      <c r="AC5298" s="462"/>
      <c r="AD5298" s="464"/>
      <c r="AE5298" s="465"/>
    </row>
    <row r="5299" spans="27:31" ht="14.4">
      <c r="AA5299" s="463"/>
      <c r="AB5299" s="462"/>
      <c r="AC5299" s="462"/>
      <c r="AD5299" s="464"/>
      <c r="AE5299" s="465"/>
    </row>
    <row r="5300" spans="27:31" ht="14.4">
      <c r="AA5300" s="463"/>
      <c r="AB5300" s="462"/>
      <c r="AC5300" s="462"/>
      <c r="AD5300" s="464"/>
      <c r="AE5300" s="465"/>
    </row>
    <row r="5301" spans="27:31" ht="14.4">
      <c r="AA5301" s="463"/>
      <c r="AB5301" s="462"/>
      <c r="AC5301" s="462"/>
      <c r="AD5301" s="464"/>
      <c r="AE5301" s="465"/>
    </row>
    <row r="5302" spans="27:31" ht="14.4">
      <c r="AA5302" s="463"/>
      <c r="AB5302" s="462"/>
      <c r="AC5302" s="462"/>
      <c r="AD5302" s="464"/>
      <c r="AE5302" s="465"/>
    </row>
    <row r="5303" spans="27:31" ht="14.4">
      <c r="AA5303" s="463"/>
      <c r="AB5303" s="462"/>
      <c r="AC5303" s="462"/>
      <c r="AD5303" s="464"/>
      <c r="AE5303" s="465"/>
    </row>
    <row r="5304" spans="27:31" ht="14.4">
      <c r="AA5304" s="463"/>
      <c r="AB5304" s="462"/>
      <c r="AC5304" s="462"/>
      <c r="AD5304" s="464"/>
      <c r="AE5304" s="465"/>
    </row>
    <row r="5305" spans="27:31" ht="14.4">
      <c r="AA5305" s="463"/>
      <c r="AB5305" s="462"/>
      <c r="AC5305" s="462"/>
      <c r="AD5305" s="464"/>
      <c r="AE5305" s="465"/>
    </row>
    <row r="5306" spans="27:31" ht="14.4">
      <c r="AA5306" s="463"/>
      <c r="AB5306" s="462"/>
      <c r="AC5306" s="462"/>
      <c r="AD5306" s="464"/>
      <c r="AE5306" s="465"/>
    </row>
    <row r="5307" spans="27:31" ht="14.4">
      <c r="AA5307" s="463"/>
      <c r="AB5307" s="462"/>
      <c r="AC5307" s="462"/>
      <c r="AD5307" s="464"/>
      <c r="AE5307" s="465"/>
    </row>
    <row r="5308" spans="27:31" ht="14.4">
      <c r="AA5308" s="463"/>
      <c r="AB5308" s="462"/>
      <c r="AC5308" s="462"/>
      <c r="AD5308" s="464"/>
      <c r="AE5308" s="465"/>
    </row>
    <row r="5309" spans="27:31" ht="14.4">
      <c r="AA5309" s="463"/>
      <c r="AB5309" s="462"/>
      <c r="AC5309" s="462"/>
      <c r="AD5309" s="464"/>
      <c r="AE5309" s="465"/>
    </row>
    <row r="5310" spans="27:31" ht="14.4">
      <c r="AA5310" s="463"/>
      <c r="AB5310" s="462"/>
      <c r="AC5310" s="462"/>
      <c r="AD5310" s="464"/>
      <c r="AE5310" s="465"/>
    </row>
    <row r="5311" spans="27:31" ht="14.4">
      <c r="AA5311" s="463"/>
      <c r="AB5311" s="462"/>
      <c r="AC5311" s="462"/>
      <c r="AD5311" s="464"/>
      <c r="AE5311" s="465"/>
    </row>
    <row r="5312" spans="27:31" ht="14.4">
      <c r="AA5312" s="463"/>
      <c r="AB5312" s="462"/>
      <c r="AC5312" s="462"/>
      <c r="AD5312" s="464"/>
      <c r="AE5312" s="465"/>
    </row>
    <row r="5313" spans="27:31" ht="14.4">
      <c r="AA5313" s="463"/>
      <c r="AB5313" s="462"/>
      <c r="AC5313" s="462"/>
      <c r="AD5313" s="464"/>
      <c r="AE5313" s="465"/>
    </row>
    <row r="5314" spans="27:31" ht="14.4">
      <c r="AA5314" s="463"/>
      <c r="AB5314" s="462"/>
      <c r="AC5314" s="462"/>
      <c r="AD5314" s="464"/>
      <c r="AE5314" s="465"/>
    </row>
    <row r="5315" spans="27:31" ht="14.4">
      <c r="AA5315" s="463"/>
      <c r="AB5315" s="462"/>
      <c r="AC5315" s="462"/>
      <c r="AD5315" s="464"/>
      <c r="AE5315" s="465"/>
    </row>
    <row r="5316" spans="27:31" ht="14.4">
      <c r="AA5316" s="463"/>
      <c r="AB5316" s="462"/>
      <c r="AC5316" s="462"/>
      <c r="AD5316" s="464"/>
      <c r="AE5316" s="465"/>
    </row>
    <row r="5317" spans="27:31" ht="14.4">
      <c r="AA5317" s="463"/>
      <c r="AB5317" s="462"/>
      <c r="AC5317" s="462"/>
      <c r="AD5317" s="464"/>
      <c r="AE5317" s="465"/>
    </row>
    <row r="5318" spans="27:31" ht="14.4">
      <c r="AA5318" s="463"/>
      <c r="AB5318" s="462"/>
      <c r="AC5318" s="462"/>
      <c r="AD5318" s="464"/>
      <c r="AE5318" s="465"/>
    </row>
    <row r="5319" spans="27:31" ht="14.4">
      <c r="AA5319" s="463"/>
      <c r="AB5319" s="462"/>
      <c r="AC5319" s="462"/>
      <c r="AD5319" s="464"/>
      <c r="AE5319" s="465"/>
    </row>
    <row r="5320" spans="27:31" ht="14.4">
      <c r="AA5320" s="463"/>
      <c r="AB5320" s="462"/>
      <c r="AC5320" s="462"/>
      <c r="AD5320" s="464"/>
      <c r="AE5320" s="465"/>
    </row>
    <row r="5321" spans="27:31" ht="14.4">
      <c r="AA5321" s="463"/>
      <c r="AB5321" s="462"/>
      <c r="AC5321" s="462"/>
      <c r="AD5321" s="464"/>
      <c r="AE5321" s="465"/>
    </row>
    <row r="5322" spans="27:31" ht="14.4">
      <c r="AA5322" s="463"/>
      <c r="AB5322" s="462"/>
      <c r="AC5322" s="462"/>
      <c r="AD5322" s="464"/>
      <c r="AE5322" s="465"/>
    </row>
    <row r="5323" spans="27:31" ht="14.4">
      <c r="AA5323" s="463"/>
      <c r="AB5323" s="462"/>
      <c r="AC5323" s="462"/>
      <c r="AD5323" s="464"/>
      <c r="AE5323" s="465"/>
    </row>
    <row r="5324" spans="27:31" ht="14.4">
      <c r="AA5324" s="463"/>
      <c r="AB5324" s="462"/>
      <c r="AC5324" s="462"/>
      <c r="AD5324" s="464"/>
      <c r="AE5324" s="465"/>
    </row>
    <row r="5325" spans="27:31" ht="14.4">
      <c r="AA5325" s="463"/>
      <c r="AB5325" s="462"/>
      <c r="AC5325" s="462"/>
      <c r="AD5325" s="464"/>
      <c r="AE5325" s="465"/>
    </row>
    <row r="5326" spans="27:31" ht="14.4">
      <c r="AA5326" s="463"/>
      <c r="AB5326" s="462"/>
      <c r="AC5326" s="462"/>
      <c r="AD5326" s="464"/>
      <c r="AE5326" s="465"/>
    </row>
    <row r="5327" spans="27:31" ht="14.4">
      <c r="AA5327" s="463"/>
      <c r="AB5327" s="462"/>
      <c r="AC5327" s="462"/>
      <c r="AD5327" s="464"/>
      <c r="AE5327" s="465"/>
    </row>
    <row r="5328" spans="27:31" ht="14.4">
      <c r="AA5328" s="463"/>
      <c r="AB5328" s="462"/>
      <c r="AC5328" s="462"/>
      <c r="AD5328" s="464"/>
      <c r="AE5328" s="465"/>
    </row>
    <row r="5329" spans="27:31" ht="14.4">
      <c r="AA5329" s="463"/>
      <c r="AB5329" s="462"/>
      <c r="AC5329" s="462"/>
      <c r="AD5329" s="464"/>
      <c r="AE5329" s="465"/>
    </row>
    <row r="5330" spans="27:31" ht="14.4">
      <c r="AA5330" s="463"/>
      <c r="AB5330" s="462"/>
      <c r="AC5330" s="462"/>
      <c r="AD5330" s="464"/>
      <c r="AE5330" s="465"/>
    </row>
    <row r="5331" spans="27:31" ht="14.4">
      <c r="AA5331" s="463"/>
      <c r="AB5331" s="462"/>
      <c r="AC5331" s="462"/>
      <c r="AD5331" s="464"/>
      <c r="AE5331" s="465"/>
    </row>
    <row r="5332" spans="27:31" ht="14.4">
      <c r="AA5332" s="463"/>
      <c r="AB5332" s="462"/>
      <c r="AC5332" s="462"/>
      <c r="AD5332" s="464"/>
      <c r="AE5332" s="465"/>
    </row>
    <row r="5333" spans="27:31" ht="14.4">
      <c r="AA5333" s="463"/>
      <c r="AB5333" s="462"/>
      <c r="AC5333" s="462"/>
      <c r="AD5333" s="464"/>
      <c r="AE5333" s="465"/>
    </row>
    <row r="5334" spans="27:31" ht="14.4">
      <c r="AA5334" s="463"/>
      <c r="AB5334" s="462"/>
      <c r="AC5334" s="462"/>
      <c r="AD5334" s="464"/>
      <c r="AE5334" s="465"/>
    </row>
    <row r="5335" spans="27:31" ht="14.4">
      <c r="AA5335" s="463"/>
      <c r="AB5335" s="462"/>
      <c r="AC5335" s="462"/>
      <c r="AD5335" s="464"/>
      <c r="AE5335" s="465"/>
    </row>
    <row r="5336" spans="27:31" ht="14.4">
      <c r="AA5336" s="463"/>
      <c r="AB5336" s="462"/>
      <c r="AC5336" s="462"/>
      <c r="AD5336" s="464"/>
      <c r="AE5336" s="465"/>
    </row>
    <row r="5337" spans="27:31" ht="14.4">
      <c r="AA5337" s="463"/>
      <c r="AB5337" s="462"/>
      <c r="AC5337" s="462"/>
      <c r="AD5337" s="464"/>
      <c r="AE5337" s="465"/>
    </row>
    <row r="5338" spans="27:31" ht="14.4">
      <c r="AA5338" s="463"/>
      <c r="AB5338" s="462"/>
      <c r="AC5338" s="462"/>
      <c r="AD5338" s="464"/>
      <c r="AE5338" s="465"/>
    </row>
    <row r="5339" spans="27:31" ht="14.4">
      <c r="AA5339" s="463"/>
      <c r="AB5339" s="462"/>
      <c r="AC5339" s="462"/>
      <c r="AD5339" s="464"/>
      <c r="AE5339" s="465"/>
    </row>
    <row r="5340" spans="27:31" ht="14.4">
      <c r="AA5340" s="463"/>
      <c r="AB5340" s="462"/>
      <c r="AC5340" s="462"/>
      <c r="AD5340" s="464"/>
      <c r="AE5340" s="465"/>
    </row>
    <row r="5341" spans="27:31" ht="14.4">
      <c r="AA5341" s="463"/>
      <c r="AB5341" s="462"/>
      <c r="AC5341" s="462"/>
      <c r="AD5341" s="464"/>
      <c r="AE5341" s="465"/>
    </row>
    <row r="5342" spans="27:31" ht="14.4">
      <c r="AA5342" s="463"/>
      <c r="AB5342" s="462"/>
      <c r="AC5342" s="462"/>
      <c r="AD5342" s="464"/>
      <c r="AE5342" s="465"/>
    </row>
    <row r="5343" spans="27:31" ht="14.4">
      <c r="AA5343" s="463"/>
      <c r="AB5343" s="462"/>
      <c r="AC5343" s="462"/>
      <c r="AD5343" s="464"/>
      <c r="AE5343" s="465"/>
    </row>
    <row r="5344" spans="27:31" ht="14.4">
      <c r="AA5344" s="463"/>
      <c r="AB5344" s="462"/>
      <c r="AC5344" s="462"/>
      <c r="AD5344" s="464"/>
      <c r="AE5344" s="465"/>
    </row>
    <row r="5345" spans="27:31" ht="14.4">
      <c r="AA5345" s="463"/>
      <c r="AB5345" s="462"/>
      <c r="AC5345" s="462"/>
      <c r="AD5345" s="464"/>
      <c r="AE5345" s="465"/>
    </row>
    <row r="5346" spans="27:31" ht="14.4">
      <c r="AA5346" s="463"/>
      <c r="AB5346" s="462"/>
      <c r="AC5346" s="462"/>
      <c r="AD5346" s="464"/>
      <c r="AE5346" s="465"/>
    </row>
    <row r="5347" spans="27:31" ht="14.4">
      <c r="AA5347" s="463"/>
      <c r="AB5347" s="462"/>
      <c r="AC5347" s="462"/>
      <c r="AD5347" s="464"/>
      <c r="AE5347" s="465"/>
    </row>
    <row r="5348" spans="27:31" ht="14.4">
      <c r="AA5348" s="463"/>
      <c r="AB5348" s="462"/>
      <c r="AC5348" s="462"/>
      <c r="AD5348" s="464"/>
      <c r="AE5348" s="465"/>
    </row>
    <row r="5349" spans="27:31" ht="14.4">
      <c r="AA5349" s="463"/>
      <c r="AB5349" s="462"/>
      <c r="AC5349" s="462"/>
      <c r="AD5349" s="464"/>
      <c r="AE5349" s="465"/>
    </row>
    <row r="5350" spans="27:31" ht="14.4">
      <c r="AA5350" s="463"/>
      <c r="AB5350" s="462"/>
      <c r="AC5350" s="462"/>
      <c r="AD5350" s="464"/>
      <c r="AE5350" s="465"/>
    </row>
    <row r="5351" spans="27:31" ht="14.4">
      <c r="AA5351" s="463"/>
      <c r="AB5351" s="462"/>
      <c r="AC5351" s="462"/>
      <c r="AD5351" s="464"/>
      <c r="AE5351" s="465"/>
    </row>
    <row r="5352" spans="27:31" ht="14.4">
      <c r="AA5352" s="463"/>
      <c r="AB5352" s="462"/>
      <c r="AC5352" s="462"/>
      <c r="AD5352" s="464"/>
      <c r="AE5352" s="465"/>
    </row>
    <row r="5353" spans="27:31" ht="14.4">
      <c r="AA5353" s="463"/>
      <c r="AB5353" s="462"/>
      <c r="AC5353" s="462"/>
      <c r="AD5353" s="464"/>
      <c r="AE5353" s="465"/>
    </row>
    <row r="5354" spans="27:31" ht="14.4">
      <c r="AA5354" s="463"/>
      <c r="AB5354" s="462"/>
      <c r="AC5354" s="462"/>
      <c r="AD5354" s="464"/>
      <c r="AE5354" s="465"/>
    </row>
    <row r="5355" spans="27:31" ht="14.4">
      <c r="AA5355" s="463"/>
      <c r="AB5355" s="462"/>
      <c r="AC5355" s="462"/>
      <c r="AD5355" s="464"/>
      <c r="AE5355" s="465"/>
    </row>
    <row r="5356" spans="27:31" ht="14.4">
      <c r="AA5356" s="463"/>
      <c r="AB5356" s="462"/>
      <c r="AC5356" s="462"/>
      <c r="AD5356" s="464"/>
      <c r="AE5356" s="465"/>
    </row>
    <row r="5357" spans="27:31" ht="14.4">
      <c r="AA5357" s="463"/>
      <c r="AB5357" s="462"/>
      <c r="AC5357" s="462"/>
      <c r="AD5357" s="464"/>
      <c r="AE5357" s="465"/>
    </row>
    <row r="5358" spans="27:31" ht="14.4">
      <c r="AA5358" s="463"/>
      <c r="AB5358" s="462"/>
      <c r="AC5358" s="462"/>
      <c r="AD5358" s="464"/>
      <c r="AE5358" s="465"/>
    </row>
    <row r="5359" spans="27:31" ht="14.4">
      <c r="AA5359" s="463"/>
      <c r="AB5359" s="462"/>
      <c r="AC5359" s="462"/>
      <c r="AD5359" s="464"/>
      <c r="AE5359" s="465"/>
    </row>
    <row r="5360" spans="27:31" ht="14.4">
      <c r="AA5360" s="463"/>
      <c r="AB5360" s="462"/>
      <c r="AC5360" s="462"/>
      <c r="AD5360" s="464"/>
      <c r="AE5360" s="465"/>
    </row>
    <row r="5361" spans="27:31" ht="14.4">
      <c r="AA5361" s="463"/>
      <c r="AB5361" s="462"/>
      <c r="AC5361" s="462"/>
      <c r="AD5361" s="464"/>
      <c r="AE5361" s="465"/>
    </row>
    <row r="5362" spans="27:31" ht="14.4">
      <c r="AA5362" s="463"/>
      <c r="AB5362" s="462"/>
      <c r="AC5362" s="462"/>
      <c r="AD5362" s="464"/>
      <c r="AE5362" s="465"/>
    </row>
    <row r="5363" spans="27:31" ht="14.4">
      <c r="AA5363" s="463"/>
      <c r="AB5363" s="462"/>
      <c r="AC5363" s="462"/>
      <c r="AD5363" s="464"/>
      <c r="AE5363" s="465"/>
    </row>
    <row r="5364" spans="27:31" ht="14.4">
      <c r="AA5364" s="463"/>
      <c r="AB5364" s="462"/>
      <c r="AC5364" s="462"/>
      <c r="AD5364" s="464"/>
      <c r="AE5364" s="465"/>
    </row>
    <row r="5365" spans="27:31" ht="14.4">
      <c r="AA5365" s="463"/>
      <c r="AB5365" s="462"/>
      <c r="AC5365" s="462"/>
      <c r="AD5365" s="464"/>
      <c r="AE5365" s="465"/>
    </row>
    <row r="5366" spans="27:31" ht="14.4">
      <c r="AA5366" s="463"/>
      <c r="AB5366" s="462"/>
      <c r="AC5366" s="462"/>
      <c r="AD5366" s="464"/>
      <c r="AE5366" s="465"/>
    </row>
    <row r="5367" spans="27:31" ht="14.4">
      <c r="AA5367" s="463"/>
      <c r="AB5367" s="462"/>
      <c r="AC5367" s="462"/>
      <c r="AD5367" s="464"/>
      <c r="AE5367" s="465"/>
    </row>
    <row r="5368" spans="27:31" ht="14.4">
      <c r="AA5368" s="463"/>
      <c r="AB5368" s="462"/>
      <c r="AC5368" s="462"/>
      <c r="AD5368" s="464"/>
      <c r="AE5368" s="465"/>
    </row>
    <row r="5369" spans="27:31" ht="14.4">
      <c r="AA5369" s="463"/>
      <c r="AB5369" s="462"/>
      <c r="AC5369" s="462"/>
      <c r="AD5369" s="464"/>
      <c r="AE5369" s="465"/>
    </row>
    <row r="5370" spans="27:31" ht="14.4">
      <c r="AA5370" s="463"/>
      <c r="AB5370" s="462"/>
      <c r="AC5370" s="462"/>
      <c r="AD5370" s="464"/>
      <c r="AE5370" s="465"/>
    </row>
    <row r="5371" spans="27:31" ht="14.4">
      <c r="AA5371" s="463"/>
      <c r="AB5371" s="462"/>
      <c r="AC5371" s="462"/>
      <c r="AD5371" s="464"/>
      <c r="AE5371" s="465"/>
    </row>
    <row r="5372" spans="27:31" ht="14.4">
      <c r="AA5372" s="463"/>
      <c r="AB5372" s="462"/>
      <c r="AC5372" s="462"/>
      <c r="AD5372" s="464"/>
      <c r="AE5372" s="465"/>
    </row>
    <row r="5373" spans="27:31" ht="14.4">
      <c r="AA5373" s="463"/>
      <c r="AB5373" s="462"/>
      <c r="AC5373" s="462"/>
      <c r="AD5373" s="464"/>
      <c r="AE5373" s="465"/>
    </row>
    <row r="5374" spans="27:31" ht="14.4">
      <c r="AA5374" s="463"/>
      <c r="AB5374" s="462"/>
      <c r="AC5374" s="462"/>
      <c r="AD5374" s="464"/>
      <c r="AE5374" s="465"/>
    </row>
    <row r="5375" spans="27:31" ht="14.4">
      <c r="AA5375" s="463"/>
      <c r="AB5375" s="462"/>
      <c r="AC5375" s="462"/>
      <c r="AD5375" s="464"/>
      <c r="AE5375" s="465"/>
    </row>
    <row r="5376" spans="27:31" ht="14.4">
      <c r="AA5376" s="463"/>
      <c r="AB5376" s="462"/>
      <c r="AC5376" s="462"/>
      <c r="AD5376" s="464"/>
      <c r="AE5376" s="465"/>
    </row>
    <row r="5377" spans="27:31" ht="14.4">
      <c r="AA5377" s="463"/>
      <c r="AB5377" s="462"/>
      <c r="AC5377" s="462"/>
      <c r="AD5377" s="464"/>
      <c r="AE5377" s="465"/>
    </row>
    <row r="5378" spans="27:31" ht="14.4">
      <c r="AA5378" s="463"/>
      <c r="AB5378" s="462"/>
      <c r="AC5378" s="462"/>
      <c r="AD5378" s="464"/>
      <c r="AE5378" s="465"/>
    </row>
    <row r="5379" spans="27:31" ht="14.4">
      <c r="AA5379" s="463"/>
      <c r="AB5379" s="462"/>
      <c r="AC5379" s="462"/>
      <c r="AD5379" s="464"/>
      <c r="AE5379" s="465"/>
    </row>
    <row r="5380" spans="27:31" ht="14.4">
      <c r="AA5380" s="463"/>
      <c r="AB5380" s="462"/>
      <c r="AC5380" s="462"/>
      <c r="AD5380" s="464"/>
      <c r="AE5380" s="465"/>
    </row>
    <row r="5381" spans="27:31" ht="14.4">
      <c r="AA5381" s="463"/>
      <c r="AB5381" s="462"/>
      <c r="AC5381" s="462"/>
      <c r="AD5381" s="464"/>
      <c r="AE5381" s="465"/>
    </row>
    <row r="5382" spans="27:31" ht="14.4">
      <c r="AA5382" s="463"/>
      <c r="AB5382" s="462"/>
      <c r="AC5382" s="462"/>
      <c r="AD5382" s="464"/>
      <c r="AE5382" s="465"/>
    </row>
    <row r="5383" spans="27:31" ht="14.4">
      <c r="AA5383" s="463"/>
      <c r="AB5383" s="462"/>
      <c r="AC5383" s="462"/>
      <c r="AD5383" s="464"/>
      <c r="AE5383" s="465"/>
    </row>
    <row r="5384" spans="27:31" ht="14.4">
      <c r="AA5384" s="463"/>
      <c r="AB5384" s="462"/>
      <c r="AC5384" s="462"/>
      <c r="AD5384" s="464"/>
      <c r="AE5384" s="465"/>
    </row>
    <row r="5385" spans="27:31" ht="14.4">
      <c r="AA5385" s="463"/>
      <c r="AB5385" s="462"/>
      <c r="AC5385" s="462"/>
      <c r="AD5385" s="464"/>
      <c r="AE5385" s="465"/>
    </row>
    <row r="5386" spans="27:31" ht="14.4">
      <c r="AA5386" s="463"/>
      <c r="AB5386" s="462"/>
      <c r="AC5386" s="462"/>
      <c r="AD5386" s="464"/>
      <c r="AE5386" s="465"/>
    </row>
    <row r="5387" spans="27:31" ht="14.4">
      <c r="AA5387" s="463"/>
      <c r="AB5387" s="462"/>
      <c r="AC5387" s="462"/>
      <c r="AD5387" s="464"/>
      <c r="AE5387" s="465"/>
    </row>
    <row r="5388" spans="27:31" ht="14.4">
      <c r="AA5388" s="463"/>
      <c r="AB5388" s="462"/>
      <c r="AC5388" s="462"/>
      <c r="AD5388" s="464"/>
      <c r="AE5388" s="465"/>
    </row>
    <row r="5389" spans="27:31" ht="14.4">
      <c r="AA5389" s="463"/>
      <c r="AB5389" s="462"/>
      <c r="AC5389" s="462"/>
      <c r="AD5389" s="464"/>
      <c r="AE5389" s="465"/>
    </row>
    <row r="5390" spans="27:31" ht="14.4">
      <c r="AA5390" s="463"/>
      <c r="AB5390" s="462"/>
      <c r="AC5390" s="462"/>
      <c r="AD5390" s="464"/>
      <c r="AE5390" s="465"/>
    </row>
    <row r="5391" spans="27:31" ht="14.4">
      <c r="AA5391" s="463"/>
      <c r="AB5391" s="462"/>
      <c r="AC5391" s="462"/>
      <c r="AD5391" s="464"/>
      <c r="AE5391" s="465"/>
    </row>
    <row r="5392" spans="27:31" ht="14.4">
      <c r="AA5392" s="463"/>
      <c r="AB5392" s="462"/>
      <c r="AC5392" s="462"/>
      <c r="AD5392" s="464"/>
      <c r="AE5392" s="465"/>
    </row>
    <row r="5393" spans="27:31" ht="14.4">
      <c r="AA5393" s="463"/>
      <c r="AB5393" s="462"/>
      <c r="AC5393" s="462"/>
      <c r="AD5393" s="464"/>
      <c r="AE5393" s="465"/>
    </row>
    <row r="5394" spans="27:31" ht="14.4">
      <c r="AA5394" s="463"/>
      <c r="AB5394" s="462"/>
      <c r="AC5394" s="462"/>
      <c r="AD5394" s="464"/>
      <c r="AE5394" s="465"/>
    </row>
    <row r="5395" spans="27:31" ht="14.4">
      <c r="AA5395" s="463"/>
      <c r="AB5395" s="462"/>
      <c r="AC5395" s="462"/>
      <c r="AD5395" s="464"/>
      <c r="AE5395" s="465"/>
    </row>
    <row r="5396" spans="27:31" ht="14.4">
      <c r="AA5396" s="463"/>
      <c r="AB5396" s="462"/>
      <c r="AC5396" s="462"/>
      <c r="AD5396" s="464"/>
      <c r="AE5396" s="465"/>
    </row>
    <row r="5397" spans="27:31" ht="14.4">
      <c r="AA5397" s="463"/>
      <c r="AB5397" s="462"/>
      <c r="AC5397" s="462"/>
      <c r="AD5397" s="464"/>
      <c r="AE5397" s="465"/>
    </row>
    <row r="5398" spans="27:31" ht="14.4">
      <c r="AA5398" s="463"/>
      <c r="AB5398" s="462"/>
      <c r="AC5398" s="462"/>
      <c r="AD5398" s="464"/>
      <c r="AE5398" s="465"/>
    </row>
    <row r="5399" spans="27:31" ht="14.4">
      <c r="AA5399" s="463"/>
      <c r="AB5399" s="462"/>
      <c r="AC5399" s="462"/>
      <c r="AD5399" s="464"/>
      <c r="AE5399" s="465"/>
    </row>
    <row r="5400" spans="27:31" ht="14.4">
      <c r="AA5400" s="463"/>
      <c r="AB5400" s="462"/>
      <c r="AC5400" s="462"/>
      <c r="AD5400" s="464"/>
      <c r="AE5400" s="465"/>
    </row>
    <row r="5401" spans="27:31" ht="14.4">
      <c r="AA5401" s="463"/>
      <c r="AB5401" s="462"/>
      <c r="AC5401" s="462"/>
      <c r="AD5401" s="464"/>
      <c r="AE5401" s="465"/>
    </row>
    <row r="5402" spans="27:31" ht="14.4">
      <c r="AA5402" s="463"/>
      <c r="AB5402" s="462"/>
      <c r="AC5402" s="462"/>
      <c r="AD5402" s="464"/>
      <c r="AE5402" s="465"/>
    </row>
    <row r="5403" spans="27:31" ht="14.4">
      <c r="AA5403" s="463"/>
      <c r="AB5403" s="462"/>
      <c r="AC5403" s="462"/>
      <c r="AD5403" s="464"/>
      <c r="AE5403" s="465"/>
    </row>
    <row r="5404" spans="27:31" ht="14.4">
      <c r="AA5404" s="463"/>
      <c r="AB5404" s="462"/>
      <c r="AC5404" s="462"/>
      <c r="AD5404" s="464"/>
      <c r="AE5404" s="465"/>
    </row>
    <row r="5405" spans="27:31" ht="14.4">
      <c r="AA5405" s="463"/>
      <c r="AB5405" s="462"/>
      <c r="AC5405" s="462"/>
      <c r="AD5405" s="464"/>
      <c r="AE5405" s="465"/>
    </row>
    <row r="5406" spans="27:31" ht="14.4">
      <c r="AA5406" s="463"/>
      <c r="AB5406" s="462"/>
      <c r="AC5406" s="462"/>
      <c r="AD5406" s="464"/>
      <c r="AE5406" s="465"/>
    </row>
    <row r="5407" spans="27:31" ht="14.4">
      <c r="AA5407" s="463"/>
      <c r="AB5407" s="462"/>
      <c r="AC5407" s="462"/>
      <c r="AD5407" s="464"/>
      <c r="AE5407" s="465"/>
    </row>
    <row r="5408" spans="27:31" ht="14.4">
      <c r="AA5408" s="463"/>
      <c r="AB5408" s="462"/>
      <c r="AC5408" s="462"/>
      <c r="AD5408" s="464"/>
      <c r="AE5408" s="465"/>
    </row>
    <row r="5409" spans="27:31" ht="14.4">
      <c r="AA5409" s="463"/>
      <c r="AB5409" s="462"/>
      <c r="AC5409" s="462"/>
      <c r="AD5409" s="464"/>
      <c r="AE5409" s="465"/>
    </row>
    <row r="5410" spans="27:31" ht="14.4">
      <c r="AA5410" s="463"/>
      <c r="AB5410" s="462"/>
      <c r="AC5410" s="462"/>
      <c r="AD5410" s="464"/>
      <c r="AE5410" s="465"/>
    </row>
    <row r="5411" spans="27:31" ht="14.4">
      <c r="AA5411" s="463"/>
      <c r="AB5411" s="462"/>
      <c r="AC5411" s="462"/>
      <c r="AD5411" s="464"/>
      <c r="AE5411" s="465"/>
    </row>
    <row r="5412" spans="27:31" ht="14.4">
      <c r="AA5412" s="463"/>
      <c r="AB5412" s="462"/>
      <c r="AC5412" s="462"/>
      <c r="AD5412" s="464"/>
      <c r="AE5412" s="465"/>
    </row>
    <row r="5413" spans="27:31" ht="14.4">
      <c r="AA5413" s="463"/>
      <c r="AB5413" s="462"/>
      <c r="AC5413" s="462"/>
      <c r="AD5413" s="464"/>
      <c r="AE5413" s="465"/>
    </row>
    <row r="5414" spans="27:31" ht="14.4">
      <c r="AA5414" s="463"/>
      <c r="AB5414" s="462"/>
      <c r="AC5414" s="462"/>
      <c r="AD5414" s="464"/>
      <c r="AE5414" s="465"/>
    </row>
    <row r="5415" spans="27:31" ht="14.4">
      <c r="AA5415" s="463"/>
      <c r="AB5415" s="462"/>
      <c r="AC5415" s="462"/>
      <c r="AD5415" s="464"/>
      <c r="AE5415" s="465"/>
    </row>
    <row r="5416" spans="27:31" ht="14.4">
      <c r="AA5416" s="463"/>
      <c r="AB5416" s="462"/>
      <c r="AC5416" s="462"/>
      <c r="AD5416" s="464"/>
      <c r="AE5416" s="465"/>
    </row>
    <row r="5417" spans="27:31" ht="14.4">
      <c r="AA5417" s="463"/>
      <c r="AB5417" s="462"/>
      <c r="AC5417" s="462"/>
      <c r="AD5417" s="464"/>
      <c r="AE5417" s="465"/>
    </row>
    <row r="5418" spans="27:31" ht="14.4">
      <c r="AA5418" s="463"/>
      <c r="AB5418" s="462"/>
      <c r="AC5418" s="462"/>
      <c r="AD5418" s="464"/>
      <c r="AE5418" s="465"/>
    </row>
    <row r="5419" spans="27:31" ht="14.4">
      <c r="AA5419" s="463"/>
      <c r="AB5419" s="462"/>
      <c r="AC5419" s="462"/>
      <c r="AD5419" s="464"/>
      <c r="AE5419" s="465"/>
    </row>
    <row r="5420" spans="27:31" ht="14.4">
      <c r="AA5420" s="463"/>
      <c r="AB5420" s="462"/>
      <c r="AC5420" s="462"/>
      <c r="AD5420" s="464"/>
      <c r="AE5420" s="465"/>
    </row>
    <row r="5421" spans="27:31" ht="14.4">
      <c r="AA5421" s="463"/>
      <c r="AB5421" s="462"/>
      <c r="AC5421" s="462"/>
      <c r="AD5421" s="464"/>
      <c r="AE5421" s="465"/>
    </row>
    <row r="5422" spans="27:31" ht="14.4">
      <c r="AA5422" s="463"/>
      <c r="AB5422" s="462"/>
      <c r="AC5422" s="462"/>
      <c r="AD5422" s="464"/>
      <c r="AE5422" s="465"/>
    </row>
    <row r="5423" spans="27:31" ht="14.4">
      <c r="AA5423" s="463"/>
      <c r="AB5423" s="462"/>
      <c r="AC5423" s="462"/>
      <c r="AD5423" s="464"/>
      <c r="AE5423" s="465"/>
    </row>
    <row r="5424" spans="27:31" ht="14.4">
      <c r="AA5424" s="463"/>
      <c r="AB5424" s="462"/>
      <c r="AC5424" s="462"/>
      <c r="AD5424" s="464"/>
      <c r="AE5424" s="465"/>
    </row>
    <row r="5425" spans="27:31" ht="14.4">
      <c r="AA5425" s="463"/>
      <c r="AB5425" s="462"/>
      <c r="AC5425" s="462"/>
      <c r="AD5425" s="464"/>
      <c r="AE5425" s="465"/>
    </row>
    <row r="5426" spans="27:31" ht="14.4">
      <c r="AA5426" s="463"/>
      <c r="AB5426" s="462"/>
      <c r="AC5426" s="462"/>
      <c r="AD5426" s="464"/>
      <c r="AE5426" s="465"/>
    </row>
    <row r="5427" spans="27:31" ht="14.4">
      <c r="AA5427" s="463"/>
      <c r="AB5427" s="462"/>
      <c r="AC5427" s="462"/>
      <c r="AD5427" s="464"/>
      <c r="AE5427" s="465"/>
    </row>
    <row r="5428" spans="27:31" ht="14.4">
      <c r="AA5428" s="463"/>
      <c r="AB5428" s="462"/>
      <c r="AC5428" s="462"/>
      <c r="AD5428" s="464"/>
      <c r="AE5428" s="465"/>
    </row>
    <row r="5429" spans="27:31" ht="14.4">
      <c r="AA5429" s="463"/>
      <c r="AB5429" s="462"/>
      <c r="AC5429" s="462"/>
      <c r="AD5429" s="464"/>
      <c r="AE5429" s="465"/>
    </row>
    <row r="5430" spans="27:31" ht="14.4">
      <c r="AA5430" s="463"/>
      <c r="AB5430" s="462"/>
      <c r="AC5430" s="462"/>
      <c r="AD5430" s="464"/>
      <c r="AE5430" s="465"/>
    </row>
    <row r="5431" spans="27:31" ht="14.4">
      <c r="AA5431" s="463"/>
      <c r="AB5431" s="462"/>
      <c r="AC5431" s="462"/>
      <c r="AD5431" s="464"/>
      <c r="AE5431" s="465"/>
    </row>
    <row r="5432" spans="27:31" ht="14.4">
      <c r="AA5432" s="463"/>
      <c r="AB5432" s="462"/>
      <c r="AC5432" s="462"/>
      <c r="AD5432" s="464"/>
      <c r="AE5432" s="465"/>
    </row>
    <row r="5433" spans="27:31" ht="14.4">
      <c r="AA5433" s="463"/>
      <c r="AB5433" s="462"/>
      <c r="AC5433" s="462"/>
      <c r="AD5433" s="464"/>
      <c r="AE5433" s="465"/>
    </row>
    <row r="5434" spans="27:31" ht="14.4">
      <c r="AA5434" s="463"/>
      <c r="AB5434" s="462"/>
      <c r="AC5434" s="462"/>
      <c r="AD5434" s="464"/>
      <c r="AE5434" s="465"/>
    </row>
    <row r="5435" spans="27:31" ht="14.4">
      <c r="AA5435" s="463"/>
      <c r="AB5435" s="462"/>
      <c r="AC5435" s="462"/>
      <c r="AD5435" s="464"/>
      <c r="AE5435" s="465"/>
    </row>
    <row r="5436" spans="27:31" ht="14.4">
      <c r="AA5436" s="463"/>
      <c r="AB5436" s="462"/>
      <c r="AC5436" s="462"/>
      <c r="AD5436" s="464"/>
      <c r="AE5436" s="465"/>
    </row>
    <row r="5437" spans="27:31" ht="14.4">
      <c r="AA5437" s="463"/>
      <c r="AB5437" s="462"/>
      <c r="AC5437" s="462"/>
      <c r="AD5437" s="464"/>
      <c r="AE5437" s="465"/>
    </row>
    <row r="5438" spans="27:31" ht="14.4">
      <c r="AA5438" s="463"/>
      <c r="AB5438" s="462"/>
      <c r="AC5438" s="462"/>
      <c r="AD5438" s="464"/>
      <c r="AE5438" s="465"/>
    </row>
    <row r="5439" spans="27:31" ht="14.4">
      <c r="AA5439" s="463"/>
      <c r="AB5439" s="462"/>
      <c r="AC5439" s="462"/>
      <c r="AD5439" s="464"/>
      <c r="AE5439" s="465"/>
    </row>
    <row r="5440" spans="27:31" ht="14.4">
      <c r="AA5440" s="463"/>
      <c r="AB5440" s="462"/>
      <c r="AC5440" s="462"/>
      <c r="AD5440" s="464"/>
      <c r="AE5440" s="465"/>
    </row>
    <row r="5441" spans="27:31" ht="14.4">
      <c r="AA5441" s="463"/>
      <c r="AB5441" s="462"/>
      <c r="AC5441" s="462"/>
      <c r="AD5441" s="464"/>
      <c r="AE5441" s="465"/>
    </row>
    <row r="5442" spans="27:31" ht="14.4">
      <c r="AA5442" s="463"/>
      <c r="AB5442" s="462"/>
      <c r="AC5442" s="462"/>
      <c r="AD5442" s="464"/>
      <c r="AE5442" s="465"/>
    </row>
    <row r="5443" spans="27:31" ht="14.4">
      <c r="AA5443" s="463"/>
      <c r="AB5443" s="462"/>
      <c r="AC5443" s="462"/>
      <c r="AD5443" s="464"/>
      <c r="AE5443" s="465"/>
    </row>
    <row r="5444" spans="27:31" ht="14.4">
      <c r="AA5444" s="463"/>
      <c r="AB5444" s="462"/>
      <c r="AC5444" s="462"/>
      <c r="AD5444" s="464"/>
      <c r="AE5444" s="465"/>
    </row>
    <row r="5445" spans="27:31" ht="14.4">
      <c r="AA5445" s="463"/>
      <c r="AB5445" s="462"/>
      <c r="AC5445" s="462"/>
      <c r="AD5445" s="464"/>
      <c r="AE5445" s="465"/>
    </row>
    <row r="5446" spans="27:31" ht="14.4">
      <c r="AA5446" s="463"/>
      <c r="AB5446" s="462"/>
      <c r="AC5446" s="462"/>
      <c r="AD5446" s="464"/>
      <c r="AE5446" s="465"/>
    </row>
    <row r="5447" spans="27:31" ht="14.4">
      <c r="AA5447" s="463"/>
      <c r="AB5447" s="462"/>
      <c r="AC5447" s="462"/>
      <c r="AD5447" s="464"/>
      <c r="AE5447" s="465"/>
    </row>
    <row r="5448" spans="27:31" ht="14.4">
      <c r="AA5448" s="463"/>
      <c r="AB5448" s="462"/>
      <c r="AC5448" s="462"/>
      <c r="AD5448" s="464"/>
      <c r="AE5448" s="465"/>
    </row>
    <row r="5449" spans="27:31" ht="14.4">
      <c r="AA5449" s="463"/>
      <c r="AB5449" s="462"/>
      <c r="AC5449" s="462"/>
      <c r="AD5449" s="464"/>
      <c r="AE5449" s="465"/>
    </row>
    <row r="5450" spans="27:31" ht="14.4">
      <c r="AA5450" s="463"/>
      <c r="AB5450" s="462"/>
      <c r="AC5450" s="462"/>
      <c r="AD5450" s="464"/>
      <c r="AE5450" s="465"/>
    </row>
    <row r="5451" spans="27:31" ht="14.4">
      <c r="AA5451" s="463"/>
      <c r="AB5451" s="462"/>
      <c r="AC5451" s="462"/>
      <c r="AD5451" s="464"/>
      <c r="AE5451" s="465"/>
    </row>
    <row r="5452" spans="27:31" ht="14.4">
      <c r="AA5452" s="463"/>
      <c r="AB5452" s="462"/>
      <c r="AC5452" s="462"/>
      <c r="AD5452" s="464"/>
      <c r="AE5452" s="465"/>
    </row>
    <row r="5453" spans="27:31" ht="14.4">
      <c r="AA5453" s="463"/>
      <c r="AB5453" s="462"/>
      <c r="AC5453" s="462"/>
      <c r="AD5453" s="464"/>
      <c r="AE5453" s="465"/>
    </row>
    <row r="5454" spans="27:31" ht="14.4">
      <c r="AA5454" s="463"/>
      <c r="AB5454" s="462"/>
      <c r="AC5454" s="462"/>
      <c r="AD5454" s="464"/>
      <c r="AE5454" s="465"/>
    </row>
    <row r="5455" spans="27:31" ht="14.4">
      <c r="AA5455" s="463"/>
      <c r="AB5455" s="462"/>
      <c r="AC5455" s="462"/>
      <c r="AD5455" s="464"/>
      <c r="AE5455" s="465"/>
    </row>
    <row r="5456" spans="27:31" ht="14.4">
      <c r="AA5456" s="463"/>
      <c r="AB5456" s="462"/>
      <c r="AC5456" s="462"/>
      <c r="AD5456" s="464"/>
      <c r="AE5456" s="465"/>
    </row>
    <row r="5457" spans="27:31" ht="14.4">
      <c r="AA5457" s="463"/>
      <c r="AB5457" s="462"/>
      <c r="AC5457" s="462"/>
      <c r="AD5457" s="464"/>
      <c r="AE5457" s="465"/>
    </row>
    <row r="5458" spans="27:31" ht="14.4">
      <c r="AA5458" s="463"/>
      <c r="AB5458" s="462"/>
      <c r="AC5458" s="462"/>
      <c r="AD5458" s="464"/>
      <c r="AE5458" s="465"/>
    </row>
    <row r="5459" spans="27:31" ht="14.4">
      <c r="AA5459" s="463"/>
      <c r="AB5459" s="462"/>
      <c r="AC5459" s="462"/>
      <c r="AD5459" s="464"/>
      <c r="AE5459" s="465"/>
    </row>
    <row r="5460" spans="27:31" ht="14.4">
      <c r="AA5460" s="463"/>
      <c r="AB5460" s="462"/>
      <c r="AC5460" s="462"/>
      <c r="AD5460" s="464"/>
      <c r="AE5460" s="465"/>
    </row>
    <row r="5461" spans="27:31" ht="14.4">
      <c r="AA5461" s="463"/>
      <c r="AB5461" s="462"/>
      <c r="AC5461" s="462"/>
      <c r="AD5461" s="464"/>
      <c r="AE5461" s="465"/>
    </row>
    <row r="5462" spans="27:31" ht="14.4">
      <c r="AA5462" s="463"/>
      <c r="AB5462" s="462"/>
      <c r="AC5462" s="462"/>
      <c r="AD5462" s="464"/>
      <c r="AE5462" s="465"/>
    </row>
    <row r="5463" spans="27:31" ht="14.4">
      <c r="AA5463" s="463"/>
      <c r="AB5463" s="462"/>
      <c r="AC5463" s="462"/>
      <c r="AD5463" s="464"/>
      <c r="AE5463" s="465"/>
    </row>
    <row r="5464" spans="27:31" ht="14.4">
      <c r="AA5464" s="463"/>
      <c r="AB5464" s="462"/>
      <c r="AC5464" s="462"/>
      <c r="AD5464" s="464"/>
      <c r="AE5464" s="465"/>
    </row>
    <row r="5465" spans="27:31" ht="14.4">
      <c r="AA5465" s="463"/>
      <c r="AB5465" s="462"/>
      <c r="AC5465" s="462"/>
      <c r="AD5465" s="464"/>
      <c r="AE5465" s="465"/>
    </row>
    <row r="5466" spans="27:31" ht="14.4">
      <c r="AA5466" s="463"/>
      <c r="AB5466" s="462"/>
      <c r="AC5466" s="462"/>
      <c r="AD5466" s="464"/>
      <c r="AE5466" s="465"/>
    </row>
    <row r="5467" spans="27:31" ht="14.4">
      <c r="AA5467" s="463"/>
      <c r="AB5467" s="462"/>
      <c r="AC5467" s="462"/>
      <c r="AD5467" s="464"/>
      <c r="AE5467" s="465"/>
    </row>
    <row r="5468" spans="27:31" ht="14.4">
      <c r="AA5468" s="463"/>
      <c r="AB5468" s="462"/>
      <c r="AC5468" s="462"/>
      <c r="AD5468" s="464"/>
      <c r="AE5468" s="465"/>
    </row>
    <row r="5469" spans="27:31" ht="14.4">
      <c r="AA5469" s="463"/>
      <c r="AB5469" s="462"/>
      <c r="AC5469" s="462"/>
      <c r="AD5469" s="464"/>
      <c r="AE5469" s="465"/>
    </row>
    <row r="5470" spans="27:31" ht="14.4">
      <c r="AA5470" s="463"/>
      <c r="AB5470" s="462"/>
      <c r="AC5470" s="462"/>
      <c r="AD5470" s="464"/>
      <c r="AE5470" s="465"/>
    </row>
    <row r="5471" spans="27:31" ht="14.4">
      <c r="AA5471" s="463"/>
      <c r="AB5471" s="462"/>
      <c r="AC5471" s="462"/>
      <c r="AD5471" s="464"/>
      <c r="AE5471" s="465"/>
    </row>
    <row r="5472" spans="27:31" ht="14.4">
      <c r="AA5472" s="463"/>
      <c r="AB5472" s="462"/>
      <c r="AC5472" s="462"/>
      <c r="AD5472" s="464"/>
      <c r="AE5472" s="465"/>
    </row>
    <row r="5473" spans="27:31" ht="14.4">
      <c r="AA5473" s="463"/>
      <c r="AB5473" s="462"/>
      <c r="AC5473" s="462"/>
      <c r="AD5473" s="464"/>
      <c r="AE5473" s="465"/>
    </row>
    <row r="5474" spans="27:31" ht="14.4">
      <c r="AA5474" s="463"/>
      <c r="AB5474" s="462"/>
      <c r="AC5474" s="462"/>
      <c r="AD5474" s="464"/>
      <c r="AE5474" s="465"/>
    </row>
    <row r="5475" spans="27:31" ht="14.4">
      <c r="AA5475" s="463"/>
      <c r="AB5475" s="462"/>
      <c r="AC5475" s="462"/>
      <c r="AD5475" s="464"/>
      <c r="AE5475" s="465"/>
    </row>
    <row r="5476" spans="27:31" ht="14.4">
      <c r="AA5476" s="463"/>
      <c r="AB5476" s="462"/>
      <c r="AC5476" s="462"/>
      <c r="AD5476" s="464"/>
      <c r="AE5476" s="465"/>
    </row>
    <row r="5477" spans="27:31" ht="14.4">
      <c r="AA5477" s="463"/>
      <c r="AB5477" s="462"/>
      <c r="AC5477" s="462"/>
      <c r="AD5477" s="464"/>
      <c r="AE5477" s="465"/>
    </row>
    <row r="5478" spans="27:31" ht="14.4">
      <c r="AA5478" s="463"/>
      <c r="AB5478" s="462"/>
      <c r="AC5478" s="462"/>
      <c r="AD5478" s="464"/>
      <c r="AE5478" s="465"/>
    </row>
    <row r="5479" spans="27:31" ht="14.4">
      <c r="AA5479" s="463"/>
      <c r="AB5479" s="462"/>
      <c r="AC5479" s="462"/>
      <c r="AD5479" s="464"/>
      <c r="AE5479" s="465"/>
    </row>
    <row r="5480" spans="27:31" ht="14.4">
      <c r="AA5480" s="463"/>
      <c r="AB5480" s="462"/>
      <c r="AC5480" s="462"/>
      <c r="AD5480" s="464"/>
      <c r="AE5480" s="465"/>
    </row>
    <row r="5481" spans="27:31" ht="14.4">
      <c r="AA5481" s="463"/>
      <c r="AB5481" s="462"/>
      <c r="AC5481" s="462"/>
      <c r="AD5481" s="464"/>
      <c r="AE5481" s="465"/>
    </row>
    <row r="5482" spans="27:31" ht="14.4">
      <c r="AA5482" s="463"/>
      <c r="AB5482" s="462"/>
      <c r="AC5482" s="462"/>
      <c r="AD5482" s="464"/>
      <c r="AE5482" s="465"/>
    </row>
    <row r="5483" spans="27:31" ht="14.4">
      <c r="AA5483" s="463"/>
      <c r="AB5483" s="462"/>
      <c r="AC5483" s="462"/>
      <c r="AD5483" s="464"/>
      <c r="AE5483" s="465"/>
    </row>
    <row r="5484" spans="27:31" ht="14.4">
      <c r="AA5484" s="463"/>
      <c r="AB5484" s="462"/>
      <c r="AC5484" s="462"/>
      <c r="AD5484" s="464"/>
      <c r="AE5484" s="465"/>
    </row>
    <row r="5485" spans="27:31" ht="14.4">
      <c r="AA5485" s="463"/>
      <c r="AB5485" s="462"/>
      <c r="AC5485" s="462"/>
      <c r="AD5485" s="464"/>
      <c r="AE5485" s="465"/>
    </row>
    <row r="5486" spans="27:31" ht="14.4">
      <c r="AA5486" s="463"/>
      <c r="AB5486" s="462"/>
      <c r="AC5486" s="462"/>
      <c r="AD5486" s="464"/>
      <c r="AE5486" s="465"/>
    </row>
    <row r="5487" spans="27:31" ht="14.4">
      <c r="AA5487" s="463"/>
      <c r="AB5487" s="462"/>
      <c r="AC5487" s="462"/>
      <c r="AD5487" s="464"/>
      <c r="AE5487" s="465"/>
    </row>
    <row r="5488" spans="27:31" ht="14.4">
      <c r="AA5488" s="463"/>
      <c r="AB5488" s="462"/>
      <c r="AC5488" s="462"/>
      <c r="AD5488" s="464"/>
      <c r="AE5488" s="465"/>
    </row>
    <row r="5489" spans="27:31" ht="14.4">
      <c r="AA5489" s="463"/>
      <c r="AB5489" s="462"/>
      <c r="AC5489" s="462"/>
      <c r="AD5489" s="464"/>
      <c r="AE5489" s="465"/>
    </row>
    <row r="5490" spans="27:31" ht="14.4">
      <c r="AA5490" s="463"/>
      <c r="AB5490" s="462"/>
      <c r="AC5490" s="462"/>
      <c r="AD5490" s="464"/>
      <c r="AE5490" s="465"/>
    </row>
    <row r="5491" spans="27:31" ht="14.4">
      <c r="AA5491" s="463"/>
      <c r="AB5491" s="462"/>
      <c r="AC5491" s="462"/>
      <c r="AD5491" s="464"/>
      <c r="AE5491" s="465"/>
    </row>
    <row r="5492" spans="27:31" ht="14.4">
      <c r="AA5492" s="463"/>
      <c r="AB5492" s="462"/>
      <c r="AC5492" s="462"/>
      <c r="AD5492" s="464"/>
      <c r="AE5492" s="465"/>
    </row>
    <row r="5493" spans="27:31" ht="14.4">
      <c r="AA5493" s="463"/>
      <c r="AB5493" s="462"/>
      <c r="AC5493" s="462"/>
      <c r="AD5493" s="464"/>
      <c r="AE5493" s="465"/>
    </row>
    <row r="5494" spans="27:31" ht="14.4">
      <c r="AA5494" s="463"/>
      <c r="AB5494" s="462"/>
      <c r="AC5494" s="462"/>
      <c r="AD5494" s="464"/>
      <c r="AE5494" s="465"/>
    </row>
    <row r="5495" spans="27:31" ht="14.4">
      <c r="AA5495" s="463"/>
      <c r="AB5495" s="462"/>
      <c r="AC5495" s="462"/>
      <c r="AD5495" s="464"/>
      <c r="AE5495" s="465"/>
    </row>
    <row r="5496" spans="27:31" ht="14.4">
      <c r="AA5496" s="463"/>
      <c r="AB5496" s="462"/>
      <c r="AC5496" s="462"/>
      <c r="AD5496" s="464"/>
      <c r="AE5496" s="465"/>
    </row>
    <row r="5497" spans="27:31" ht="14.4">
      <c r="AA5497" s="463"/>
      <c r="AB5497" s="462"/>
      <c r="AC5497" s="462"/>
      <c r="AD5497" s="464"/>
      <c r="AE5497" s="465"/>
    </row>
    <row r="5498" spans="27:31" ht="14.4">
      <c r="AA5498" s="463"/>
      <c r="AB5498" s="462"/>
      <c r="AC5498" s="462"/>
      <c r="AD5498" s="464"/>
      <c r="AE5498" s="465"/>
    </row>
    <row r="5499" spans="27:31" ht="14.4">
      <c r="AA5499" s="463"/>
      <c r="AB5499" s="462"/>
      <c r="AC5499" s="462"/>
      <c r="AD5499" s="464"/>
      <c r="AE5499" s="465"/>
    </row>
    <row r="5500" spans="27:31" ht="14.4">
      <c r="AA5500" s="463"/>
      <c r="AB5500" s="462"/>
      <c r="AC5500" s="462"/>
      <c r="AD5500" s="464"/>
      <c r="AE5500" s="465"/>
    </row>
    <row r="5501" spans="27:31" ht="14.4">
      <c r="AA5501" s="463"/>
      <c r="AB5501" s="462"/>
      <c r="AC5501" s="462"/>
      <c r="AD5501" s="464"/>
      <c r="AE5501" s="465"/>
    </row>
    <row r="5502" spans="27:31" ht="14.4">
      <c r="AA5502" s="463"/>
      <c r="AB5502" s="462"/>
      <c r="AC5502" s="462"/>
      <c r="AD5502" s="464"/>
      <c r="AE5502" s="465"/>
    </row>
    <row r="5503" spans="27:31" ht="14.4">
      <c r="AA5503" s="463"/>
      <c r="AB5503" s="462"/>
      <c r="AC5503" s="462"/>
      <c r="AD5503" s="464"/>
      <c r="AE5503" s="465"/>
    </row>
    <row r="5504" spans="27:31" ht="14.4">
      <c r="AA5504" s="463"/>
      <c r="AB5504" s="462"/>
      <c r="AC5504" s="462"/>
      <c r="AD5504" s="464"/>
      <c r="AE5504" s="465"/>
    </row>
    <row r="5505" spans="27:31" ht="14.4">
      <c r="AA5505" s="463"/>
      <c r="AB5505" s="462"/>
      <c r="AC5505" s="462"/>
      <c r="AD5505" s="464"/>
      <c r="AE5505" s="465"/>
    </row>
    <row r="5506" spans="27:31" ht="14.4">
      <c r="AA5506" s="463"/>
      <c r="AB5506" s="462"/>
      <c r="AC5506" s="462"/>
      <c r="AD5506" s="464"/>
      <c r="AE5506" s="465"/>
    </row>
    <row r="5507" spans="27:31" ht="14.4">
      <c r="AA5507" s="463"/>
      <c r="AB5507" s="462"/>
      <c r="AC5507" s="462"/>
      <c r="AD5507" s="464"/>
      <c r="AE5507" s="465"/>
    </row>
    <row r="5508" spans="27:31" ht="14.4">
      <c r="AA5508" s="463"/>
      <c r="AB5508" s="462"/>
      <c r="AC5508" s="462"/>
      <c r="AD5508" s="464"/>
      <c r="AE5508" s="465"/>
    </row>
    <row r="5509" spans="27:31" ht="14.4">
      <c r="AA5509" s="463"/>
      <c r="AB5509" s="462"/>
      <c r="AC5509" s="462"/>
      <c r="AD5509" s="464"/>
      <c r="AE5509" s="465"/>
    </row>
    <row r="5510" spans="27:31" ht="14.4">
      <c r="AA5510" s="463"/>
      <c r="AB5510" s="462"/>
      <c r="AC5510" s="462"/>
      <c r="AD5510" s="464"/>
      <c r="AE5510" s="465"/>
    </row>
    <row r="5511" spans="27:31" ht="14.4">
      <c r="AA5511" s="463"/>
      <c r="AB5511" s="462"/>
      <c r="AC5511" s="462"/>
      <c r="AD5511" s="464"/>
      <c r="AE5511" s="465"/>
    </row>
    <row r="5512" spans="27:31" ht="14.4">
      <c r="AA5512" s="463"/>
      <c r="AB5512" s="462"/>
      <c r="AC5512" s="462"/>
      <c r="AD5512" s="464"/>
      <c r="AE5512" s="465"/>
    </row>
    <row r="5513" spans="27:31" ht="14.4">
      <c r="AA5513" s="463"/>
      <c r="AB5513" s="462"/>
      <c r="AC5513" s="462"/>
      <c r="AD5513" s="464"/>
      <c r="AE5513" s="465"/>
    </row>
    <row r="5514" spans="27:31" ht="14.4">
      <c r="AA5514" s="463"/>
      <c r="AB5514" s="462"/>
      <c r="AC5514" s="462"/>
      <c r="AD5514" s="464"/>
      <c r="AE5514" s="465"/>
    </row>
    <row r="5515" spans="27:31" ht="14.4">
      <c r="AA5515" s="463"/>
      <c r="AB5515" s="462"/>
      <c r="AC5515" s="462"/>
      <c r="AD5515" s="464"/>
      <c r="AE5515" s="465"/>
    </row>
    <row r="5516" spans="27:31" ht="14.4">
      <c r="AA5516" s="463"/>
      <c r="AB5516" s="462"/>
      <c r="AC5516" s="462"/>
      <c r="AD5516" s="464"/>
      <c r="AE5516" s="465"/>
    </row>
    <row r="5517" spans="27:31" ht="14.4">
      <c r="AA5517" s="463"/>
      <c r="AB5517" s="462"/>
      <c r="AC5517" s="462"/>
      <c r="AD5517" s="464"/>
      <c r="AE5517" s="465"/>
    </row>
    <row r="5518" spans="27:31" ht="14.4">
      <c r="AA5518" s="463"/>
      <c r="AB5518" s="462"/>
      <c r="AC5518" s="462"/>
      <c r="AD5518" s="464"/>
      <c r="AE5518" s="465"/>
    </row>
    <row r="5519" spans="27:31" ht="14.4">
      <c r="AA5519" s="463"/>
      <c r="AB5519" s="462"/>
      <c r="AC5519" s="462"/>
      <c r="AD5519" s="464"/>
      <c r="AE5519" s="465"/>
    </row>
    <row r="5520" spans="27:31" ht="14.4">
      <c r="AA5520" s="463"/>
      <c r="AB5520" s="462"/>
      <c r="AC5520" s="462"/>
      <c r="AD5520" s="464"/>
      <c r="AE5520" s="465"/>
    </row>
    <row r="5521" spans="27:31" ht="14.4">
      <c r="AA5521" s="463"/>
      <c r="AB5521" s="462"/>
      <c r="AC5521" s="462"/>
      <c r="AD5521" s="464"/>
      <c r="AE5521" s="465"/>
    </row>
    <row r="5522" spans="27:31" ht="14.4">
      <c r="AA5522" s="463"/>
      <c r="AB5522" s="462"/>
      <c r="AC5522" s="462"/>
      <c r="AD5522" s="464"/>
      <c r="AE5522" s="465"/>
    </row>
    <row r="5523" spans="27:31" ht="14.4">
      <c r="AA5523" s="463"/>
      <c r="AB5523" s="462"/>
      <c r="AC5523" s="462"/>
      <c r="AD5523" s="464"/>
      <c r="AE5523" s="465"/>
    </row>
    <row r="5524" spans="27:31" ht="14.4">
      <c r="AA5524" s="463"/>
      <c r="AB5524" s="462"/>
      <c r="AC5524" s="462"/>
      <c r="AD5524" s="464"/>
      <c r="AE5524" s="465"/>
    </row>
    <row r="5525" spans="27:31" ht="14.4">
      <c r="AA5525" s="463"/>
      <c r="AB5525" s="462"/>
      <c r="AC5525" s="462"/>
      <c r="AD5525" s="464"/>
      <c r="AE5525" s="465"/>
    </row>
    <row r="5526" spans="27:31" ht="14.4">
      <c r="AA5526" s="463"/>
      <c r="AB5526" s="462"/>
      <c r="AC5526" s="462"/>
      <c r="AD5526" s="464"/>
      <c r="AE5526" s="465"/>
    </row>
    <row r="5527" spans="27:31" ht="14.4">
      <c r="AA5527" s="463"/>
      <c r="AB5527" s="462"/>
      <c r="AC5527" s="462"/>
      <c r="AD5527" s="464"/>
      <c r="AE5527" s="465"/>
    </row>
    <row r="5528" spans="27:31" ht="14.4">
      <c r="AA5528" s="463"/>
      <c r="AB5528" s="462"/>
      <c r="AC5528" s="462"/>
      <c r="AD5528" s="464"/>
      <c r="AE5528" s="465"/>
    </row>
    <row r="5529" spans="27:31" ht="14.4">
      <c r="AA5529" s="463"/>
      <c r="AB5529" s="462"/>
      <c r="AC5529" s="462"/>
      <c r="AD5529" s="464"/>
      <c r="AE5529" s="465"/>
    </row>
    <row r="5530" spans="27:31" ht="14.4">
      <c r="AA5530" s="463"/>
      <c r="AB5530" s="462"/>
      <c r="AC5530" s="462"/>
      <c r="AD5530" s="464"/>
      <c r="AE5530" s="465"/>
    </row>
    <row r="5531" spans="27:31" ht="14.4">
      <c r="AA5531" s="463"/>
      <c r="AB5531" s="462"/>
      <c r="AC5531" s="462"/>
      <c r="AD5531" s="464"/>
      <c r="AE5531" s="465"/>
    </row>
    <row r="5532" spans="27:31" ht="14.4">
      <c r="AA5532" s="463"/>
      <c r="AB5532" s="462"/>
      <c r="AC5532" s="462"/>
      <c r="AD5532" s="464"/>
      <c r="AE5532" s="465"/>
    </row>
    <row r="5533" spans="27:31" ht="14.4">
      <c r="AA5533" s="463"/>
      <c r="AB5533" s="462"/>
      <c r="AC5533" s="462"/>
      <c r="AD5533" s="464"/>
      <c r="AE5533" s="465"/>
    </row>
    <row r="5534" spans="27:31" ht="14.4">
      <c r="AA5534" s="463"/>
      <c r="AB5534" s="462"/>
      <c r="AC5534" s="462"/>
      <c r="AD5534" s="464"/>
      <c r="AE5534" s="465"/>
    </row>
    <row r="5535" spans="27:31" ht="14.4">
      <c r="AA5535" s="463"/>
      <c r="AB5535" s="462"/>
      <c r="AC5535" s="462"/>
      <c r="AD5535" s="464"/>
      <c r="AE5535" s="465"/>
    </row>
    <row r="5536" spans="27:31" ht="14.4">
      <c r="AA5536" s="463"/>
      <c r="AB5536" s="462"/>
      <c r="AC5536" s="462"/>
      <c r="AD5536" s="464"/>
      <c r="AE5536" s="465"/>
    </row>
    <row r="5537" spans="27:31" ht="14.4">
      <c r="AA5537" s="463"/>
      <c r="AB5537" s="462"/>
      <c r="AC5537" s="462"/>
      <c r="AD5537" s="464"/>
      <c r="AE5537" s="465"/>
    </row>
    <row r="5538" spans="27:31" ht="14.4">
      <c r="AA5538" s="463"/>
      <c r="AB5538" s="462"/>
      <c r="AC5538" s="462"/>
      <c r="AD5538" s="464"/>
      <c r="AE5538" s="465"/>
    </row>
    <row r="5539" spans="27:31" ht="14.4">
      <c r="AA5539" s="463"/>
      <c r="AB5539" s="462"/>
      <c r="AC5539" s="462"/>
      <c r="AD5539" s="464"/>
      <c r="AE5539" s="465"/>
    </row>
    <row r="5540" spans="27:31" ht="14.4">
      <c r="AA5540" s="463"/>
      <c r="AB5540" s="462"/>
      <c r="AC5540" s="462"/>
      <c r="AD5540" s="464"/>
      <c r="AE5540" s="465"/>
    </row>
    <row r="5541" spans="27:31" ht="14.4">
      <c r="AA5541" s="463"/>
      <c r="AB5541" s="462"/>
      <c r="AC5541" s="462"/>
      <c r="AD5541" s="464"/>
      <c r="AE5541" s="465"/>
    </row>
    <row r="5542" spans="27:31" ht="14.4">
      <c r="AA5542" s="463"/>
      <c r="AB5542" s="462"/>
      <c r="AC5542" s="462"/>
      <c r="AD5542" s="464"/>
      <c r="AE5542" s="465"/>
    </row>
    <row r="5543" spans="27:31" ht="14.4">
      <c r="AA5543" s="463"/>
      <c r="AB5543" s="462"/>
      <c r="AC5543" s="462"/>
      <c r="AD5543" s="464"/>
      <c r="AE5543" s="465"/>
    </row>
    <row r="5544" spans="27:31" ht="14.4">
      <c r="AA5544" s="463"/>
      <c r="AB5544" s="462"/>
      <c r="AC5544" s="462"/>
      <c r="AD5544" s="464"/>
      <c r="AE5544" s="465"/>
    </row>
    <row r="5545" spans="27:31" ht="14.4">
      <c r="AA5545" s="463"/>
      <c r="AB5545" s="462"/>
      <c r="AC5545" s="462"/>
      <c r="AD5545" s="464"/>
      <c r="AE5545" s="465"/>
    </row>
    <row r="5546" spans="27:31" ht="14.4">
      <c r="AA5546" s="463"/>
      <c r="AB5546" s="462"/>
      <c r="AC5546" s="462"/>
      <c r="AD5546" s="464"/>
      <c r="AE5546" s="465"/>
    </row>
    <row r="5547" spans="27:31" ht="14.4">
      <c r="AA5547" s="463"/>
      <c r="AB5547" s="462"/>
      <c r="AC5547" s="462"/>
      <c r="AD5547" s="464"/>
      <c r="AE5547" s="465"/>
    </row>
    <row r="5548" spans="27:31" ht="14.4">
      <c r="AA5548" s="463"/>
      <c r="AB5548" s="462"/>
      <c r="AC5548" s="462"/>
      <c r="AD5548" s="464"/>
      <c r="AE5548" s="465"/>
    </row>
    <row r="5549" spans="27:31" ht="14.4">
      <c r="AA5549" s="463"/>
      <c r="AB5549" s="462"/>
      <c r="AC5549" s="462"/>
      <c r="AD5549" s="464"/>
      <c r="AE5549" s="465"/>
    </row>
    <row r="5550" spans="27:31" ht="14.4">
      <c r="AA5550" s="463"/>
      <c r="AB5550" s="462"/>
      <c r="AC5550" s="462"/>
      <c r="AD5550" s="464"/>
      <c r="AE5550" s="465"/>
    </row>
    <row r="5551" spans="27:31" ht="14.4">
      <c r="AA5551" s="463"/>
      <c r="AB5551" s="462"/>
      <c r="AC5551" s="462"/>
      <c r="AD5551" s="464"/>
      <c r="AE5551" s="465"/>
    </row>
    <row r="5552" spans="27:31" ht="14.4">
      <c r="AA5552" s="463"/>
      <c r="AB5552" s="462"/>
      <c r="AC5552" s="462"/>
      <c r="AD5552" s="464"/>
      <c r="AE5552" s="465"/>
    </row>
    <row r="5553" spans="27:31" ht="14.4">
      <c r="AA5553" s="463"/>
      <c r="AB5553" s="462"/>
      <c r="AC5553" s="462"/>
      <c r="AD5553" s="464"/>
      <c r="AE5553" s="465"/>
    </row>
    <row r="5554" spans="27:31" ht="14.4">
      <c r="AA5554" s="463"/>
      <c r="AB5554" s="462"/>
      <c r="AC5554" s="462"/>
      <c r="AD5554" s="464"/>
      <c r="AE5554" s="465"/>
    </row>
    <row r="5555" spans="27:31" ht="14.4">
      <c r="AA5555" s="463"/>
      <c r="AB5555" s="462"/>
      <c r="AC5555" s="462"/>
      <c r="AD5555" s="464"/>
      <c r="AE5555" s="465"/>
    </row>
    <row r="5556" spans="27:31" ht="14.4">
      <c r="AA5556" s="463"/>
      <c r="AB5556" s="462"/>
      <c r="AC5556" s="462"/>
      <c r="AD5556" s="464"/>
      <c r="AE5556" s="465"/>
    </row>
    <row r="5557" spans="27:31" ht="14.4">
      <c r="AA5557" s="463"/>
      <c r="AB5557" s="462"/>
      <c r="AC5557" s="462"/>
      <c r="AD5557" s="464"/>
      <c r="AE5557" s="465"/>
    </row>
    <row r="5558" spans="27:31" ht="14.4">
      <c r="AA5558" s="463"/>
      <c r="AB5558" s="462"/>
      <c r="AC5558" s="462"/>
      <c r="AD5558" s="464"/>
      <c r="AE5558" s="465"/>
    </row>
    <row r="5559" spans="27:31" ht="14.4">
      <c r="AA5559" s="463"/>
      <c r="AB5559" s="462"/>
      <c r="AC5559" s="462"/>
      <c r="AD5559" s="464"/>
      <c r="AE5559" s="465"/>
    </row>
    <row r="5560" spans="27:31" ht="14.4">
      <c r="AA5560" s="463"/>
      <c r="AB5560" s="462"/>
      <c r="AC5560" s="462"/>
      <c r="AD5560" s="464"/>
      <c r="AE5560" s="465"/>
    </row>
    <row r="5561" spans="27:31" ht="14.4">
      <c r="AA5561" s="463"/>
      <c r="AB5561" s="462"/>
      <c r="AC5561" s="462"/>
      <c r="AD5561" s="464"/>
      <c r="AE5561" s="465"/>
    </row>
    <row r="5562" spans="27:31" ht="14.4">
      <c r="AA5562" s="463"/>
      <c r="AB5562" s="462"/>
      <c r="AC5562" s="462"/>
      <c r="AD5562" s="464"/>
      <c r="AE5562" s="465"/>
    </row>
    <row r="5563" spans="27:31" ht="14.4">
      <c r="AA5563" s="463"/>
      <c r="AB5563" s="462"/>
      <c r="AC5563" s="462"/>
      <c r="AD5563" s="464"/>
      <c r="AE5563" s="465"/>
    </row>
    <row r="5564" spans="27:31" ht="14.4">
      <c r="AA5564" s="463"/>
      <c r="AB5564" s="462"/>
      <c r="AC5564" s="462"/>
      <c r="AD5564" s="464"/>
      <c r="AE5564" s="465"/>
    </row>
    <row r="5565" spans="27:31" ht="14.4">
      <c r="AA5565" s="463"/>
      <c r="AB5565" s="462"/>
      <c r="AC5565" s="462"/>
      <c r="AD5565" s="464"/>
      <c r="AE5565" s="465"/>
    </row>
    <row r="5566" spans="27:31" ht="14.4">
      <c r="AA5566" s="463"/>
      <c r="AB5566" s="462"/>
      <c r="AC5566" s="462"/>
      <c r="AD5566" s="464"/>
      <c r="AE5566" s="465"/>
    </row>
    <row r="5567" spans="27:31" ht="14.4">
      <c r="AA5567" s="463"/>
      <c r="AB5567" s="462"/>
      <c r="AC5567" s="462"/>
      <c r="AD5567" s="464"/>
      <c r="AE5567" s="465"/>
    </row>
    <row r="5568" spans="27:31" ht="14.4">
      <c r="AA5568" s="463"/>
      <c r="AB5568" s="462"/>
      <c r="AC5568" s="462"/>
      <c r="AD5568" s="464"/>
      <c r="AE5568" s="465"/>
    </row>
    <row r="5569" spans="27:31" ht="14.4">
      <c r="AA5569" s="463"/>
      <c r="AB5569" s="462"/>
      <c r="AC5569" s="462"/>
      <c r="AD5569" s="464"/>
      <c r="AE5569" s="465"/>
    </row>
    <row r="5570" spans="27:31" ht="14.4">
      <c r="AA5570" s="463"/>
      <c r="AB5570" s="462"/>
      <c r="AC5570" s="462"/>
      <c r="AD5570" s="464"/>
      <c r="AE5570" s="465"/>
    </row>
    <row r="5571" spans="27:31" ht="14.4">
      <c r="AA5571" s="463"/>
      <c r="AB5571" s="462"/>
      <c r="AC5571" s="462"/>
      <c r="AD5571" s="464"/>
      <c r="AE5571" s="465"/>
    </row>
    <row r="5572" spans="27:31" ht="14.4">
      <c r="AA5572" s="463"/>
      <c r="AB5572" s="462"/>
      <c r="AC5572" s="462"/>
      <c r="AD5572" s="464"/>
      <c r="AE5572" s="465"/>
    </row>
    <row r="5573" spans="27:31" ht="14.4">
      <c r="AA5573" s="463"/>
      <c r="AB5573" s="462"/>
      <c r="AC5573" s="462"/>
      <c r="AD5573" s="464"/>
      <c r="AE5573" s="465"/>
    </row>
    <row r="5574" spans="27:31" ht="14.4">
      <c r="AA5574" s="463"/>
      <c r="AB5574" s="462"/>
      <c r="AC5574" s="462"/>
      <c r="AD5574" s="464"/>
      <c r="AE5574" s="465"/>
    </row>
    <row r="5575" spans="27:31" ht="14.4">
      <c r="AA5575" s="463"/>
      <c r="AB5575" s="462"/>
      <c r="AC5575" s="462"/>
      <c r="AD5575" s="464"/>
      <c r="AE5575" s="465"/>
    </row>
    <row r="5576" spans="27:31" ht="14.4">
      <c r="AA5576" s="463"/>
      <c r="AB5576" s="462"/>
      <c r="AC5576" s="462"/>
      <c r="AD5576" s="464"/>
      <c r="AE5576" s="465"/>
    </row>
    <row r="5577" spans="27:31" ht="14.4">
      <c r="AA5577" s="463"/>
      <c r="AB5577" s="462"/>
      <c r="AC5577" s="462"/>
      <c r="AD5577" s="464"/>
      <c r="AE5577" s="465"/>
    </row>
    <row r="5578" spans="27:31" ht="14.4">
      <c r="AA5578" s="463"/>
      <c r="AB5578" s="462"/>
      <c r="AC5578" s="462"/>
      <c r="AD5578" s="464"/>
      <c r="AE5578" s="465"/>
    </row>
    <row r="5579" spans="27:31" ht="14.4">
      <c r="AA5579" s="463"/>
      <c r="AB5579" s="462"/>
      <c r="AC5579" s="462"/>
      <c r="AD5579" s="464"/>
      <c r="AE5579" s="465"/>
    </row>
    <row r="5580" spans="27:31" ht="14.4">
      <c r="AA5580" s="463"/>
      <c r="AB5580" s="462"/>
      <c r="AC5580" s="462"/>
      <c r="AD5580" s="464"/>
      <c r="AE5580" s="465"/>
    </row>
    <row r="5581" spans="27:31" ht="14.4">
      <c r="AA5581" s="463"/>
      <c r="AB5581" s="462"/>
      <c r="AC5581" s="462"/>
      <c r="AD5581" s="464"/>
      <c r="AE5581" s="465"/>
    </row>
    <row r="5582" spans="27:31" ht="14.4">
      <c r="AA5582" s="463"/>
      <c r="AB5582" s="462"/>
      <c r="AC5582" s="462"/>
      <c r="AD5582" s="464"/>
      <c r="AE5582" s="465"/>
    </row>
    <row r="5583" spans="27:31" ht="14.4">
      <c r="AA5583" s="463"/>
      <c r="AB5583" s="462"/>
      <c r="AC5583" s="462"/>
      <c r="AD5583" s="464"/>
      <c r="AE5583" s="465"/>
    </row>
    <row r="5584" spans="27:31" ht="14.4">
      <c r="AA5584" s="463"/>
      <c r="AB5584" s="462"/>
      <c r="AC5584" s="462"/>
      <c r="AD5584" s="464"/>
      <c r="AE5584" s="465"/>
    </row>
    <row r="5585" spans="27:31" ht="14.4">
      <c r="AA5585" s="463"/>
      <c r="AB5585" s="462"/>
      <c r="AC5585" s="462"/>
      <c r="AD5585" s="464"/>
      <c r="AE5585" s="465"/>
    </row>
    <row r="5586" spans="27:31" ht="14.4">
      <c r="AA5586" s="463"/>
      <c r="AB5586" s="462"/>
      <c r="AC5586" s="462"/>
      <c r="AD5586" s="464"/>
      <c r="AE5586" s="465"/>
    </row>
    <row r="5587" spans="27:31" ht="14.4">
      <c r="AA5587" s="463"/>
      <c r="AB5587" s="462"/>
      <c r="AC5587" s="462"/>
      <c r="AD5587" s="464"/>
      <c r="AE5587" s="465"/>
    </row>
    <row r="5588" spans="27:31" ht="14.4">
      <c r="AA5588" s="463"/>
      <c r="AB5588" s="462"/>
      <c r="AC5588" s="462"/>
      <c r="AD5588" s="464"/>
      <c r="AE5588" s="465"/>
    </row>
    <row r="5589" spans="27:31" ht="14.4">
      <c r="AA5589" s="463"/>
      <c r="AB5589" s="462"/>
      <c r="AC5589" s="462"/>
      <c r="AD5589" s="464"/>
      <c r="AE5589" s="465"/>
    </row>
    <row r="5590" spans="27:31" ht="14.4">
      <c r="AA5590" s="463"/>
      <c r="AB5590" s="462"/>
      <c r="AC5590" s="462"/>
      <c r="AD5590" s="464"/>
      <c r="AE5590" s="465"/>
    </row>
    <row r="5591" spans="27:31" ht="14.4">
      <c r="AA5591" s="463"/>
      <c r="AB5591" s="462"/>
      <c r="AC5591" s="462"/>
      <c r="AD5591" s="464"/>
      <c r="AE5591" s="465"/>
    </row>
    <row r="5592" spans="27:31" ht="14.4">
      <c r="AA5592" s="463"/>
      <c r="AB5592" s="462"/>
      <c r="AC5592" s="462"/>
      <c r="AD5592" s="464"/>
      <c r="AE5592" s="465"/>
    </row>
    <row r="5593" spans="27:31" ht="14.4">
      <c r="AA5593" s="463"/>
      <c r="AB5593" s="462"/>
      <c r="AC5593" s="462"/>
      <c r="AD5593" s="464"/>
      <c r="AE5593" s="465"/>
    </row>
    <row r="5594" spans="27:31" ht="14.4">
      <c r="AA5594" s="463"/>
      <c r="AB5594" s="462"/>
      <c r="AC5594" s="462"/>
      <c r="AD5594" s="464"/>
      <c r="AE5594" s="465"/>
    </row>
    <row r="5595" spans="27:31" ht="14.4">
      <c r="AA5595" s="463"/>
      <c r="AB5595" s="462"/>
      <c r="AC5595" s="462"/>
      <c r="AD5595" s="464"/>
      <c r="AE5595" s="465"/>
    </row>
    <row r="5596" spans="27:31" ht="14.4">
      <c r="AA5596" s="463"/>
      <c r="AB5596" s="462"/>
      <c r="AC5596" s="462"/>
      <c r="AD5596" s="464"/>
      <c r="AE5596" s="465"/>
    </row>
    <row r="5597" spans="27:31" ht="14.4">
      <c r="AA5597" s="463"/>
      <c r="AB5597" s="462"/>
      <c r="AC5597" s="462"/>
      <c r="AD5597" s="464"/>
      <c r="AE5597" s="465"/>
    </row>
    <row r="5598" spans="27:31" ht="14.4">
      <c r="AA5598" s="463"/>
      <c r="AB5598" s="462"/>
      <c r="AC5598" s="462"/>
      <c r="AD5598" s="464"/>
      <c r="AE5598" s="465"/>
    </row>
    <row r="5599" spans="27:31" ht="14.4">
      <c r="AA5599" s="463"/>
      <c r="AB5599" s="462"/>
      <c r="AC5599" s="462"/>
      <c r="AD5599" s="464"/>
      <c r="AE5599" s="465"/>
    </row>
    <row r="5600" spans="27:31" ht="14.4">
      <c r="AA5600" s="463"/>
      <c r="AB5600" s="462"/>
      <c r="AC5600" s="462"/>
      <c r="AD5600" s="464"/>
      <c r="AE5600" s="465"/>
    </row>
    <row r="5601" spans="27:31" ht="14.4">
      <c r="AA5601" s="463"/>
      <c r="AB5601" s="462"/>
      <c r="AC5601" s="462"/>
      <c r="AD5601" s="464"/>
      <c r="AE5601" s="465"/>
    </row>
    <row r="5602" spans="27:31" ht="14.4">
      <c r="AA5602" s="463"/>
      <c r="AB5602" s="462"/>
      <c r="AC5602" s="462"/>
      <c r="AD5602" s="464"/>
      <c r="AE5602" s="465"/>
    </row>
    <row r="5603" spans="27:31" ht="14.4">
      <c r="AA5603" s="463"/>
      <c r="AB5603" s="462"/>
      <c r="AC5603" s="462"/>
      <c r="AD5603" s="464"/>
      <c r="AE5603" s="465"/>
    </row>
    <row r="5604" spans="27:31" ht="14.4">
      <c r="AA5604" s="463"/>
      <c r="AB5604" s="462"/>
      <c r="AC5604" s="462"/>
      <c r="AD5604" s="464"/>
      <c r="AE5604" s="465"/>
    </row>
    <row r="5605" spans="27:31" ht="14.4">
      <c r="AA5605" s="463"/>
      <c r="AB5605" s="462"/>
      <c r="AC5605" s="462"/>
      <c r="AD5605" s="464"/>
      <c r="AE5605" s="465"/>
    </row>
    <row r="5606" spans="27:31" ht="14.4">
      <c r="AA5606" s="463"/>
      <c r="AB5606" s="462"/>
      <c r="AC5606" s="462"/>
      <c r="AD5606" s="464"/>
      <c r="AE5606" s="465"/>
    </row>
    <row r="5607" spans="27:31" ht="14.4">
      <c r="AA5607" s="463"/>
      <c r="AB5607" s="462"/>
      <c r="AC5607" s="462"/>
      <c r="AD5607" s="464"/>
      <c r="AE5607" s="465"/>
    </row>
    <row r="5608" spans="27:31" ht="14.4">
      <c r="AA5608" s="463"/>
      <c r="AB5608" s="462"/>
      <c r="AC5608" s="462"/>
      <c r="AD5608" s="464"/>
      <c r="AE5608" s="465"/>
    </row>
    <row r="5609" spans="27:31" ht="14.4">
      <c r="AA5609" s="463"/>
      <c r="AB5609" s="462"/>
      <c r="AC5609" s="462"/>
      <c r="AD5609" s="464"/>
      <c r="AE5609" s="465"/>
    </row>
    <row r="5610" spans="27:31" ht="14.4">
      <c r="AA5610" s="463"/>
      <c r="AB5610" s="462"/>
      <c r="AC5610" s="462"/>
      <c r="AD5610" s="464"/>
      <c r="AE5610" s="465"/>
    </row>
    <row r="5611" spans="27:31" ht="14.4">
      <c r="AA5611" s="463"/>
      <c r="AB5611" s="462"/>
      <c r="AC5611" s="462"/>
      <c r="AD5611" s="464"/>
      <c r="AE5611" s="465"/>
    </row>
    <row r="5612" spans="27:31" ht="14.4">
      <c r="AA5612" s="463"/>
      <c r="AB5612" s="462"/>
      <c r="AC5612" s="462"/>
      <c r="AD5612" s="464"/>
      <c r="AE5612" s="465"/>
    </row>
    <row r="5613" spans="27:31" ht="14.4">
      <c r="AA5613" s="463"/>
      <c r="AB5613" s="462"/>
      <c r="AC5613" s="462"/>
      <c r="AD5613" s="464"/>
      <c r="AE5613" s="465"/>
    </row>
    <row r="5614" spans="27:31" ht="14.4">
      <c r="AA5614" s="463"/>
      <c r="AB5614" s="462"/>
      <c r="AC5614" s="462"/>
      <c r="AD5614" s="464"/>
      <c r="AE5614" s="465"/>
    </row>
    <row r="5615" spans="27:31" ht="14.4">
      <c r="AA5615" s="463"/>
      <c r="AB5615" s="462"/>
      <c r="AC5615" s="462"/>
      <c r="AD5615" s="464"/>
      <c r="AE5615" s="465"/>
    </row>
    <row r="5616" spans="27:31" ht="14.4">
      <c r="AA5616" s="463"/>
      <c r="AB5616" s="462"/>
      <c r="AC5616" s="462"/>
      <c r="AD5616" s="464"/>
      <c r="AE5616" s="465"/>
    </row>
    <row r="5617" spans="27:31" ht="14.4">
      <c r="AA5617" s="463"/>
      <c r="AB5617" s="462"/>
      <c r="AC5617" s="462"/>
      <c r="AD5617" s="464"/>
      <c r="AE5617" s="465"/>
    </row>
    <row r="5618" spans="27:31" ht="14.4">
      <c r="AA5618" s="463"/>
      <c r="AB5618" s="462"/>
      <c r="AC5618" s="462"/>
      <c r="AD5618" s="464"/>
      <c r="AE5618" s="465"/>
    </row>
    <row r="5619" spans="27:31" ht="14.4">
      <c r="AA5619" s="463"/>
      <c r="AB5619" s="462"/>
      <c r="AC5619" s="462"/>
      <c r="AD5619" s="464"/>
      <c r="AE5619" s="465"/>
    </row>
    <row r="5620" spans="27:31" ht="14.4">
      <c r="AA5620" s="463"/>
      <c r="AB5620" s="462"/>
      <c r="AC5620" s="462"/>
      <c r="AD5620" s="464"/>
      <c r="AE5620" s="465"/>
    </row>
    <row r="5621" spans="27:31" ht="14.4">
      <c r="AA5621" s="463"/>
      <c r="AB5621" s="462"/>
      <c r="AC5621" s="462"/>
      <c r="AD5621" s="464"/>
      <c r="AE5621" s="465"/>
    </row>
    <row r="5622" spans="27:31" ht="14.4">
      <c r="AA5622" s="463"/>
      <c r="AB5622" s="462"/>
      <c r="AC5622" s="462"/>
      <c r="AD5622" s="464"/>
      <c r="AE5622" s="465"/>
    </row>
    <row r="5623" spans="27:31" ht="14.4">
      <c r="AA5623" s="463"/>
      <c r="AB5623" s="462"/>
      <c r="AC5623" s="462"/>
      <c r="AD5623" s="464"/>
      <c r="AE5623" s="465"/>
    </row>
    <row r="5624" spans="27:31" ht="14.4">
      <c r="AA5624" s="463"/>
      <c r="AB5624" s="462"/>
      <c r="AC5624" s="462"/>
      <c r="AD5624" s="464"/>
      <c r="AE5624" s="465"/>
    </row>
    <row r="5625" spans="27:31" ht="14.4">
      <c r="AA5625" s="463"/>
      <c r="AB5625" s="462"/>
      <c r="AC5625" s="462"/>
      <c r="AD5625" s="464"/>
      <c r="AE5625" s="465"/>
    </row>
    <row r="5626" spans="27:31" ht="14.4">
      <c r="AA5626" s="463"/>
      <c r="AB5626" s="462"/>
      <c r="AC5626" s="462"/>
      <c r="AD5626" s="464"/>
      <c r="AE5626" s="465"/>
    </row>
    <row r="5627" spans="27:31" ht="14.4">
      <c r="AA5627" s="463"/>
      <c r="AB5627" s="462"/>
      <c r="AC5627" s="462"/>
      <c r="AD5627" s="464"/>
      <c r="AE5627" s="465"/>
    </row>
    <row r="5628" spans="27:31" ht="14.4">
      <c r="AA5628" s="463"/>
      <c r="AB5628" s="462"/>
      <c r="AC5628" s="462"/>
      <c r="AD5628" s="464"/>
      <c r="AE5628" s="465"/>
    </row>
    <row r="5629" spans="27:31" ht="14.4">
      <c r="AA5629" s="463"/>
      <c r="AB5629" s="462"/>
      <c r="AC5629" s="462"/>
      <c r="AD5629" s="464"/>
      <c r="AE5629" s="465"/>
    </row>
    <row r="5630" spans="27:31" ht="14.4">
      <c r="AA5630" s="463"/>
      <c r="AB5630" s="462"/>
      <c r="AC5630" s="462"/>
      <c r="AD5630" s="464"/>
      <c r="AE5630" s="465"/>
    </row>
    <row r="5631" spans="27:31" ht="14.4">
      <c r="AA5631" s="463"/>
      <c r="AB5631" s="462"/>
      <c r="AC5631" s="462"/>
      <c r="AD5631" s="464"/>
      <c r="AE5631" s="465"/>
    </row>
    <row r="5632" spans="27:31" ht="14.4">
      <c r="AA5632" s="463"/>
      <c r="AB5632" s="462"/>
      <c r="AC5632" s="462"/>
      <c r="AD5632" s="464"/>
      <c r="AE5632" s="465"/>
    </row>
    <row r="5633" spans="27:31" ht="14.4">
      <c r="AA5633" s="463"/>
      <c r="AB5633" s="462"/>
      <c r="AC5633" s="462"/>
      <c r="AD5633" s="464"/>
      <c r="AE5633" s="465"/>
    </row>
    <row r="5634" spans="27:31" ht="14.4">
      <c r="AA5634" s="463"/>
      <c r="AB5634" s="462"/>
      <c r="AC5634" s="462"/>
      <c r="AD5634" s="464"/>
      <c r="AE5634" s="465"/>
    </row>
    <row r="5635" spans="27:31" ht="14.4">
      <c r="AA5635" s="463"/>
      <c r="AB5635" s="462"/>
      <c r="AC5635" s="462"/>
      <c r="AD5635" s="464"/>
      <c r="AE5635" s="465"/>
    </row>
    <row r="5636" spans="27:31" ht="14.4">
      <c r="AA5636" s="463"/>
      <c r="AB5636" s="462"/>
      <c r="AC5636" s="462"/>
      <c r="AD5636" s="464"/>
      <c r="AE5636" s="465"/>
    </row>
    <row r="5637" spans="27:31" ht="14.4">
      <c r="AA5637" s="463"/>
      <c r="AB5637" s="462"/>
      <c r="AC5637" s="462"/>
      <c r="AD5637" s="464"/>
      <c r="AE5637" s="465"/>
    </row>
    <row r="5638" spans="27:31" ht="14.4">
      <c r="AA5638" s="463"/>
      <c r="AB5638" s="462"/>
      <c r="AC5638" s="462"/>
      <c r="AD5638" s="464"/>
      <c r="AE5638" s="465"/>
    </row>
    <row r="5639" spans="27:31" ht="14.4">
      <c r="AA5639" s="463"/>
      <c r="AB5639" s="462"/>
      <c r="AC5639" s="462"/>
      <c r="AD5639" s="464"/>
      <c r="AE5639" s="465"/>
    </row>
    <row r="5640" spans="27:31" ht="14.4">
      <c r="AA5640" s="463"/>
      <c r="AB5640" s="462"/>
      <c r="AC5640" s="462"/>
      <c r="AD5640" s="464"/>
      <c r="AE5640" s="465"/>
    </row>
    <row r="5641" spans="27:31" ht="14.4">
      <c r="AA5641" s="463"/>
      <c r="AB5641" s="462"/>
      <c r="AC5641" s="462"/>
      <c r="AD5641" s="464"/>
      <c r="AE5641" s="465"/>
    </row>
    <row r="5642" spans="27:31" ht="14.4">
      <c r="AA5642" s="463"/>
      <c r="AB5642" s="462"/>
      <c r="AC5642" s="462"/>
      <c r="AD5642" s="464"/>
      <c r="AE5642" s="465"/>
    </row>
    <row r="5643" spans="27:31" ht="14.4">
      <c r="AA5643" s="463"/>
      <c r="AB5643" s="462"/>
      <c r="AC5643" s="462"/>
      <c r="AD5643" s="464"/>
      <c r="AE5643" s="465"/>
    </row>
    <row r="5644" spans="27:31" ht="14.4">
      <c r="AA5644" s="463"/>
      <c r="AB5644" s="462"/>
      <c r="AC5644" s="462"/>
      <c r="AD5644" s="464"/>
      <c r="AE5644" s="465"/>
    </row>
    <row r="5645" spans="27:31" ht="14.4">
      <c r="AA5645" s="463"/>
      <c r="AB5645" s="462"/>
      <c r="AC5645" s="462"/>
      <c r="AD5645" s="464"/>
      <c r="AE5645" s="465"/>
    </row>
    <row r="5646" spans="27:31" ht="14.4">
      <c r="AA5646" s="463"/>
      <c r="AB5646" s="462"/>
      <c r="AC5646" s="462"/>
      <c r="AD5646" s="464"/>
      <c r="AE5646" s="465"/>
    </row>
    <row r="5647" spans="27:31" ht="14.4">
      <c r="AA5647" s="463"/>
      <c r="AB5647" s="462"/>
      <c r="AC5647" s="462"/>
      <c r="AD5647" s="464"/>
      <c r="AE5647" s="465"/>
    </row>
    <row r="5648" spans="27:31" ht="14.4">
      <c r="AA5648" s="463"/>
      <c r="AB5648" s="462"/>
      <c r="AC5648" s="462"/>
      <c r="AD5648" s="464"/>
      <c r="AE5648" s="465"/>
    </row>
    <row r="5649" spans="27:31" ht="14.4">
      <c r="AA5649" s="463"/>
      <c r="AB5649" s="462"/>
      <c r="AC5649" s="462"/>
      <c r="AD5649" s="464"/>
      <c r="AE5649" s="465"/>
    </row>
    <row r="5650" spans="27:31" ht="14.4">
      <c r="AA5650" s="463"/>
      <c r="AB5650" s="462"/>
      <c r="AC5650" s="462"/>
      <c r="AD5650" s="464"/>
      <c r="AE5650" s="465"/>
    </row>
    <row r="5651" spans="27:31" ht="14.4">
      <c r="AA5651" s="463"/>
      <c r="AB5651" s="462"/>
      <c r="AC5651" s="462"/>
      <c r="AD5651" s="464"/>
      <c r="AE5651" s="465"/>
    </row>
    <row r="5652" spans="27:31" ht="14.4">
      <c r="AA5652" s="463"/>
      <c r="AB5652" s="462"/>
      <c r="AC5652" s="462"/>
      <c r="AD5652" s="464"/>
      <c r="AE5652" s="465"/>
    </row>
    <row r="5653" spans="27:31" ht="14.4">
      <c r="AA5653" s="463"/>
      <c r="AB5653" s="462"/>
      <c r="AC5653" s="462"/>
      <c r="AD5653" s="464"/>
      <c r="AE5653" s="465"/>
    </row>
    <row r="5654" spans="27:31" ht="14.4">
      <c r="AA5654" s="463"/>
      <c r="AB5654" s="462"/>
      <c r="AC5654" s="462"/>
      <c r="AD5654" s="464"/>
      <c r="AE5654" s="465"/>
    </row>
    <row r="5655" spans="27:31" ht="14.4">
      <c r="AA5655" s="463"/>
      <c r="AB5655" s="462"/>
      <c r="AC5655" s="462"/>
      <c r="AD5655" s="464"/>
      <c r="AE5655" s="465"/>
    </row>
    <row r="5656" spans="27:31" ht="14.4">
      <c r="AA5656" s="463"/>
      <c r="AB5656" s="462"/>
      <c r="AC5656" s="462"/>
      <c r="AD5656" s="464"/>
      <c r="AE5656" s="465"/>
    </row>
    <row r="5657" spans="27:31" ht="14.4">
      <c r="AA5657" s="463"/>
      <c r="AB5657" s="462"/>
      <c r="AC5657" s="462"/>
      <c r="AD5657" s="464"/>
      <c r="AE5657" s="465"/>
    </row>
    <row r="5658" spans="27:31" ht="14.4">
      <c r="AA5658" s="463"/>
      <c r="AB5658" s="462"/>
      <c r="AC5658" s="462"/>
      <c r="AD5658" s="464"/>
      <c r="AE5658" s="465"/>
    </row>
    <row r="5659" spans="27:31" ht="14.4">
      <c r="AA5659" s="463"/>
      <c r="AB5659" s="462"/>
      <c r="AC5659" s="462"/>
      <c r="AD5659" s="464"/>
      <c r="AE5659" s="465"/>
    </row>
    <row r="5660" spans="27:31" ht="14.4">
      <c r="AA5660" s="463"/>
      <c r="AB5660" s="462"/>
      <c r="AC5660" s="462"/>
      <c r="AD5660" s="464"/>
      <c r="AE5660" s="465"/>
    </row>
    <row r="5661" spans="27:31" ht="14.4">
      <c r="AA5661" s="463"/>
      <c r="AB5661" s="462"/>
      <c r="AC5661" s="462"/>
      <c r="AD5661" s="464"/>
      <c r="AE5661" s="465"/>
    </row>
    <row r="5662" spans="27:31" ht="14.4">
      <c r="AA5662" s="463"/>
      <c r="AB5662" s="462"/>
      <c r="AC5662" s="462"/>
      <c r="AD5662" s="464"/>
      <c r="AE5662" s="465"/>
    </row>
    <row r="5663" spans="27:31" ht="14.4">
      <c r="AA5663" s="463"/>
      <c r="AB5663" s="462"/>
      <c r="AC5663" s="462"/>
      <c r="AD5663" s="464"/>
      <c r="AE5663" s="465"/>
    </row>
    <row r="5664" spans="27:31" ht="14.4">
      <c r="AA5664" s="463"/>
      <c r="AB5664" s="462"/>
      <c r="AC5664" s="462"/>
      <c r="AD5664" s="464"/>
      <c r="AE5664" s="465"/>
    </row>
    <row r="5665" spans="27:31" ht="14.4">
      <c r="AA5665" s="463"/>
      <c r="AB5665" s="462"/>
      <c r="AC5665" s="462"/>
      <c r="AD5665" s="464"/>
      <c r="AE5665" s="465"/>
    </row>
    <row r="5666" spans="27:31" ht="14.4">
      <c r="AA5666" s="463"/>
      <c r="AB5666" s="462"/>
      <c r="AC5666" s="462"/>
      <c r="AD5666" s="464"/>
      <c r="AE5666" s="465"/>
    </row>
    <row r="5667" spans="27:31" ht="14.4">
      <c r="AA5667" s="463"/>
      <c r="AB5667" s="462"/>
      <c r="AC5667" s="462"/>
      <c r="AD5667" s="464"/>
      <c r="AE5667" s="465"/>
    </row>
    <row r="5668" spans="27:31" ht="14.4">
      <c r="AA5668" s="463"/>
      <c r="AB5668" s="462"/>
      <c r="AC5668" s="462"/>
      <c r="AD5668" s="464"/>
      <c r="AE5668" s="465"/>
    </row>
    <row r="5669" spans="27:31" ht="14.4">
      <c r="AA5669" s="463"/>
      <c r="AB5669" s="462"/>
      <c r="AC5669" s="462"/>
      <c r="AD5669" s="464"/>
      <c r="AE5669" s="465"/>
    </row>
    <row r="5670" spans="27:31" ht="14.4">
      <c r="AA5670" s="463"/>
      <c r="AB5670" s="462"/>
      <c r="AC5670" s="462"/>
      <c r="AD5670" s="464"/>
      <c r="AE5670" s="465"/>
    </row>
    <row r="5671" spans="27:31" ht="14.4">
      <c r="AA5671" s="463"/>
      <c r="AB5671" s="462"/>
      <c r="AC5671" s="462"/>
      <c r="AD5671" s="464"/>
      <c r="AE5671" s="465"/>
    </row>
    <row r="5672" spans="27:31" ht="14.4">
      <c r="AA5672" s="463"/>
      <c r="AB5672" s="462"/>
      <c r="AC5672" s="462"/>
      <c r="AD5672" s="464"/>
      <c r="AE5672" s="465"/>
    </row>
    <row r="5673" spans="27:31" ht="14.4">
      <c r="AA5673" s="463"/>
      <c r="AB5673" s="462"/>
      <c r="AC5673" s="462"/>
      <c r="AD5673" s="464"/>
      <c r="AE5673" s="465"/>
    </row>
    <row r="5674" spans="27:31" ht="14.4">
      <c r="AA5674" s="463"/>
      <c r="AB5674" s="462"/>
      <c r="AC5674" s="462"/>
      <c r="AD5674" s="464"/>
      <c r="AE5674" s="465"/>
    </row>
    <row r="5675" spans="27:31" ht="14.4">
      <c r="AA5675" s="463"/>
      <c r="AB5675" s="462"/>
      <c r="AC5675" s="462"/>
      <c r="AD5675" s="464"/>
      <c r="AE5675" s="465"/>
    </row>
    <row r="5676" spans="27:31" ht="14.4">
      <c r="AA5676" s="463"/>
      <c r="AB5676" s="462"/>
      <c r="AC5676" s="462"/>
      <c r="AD5676" s="464"/>
      <c r="AE5676" s="465"/>
    </row>
    <row r="5677" spans="27:31" ht="14.4">
      <c r="AA5677" s="463"/>
      <c r="AB5677" s="462"/>
      <c r="AC5677" s="462"/>
      <c r="AD5677" s="464"/>
      <c r="AE5677" s="465"/>
    </row>
    <row r="5678" spans="27:31" ht="14.4">
      <c r="AA5678" s="463"/>
      <c r="AB5678" s="462"/>
      <c r="AC5678" s="462"/>
      <c r="AD5678" s="464"/>
      <c r="AE5678" s="465"/>
    </row>
    <row r="5679" spans="27:31" ht="14.4">
      <c r="AA5679" s="463"/>
      <c r="AB5679" s="462"/>
      <c r="AC5679" s="462"/>
      <c r="AD5679" s="464"/>
      <c r="AE5679" s="465"/>
    </row>
    <row r="5680" spans="27:31" ht="14.4">
      <c r="AA5680" s="463"/>
      <c r="AB5680" s="462"/>
      <c r="AC5680" s="462"/>
      <c r="AD5680" s="464"/>
      <c r="AE5680" s="465"/>
    </row>
    <row r="5681" spans="27:31" ht="14.4">
      <c r="AA5681" s="463"/>
      <c r="AB5681" s="462"/>
      <c r="AC5681" s="462"/>
      <c r="AD5681" s="464"/>
      <c r="AE5681" s="465"/>
    </row>
    <row r="5682" spans="27:31" ht="14.4">
      <c r="AA5682" s="463"/>
      <c r="AB5682" s="462"/>
      <c r="AC5682" s="462"/>
      <c r="AD5682" s="464"/>
      <c r="AE5682" s="465"/>
    </row>
    <row r="5683" spans="27:31" ht="14.4">
      <c r="AA5683" s="463"/>
      <c r="AB5683" s="462"/>
      <c r="AC5683" s="462"/>
      <c r="AD5683" s="464"/>
      <c r="AE5683" s="465"/>
    </row>
    <row r="5684" spans="27:31" ht="14.4">
      <c r="AA5684" s="463"/>
      <c r="AB5684" s="462"/>
      <c r="AC5684" s="462"/>
      <c r="AD5684" s="464"/>
      <c r="AE5684" s="465"/>
    </row>
    <row r="5685" spans="27:31" ht="14.4">
      <c r="AA5685" s="463"/>
      <c r="AB5685" s="462"/>
      <c r="AC5685" s="462"/>
      <c r="AD5685" s="464"/>
      <c r="AE5685" s="465"/>
    </row>
    <row r="5686" spans="27:31" ht="14.4">
      <c r="AA5686" s="463"/>
      <c r="AB5686" s="462"/>
      <c r="AC5686" s="462"/>
      <c r="AD5686" s="464"/>
      <c r="AE5686" s="465"/>
    </row>
    <row r="5687" spans="27:31" ht="14.4">
      <c r="AA5687" s="463"/>
      <c r="AB5687" s="462"/>
      <c r="AC5687" s="462"/>
      <c r="AD5687" s="464"/>
      <c r="AE5687" s="465"/>
    </row>
    <row r="5688" spans="27:31" ht="14.4">
      <c r="AA5688" s="463"/>
      <c r="AB5688" s="462"/>
      <c r="AC5688" s="462"/>
      <c r="AD5688" s="464"/>
      <c r="AE5688" s="465"/>
    </row>
    <row r="5689" spans="27:31" ht="14.4">
      <c r="AA5689" s="463"/>
      <c r="AB5689" s="462"/>
      <c r="AC5689" s="462"/>
      <c r="AD5689" s="464"/>
      <c r="AE5689" s="465"/>
    </row>
    <row r="5690" spans="27:31" ht="14.4">
      <c r="AA5690" s="463"/>
      <c r="AB5690" s="462"/>
      <c r="AC5690" s="462"/>
      <c r="AD5690" s="464"/>
      <c r="AE5690" s="465"/>
    </row>
    <row r="5691" spans="27:31" ht="14.4">
      <c r="AA5691" s="463"/>
      <c r="AB5691" s="462"/>
      <c r="AC5691" s="462"/>
      <c r="AD5691" s="464"/>
      <c r="AE5691" s="465"/>
    </row>
    <row r="5692" spans="27:31" ht="14.4">
      <c r="AA5692" s="463"/>
      <c r="AB5692" s="462"/>
      <c r="AC5692" s="462"/>
      <c r="AD5692" s="464"/>
      <c r="AE5692" s="465"/>
    </row>
    <row r="5693" spans="27:31" ht="14.4">
      <c r="AA5693" s="463"/>
      <c r="AB5693" s="462"/>
      <c r="AC5693" s="462"/>
      <c r="AD5693" s="464"/>
      <c r="AE5693" s="465"/>
    </row>
    <row r="5694" spans="27:31" ht="14.4">
      <c r="AA5694" s="463"/>
      <c r="AB5694" s="462"/>
      <c r="AC5694" s="462"/>
      <c r="AD5694" s="464"/>
      <c r="AE5694" s="465"/>
    </row>
    <row r="5695" spans="27:31" ht="14.4">
      <c r="AA5695" s="463"/>
      <c r="AB5695" s="462"/>
      <c r="AC5695" s="462"/>
      <c r="AD5695" s="464"/>
      <c r="AE5695" s="465"/>
    </row>
    <row r="5696" spans="27:31" ht="14.4">
      <c r="AA5696" s="463"/>
      <c r="AB5696" s="462"/>
      <c r="AC5696" s="462"/>
      <c r="AD5696" s="464"/>
      <c r="AE5696" s="465"/>
    </row>
    <row r="5697" spans="27:31" ht="14.4">
      <c r="AA5697" s="463"/>
      <c r="AB5697" s="462"/>
      <c r="AC5697" s="462"/>
      <c r="AD5697" s="464"/>
      <c r="AE5697" s="465"/>
    </row>
    <row r="5698" spans="27:31" ht="14.4">
      <c r="AA5698" s="463"/>
      <c r="AB5698" s="462"/>
      <c r="AC5698" s="462"/>
      <c r="AD5698" s="464"/>
      <c r="AE5698" s="465"/>
    </row>
    <row r="5699" spans="27:31" ht="14.4">
      <c r="AA5699" s="463"/>
      <c r="AB5699" s="462"/>
      <c r="AC5699" s="462"/>
      <c r="AD5699" s="464"/>
      <c r="AE5699" s="465"/>
    </row>
    <row r="5700" spans="27:31" ht="14.4">
      <c r="AA5700" s="463"/>
      <c r="AB5700" s="462"/>
      <c r="AC5700" s="462"/>
      <c r="AD5700" s="464"/>
      <c r="AE5700" s="465"/>
    </row>
    <row r="5701" spans="27:31" ht="14.4">
      <c r="AA5701" s="463"/>
      <c r="AB5701" s="462"/>
      <c r="AC5701" s="462"/>
      <c r="AD5701" s="464"/>
      <c r="AE5701" s="465"/>
    </row>
    <row r="5702" spans="27:31" ht="14.4">
      <c r="AA5702" s="463"/>
      <c r="AB5702" s="462"/>
      <c r="AC5702" s="462"/>
      <c r="AD5702" s="464"/>
      <c r="AE5702" s="465"/>
    </row>
    <row r="5703" spans="27:31" ht="14.4">
      <c r="AA5703" s="463"/>
      <c r="AB5703" s="462"/>
      <c r="AC5703" s="462"/>
      <c r="AD5703" s="464"/>
      <c r="AE5703" s="465"/>
    </row>
    <row r="5704" spans="27:31" ht="14.4">
      <c r="AA5704" s="463"/>
      <c r="AB5704" s="462"/>
      <c r="AC5704" s="462"/>
      <c r="AD5704" s="464"/>
      <c r="AE5704" s="465"/>
    </row>
    <row r="5705" spans="27:31" ht="14.4">
      <c r="AA5705" s="463"/>
      <c r="AB5705" s="462"/>
      <c r="AC5705" s="462"/>
      <c r="AD5705" s="464"/>
      <c r="AE5705" s="465"/>
    </row>
    <row r="5706" spans="27:31" ht="14.4">
      <c r="AA5706" s="463"/>
      <c r="AB5706" s="462"/>
      <c r="AC5706" s="462"/>
      <c r="AD5706" s="464"/>
      <c r="AE5706" s="465"/>
    </row>
    <row r="5707" spans="27:31" ht="14.4">
      <c r="AA5707" s="463"/>
      <c r="AB5707" s="462"/>
      <c r="AC5707" s="462"/>
      <c r="AD5707" s="464"/>
      <c r="AE5707" s="465"/>
    </row>
    <row r="5708" spans="27:31" ht="14.4">
      <c r="AA5708" s="463"/>
      <c r="AB5708" s="462"/>
      <c r="AC5708" s="462"/>
      <c r="AD5708" s="464"/>
      <c r="AE5708" s="465"/>
    </row>
    <row r="5709" spans="27:31" ht="14.4">
      <c r="AA5709" s="463"/>
      <c r="AB5709" s="462"/>
      <c r="AC5709" s="462"/>
      <c r="AD5709" s="464"/>
      <c r="AE5709" s="465"/>
    </row>
    <row r="5710" spans="27:31" ht="14.4">
      <c r="AA5710" s="463"/>
      <c r="AB5710" s="462"/>
      <c r="AC5710" s="462"/>
      <c r="AD5710" s="464"/>
      <c r="AE5710" s="465"/>
    </row>
    <row r="5711" spans="27:31" ht="14.4">
      <c r="AA5711" s="463"/>
      <c r="AB5711" s="462"/>
      <c r="AC5711" s="462"/>
      <c r="AD5711" s="464"/>
      <c r="AE5711" s="465"/>
    </row>
    <row r="5712" spans="27:31" ht="14.4">
      <c r="AA5712" s="463"/>
      <c r="AB5712" s="462"/>
      <c r="AC5712" s="462"/>
      <c r="AD5712" s="464"/>
      <c r="AE5712" s="465"/>
    </row>
    <row r="5713" spans="27:31" ht="14.4">
      <c r="AA5713" s="463"/>
      <c r="AB5713" s="462"/>
      <c r="AC5713" s="462"/>
      <c r="AD5713" s="464"/>
      <c r="AE5713" s="465"/>
    </row>
    <row r="5714" spans="27:31" ht="14.4">
      <c r="AA5714" s="463"/>
      <c r="AB5714" s="462"/>
      <c r="AC5714" s="462"/>
      <c r="AD5714" s="464"/>
      <c r="AE5714" s="465"/>
    </row>
    <row r="5715" spans="27:31" ht="14.4">
      <c r="AA5715" s="463"/>
      <c r="AB5715" s="462"/>
      <c r="AC5715" s="462"/>
      <c r="AD5715" s="464"/>
      <c r="AE5715" s="465"/>
    </row>
    <row r="5716" spans="27:31" ht="14.4">
      <c r="AA5716" s="463"/>
      <c r="AB5716" s="462"/>
      <c r="AC5716" s="462"/>
      <c r="AD5716" s="464"/>
      <c r="AE5716" s="465"/>
    </row>
    <row r="5717" spans="27:31" ht="14.4">
      <c r="AA5717" s="463"/>
      <c r="AB5717" s="462"/>
      <c r="AC5717" s="462"/>
      <c r="AD5717" s="464"/>
      <c r="AE5717" s="465"/>
    </row>
    <row r="5718" spans="27:31" ht="14.4">
      <c r="AA5718" s="463"/>
      <c r="AB5718" s="462"/>
      <c r="AC5718" s="462"/>
      <c r="AD5718" s="464"/>
      <c r="AE5718" s="465"/>
    </row>
    <row r="5719" spans="27:31" ht="14.4">
      <c r="AA5719" s="463"/>
      <c r="AB5719" s="462"/>
      <c r="AC5719" s="462"/>
      <c r="AD5719" s="464"/>
      <c r="AE5719" s="465"/>
    </row>
    <row r="5720" spans="27:31" ht="14.4">
      <c r="AA5720" s="463"/>
      <c r="AB5720" s="462"/>
      <c r="AC5720" s="462"/>
      <c r="AD5720" s="464"/>
      <c r="AE5720" s="465"/>
    </row>
    <row r="5721" spans="27:31" ht="14.4">
      <c r="AA5721" s="463"/>
      <c r="AB5721" s="462"/>
      <c r="AC5721" s="462"/>
      <c r="AD5721" s="464"/>
      <c r="AE5721" s="465"/>
    </row>
    <row r="5722" spans="27:31" ht="14.4">
      <c r="AA5722" s="463"/>
      <c r="AB5722" s="462"/>
      <c r="AC5722" s="462"/>
      <c r="AD5722" s="464"/>
      <c r="AE5722" s="465"/>
    </row>
    <row r="5723" spans="27:31" ht="14.4">
      <c r="AA5723" s="463"/>
      <c r="AB5723" s="462"/>
      <c r="AC5723" s="462"/>
      <c r="AD5723" s="464"/>
      <c r="AE5723" s="465"/>
    </row>
    <row r="5724" spans="27:31" ht="14.4">
      <c r="AA5724" s="463"/>
      <c r="AB5724" s="462"/>
      <c r="AC5724" s="462"/>
      <c r="AD5724" s="464"/>
      <c r="AE5724" s="465"/>
    </row>
    <row r="5725" spans="27:31" ht="14.4">
      <c r="AA5725" s="463"/>
      <c r="AB5725" s="462"/>
      <c r="AC5725" s="462"/>
      <c r="AD5725" s="464"/>
      <c r="AE5725" s="465"/>
    </row>
    <row r="5726" spans="27:31" ht="14.4">
      <c r="AA5726" s="463"/>
      <c r="AB5726" s="462"/>
      <c r="AC5726" s="462"/>
      <c r="AD5726" s="464"/>
      <c r="AE5726" s="465"/>
    </row>
    <row r="5727" spans="27:31" ht="14.4">
      <c r="AA5727" s="463"/>
      <c r="AB5727" s="462"/>
      <c r="AC5727" s="462"/>
      <c r="AD5727" s="464"/>
      <c r="AE5727" s="465"/>
    </row>
    <row r="5728" spans="27:31" ht="14.4">
      <c r="AA5728" s="463"/>
      <c r="AB5728" s="462"/>
      <c r="AC5728" s="462"/>
      <c r="AD5728" s="464"/>
      <c r="AE5728" s="465"/>
    </row>
    <row r="5729" spans="27:31" ht="14.4">
      <c r="AA5729" s="463"/>
      <c r="AB5729" s="462"/>
      <c r="AC5729" s="462"/>
      <c r="AD5729" s="464"/>
      <c r="AE5729" s="465"/>
    </row>
    <row r="5730" spans="27:31" ht="14.4">
      <c r="AA5730" s="463"/>
      <c r="AB5730" s="462"/>
      <c r="AC5730" s="462"/>
      <c r="AD5730" s="464"/>
      <c r="AE5730" s="465"/>
    </row>
    <row r="5731" spans="27:31" ht="14.4">
      <c r="AA5731" s="463"/>
      <c r="AB5731" s="462"/>
      <c r="AC5731" s="462"/>
      <c r="AD5731" s="464"/>
      <c r="AE5731" s="465"/>
    </row>
    <row r="5732" spans="27:31" ht="14.4">
      <c r="AA5732" s="463"/>
      <c r="AB5732" s="462"/>
      <c r="AC5732" s="462"/>
      <c r="AD5732" s="464"/>
      <c r="AE5732" s="465"/>
    </row>
    <row r="5733" spans="27:31" ht="14.4">
      <c r="AA5733" s="463"/>
      <c r="AB5733" s="462"/>
      <c r="AC5733" s="462"/>
      <c r="AD5733" s="464"/>
      <c r="AE5733" s="465"/>
    </row>
    <row r="5734" spans="27:31" ht="14.4">
      <c r="AA5734" s="463"/>
      <c r="AB5734" s="462"/>
      <c r="AC5734" s="462"/>
      <c r="AD5734" s="464"/>
      <c r="AE5734" s="465"/>
    </row>
    <row r="5735" spans="27:31" ht="14.4">
      <c r="AA5735" s="463"/>
      <c r="AB5735" s="462"/>
      <c r="AC5735" s="462"/>
      <c r="AD5735" s="464"/>
      <c r="AE5735" s="465"/>
    </row>
    <row r="5736" spans="27:31" ht="14.4">
      <c r="AA5736" s="463"/>
      <c r="AB5736" s="462"/>
      <c r="AC5736" s="462"/>
      <c r="AD5736" s="464"/>
      <c r="AE5736" s="465"/>
    </row>
    <row r="5737" spans="27:31" ht="14.4">
      <c r="AA5737" s="463"/>
      <c r="AB5737" s="462"/>
      <c r="AC5737" s="462"/>
      <c r="AD5737" s="464"/>
      <c r="AE5737" s="465"/>
    </row>
    <row r="5738" spans="27:31" ht="14.4">
      <c r="AA5738" s="463"/>
      <c r="AB5738" s="462"/>
      <c r="AC5738" s="462"/>
      <c r="AD5738" s="464"/>
      <c r="AE5738" s="465"/>
    </row>
    <row r="5739" spans="27:31" ht="14.4">
      <c r="AA5739" s="463"/>
      <c r="AB5739" s="462"/>
      <c r="AC5739" s="462"/>
      <c r="AD5739" s="464"/>
      <c r="AE5739" s="465"/>
    </row>
    <row r="5740" spans="27:31" ht="14.4">
      <c r="AA5740" s="463"/>
      <c r="AB5740" s="462"/>
      <c r="AC5740" s="462"/>
      <c r="AD5740" s="464"/>
      <c r="AE5740" s="465"/>
    </row>
    <row r="5741" spans="27:31" ht="14.4">
      <c r="AA5741" s="463"/>
      <c r="AB5741" s="462"/>
      <c r="AC5741" s="462"/>
      <c r="AD5741" s="464"/>
      <c r="AE5741" s="465"/>
    </row>
    <row r="5742" spans="27:31" ht="14.4">
      <c r="AA5742" s="463"/>
      <c r="AB5742" s="462"/>
      <c r="AC5742" s="462"/>
      <c r="AD5742" s="464"/>
      <c r="AE5742" s="465"/>
    </row>
    <row r="5743" spans="27:31" ht="14.4">
      <c r="AA5743" s="463"/>
      <c r="AB5743" s="462"/>
      <c r="AC5743" s="462"/>
      <c r="AD5743" s="464"/>
      <c r="AE5743" s="465"/>
    </row>
    <row r="5744" spans="27:31" ht="14.4">
      <c r="AA5744" s="463"/>
      <c r="AB5744" s="462"/>
      <c r="AC5744" s="462"/>
      <c r="AD5744" s="464"/>
      <c r="AE5744" s="465"/>
    </row>
    <row r="5745" spans="27:31" ht="14.4">
      <c r="AA5745" s="463"/>
      <c r="AB5745" s="462"/>
      <c r="AC5745" s="462"/>
      <c r="AD5745" s="464"/>
      <c r="AE5745" s="465"/>
    </row>
    <row r="5746" spans="27:31" ht="14.4">
      <c r="AA5746" s="463"/>
      <c r="AB5746" s="462"/>
      <c r="AC5746" s="462"/>
      <c r="AD5746" s="464"/>
      <c r="AE5746" s="465"/>
    </row>
    <row r="5747" spans="27:31" ht="14.4">
      <c r="AA5747" s="463"/>
      <c r="AB5747" s="462"/>
      <c r="AC5747" s="462"/>
      <c r="AD5747" s="464"/>
      <c r="AE5747" s="465"/>
    </row>
    <row r="5748" spans="27:31" ht="14.4">
      <c r="AA5748" s="463"/>
      <c r="AB5748" s="462"/>
      <c r="AC5748" s="462"/>
      <c r="AD5748" s="464"/>
      <c r="AE5748" s="465"/>
    </row>
    <row r="5749" spans="27:31" ht="14.4">
      <c r="AA5749" s="463"/>
      <c r="AB5749" s="462"/>
      <c r="AC5749" s="462"/>
      <c r="AD5749" s="464"/>
      <c r="AE5749" s="465"/>
    </row>
    <row r="5750" spans="27:31" ht="14.4">
      <c r="AA5750" s="463"/>
      <c r="AB5750" s="462"/>
      <c r="AC5750" s="462"/>
      <c r="AD5750" s="464"/>
      <c r="AE5750" s="465"/>
    </row>
    <row r="5751" spans="27:31" ht="14.4">
      <c r="AA5751" s="463"/>
      <c r="AB5751" s="462"/>
      <c r="AC5751" s="462"/>
      <c r="AD5751" s="464"/>
      <c r="AE5751" s="465"/>
    </row>
    <row r="5752" spans="27:31" ht="14.4">
      <c r="AA5752" s="463"/>
      <c r="AB5752" s="462"/>
      <c r="AC5752" s="462"/>
      <c r="AD5752" s="464"/>
      <c r="AE5752" s="465"/>
    </row>
    <row r="5753" spans="27:31" ht="14.4">
      <c r="AA5753" s="463"/>
      <c r="AB5753" s="462"/>
      <c r="AC5753" s="462"/>
      <c r="AD5753" s="464"/>
      <c r="AE5753" s="465"/>
    </row>
    <row r="5754" spans="27:31" ht="14.4">
      <c r="AA5754" s="463"/>
      <c r="AB5754" s="462"/>
      <c r="AC5754" s="462"/>
      <c r="AD5754" s="464"/>
      <c r="AE5754" s="465"/>
    </row>
    <row r="5755" spans="27:31" ht="14.4">
      <c r="AA5755" s="463"/>
      <c r="AB5755" s="462"/>
      <c r="AC5755" s="462"/>
      <c r="AD5755" s="464"/>
      <c r="AE5755" s="465"/>
    </row>
    <row r="5756" spans="27:31" ht="14.4">
      <c r="AA5756" s="463"/>
      <c r="AB5756" s="462"/>
      <c r="AC5756" s="462"/>
      <c r="AD5756" s="464"/>
      <c r="AE5756" s="465"/>
    </row>
    <row r="5757" spans="27:31" ht="14.4">
      <c r="AA5757" s="463"/>
      <c r="AB5757" s="462"/>
      <c r="AC5757" s="462"/>
      <c r="AD5757" s="464"/>
      <c r="AE5757" s="465"/>
    </row>
    <row r="5758" spans="27:31" ht="14.4">
      <c r="AA5758" s="463"/>
      <c r="AB5758" s="462"/>
      <c r="AC5758" s="462"/>
      <c r="AD5758" s="464"/>
      <c r="AE5758" s="465"/>
    </row>
    <row r="5759" spans="27:31" ht="14.4">
      <c r="AA5759" s="463"/>
      <c r="AB5759" s="462"/>
      <c r="AC5759" s="462"/>
      <c r="AD5759" s="464"/>
      <c r="AE5759" s="465"/>
    </row>
    <row r="5760" spans="27:31" ht="14.4">
      <c r="AA5760" s="463"/>
      <c r="AB5760" s="462"/>
      <c r="AC5760" s="462"/>
      <c r="AD5760" s="464"/>
      <c r="AE5760" s="465"/>
    </row>
    <row r="5761" spans="27:31" ht="14.4">
      <c r="AA5761" s="463"/>
      <c r="AB5761" s="462"/>
      <c r="AC5761" s="462"/>
      <c r="AD5761" s="464"/>
      <c r="AE5761" s="465"/>
    </row>
    <row r="5762" spans="27:31" ht="14.4">
      <c r="AA5762" s="463"/>
      <c r="AB5762" s="462"/>
      <c r="AC5762" s="462"/>
      <c r="AD5762" s="464"/>
      <c r="AE5762" s="465"/>
    </row>
    <row r="5763" spans="27:31" ht="14.4">
      <c r="AA5763" s="463"/>
      <c r="AB5763" s="462"/>
      <c r="AC5763" s="462"/>
      <c r="AD5763" s="464"/>
      <c r="AE5763" s="465"/>
    </row>
    <row r="5764" spans="27:31" ht="14.4">
      <c r="AA5764" s="463"/>
      <c r="AB5764" s="462"/>
      <c r="AC5764" s="462"/>
      <c r="AD5764" s="464"/>
      <c r="AE5764" s="465"/>
    </row>
    <row r="5765" spans="27:31" ht="14.4">
      <c r="AA5765" s="463"/>
      <c r="AB5765" s="462"/>
      <c r="AC5765" s="462"/>
      <c r="AD5765" s="464"/>
      <c r="AE5765" s="465"/>
    </row>
    <row r="5766" spans="27:31" ht="14.4">
      <c r="AA5766" s="463"/>
      <c r="AB5766" s="462"/>
      <c r="AC5766" s="462"/>
      <c r="AD5766" s="464"/>
      <c r="AE5766" s="465"/>
    </row>
    <row r="5767" spans="27:31" ht="14.4">
      <c r="AA5767" s="463"/>
      <c r="AB5767" s="462"/>
      <c r="AC5767" s="462"/>
      <c r="AD5767" s="464"/>
      <c r="AE5767" s="465"/>
    </row>
    <row r="5768" spans="27:31" ht="14.4">
      <c r="AA5768" s="463"/>
      <c r="AB5768" s="462"/>
      <c r="AC5768" s="462"/>
      <c r="AD5768" s="464"/>
      <c r="AE5768" s="465"/>
    </row>
    <row r="5769" spans="27:31" ht="14.4">
      <c r="AA5769" s="463"/>
      <c r="AB5769" s="462"/>
      <c r="AC5769" s="462"/>
      <c r="AD5769" s="464"/>
      <c r="AE5769" s="465"/>
    </row>
    <row r="5770" spans="27:31" ht="14.4">
      <c r="AA5770" s="463"/>
      <c r="AB5770" s="462"/>
      <c r="AC5770" s="462"/>
      <c r="AD5770" s="464"/>
      <c r="AE5770" s="465"/>
    </row>
    <row r="5771" spans="27:31" ht="14.4">
      <c r="AA5771" s="463"/>
      <c r="AB5771" s="462"/>
      <c r="AC5771" s="462"/>
      <c r="AD5771" s="464"/>
      <c r="AE5771" s="465"/>
    </row>
    <row r="5772" spans="27:31" ht="14.4">
      <c r="AA5772" s="463"/>
      <c r="AB5772" s="462"/>
      <c r="AC5772" s="462"/>
      <c r="AD5772" s="464"/>
      <c r="AE5772" s="465"/>
    </row>
    <row r="5773" spans="27:31" ht="14.4">
      <c r="AA5773" s="463"/>
      <c r="AB5773" s="462"/>
      <c r="AC5773" s="462"/>
      <c r="AD5773" s="464"/>
      <c r="AE5773" s="465"/>
    </row>
    <row r="5774" spans="27:31" ht="14.4">
      <c r="AA5774" s="463"/>
      <c r="AB5774" s="462"/>
      <c r="AC5774" s="462"/>
      <c r="AD5774" s="464"/>
      <c r="AE5774" s="465"/>
    </row>
    <row r="5775" spans="27:31" ht="14.4">
      <c r="AA5775" s="463"/>
      <c r="AB5775" s="462"/>
      <c r="AC5775" s="462"/>
      <c r="AD5775" s="464"/>
      <c r="AE5775" s="465"/>
    </row>
    <row r="5776" spans="27:31" ht="14.4">
      <c r="AA5776" s="463"/>
      <c r="AB5776" s="462"/>
      <c r="AC5776" s="462"/>
      <c r="AD5776" s="464"/>
      <c r="AE5776" s="465"/>
    </row>
    <row r="5777" spans="27:31" ht="14.4">
      <c r="AA5777" s="463"/>
      <c r="AB5777" s="462"/>
      <c r="AC5777" s="462"/>
      <c r="AD5777" s="464"/>
      <c r="AE5777" s="465"/>
    </row>
    <row r="5778" spans="27:31" ht="14.4">
      <c r="AA5778" s="463"/>
      <c r="AB5778" s="462"/>
      <c r="AC5778" s="462"/>
      <c r="AD5778" s="464"/>
      <c r="AE5778" s="465"/>
    </row>
    <row r="5779" spans="27:31" ht="14.4">
      <c r="AA5779" s="463"/>
      <c r="AB5779" s="462"/>
      <c r="AC5779" s="462"/>
      <c r="AD5779" s="464"/>
      <c r="AE5779" s="465"/>
    </row>
    <row r="5780" spans="27:31" ht="14.4">
      <c r="AA5780" s="463"/>
      <c r="AB5780" s="462"/>
      <c r="AC5780" s="462"/>
      <c r="AD5780" s="464"/>
      <c r="AE5780" s="465"/>
    </row>
    <row r="5781" spans="27:31" ht="14.4">
      <c r="AA5781" s="463"/>
      <c r="AB5781" s="462"/>
      <c r="AC5781" s="462"/>
      <c r="AD5781" s="464"/>
      <c r="AE5781" s="465"/>
    </row>
    <row r="5782" spans="27:31" ht="14.4">
      <c r="AA5782" s="463"/>
      <c r="AB5782" s="462"/>
      <c r="AC5782" s="462"/>
      <c r="AD5782" s="464"/>
      <c r="AE5782" s="465"/>
    </row>
    <row r="5783" spans="27:31" ht="14.4">
      <c r="AA5783" s="463"/>
      <c r="AB5783" s="462"/>
      <c r="AC5783" s="462"/>
      <c r="AD5783" s="464"/>
      <c r="AE5783" s="465"/>
    </row>
    <row r="5784" spans="27:31" ht="14.4">
      <c r="AA5784" s="463"/>
      <c r="AB5784" s="462"/>
      <c r="AC5784" s="462"/>
      <c r="AD5784" s="464"/>
      <c r="AE5784" s="465"/>
    </row>
    <row r="5785" spans="27:31" ht="14.4">
      <c r="AA5785" s="463"/>
      <c r="AB5785" s="462"/>
      <c r="AC5785" s="462"/>
      <c r="AD5785" s="464"/>
      <c r="AE5785" s="465"/>
    </row>
    <row r="5786" spans="27:31" ht="14.4">
      <c r="AA5786" s="463"/>
      <c r="AB5786" s="462"/>
      <c r="AC5786" s="462"/>
      <c r="AD5786" s="464"/>
      <c r="AE5786" s="465"/>
    </row>
    <row r="5787" spans="27:31" ht="14.4">
      <c r="AA5787" s="463"/>
      <c r="AB5787" s="462"/>
      <c r="AC5787" s="462"/>
      <c r="AD5787" s="464"/>
      <c r="AE5787" s="465"/>
    </row>
    <row r="5788" spans="27:31" ht="14.4">
      <c r="AA5788" s="463"/>
      <c r="AB5788" s="462"/>
      <c r="AC5788" s="462"/>
      <c r="AD5788" s="464"/>
      <c r="AE5788" s="465"/>
    </row>
    <row r="5789" spans="27:31" ht="14.4">
      <c r="AA5789" s="463"/>
      <c r="AB5789" s="462"/>
      <c r="AC5789" s="462"/>
      <c r="AD5789" s="464"/>
      <c r="AE5789" s="465"/>
    </row>
    <row r="5790" spans="27:31" ht="14.4">
      <c r="AA5790" s="463"/>
      <c r="AB5790" s="462"/>
      <c r="AC5790" s="462"/>
      <c r="AD5790" s="464"/>
      <c r="AE5790" s="465"/>
    </row>
    <row r="5791" spans="27:31" ht="14.4">
      <c r="AA5791" s="463"/>
      <c r="AB5791" s="462"/>
      <c r="AC5791" s="462"/>
      <c r="AD5791" s="464"/>
      <c r="AE5791" s="465"/>
    </row>
    <row r="5792" spans="27:31" ht="14.4">
      <c r="AA5792" s="463"/>
      <c r="AB5792" s="462"/>
      <c r="AC5792" s="462"/>
      <c r="AD5792" s="464"/>
      <c r="AE5792" s="465"/>
    </row>
    <row r="5793" spans="27:31" ht="14.4">
      <c r="AA5793" s="463"/>
      <c r="AB5793" s="462"/>
      <c r="AC5793" s="462"/>
      <c r="AD5793" s="464"/>
      <c r="AE5793" s="465"/>
    </row>
    <row r="5794" spans="27:31" ht="14.4">
      <c r="AA5794" s="463"/>
      <c r="AB5794" s="462"/>
      <c r="AC5794" s="462"/>
      <c r="AD5794" s="464"/>
      <c r="AE5794" s="465"/>
    </row>
    <row r="5795" spans="27:31" ht="14.4">
      <c r="AA5795" s="463"/>
      <c r="AB5795" s="462"/>
      <c r="AC5795" s="462"/>
      <c r="AD5795" s="464"/>
      <c r="AE5795" s="465"/>
    </row>
    <row r="5796" spans="27:31" ht="14.4">
      <c r="AA5796" s="463"/>
      <c r="AB5796" s="462"/>
      <c r="AC5796" s="462"/>
      <c r="AD5796" s="464"/>
      <c r="AE5796" s="465"/>
    </row>
    <row r="5797" spans="27:31" ht="14.4">
      <c r="AA5797" s="463"/>
      <c r="AB5797" s="462"/>
      <c r="AC5797" s="462"/>
      <c r="AD5797" s="464"/>
      <c r="AE5797" s="465"/>
    </row>
    <row r="5798" spans="27:31" ht="14.4">
      <c r="AA5798" s="463"/>
      <c r="AB5798" s="462"/>
      <c r="AC5798" s="462"/>
      <c r="AD5798" s="464"/>
      <c r="AE5798" s="465"/>
    </row>
    <row r="5799" spans="27:31" ht="14.4">
      <c r="AA5799" s="463"/>
      <c r="AB5799" s="462"/>
      <c r="AC5799" s="462"/>
      <c r="AD5799" s="464"/>
      <c r="AE5799" s="465"/>
    </row>
    <row r="5800" spans="27:31" ht="14.4">
      <c r="AA5800" s="463"/>
      <c r="AB5800" s="462"/>
      <c r="AC5800" s="462"/>
      <c r="AD5800" s="464"/>
      <c r="AE5800" s="465"/>
    </row>
    <row r="5801" spans="27:31" ht="14.4">
      <c r="AA5801" s="463"/>
      <c r="AB5801" s="462"/>
      <c r="AC5801" s="462"/>
      <c r="AD5801" s="464"/>
      <c r="AE5801" s="465"/>
    </row>
    <row r="5802" spans="27:31" ht="14.4">
      <c r="AA5802" s="463"/>
      <c r="AB5802" s="462"/>
      <c r="AC5802" s="462"/>
      <c r="AD5802" s="464"/>
      <c r="AE5802" s="465"/>
    </row>
    <row r="5803" spans="27:31" ht="14.4">
      <c r="AA5803" s="463"/>
      <c r="AB5803" s="462"/>
      <c r="AC5803" s="462"/>
      <c r="AD5803" s="464"/>
      <c r="AE5803" s="465"/>
    </row>
    <row r="5804" spans="27:31" ht="14.4">
      <c r="AA5804" s="463"/>
      <c r="AB5804" s="462"/>
      <c r="AC5804" s="462"/>
      <c r="AD5804" s="464"/>
      <c r="AE5804" s="465"/>
    </row>
    <row r="5805" spans="27:31" ht="14.4">
      <c r="AA5805" s="463"/>
      <c r="AB5805" s="462"/>
      <c r="AC5805" s="462"/>
      <c r="AD5805" s="464"/>
      <c r="AE5805" s="465"/>
    </row>
    <row r="5806" spans="27:31" ht="14.4">
      <c r="AA5806" s="463"/>
      <c r="AB5806" s="462"/>
      <c r="AC5806" s="462"/>
      <c r="AD5806" s="464"/>
      <c r="AE5806" s="465"/>
    </row>
    <row r="5807" spans="27:31" ht="14.4">
      <c r="AA5807" s="463"/>
      <c r="AB5807" s="462"/>
      <c r="AC5807" s="462"/>
      <c r="AD5807" s="464"/>
      <c r="AE5807" s="465"/>
    </row>
    <row r="5808" spans="27:31" ht="14.4">
      <c r="AA5808" s="463"/>
      <c r="AB5808" s="462"/>
      <c r="AC5808" s="462"/>
      <c r="AD5808" s="464"/>
      <c r="AE5808" s="465"/>
    </row>
    <row r="5809" spans="27:31" ht="14.4">
      <c r="AA5809" s="463"/>
      <c r="AB5809" s="462"/>
      <c r="AC5809" s="462"/>
      <c r="AD5809" s="464"/>
      <c r="AE5809" s="465"/>
    </row>
    <row r="5810" spans="27:31" ht="14.4">
      <c r="AA5810" s="463"/>
      <c r="AB5810" s="462"/>
      <c r="AC5810" s="462"/>
      <c r="AD5810" s="464"/>
      <c r="AE5810" s="465"/>
    </row>
    <row r="5811" spans="27:31" ht="14.4">
      <c r="AA5811" s="463"/>
      <c r="AB5811" s="462"/>
      <c r="AC5811" s="462"/>
      <c r="AD5811" s="464"/>
      <c r="AE5811" s="465"/>
    </row>
    <row r="5812" spans="27:31" ht="14.4">
      <c r="AA5812" s="463"/>
      <c r="AB5812" s="462"/>
      <c r="AC5812" s="462"/>
      <c r="AD5812" s="464"/>
      <c r="AE5812" s="465"/>
    </row>
    <row r="5813" spans="27:31" ht="14.4">
      <c r="AA5813" s="463"/>
      <c r="AB5813" s="462"/>
      <c r="AC5813" s="462"/>
      <c r="AD5813" s="464"/>
      <c r="AE5813" s="465"/>
    </row>
    <row r="5814" spans="27:31" ht="14.4">
      <c r="AA5814" s="463"/>
      <c r="AB5814" s="462"/>
      <c r="AC5814" s="462"/>
      <c r="AD5814" s="464"/>
      <c r="AE5814" s="465"/>
    </row>
    <row r="5815" spans="27:31" ht="14.4">
      <c r="AA5815" s="463"/>
      <c r="AB5815" s="462"/>
      <c r="AC5815" s="462"/>
      <c r="AD5815" s="464"/>
      <c r="AE5815" s="465"/>
    </row>
    <row r="5816" spans="27:31" ht="14.4">
      <c r="AA5816" s="463"/>
      <c r="AB5816" s="462"/>
      <c r="AC5816" s="462"/>
      <c r="AD5816" s="464"/>
      <c r="AE5816" s="465"/>
    </row>
    <row r="5817" spans="27:31" ht="14.4">
      <c r="AA5817" s="463"/>
      <c r="AB5817" s="462"/>
      <c r="AC5817" s="462"/>
      <c r="AD5817" s="464"/>
      <c r="AE5817" s="465"/>
    </row>
    <row r="5818" spans="27:31" ht="14.4">
      <c r="AA5818" s="463"/>
      <c r="AB5818" s="462"/>
      <c r="AC5818" s="462"/>
      <c r="AD5818" s="464"/>
      <c r="AE5818" s="465"/>
    </row>
    <row r="5819" spans="27:31" ht="14.4">
      <c r="AA5819" s="463"/>
      <c r="AB5819" s="462"/>
      <c r="AC5819" s="462"/>
      <c r="AD5819" s="464"/>
      <c r="AE5819" s="465"/>
    </row>
    <row r="5820" spans="27:31" ht="14.4">
      <c r="AA5820" s="463"/>
      <c r="AB5820" s="462"/>
      <c r="AC5820" s="462"/>
      <c r="AD5820" s="464"/>
      <c r="AE5820" s="465"/>
    </row>
    <row r="5821" spans="27:31" ht="14.4">
      <c r="AA5821" s="463"/>
      <c r="AB5821" s="462"/>
      <c r="AC5821" s="462"/>
      <c r="AD5821" s="464"/>
      <c r="AE5821" s="465"/>
    </row>
    <row r="5822" spans="27:31" ht="14.4">
      <c r="AA5822" s="463"/>
      <c r="AB5822" s="462"/>
      <c r="AC5822" s="462"/>
      <c r="AD5822" s="464"/>
      <c r="AE5822" s="465"/>
    </row>
    <row r="5823" spans="27:31" ht="14.4">
      <c r="AA5823" s="463"/>
      <c r="AB5823" s="462"/>
      <c r="AC5823" s="462"/>
      <c r="AD5823" s="464"/>
      <c r="AE5823" s="465"/>
    </row>
    <row r="5824" spans="27:31" ht="14.4">
      <c r="AA5824" s="463"/>
      <c r="AB5824" s="462"/>
      <c r="AC5824" s="462"/>
      <c r="AD5824" s="464"/>
      <c r="AE5824" s="465"/>
    </row>
    <row r="5825" spans="27:31" ht="14.4">
      <c r="AA5825" s="463"/>
      <c r="AB5825" s="462"/>
      <c r="AC5825" s="462"/>
      <c r="AD5825" s="464"/>
      <c r="AE5825" s="465"/>
    </row>
    <row r="5826" spans="27:31" ht="14.4">
      <c r="AA5826" s="463"/>
      <c r="AB5826" s="462"/>
      <c r="AC5826" s="462"/>
      <c r="AD5826" s="464"/>
      <c r="AE5826" s="465"/>
    </row>
    <row r="5827" spans="27:31" ht="14.4">
      <c r="AA5827" s="463"/>
      <c r="AB5827" s="462"/>
      <c r="AC5827" s="462"/>
      <c r="AD5827" s="464"/>
      <c r="AE5827" s="465"/>
    </row>
    <row r="5828" spans="27:31" ht="14.4">
      <c r="AA5828" s="463"/>
      <c r="AB5828" s="462"/>
      <c r="AC5828" s="462"/>
      <c r="AD5828" s="464"/>
      <c r="AE5828" s="465"/>
    </row>
    <row r="5829" spans="27:31" ht="14.4">
      <c r="AA5829" s="463"/>
      <c r="AB5829" s="462"/>
      <c r="AC5829" s="462"/>
      <c r="AD5829" s="464"/>
      <c r="AE5829" s="465"/>
    </row>
    <row r="5830" spans="27:31" ht="14.4">
      <c r="AA5830" s="463"/>
      <c r="AB5830" s="462"/>
      <c r="AC5830" s="462"/>
      <c r="AD5830" s="464"/>
      <c r="AE5830" s="465"/>
    </row>
    <row r="5831" spans="27:31" ht="14.4">
      <c r="AA5831" s="463"/>
      <c r="AB5831" s="462"/>
      <c r="AC5831" s="462"/>
      <c r="AD5831" s="464"/>
      <c r="AE5831" s="465"/>
    </row>
    <row r="5832" spans="27:31" ht="14.4">
      <c r="AA5832" s="463"/>
      <c r="AB5832" s="462"/>
      <c r="AC5832" s="462"/>
      <c r="AD5832" s="464"/>
      <c r="AE5832" s="465"/>
    </row>
    <row r="5833" spans="27:31" ht="14.4">
      <c r="AA5833" s="463"/>
      <c r="AB5833" s="462"/>
      <c r="AC5833" s="462"/>
      <c r="AD5833" s="464"/>
      <c r="AE5833" s="465"/>
    </row>
    <row r="5834" spans="27:31" ht="14.4">
      <c r="AA5834" s="463"/>
      <c r="AB5834" s="462"/>
      <c r="AC5834" s="462"/>
      <c r="AD5834" s="464"/>
      <c r="AE5834" s="465"/>
    </row>
    <row r="5835" spans="27:31" ht="14.4">
      <c r="AA5835" s="463"/>
      <c r="AB5835" s="462"/>
      <c r="AC5835" s="462"/>
      <c r="AD5835" s="464"/>
      <c r="AE5835" s="465"/>
    </row>
    <row r="5836" spans="27:31" ht="14.4">
      <c r="AA5836" s="463"/>
      <c r="AB5836" s="462"/>
      <c r="AC5836" s="462"/>
      <c r="AD5836" s="464"/>
      <c r="AE5836" s="465"/>
    </row>
    <row r="5837" spans="27:31" ht="14.4">
      <c r="AA5837" s="463"/>
      <c r="AB5837" s="462"/>
      <c r="AC5837" s="462"/>
      <c r="AD5837" s="464"/>
      <c r="AE5837" s="465"/>
    </row>
    <row r="5838" spans="27:31" ht="14.4">
      <c r="AA5838" s="463"/>
      <c r="AB5838" s="462"/>
      <c r="AC5838" s="462"/>
      <c r="AD5838" s="464"/>
      <c r="AE5838" s="465"/>
    </row>
    <row r="5839" spans="27:31" ht="14.4">
      <c r="AA5839" s="463"/>
      <c r="AB5839" s="462"/>
      <c r="AC5839" s="462"/>
      <c r="AD5839" s="464"/>
      <c r="AE5839" s="465"/>
    </row>
    <row r="5840" spans="27:31" ht="14.4">
      <c r="AA5840" s="463"/>
      <c r="AB5840" s="462"/>
      <c r="AC5840" s="462"/>
      <c r="AD5840" s="464"/>
      <c r="AE5840" s="465"/>
    </row>
    <row r="5841" spans="27:31" ht="14.4">
      <c r="AA5841" s="463"/>
      <c r="AB5841" s="462"/>
      <c r="AC5841" s="462"/>
      <c r="AD5841" s="464"/>
      <c r="AE5841" s="465"/>
    </row>
    <row r="5842" spans="27:31" ht="14.4">
      <c r="AA5842" s="463"/>
      <c r="AB5842" s="462"/>
      <c r="AC5842" s="462"/>
      <c r="AD5842" s="464"/>
      <c r="AE5842" s="465"/>
    </row>
    <row r="5843" spans="27:31" ht="14.4">
      <c r="AA5843" s="463"/>
      <c r="AB5843" s="462"/>
      <c r="AC5843" s="462"/>
      <c r="AD5843" s="464"/>
      <c r="AE5843" s="465"/>
    </row>
    <row r="5844" spans="27:31" ht="14.4">
      <c r="AA5844" s="463"/>
      <c r="AB5844" s="462"/>
      <c r="AC5844" s="462"/>
      <c r="AD5844" s="464"/>
      <c r="AE5844" s="465"/>
    </row>
    <row r="5845" spans="27:31" ht="14.4">
      <c r="AA5845" s="463"/>
      <c r="AB5845" s="462"/>
      <c r="AC5845" s="462"/>
      <c r="AD5845" s="464"/>
      <c r="AE5845" s="465"/>
    </row>
    <row r="5846" spans="27:31" ht="14.4">
      <c r="AA5846" s="463"/>
      <c r="AB5846" s="462"/>
      <c r="AC5846" s="462"/>
      <c r="AD5846" s="464"/>
      <c r="AE5846" s="465"/>
    </row>
    <row r="5847" spans="27:31" ht="14.4">
      <c r="AA5847" s="463"/>
      <c r="AB5847" s="462"/>
      <c r="AC5847" s="462"/>
      <c r="AD5847" s="464"/>
      <c r="AE5847" s="465"/>
    </row>
    <row r="5848" spans="27:31" ht="14.4">
      <c r="AA5848" s="463"/>
      <c r="AB5848" s="462"/>
      <c r="AC5848" s="462"/>
      <c r="AD5848" s="464"/>
      <c r="AE5848" s="465"/>
    </row>
    <row r="5849" spans="27:31" ht="14.4">
      <c r="AA5849" s="463"/>
      <c r="AB5849" s="462"/>
      <c r="AC5849" s="462"/>
      <c r="AD5849" s="464"/>
      <c r="AE5849" s="465"/>
    </row>
    <row r="5850" spans="27:31" ht="14.4">
      <c r="AA5850" s="463"/>
      <c r="AB5850" s="462"/>
      <c r="AC5850" s="462"/>
      <c r="AD5850" s="464"/>
      <c r="AE5850" s="465"/>
    </row>
    <row r="5851" spans="27:31" ht="14.4">
      <c r="AA5851" s="463"/>
      <c r="AB5851" s="462"/>
      <c r="AC5851" s="462"/>
      <c r="AD5851" s="464"/>
      <c r="AE5851" s="465"/>
    </row>
    <row r="5852" spans="27:31" ht="14.4">
      <c r="AA5852" s="463"/>
      <c r="AB5852" s="462"/>
      <c r="AC5852" s="462"/>
      <c r="AD5852" s="464"/>
      <c r="AE5852" s="465"/>
    </row>
    <row r="5853" spans="27:31" ht="14.4">
      <c r="AA5853" s="463"/>
      <c r="AB5853" s="462"/>
      <c r="AC5853" s="462"/>
      <c r="AD5853" s="464"/>
      <c r="AE5853" s="465"/>
    </row>
    <row r="5854" spans="27:31" ht="14.4">
      <c r="AA5854" s="463"/>
      <c r="AB5854" s="462"/>
      <c r="AC5854" s="462"/>
      <c r="AD5854" s="464"/>
      <c r="AE5854" s="465"/>
    </row>
    <row r="5855" spans="27:31" ht="14.4">
      <c r="AA5855" s="463"/>
      <c r="AB5855" s="462"/>
      <c r="AC5855" s="462"/>
      <c r="AD5855" s="464"/>
      <c r="AE5855" s="465"/>
    </row>
    <row r="5856" spans="27:31" ht="14.4">
      <c r="AA5856" s="463"/>
      <c r="AB5856" s="462"/>
      <c r="AC5856" s="462"/>
      <c r="AD5856" s="464"/>
      <c r="AE5856" s="465"/>
    </row>
    <row r="5857" spans="27:31" ht="14.4">
      <c r="AA5857" s="463"/>
      <c r="AB5857" s="462"/>
      <c r="AC5857" s="462"/>
      <c r="AD5857" s="464"/>
      <c r="AE5857" s="465"/>
    </row>
    <row r="5858" spans="27:31" ht="14.4">
      <c r="AA5858" s="463"/>
      <c r="AB5858" s="462"/>
      <c r="AC5858" s="462"/>
      <c r="AD5858" s="464"/>
      <c r="AE5858" s="465"/>
    </row>
    <row r="5859" spans="27:31" ht="14.4">
      <c r="AA5859" s="463"/>
      <c r="AB5859" s="462"/>
      <c r="AC5859" s="462"/>
      <c r="AD5859" s="464"/>
      <c r="AE5859" s="465"/>
    </row>
    <row r="5860" spans="27:31" ht="14.4">
      <c r="AA5860" s="463"/>
      <c r="AB5860" s="462"/>
      <c r="AC5860" s="462"/>
      <c r="AD5860" s="464"/>
      <c r="AE5860" s="465"/>
    </row>
    <row r="5861" spans="27:31" ht="14.4">
      <c r="AA5861" s="463"/>
      <c r="AB5861" s="462"/>
      <c r="AC5861" s="462"/>
      <c r="AD5861" s="464"/>
      <c r="AE5861" s="465"/>
    </row>
    <row r="5862" spans="27:31" ht="14.4">
      <c r="AA5862" s="463"/>
      <c r="AB5862" s="462"/>
      <c r="AC5862" s="462"/>
      <c r="AD5862" s="464"/>
      <c r="AE5862" s="465"/>
    </row>
    <row r="5863" spans="27:31" ht="14.4">
      <c r="AA5863" s="463"/>
      <c r="AB5863" s="462"/>
      <c r="AC5863" s="462"/>
      <c r="AD5863" s="464"/>
      <c r="AE5863" s="465"/>
    </row>
    <row r="5864" spans="27:31" ht="14.4">
      <c r="AA5864" s="463"/>
      <c r="AB5864" s="462"/>
      <c r="AC5864" s="462"/>
      <c r="AD5864" s="464"/>
      <c r="AE5864" s="465"/>
    </row>
    <row r="5865" spans="27:31" ht="14.4">
      <c r="AA5865" s="463"/>
      <c r="AB5865" s="462"/>
      <c r="AC5865" s="462"/>
      <c r="AD5865" s="464"/>
      <c r="AE5865" s="465"/>
    </row>
    <row r="5866" spans="27:31" ht="14.4">
      <c r="AA5866" s="463"/>
      <c r="AB5866" s="462"/>
      <c r="AC5866" s="462"/>
      <c r="AD5866" s="464"/>
      <c r="AE5866" s="465"/>
    </row>
    <row r="5867" spans="27:31" ht="14.4">
      <c r="AA5867" s="463"/>
      <c r="AB5867" s="462"/>
      <c r="AC5867" s="462"/>
      <c r="AD5867" s="464"/>
      <c r="AE5867" s="465"/>
    </row>
    <row r="5868" spans="27:31" ht="14.4">
      <c r="AA5868" s="463"/>
      <c r="AB5868" s="462"/>
      <c r="AC5868" s="462"/>
      <c r="AD5868" s="464"/>
      <c r="AE5868" s="465"/>
    </row>
    <row r="5869" spans="27:31" ht="14.4">
      <c r="AA5869" s="463"/>
      <c r="AB5869" s="462"/>
      <c r="AC5869" s="462"/>
      <c r="AD5869" s="464"/>
      <c r="AE5869" s="465"/>
    </row>
    <row r="5870" spans="27:31" ht="14.4">
      <c r="AA5870" s="463"/>
      <c r="AB5870" s="462"/>
      <c r="AC5870" s="462"/>
      <c r="AD5870" s="464"/>
      <c r="AE5870" s="465"/>
    </row>
    <row r="5871" spans="27:31" ht="14.4">
      <c r="AA5871" s="463"/>
      <c r="AB5871" s="462"/>
      <c r="AC5871" s="462"/>
      <c r="AD5871" s="464"/>
      <c r="AE5871" s="465"/>
    </row>
    <row r="5872" spans="27:31" ht="14.4">
      <c r="AA5872" s="463"/>
      <c r="AB5872" s="462"/>
      <c r="AC5872" s="462"/>
      <c r="AD5872" s="464"/>
      <c r="AE5872" s="465"/>
    </row>
    <row r="5873" spans="27:31" ht="14.4">
      <c r="AA5873" s="463"/>
      <c r="AB5873" s="462"/>
      <c r="AC5873" s="462"/>
      <c r="AD5873" s="464"/>
      <c r="AE5873" s="465"/>
    </row>
    <row r="5874" spans="27:31" ht="14.4">
      <c r="AA5874" s="463"/>
      <c r="AB5874" s="462"/>
      <c r="AC5874" s="462"/>
      <c r="AD5874" s="464"/>
      <c r="AE5874" s="465"/>
    </row>
    <row r="5875" spans="27:31" ht="14.4">
      <c r="AA5875" s="463"/>
      <c r="AB5875" s="462"/>
      <c r="AC5875" s="462"/>
      <c r="AD5875" s="464"/>
      <c r="AE5875" s="465"/>
    </row>
    <row r="5876" spans="27:31" ht="14.4">
      <c r="AA5876" s="463"/>
      <c r="AB5876" s="462"/>
      <c r="AC5876" s="462"/>
      <c r="AD5876" s="464"/>
      <c r="AE5876" s="465"/>
    </row>
    <row r="5877" spans="27:31" ht="14.4">
      <c r="AA5877" s="463"/>
      <c r="AB5877" s="462"/>
      <c r="AC5877" s="462"/>
      <c r="AD5877" s="464"/>
      <c r="AE5877" s="465"/>
    </row>
    <row r="5878" spans="27:31" ht="14.4">
      <c r="AA5878" s="463"/>
      <c r="AB5878" s="462"/>
      <c r="AC5878" s="462"/>
      <c r="AD5878" s="464"/>
      <c r="AE5878" s="465"/>
    </row>
    <row r="5879" spans="27:31" ht="14.4">
      <c r="AA5879" s="463"/>
      <c r="AB5879" s="462"/>
      <c r="AC5879" s="462"/>
      <c r="AD5879" s="464"/>
      <c r="AE5879" s="465"/>
    </row>
    <row r="5880" spans="27:31" ht="14.4">
      <c r="AA5880" s="463"/>
      <c r="AB5880" s="462"/>
      <c r="AC5880" s="462"/>
      <c r="AD5880" s="464"/>
      <c r="AE5880" s="465"/>
    </row>
    <row r="5881" spans="27:31" ht="14.4">
      <c r="AA5881" s="463"/>
      <c r="AB5881" s="462"/>
      <c r="AC5881" s="462"/>
      <c r="AD5881" s="464"/>
      <c r="AE5881" s="465"/>
    </row>
    <row r="5882" spans="27:31" ht="14.4">
      <c r="AA5882" s="463"/>
      <c r="AB5882" s="462"/>
      <c r="AC5882" s="462"/>
      <c r="AD5882" s="464"/>
      <c r="AE5882" s="465"/>
    </row>
    <row r="5883" spans="27:31" ht="14.4">
      <c r="AA5883" s="463"/>
      <c r="AB5883" s="462"/>
      <c r="AC5883" s="462"/>
      <c r="AD5883" s="464"/>
      <c r="AE5883" s="465"/>
    </row>
    <row r="5884" spans="27:31" ht="14.4">
      <c r="AA5884" s="463"/>
      <c r="AB5884" s="462"/>
      <c r="AC5884" s="462"/>
      <c r="AD5884" s="464"/>
      <c r="AE5884" s="465"/>
    </row>
    <row r="5885" spans="27:31" ht="14.4">
      <c r="AA5885" s="463"/>
      <c r="AB5885" s="462"/>
      <c r="AC5885" s="462"/>
      <c r="AD5885" s="464"/>
      <c r="AE5885" s="465"/>
    </row>
    <row r="5886" spans="27:31" ht="14.4">
      <c r="AA5886" s="463"/>
      <c r="AB5886" s="462"/>
      <c r="AC5886" s="462"/>
      <c r="AD5886" s="464"/>
      <c r="AE5886" s="465"/>
    </row>
    <row r="5887" spans="27:31" ht="14.4">
      <c r="AA5887" s="463"/>
      <c r="AB5887" s="462"/>
      <c r="AC5887" s="462"/>
      <c r="AD5887" s="464"/>
      <c r="AE5887" s="465"/>
    </row>
    <row r="5888" spans="27:31" ht="14.4">
      <c r="AA5888" s="463"/>
      <c r="AB5888" s="462"/>
      <c r="AC5888" s="462"/>
      <c r="AD5888" s="464"/>
      <c r="AE5888" s="465"/>
    </row>
    <row r="5889" spans="27:31" ht="14.4">
      <c r="AA5889" s="463"/>
      <c r="AB5889" s="462"/>
      <c r="AC5889" s="462"/>
      <c r="AD5889" s="464"/>
      <c r="AE5889" s="465"/>
    </row>
    <row r="5890" spans="27:31" ht="14.4">
      <c r="AA5890" s="463"/>
      <c r="AB5890" s="462"/>
      <c r="AC5890" s="462"/>
      <c r="AD5890" s="464"/>
      <c r="AE5890" s="465"/>
    </row>
    <row r="5891" spans="27:31" ht="14.4">
      <c r="AA5891" s="463"/>
      <c r="AB5891" s="462"/>
      <c r="AC5891" s="462"/>
      <c r="AD5891" s="464"/>
      <c r="AE5891" s="465"/>
    </row>
    <row r="5892" spans="27:31" ht="14.4">
      <c r="AA5892" s="463"/>
      <c r="AB5892" s="462"/>
      <c r="AC5892" s="462"/>
      <c r="AD5892" s="464"/>
      <c r="AE5892" s="465"/>
    </row>
    <row r="5893" spans="27:31" ht="14.4">
      <c r="AA5893" s="463"/>
      <c r="AB5893" s="462"/>
      <c r="AC5893" s="462"/>
      <c r="AD5893" s="464"/>
      <c r="AE5893" s="465"/>
    </row>
    <row r="5894" spans="27:31" ht="14.4">
      <c r="AA5894" s="463"/>
      <c r="AB5894" s="462"/>
      <c r="AC5894" s="462"/>
      <c r="AD5894" s="464"/>
      <c r="AE5894" s="465"/>
    </row>
    <row r="5895" spans="27:31" ht="14.4">
      <c r="AA5895" s="463"/>
      <c r="AB5895" s="462"/>
      <c r="AC5895" s="462"/>
      <c r="AD5895" s="464"/>
      <c r="AE5895" s="465"/>
    </row>
    <row r="5896" spans="27:31" ht="14.4">
      <c r="AA5896" s="463"/>
      <c r="AB5896" s="462"/>
      <c r="AC5896" s="462"/>
      <c r="AD5896" s="464"/>
      <c r="AE5896" s="465"/>
    </row>
    <row r="5897" spans="27:31" ht="14.4">
      <c r="AA5897" s="463"/>
      <c r="AB5897" s="462"/>
      <c r="AC5897" s="462"/>
      <c r="AD5897" s="464"/>
      <c r="AE5897" s="465"/>
    </row>
    <row r="5898" spans="27:31" ht="14.4">
      <c r="AA5898" s="463"/>
      <c r="AB5898" s="462"/>
      <c r="AC5898" s="462"/>
      <c r="AD5898" s="464"/>
      <c r="AE5898" s="465"/>
    </row>
    <row r="5899" spans="27:31" ht="14.4">
      <c r="AA5899" s="463"/>
      <c r="AB5899" s="462"/>
      <c r="AC5899" s="462"/>
      <c r="AD5899" s="464"/>
      <c r="AE5899" s="465"/>
    </row>
    <row r="5900" spans="27:31" ht="14.4">
      <c r="AA5900" s="463"/>
      <c r="AB5900" s="462"/>
      <c r="AC5900" s="462"/>
      <c r="AD5900" s="464"/>
      <c r="AE5900" s="465"/>
    </row>
    <row r="5901" spans="27:31" ht="14.4">
      <c r="AA5901" s="463"/>
      <c r="AB5901" s="462"/>
      <c r="AC5901" s="462"/>
      <c r="AD5901" s="464"/>
      <c r="AE5901" s="465"/>
    </row>
    <row r="5902" spans="27:31" ht="14.4">
      <c r="AA5902" s="463"/>
      <c r="AB5902" s="462"/>
      <c r="AC5902" s="462"/>
      <c r="AD5902" s="464"/>
      <c r="AE5902" s="465"/>
    </row>
    <row r="5903" spans="27:31" ht="14.4">
      <c r="AA5903" s="463"/>
      <c r="AB5903" s="462"/>
      <c r="AC5903" s="462"/>
      <c r="AD5903" s="464"/>
      <c r="AE5903" s="465"/>
    </row>
    <row r="5904" spans="27:31" ht="14.4">
      <c r="AA5904" s="463"/>
      <c r="AB5904" s="462"/>
      <c r="AC5904" s="462"/>
      <c r="AD5904" s="464"/>
      <c r="AE5904" s="465"/>
    </row>
    <row r="5905" spans="27:31" ht="14.4">
      <c r="AA5905" s="463"/>
      <c r="AB5905" s="462"/>
      <c r="AC5905" s="462"/>
      <c r="AD5905" s="464"/>
      <c r="AE5905" s="465"/>
    </row>
    <row r="5906" spans="27:31" ht="14.4">
      <c r="AA5906" s="463"/>
      <c r="AB5906" s="462"/>
      <c r="AC5906" s="462"/>
      <c r="AD5906" s="464"/>
      <c r="AE5906" s="465"/>
    </row>
    <row r="5907" spans="27:31" ht="14.4">
      <c r="AA5907" s="463"/>
      <c r="AB5907" s="462"/>
      <c r="AC5907" s="462"/>
      <c r="AD5907" s="464"/>
      <c r="AE5907" s="465"/>
    </row>
    <row r="5908" spans="27:31" ht="14.4">
      <c r="AA5908" s="463"/>
      <c r="AB5908" s="462"/>
      <c r="AC5908" s="462"/>
      <c r="AD5908" s="464"/>
      <c r="AE5908" s="465"/>
    </row>
    <row r="5909" spans="27:31" ht="14.4">
      <c r="AA5909" s="463"/>
      <c r="AB5909" s="462"/>
      <c r="AC5909" s="462"/>
      <c r="AD5909" s="464"/>
      <c r="AE5909" s="465"/>
    </row>
    <row r="5910" spans="27:31" ht="14.4">
      <c r="AA5910" s="463"/>
      <c r="AB5910" s="462"/>
      <c r="AC5910" s="462"/>
      <c r="AD5910" s="464"/>
      <c r="AE5910" s="465"/>
    </row>
    <row r="5911" spans="27:31" ht="14.4">
      <c r="AA5911" s="463"/>
      <c r="AB5911" s="462"/>
      <c r="AC5911" s="462"/>
      <c r="AD5911" s="464"/>
      <c r="AE5911" s="465"/>
    </row>
    <row r="5912" spans="27:31" ht="14.4">
      <c r="AA5912" s="463"/>
      <c r="AB5912" s="462"/>
      <c r="AC5912" s="462"/>
      <c r="AD5912" s="464"/>
      <c r="AE5912" s="465"/>
    </row>
    <row r="5913" spans="27:31" ht="14.4">
      <c r="AA5913" s="463"/>
      <c r="AB5913" s="462"/>
      <c r="AC5913" s="462"/>
      <c r="AD5913" s="464"/>
      <c r="AE5913" s="465"/>
    </row>
    <row r="5914" spans="27:31" ht="14.4">
      <c r="AA5914" s="463"/>
      <c r="AB5914" s="462"/>
      <c r="AC5914" s="462"/>
      <c r="AD5914" s="464"/>
      <c r="AE5914" s="465"/>
    </row>
    <row r="5915" spans="27:31" ht="14.4">
      <c r="AA5915" s="463"/>
      <c r="AB5915" s="462"/>
      <c r="AC5915" s="462"/>
      <c r="AD5915" s="464"/>
      <c r="AE5915" s="465"/>
    </row>
    <row r="5916" spans="27:31" ht="14.4">
      <c r="AA5916" s="463"/>
      <c r="AB5916" s="462"/>
      <c r="AC5916" s="462"/>
      <c r="AD5916" s="464"/>
      <c r="AE5916" s="465"/>
    </row>
    <row r="5917" spans="27:31" ht="14.4">
      <c r="AA5917" s="463"/>
      <c r="AB5917" s="462"/>
      <c r="AC5917" s="462"/>
      <c r="AD5917" s="464"/>
      <c r="AE5917" s="465"/>
    </row>
    <row r="5918" spans="27:31" ht="14.4">
      <c r="AA5918" s="463"/>
      <c r="AB5918" s="462"/>
      <c r="AC5918" s="462"/>
      <c r="AD5918" s="464"/>
      <c r="AE5918" s="465"/>
    </row>
    <row r="5919" spans="27:31" ht="14.4">
      <c r="AA5919" s="463"/>
      <c r="AB5919" s="462"/>
      <c r="AC5919" s="462"/>
      <c r="AD5919" s="464"/>
      <c r="AE5919" s="465"/>
    </row>
    <row r="5920" spans="27:31" ht="14.4">
      <c r="AA5920" s="463"/>
      <c r="AB5920" s="462"/>
      <c r="AC5920" s="462"/>
      <c r="AD5920" s="464"/>
      <c r="AE5920" s="465"/>
    </row>
    <row r="5921" spans="27:31" ht="14.4">
      <c r="AA5921" s="463"/>
      <c r="AB5921" s="462"/>
      <c r="AC5921" s="462"/>
      <c r="AD5921" s="464"/>
      <c r="AE5921" s="465"/>
    </row>
    <row r="5922" spans="27:31" ht="14.4">
      <c r="AA5922" s="463"/>
      <c r="AB5922" s="462"/>
      <c r="AC5922" s="462"/>
      <c r="AD5922" s="464"/>
      <c r="AE5922" s="465"/>
    </row>
    <row r="5923" spans="27:31" ht="14.4">
      <c r="AA5923" s="463"/>
      <c r="AB5923" s="462"/>
      <c r="AC5923" s="462"/>
      <c r="AD5923" s="464"/>
      <c r="AE5923" s="465"/>
    </row>
    <row r="5924" spans="27:31" ht="14.4">
      <c r="AA5924" s="463"/>
      <c r="AB5924" s="462"/>
      <c r="AC5924" s="462"/>
      <c r="AD5924" s="464"/>
      <c r="AE5924" s="465"/>
    </row>
    <row r="5925" spans="27:31" ht="14.4">
      <c r="AA5925" s="463"/>
      <c r="AB5925" s="462"/>
      <c r="AC5925" s="462"/>
      <c r="AD5925" s="464"/>
      <c r="AE5925" s="465"/>
    </row>
    <row r="5926" spans="27:31" ht="14.4">
      <c r="AA5926" s="463"/>
      <c r="AB5926" s="462"/>
      <c r="AC5926" s="462"/>
      <c r="AD5926" s="464"/>
      <c r="AE5926" s="465"/>
    </row>
    <row r="5927" spans="27:31" ht="14.4">
      <c r="AA5927" s="463"/>
      <c r="AB5927" s="462"/>
      <c r="AC5927" s="462"/>
      <c r="AD5927" s="464"/>
      <c r="AE5927" s="465"/>
    </row>
    <row r="5928" spans="27:31" ht="14.4">
      <c r="AA5928" s="463"/>
      <c r="AB5928" s="462"/>
      <c r="AC5928" s="462"/>
      <c r="AD5928" s="464"/>
      <c r="AE5928" s="465"/>
    </row>
    <row r="5929" spans="27:31" ht="14.4">
      <c r="AA5929" s="463"/>
      <c r="AB5929" s="462"/>
      <c r="AC5929" s="462"/>
      <c r="AD5929" s="464"/>
      <c r="AE5929" s="465"/>
    </row>
    <row r="5930" spans="27:31" ht="14.4">
      <c r="AA5930" s="463"/>
      <c r="AB5930" s="462"/>
      <c r="AC5930" s="462"/>
      <c r="AD5930" s="464"/>
      <c r="AE5930" s="465"/>
    </row>
    <row r="5931" spans="27:31" ht="14.4">
      <c r="AA5931" s="463"/>
      <c r="AB5931" s="462"/>
      <c r="AC5931" s="462"/>
      <c r="AD5931" s="464"/>
      <c r="AE5931" s="465"/>
    </row>
    <row r="5932" spans="27:31" ht="14.4">
      <c r="AA5932" s="463"/>
      <c r="AB5932" s="462"/>
      <c r="AC5932" s="462"/>
      <c r="AD5932" s="464"/>
      <c r="AE5932" s="465"/>
    </row>
    <row r="5933" spans="27:31" ht="14.4">
      <c r="AA5933" s="463"/>
      <c r="AB5933" s="462"/>
      <c r="AC5933" s="462"/>
      <c r="AD5933" s="464"/>
      <c r="AE5933" s="465"/>
    </row>
    <row r="5934" spans="27:31" ht="14.4">
      <c r="AA5934" s="463"/>
      <c r="AB5934" s="462"/>
      <c r="AC5934" s="462"/>
      <c r="AD5934" s="464"/>
      <c r="AE5934" s="465"/>
    </row>
    <row r="5935" spans="27:31" ht="14.4">
      <c r="AA5935" s="463"/>
      <c r="AB5935" s="462"/>
      <c r="AC5935" s="462"/>
      <c r="AD5935" s="464"/>
      <c r="AE5935" s="465"/>
    </row>
    <row r="5936" spans="27:31" ht="14.4">
      <c r="AA5936" s="463"/>
      <c r="AB5936" s="462"/>
      <c r="AC5936" s="462"/>
      <c r="AD5936" s="464"/>
      <c r="AE5936" s="465"/>
    </row>
    <row r="5937" spans="27:31" ht="14.4">
      <c r="AA5937" s="463"/>
      <c r="AB5937" s="462"/>
      <c r="AC5937" s="462"/>
      <c r="AD5937" s="464"/>
      <c r="AE5937" s="465"/>
    </row>
    <row r="5938" spans="27:31" ht="14.4">
      <c r="AA5938" s="463"/>
      <c r="AB5938" s="462"/>
      <c r="AC5938" s="462"/>
      <c r="AD5938" s="464"/>
      <c r="AE5938" s="465"/>
    </row>
    <row r="5939" spans="27:31" ht="14.4">
      <c r="AA5939" s="463"/>
      <c r="AB5939" s="462"/>
      <c r="AC5939" s="462"/>
      <c r="AD5939" s="464"/>
      <c r="AE5939" s="465"/>
    </row>
    <row r="5940" spans="27:31" ht="14.4">
      <c r="AA5940" s="463"/>
      <c r="AB5940" s="462"/>
      <c r="AC5940" s="462"/>
      <c r="AD5940" s="464"/>
      <c r="AE5940" s="465"/>
    </row>
    <row r="5941" spans="27:31" ht="14.4">
      <c r="AA5941" s="463"/>
      <c r="AB5941" s="462"/>
      <c r="AC5941" s="462"/>
      <c r="AD5941" s="464"/>
      <c r="AE5941" s="465"/>
    </row>
    <row r="5942" spans="27:31" ht="14.4">
      <c r="AA5942" s="463"/>
      <c r="AB5942" s="462"/>
      <c r="AC5942" s="462"/>
      <c r="AD5942" s="464"/>
      <c r="AE5942" s="465"/>
    </row>
    <row r="5943" spans="27:31" ht="14.4">
      <c r="AA5943" s="463"/>
      <c r="AB5943" s="462"/>
      <c r="AC5943" s="462"/>
      <c r="AD5943" s="464"/>
      <c r="AE5943" s="465"/>
    </row>
    <row r="5944" spans="27:31" ht="14.4">
      <c r="AA5944" s="463"/>
      <c r="AB5944" s="462"/>
      <c r="AC5944" s="462"/>
      <c r="AD5944" s="464"/>
      <c r="AE5944" s="465"/>
    </row>
    <row r="5945" spans="27:31" ht="14.4">
      <c r="AA5945" s="463"/>
      <c r="AB5945" s="462"/>
      <c r="AC5945" s="462"/>
      <c r="AD5945" s="464"/>
      <c r="AE5945" s="465"/>
    </row>
    <row r="5946" spans="27:31" ht="14.4">
      <c r="AA5946" s="463"/>
      <c r="AB5946" s="462"/>
      <c r="AC5946" s="462"/>
      <c r="AD5946" s="464"/>
      <c r="AE5946" s="465"/>
    </row>
    <row r="5947" spans="27:31" ht="14.4">
      <c r="AA5947" s="463"/>
      <c r="AB5947" s="462"/>
      <c r="AC5947" s="462"/>
      <c r="AD5947" s="464"/>
      <c r="AE5947" s="465"/>
    </row>
    <row r="5948" spans="27:31" ht="14.4">
      <c r="AA5948" s="463"/>
      <c r="AB5948" s="462"/>
      <c r="AC5948" s="462"/>
      <c r="AD5948" s="464"/>
      <c r="AE5948" s="465"/>
    </row>
    <row r="5949" spans="27:31" ht="14.4">
      <c r="AA5949" s="463"/>
      <c r="AB5949" s="462"/>
      <c r="AC5949" s="462"/>
      <c r="AD5949" s="464"/>
      <c r="AE5949" s="465"/>
    </row>
    <row r="5950" spans="27:31" ht="14.4">
      <c r="AA5950" s="463"/>
      <c r="AB5950" s="462"/>
      <c r="AC5950" s="462"/>
      <c r="AD5950" s="464"/>
      <c r="AE5950" s="465"/>
    </row>
    <row r="5951" spans="27:31" ht="14.4">
      <c r="AA5951" s="463"/>
      <c r="AB5951" s="462"/>
      <c r="AC5951" s="462"/>
      <c r="AD5951" s="464"/>
      <c r="AE5951" s="465"/>
    </row>
    <row r="5952" spans="27:31" ht="14.4">
      <c r="AA5952" s="463"/>
      <c r="AB5952" s="462"/>
      <c r="AC5952" s="462"/>
      <c r="AD5952" s="464"/>
      <c r="AE5952" s="465"/>
    </row>
    <row r="5953" spans="27:31" ht="14.4">
      <c r="AA5953" s="463"/>
      <c r="AB5953" s="462"/>
      <c r="AC5953" s="462"/>
      <c r="AD5953" s="464"/>
      <c r="AE5953" s="465"/>
    </row>
    <row r="5954" spans="27:31" ht="14.4">
      <c r="AA5954" s="463"/>
      <c r="AB5954" s="462"/>
      <c r="AC5954" s="462"/>
      <c r="AD5954" s="464"/>
      <c r="AE5954" s="465"/>
    </row>
    <row r="5955" spans="27:31" ht="14.4">
      <c r="AA5955" s="463"/>
      <c r="AB5955" s="462"/>
      <c r="AC5955" s="462"/>
      <c r="AD5955" s="464"/>
      <c r="AE5955" s="465"/>
    </row>
    <row r="5956" spans="27:31" ht="14.4">
      <c r="AA5956" s="463"/>
      <c r="AB5956" s="462"/>
      <c r="AC5956" s="462"/>
      <c r="AD5956" s="464"/>
      <c r="AE5956" s="465"/>
    </row>
    <row r="5957" spans="27:31" ht="14.4">
      <c r="AA5957" s="463"/>
      <c r="AB5957" s="462"/>
      <c r="AC5957" s="462"/>
      <c r="AD5957" s="464"/>
      <c r="AE5957" s="465"/>
    </row>
    <row r="5958" spans="27:31" ht="14.4">
      <c r="AA5958" s="463"/>
      <c r="AB5958" s="462"/>
      <c r="AC5958" s="462"/>
      <c r="AD5958" s="464"/>
      <c r="AE5958" s="465"/>
    </row>
    <row r="5959" spans="27:31" ht="14.4">
      <c r="AA5959" s="463"/>
      <c r="AB5959" s="462"/>
      <c r="AC5959" s="462"/>
      <c r="AD5959" s="464"/>
      <c r="AE5959" s="465"/>
    </row>
    <row r="5960" spans="27:31" ht="14.4">
      <c r="AA5960" s="463"/>
      <c r="AB5960" s="462"/>
      <c r="AC5960" s="462"/>
      <c r="AD5960" s="464"/>
      <c r="AE5960" s="465"/>
    </row>
    <row r="5961" spans="27:31" ht="14.4">
      <c r="AA5961" s="463"/>
      <c r="AB5961" s="462"/>
      <c r="AC5961" s="462"/>
      <c r="AD5961" s="464"/>
      <c r="AE5961" s="465"/>
    </row>
    <row r="5962" spans="27:31" ht="14.4">
      <c r="AA5962" s="463"/>
      <c r="AB5962" s="462"/>
      <c r="AC5962" s="462"/>
      <c r="AD5962" s="464"/>
      <c r="AE5962" s="465"/>
    </row>
    <row r="5963" spans="27:31" ht="14.4">
      <c r="AA5963" s="463"/>
      <c r="AB5963" s="462"/>
      <c r="AC5963" s="462"/>
      <c r="AD5963" s="464"/>
      <c r="AE5963" s="465"/>
    </row>
    <row r="5964" spans="27:31" ht="14.4">
      <c r="AA5964" s="463"/>
      <c r="AB5964" s="462"/>
      <c r="AC5964" s="462"/>
      <c r="AD5964" s="464"/>
      <c r="AE5964" s="465"/>
    </row>
    <row r="5965" spans="27:31" ht="14.4">
      <c r="AA5965" s="463"/>
      <c r="AB5965" s="462"/>
      <c r="AC5965" s="462"/>
      <c r="AD5965" s="464"/>
      <c r="AE5965" s="465"/>
    </row>
    <row r="5966" spans="27:31" ht="14.4">
      <c r="AA5966" s="463"/>
      <c r="AB5966" s="462"/>
      <c r="AC5966" s="462"/>
      <c r="AD5966" s="464"/>
      <c r="AE5966" s="465"/>
    </row>
    <row r="5967" spans="27:31" ht="14.4">
      <c r="AA5967" s="463"/>
      <c r="AB5967" s="462"/>
      <c r="AC5967" s="462"/>
      <c r="AD5967" s="464"/>
      <c r="AE5967" s="465"/>
    </row>
    <row r="5968" spans="27:31" ht="14.4">
      <c r="AA5968" s="463"/>
      <c r="AB5968" s="462"/>
      <c r="AC5968" s="462"/>
      <c r="AD5968" s="464"/>
      <c r="AE5968" s="465"/>
    </row>
    <row r="5969" spans="27:31" ht="14.4">
      <c r="AA5969" s="463"/>
      <c r="AB5969" s="462"/>
      <c r="AC5969" s="462"/>
      <c r="AD5969" s="464"/>
      <c r="AE5969" s="465"/>
    </row>
    <row r="5970" spans="27:31" ht="14.4">
      <c r="AA5970" s="463"/>
      <c r="AB5970" s="462"/>
      <c r="AC5970" s="462"/>
      <c r="AD5970" s="464"/>
      <c r="AE5970" s="465"/>
    </row>
    <row r="5971" spans="27:31" ht="14.4">
      <c r="AA5971" s="463"/>
      <c r="AB5971" s="462"/>
      <c r="AC5971" s="462"/>
      <c r="AD5971" s="464"/>
      <c r="AE5971" s="465"/>
    </row>
    <row r="5972" spans="27:31" ht="14.4">
      <c r="AA5972" s="463"/>
      <c r="AB5972" s="462"/>
      <c r="AC5972" s="462"/>
      <c r="AD5972" s="464"/>
      <c r="AE5972" s="465"/>
    </row>
    <row r="5973" spans="27:31" ht="14.4">
      <c r="AA5973" s="463"/>
      <c r="AB5973" s="462"/>
      <c r="AC5973" s="462"/>
      <c r="AD5973" s="464"/>
      <c r="AE5973" s="465"/>
    </row>
    <row r="5974" spans="27:31" ht="14.4">
      <c r="AA5974" s="463"/>
      <c r="AB5974" s="462"/>
      <c r="AC5974" s="462"/>
      <c r="AD5974" s="464"/>
      <c r="AE5974" s="465"/>
    </row>
    <row r="5975" spans="27:31" ht="14.4">
      <c r="AA5975" s="463"/>
      <c r="AB5975" s="462"/>
      <c r="AC5975" s="462"/>
      <c r="AD5975" s="464"/>
      <c r="AE5975" s="465"/>
    </row>
    <row r="5976" spans="27:31" ht="14.4">
      <c r="AA5976" s="463"/>
      <c r="AB5976" s="462"/>
      <c r="AC5976" s="462"/>
      <c r="AD5976" s="464"/>
      <c r="AE5976" s="465"/>
    </row>
    <row r="5977" spans="27:31" ht="14.4">
      <c r="AA5977" s="463"/>
      <c r="AB5977" s="462"/>
      <c r="AC5977" s="462"/>
      <c r="AD5977" s="464"/>
      <c r="AE5977" s="465"/>
    </row>
    <row r="5978" spans="27:31" ht="14.4">
      <c r="AA5978" s="463"/>
      <c r="AB5978" s="462"/>
      <c r="AC5978" s="462"/>
      <c r="AD5978" s="464"/>
      <c r="AE5978" s="465"/>
    </row>
    <row r="5979" spans="27:31" ht="14.4">
      <c r="AA5979" s="463"/>
      <c r="AB5979" s="462"/>
      <c r="AC5979" s="462"/>
      <c r="AD5979" s="464"/>
      <c r="AE5979" s="465"/>
    </row>
    <row r="5980" spans="27:31" ht="14.4">
      <c r="AA5980" s="463"/>
      <c r="AB5980" s="462"/>
      <c r="AC5980" s="462"/>
      <c r="AD5980" s="464"/>
      <c r="AE5980" s="465"/>
    </row>
    <row r="5981" spans="27:31" ht="14.4">
      <c r="AA5981" s="463"/>
      <c r="AB5981" s="462"/>
      <c r="AC5981" s="462"/>
      <c r="AD5981" s="464"/>
      <c r="AE5981" s="465"/>
    </row>
    <row r="5982" spans="27:31" ht="14.4">
      <c r="AA5982" s="463"/>
      <c r="AB5982" s="462"/>
      <c r="AC5982" s="462"/>
      <c r="AD5982" s="464"/>
      <c r="AE5982" s="465"/>
    </row>
    <row r="5983" spans="27:31" ht="14.4">
      <c r="AA5983" s="463"/>
      <c r="AB5983" s="462"/>
      <c r="AC5983" s="462"/>
      <c r="AD5983" s="464"/>
      <c r="AE5983" s="465"/>
    </row>
    <row r="5984" spans="27:31" ht="14.4">
      <c r="AA5984" s="463"/>
      <c r="AB5984" s="462"/>
      <c r="AC5984" s="462"/>
      <c r="AD5984" s="464"/>
      <c r="AE5984" s="465"/>
    </row>
    <row r="5985" spans="27:31" ht="14.4">
      <c r="AA5985" s="463"/>
      <c r="AB5985" s="462"/>
      <c r="AC5985" s="462"/>
      <c r="AD5985" s="464"/>
      <c r="AE5985" s="465"/>
    </row>
    <row r="5986" spans="27:31" ht="14.4">
      <c r="AA5986" s="463"/>
      <c r="AB5986" s="462"/>
      <c r="AC5986" s="462"/>
      <c r="AD5986" s="464"/>
      <c r="AE5986" s="465"/>
    </row>
    <row r="5987" spans="27:31" ht="14.4">
      <c r="AA5987" s="463"/>
      <c r="AB5987" s="462"/>
      <c r="AC5987" s="462"/>
      <c r="AD5987" s="464"/>
      <c r="AE5987" s="465"/>
    </row>
    <row r="5988" spans="27:31" ht="14.4">
      <c r="AA5988" s="463"/>
      <c r="AB5988" s="462"/>
      <c r="AC5988" s="462"/>
      <c r="AD5988" s="464"/>
      <c r="AE5988" s="465"/>
    </row>
    <row r="5989" spans="27:31" ht="14.4">
      <c r="AA5989" s="463"/>
      <c r="AB5989" s="462"/>
      <c r="AC5989" s="462"/>
      <c r="AD5989" s="464"/>
      <c r="AE5989" s="465"/>
    </row>
    <row r="5990" spans="27:31" ht="14.4">
      <c r="AA5990" s="463"/>
      <c r="AB5990" s="462"/>
      <c r="AC5990" s="462"/>
      <c r="AD5990" s="464"/>
      <c r="AE5990" s="465"/>
    </row>
    <row r="5991" spans="27:31" ht="14.4">
      <c r="AA5991" s="463"/>
      <c r="AB5991" s="462"/>
      <c r="AC5991" s="462"/>
      <c r="AD5991" s="464"/>
      <c r="AE5991" s="465"/>
    </row>
    <row r="5992" spans="27:31" ht="14.4">
      <c r="AA5992" s="463"/>
      <c r="AB5992" s="462"/>
      <c r="AC5992" s="462"/>
      <c r="AD5992" s="464"/>
      <c r="AE5992" s="465"/>
    </row>
    <row r="5993" spans="27:31" ht="14.4">
      <c r="AA5993" s="463"/>
      <c r="AB5993" s="462"/>
      <c r="AC5993" s="462"/>
      <c r="AD5993" s="464"/>
      <c r="AE5993" s="465"/>
    </row>
    <row r="5994" spans="27:31" ht="14.4">
      <c r="AA5994" s="463"/>
      <c r="AB5994" s="462"/>
      <c r="AC5994" s="462"/>
      <c r="AD5994" s="464"/>
      <c r="AE5994" s="465"/>
    </row>
    <row r="5995" spans="27:31" ht="14.4">
      <c r="AA5995" s="463"/>
      <c r="AB5995" s="462"/>
      <c r="AC5995" s="462"/>
      <c r="AD5995" s="464"/>
      <c r="AE5995" s="465"/>
    </row>
    <row r="5996" spans="27:31" ht="14.4">
      <c r="AA5996" s="463"/>
      <c r="AB5996" s="462"/>
      <c r="AC5996" s="462"/>
      <c r="AD5996" s="464"/>
      <c r="AE5996" s="465"/>
    </row>
    <row r="5997" spans="27:31" ht="14.4">
      <c r="AA5997" s="463"/>
      <c r="AB5997" s="462"/>
      <c r="AC5997" s="462"/>
      <c r="AD5997" s="464"/>
      <c r="AE5997" s="465"/>
    </row>
    <row r="5998" spans="27:31" ht="14.4">
      <c r="AA5998" s="463"/>
      <c r="AB5998" s="462"/>
      <c r="AC5998" s="462"/>
      <c r="AD5998" s="464"/>
      <c r="AE5998" s="465"/>
    </row>
    <row r="5999" spans="27:31" ht="14.4">
      <c r="AA5999" s="463"/>
      <c r="AB5999" s="462"/>
      <c r="AC5999" s="462"/>
      <c r="AD5999" s="464"/>
      <c r="AE5999" s="465"/>
    </row>
    <row r="6000" spans="27:31" ht="14.4">
      <c r="AA6000" s="463"/>
      <c r="AB6000" s="462"/>
      <c r="AC6000" s="462"/>
      <c r="AD6000" s="464"/>
      <c r="AE6000" s="465"/>
    </row>
    <row r="6001" spans="27:31" ht="14.4">
      <c r="AA6001" s="463"/>
      <c r="AB6001" s="462"/>
      <c r="AC6001" s="462"/>
      <c r="AD6001" s="464"/>
      <c r="AE6001" s="465"/>
    </row>
    <row r="6002" spans="27:31" ht="14.4">
      <c r="AA6002" s="463"/>
      <c r="AB6002" s="462"/>
      <c r="AC6002" s="462"/>
      <c r="AD6002" s="464"/>
      <c r="AE6002" s="465"/>
    </row>
    <row r="6003" spans="27:31" ht="14.4">
      <c r="AA6003" s="463"/>
      <c r="AB6003" s="462"/>
      <c r="AC6003" s="462"/>
      <c r="AD6003" s="464"/>
      <c r="AE6003" s="465"/>
    </row>
    <row r="6004" spans="27:31" ht="14.4">
      <c r="AA6004" s="463"/>
      <c r="AB6004" s="462"/>
      <c r="AC6004" s="462"/>
      <c r="AD6004" s="464"/>
      <c r="AE6004" s="465"/>
    </row>
    <row r="6005" spans="27:31" ht="14.4">
      <c r="AA6005" s="463"/>
      <c r="AB6005" s="462"/>
      <c r="AC6005" s="462"/>
      <c r="AD6005" s="464"/>
      <c r="AE6005" s="465"/>
    </row>
    <row r="6006" spans="27:31" ht="14.4">
      <c r="AA6006" s="463"/>
      <c r="AB6006" s="462"/>
      <c r="AC6006" s="462"/>
      <c r="AD6006" s="464"/>
      <c r="AE6006" s="465"/>
    </row>
    <row r="6007" spans="27:31" ht="14.4">
      <c r="AA6007" s="463"/>
      <c r="AB6007" s="462"/>
      <c r="AC6007" s="462"/>
      <c r="AD6007" s="464"/>
      <c r="AE6007" s="465"/>
    </row>
    <row r="6008" spans="27:31" ht="14.4">
      <c r="AA6008" s="463"/>
      <c r="AB6008" s="462"/>
      <c r="AC6008" s="462"/>
      <c r="AD6008" s="464"/>
      <c r="AE6008" s="465"/>
    </row>
    <row r="6009" spans="27:31" ht="14.4">
      <c r="AA6009" s="463"/>
      <c r="AB6009" s="462"/>
      <c r="AC6009" s="462"/>
      <c r="AD6009" s="464"/>
      <c r="AE6009" s="465"/>
    </row>
    <row r="6010" spans="27:31" ht="14.4">
      <c r="AA6010" s="463"/>
      <c r="AB6010" s="462"/>
      <c r="AC6010" s="462"/>
      <c r="AD6010" s="464"/>
      <c r="AE6010" s="465"/>
    </row>
    <row r="6011" spans="27:31" ht="14.4">
      <c r="AA6011" s="463"/>
      <c r="AB6011" s="462"/>
      <c r="AC6011" s="462"/>
      <c r="AD6011" s="464"/>
      <c r="AE6011" s="465"/>
    </row>
    <row r="6012" spans="27:31" ht="14.4">
      <c r="AA6012" s="463"/>
      <c r="AB6012" s="462"/>
      <c r="AC6012" s="462"/>
      <c r="AD6012" s="464"/>
      <c r="AE6012" s="465"/>
    </row>
    <row r="6013" spans="27:31" ht="14.4">
      <c r="AA6013" s="463"/>
      <c r="AB6013" s="462"/>
      <c r="AC6013" s="462"/>
      <c r="AD6013" s="464"/>
      <c r="AE6013" s="465"/>
    </row>
    <row r="6014" spans="27:31" ht="14.4">
      <c r="AA6014" s="463"/>
      <c r="AB6014" s="462"/>
      <c r="AC6014" s="462"/>
      <c r="AD6014" s="464"/>
      <c r="AE6014" s="465"/>
    </row>
    <row r="6015" spans="27:31" ht="14.4">
      <c r="AA6015" s="463"/>
      <c r="AB6015" s="462"/>
      <c r="AC6015" s="462"/>
      <c r="AD6015" s="464"/>
      <c r="AE6015" s="465"/>
    </row>
    <row r="6016" spans="27:31" ht="14.4">
      <c r="AA6016" s="463"/>
      <c r="AB6016" s="462"/>
      <c r="AC6016" s="462"/>
      <c r="AD6016" s="464"/>
      <c r="AE6016" s="465"/>
    </row>
    <row r="6017" spans="27:31" ht="14.4">
      <c r="AA6017" s="463"/>
      <c r="AB6017" s="462"/>
      <c r="AC6017" s="462"/>
      <c r="AD6017" s="464"/>
      <c r="AE6017" s="465"/>
    </row>
    <row r="6018" spans="27:31" ht="14.4">
      <c r="AA6018" s="463"/>
      <c r="AB6018" s="462"/>
      <c r="AC6018" s="462"/>
      <c r="AD6018" s="464"/>
      <c r="AE6018" s="465"/>
    </row>
    <row r="6019" spans="27:31" ht="14.4">
      <c r="AA6019" s="463"/>
      <c r="AB6019" s="462"/>
      <c r="AC6019" s="462"/>
      <c r="AD6019" s="464"/>
      <c r="AE6019" s="465"/>
    </row>
    <row r="6020" spans="27:31" ht="14.4">
      <c r="AA6020" s="463"/>
      <c r="AB6020" s="462"/>
      <c r="AC6020" s="462"/>
      <c r="AD6020" s="464"/>
      <c r="AE6020" s="465"/>
    </row>
    <row r="6021" spans="27:31" ht="14.4">
      <c r="AA6021" s="463"/>
      <c r="AB6021" s="462"/>
      <c r="AC6021" s="462"/>
      <c r="AD6021" s="464"/>
      <c r="AE6021" s="465"/>
    </row>
    <row r="6022" spans="27:31" ht="14.4">
      <c r="AA6022" s="463"/>
      <c r="AB6022" s="462"/>
      <c r="AC6022" s="462"/>
      <c r="AD6022" s="464"/>
      <c r="AE6022" s="465"/>
    </row>
    <row r="6023" spans="27:31" ht="14.4">
      <c r="AA6023" s="463"/>
      <c r="AB6023" s="462"/>
      <c r="AC6023" s="462"/>
      <c r="AD6023" s="464"/>
      <c r="AE6023" s="465"/>
    </row>
    <row r="6024" spans="27:31" ht="14.4">
      <c r="AA6024" s="463"/>
      <c r="AB6024" s="462"/>
      <c r="AC6024" s="462"/>
      <c r="AD6024" s="464"/>
      <c r="AE6024" s="465"/>
    </row>
    <row r="6025" spans="27:31" ht="14.4">
      <c r="AA6025" s="463"/>
      <c r="AB6025" s="462"/>
      <c r="AC6025" s="462"/>
      <c r="AD6025" s="464"/>
      <c r="AE6025" s="465"/>
    </row>
    <row r="6026" spans="27:31" ht="14.4">
      <c r="AA6026" s="463"/>
      <c r="AB6026" s="462"/>
      <c r="AC6026" s="462"/>
      <c r="AD6026" s="464"/>
      <c r="AE6026" s="465"/>
    </row>
    <row r="6027" spans="27:31" ht="14.4">
      <c r="AA6027" s="463"/>
      <c r="AB6027" s="462"/>
      <c r="AC6027" s="462"/>
      <c r="AD6027" s="464"/>
      <c r="AE6027" s="465"/>
    </row>
    <row r="6028" spans="27:31" ht="14.4">
      <c r="AA6028" s="463"/>
      <c r="AB6028" s="462"/>
      <c r="AC6028" s="462"/>
      <c r="AD6028" s="464"/>
      <c r="AE6028" s="465"/>
    </row>
    <row r="6029" spans="27:31" ht="14.4">
      <c r="AA6029" s="463"/>
      <c r="AB6029" s="462"/>
      <c r="AC6029" s="462"/>
      <c r="AD6029" s="464"/>
      <c r="AE6029" s="465"/>
    </row>
    <row r="6030" spans="27:31" ht="14.4">
      <c r="AA6030" s="463"/>
      <c r="AB6030" s="462"/>
      <c r="AC6030" s="462"/>
      <c r="AD6030" s="464"/>
      <c r="AE6030" s="465"/>
    </row>
    <row r="6031" spans="27:31" ht="14.4">
      <c r="AA6031" s="463"/>
      <c r="AB6031" s="462"/>
      <c r="AC6031" s="462"/>
      <c r="AD6031" s="464"/>
      <c r="AE6031" s="465"/>
    </row>
    <row r="6032" spans="27:31" ht="14.4">
      <c r="AA6032" s="463"/>
      <c r="AB6032" s="462"/>
      <c r="AC6032" s="462"/>
      <c r="AD6032" s="464"/>
      <c r="AE6032" s="465"/>
    </row>
    <row r="6033" spans="27:31" ht="14.4">
      <c r="AA6033" s="463"/>
      <c r="AB6033" s="462"/>
      <c r="AC6033" s="462"/>
      <c r="AD6033" s="464"/>
      <c r="AE6033" s="465"/>
    </row>
    <row r="6034" spans="27:31" ht="14.4">
      <c r="AA6034" s="463"/>
      <c r="AB6034" s="462"/>
      <c r="AC6034" s="462"/>
      <c r="AD6034" s="464"/>
      <c r="AE6034" s="465"/>
    </row>
    <row r="6035" spans="27:31" ht="14.4">
      <c r="AA6035" s="463"/>
      <c r="AB6035" s="462"/>
      <c r="AC6035" s="462"/>
      <c r="AD6035" s="464"/>
      <c r="AE6035" s="465"/>
    </row>
    <row r="6036" spans="27:31" ht="14.4">
      <c r="AA6036" s="463"/>
      <c r="AB6036" s="462"/>
      <c r="AC6036" s="462"/>
      <c r="AD6036" s="464"/>
      <c r="AE6036" s="465"/>
    </row>
    <row r="6037" spans="27:31" ht="14.4">
      <c r="AA6037" s="463"/>
      <c r="AB6037" s="462"/>
      <c r="AC6037" s="462"/>
      <c r="AD6037" s="464"/>
      <c r="AE6037" s="465"/>
    </row>
    <row r="6038" spans="27:31" ht="14.4">
      <c r="AA6038" s="463"/>
      <c r="AB6038" s="462"/>
      <c r="AC6038" s="462"/>
      <c r="AD6038" s="464"/>
      <c r="AE6038" s="465"/>
    </row>
    <row r="6039" spans="27:31" ht="14.4">
      <c r="AA6039" s="463"/>
      <c r="AB6039" s="462"/>
      <c r="AC6039" s="462"/>
      <c r="AD6039" s="464"/>
      <c r="AE6039" s="465"/>
    </row>
    <row r="6040" spans="27:31" ht="14.4">
      <c r="AA6040" s="463"/>
      <c r="AB6040" s="462"/>
      <c r="AC6040" s="462"/>
      <c r="AD6040" s="464"/>
      <c r="AE6040" s="465"/>
    </row>
    <row r="6041" spans="27:31" ht="14.4">
      <c r="AA6041" s="463"/>
      <c r="AB6041" s="462"/>
      <c r="AC6041" s="462"/>
      <c r="AD6041" s="464"/>
      <c r="AE6041" s="465"/>
    </row>
    <row r="6042" spans="27:31" ht="14.4">
      <c r="AA6042" s="463"/>
      <c r="AB6042" s="462"/>
      <c r="AC6042" s="462"/>
      <c r="AD6042" s="464"/>
      <c r="AE6042" s="465"/>
    </row>
    <row r="6043" spans="27:31" ht="14.4">
      <c r="AA6043" s="463"/>
      <c r="AB6043" s="462"/>
      <c r="AC6043" s="462"/>
      <c r="AD6043" s="464"/>
      <c r="AE6043" s="465"/>
    </row>
    <row r="6044" spans="27:31" ht="14.4">
      <c r="AA6044" s="463"/>
      <c r="AB6044" s="462"/>
      <c r="AC6044" s="462"/>
      <c r="AD6044" s="464"/>
      <c r="AE6044" s="465"/>
    </row>
    <row r="6045" spans="27:31" ht="14.4">
      <c r="AA6045" s="463"/>
      <c r="AB6045" s="462"/>
      <c r="AC6045" s="462"/>
      <c r="AD6045" s="464"/>
      <c r="AE6045" s="465"/>
    </row>
    <row r="6046" spans="27:31" ht="14.4">
      <c r="AA6046" s="463"/>
      <c r="AB6046" s="462"/>
      <c r="AC6046" s="462"/>
      <c r="AD6046" s="464"/>
      <c r="AE6046" s="465"/>
    </row>
    <row r="6047" spans="27:31" ht="14.4">
      <c r="AA6047" s="463"/>
      <c r="AB6047" s="462"/>
      <c r="AC6047" s="462"/>
      <c r="AD6047" s="464"/>
      <c r="AE6047" s="465"/>
    </row>
    <row r="6048" spans="27:31" ht="14.4">
      <c r="AA6048" s="463"/>
      <c r="AB6048" s="462"/>
      <c r="AC6048" s="462"/>
      <c r="AD6048" s="464"/>
      <c r="AE6048" s="465"/>
    </row>
    <row r="6049" spans="27:31" ht="14.4">
      <c r="AA6049" s="463"/>
      <c r="AB6049" s="462"/>
      <c r="AC6049" s="462"/>
      <c r="AD6049" s="464"/>
      <c r="AE6049" s="465"/>
    </row>
    <row r="6050" spans="27:31" ht="14.4">
      <c r="AA6050" s="463"/>
      <c r="AB6050" s="462"/>
      <c r="AC6050" s="462"/>
      <c r="AD6050" s="464"/>
      <c r="AE6050" s="465"/>
    </row>
    <row r="6051" spans="27:31" ht="14.4">
      <c r="AA6051" s="463"/>
      <c r="AB6051" s="462"/>
      <c r="AC6051" s="462"/>
      <c r="AD6051" s="464"/>
      <c r="AE6051" s="465"/>
    </row>
    <row r="6052" spans="27:31" ht="14.4">
      <c r="AA6052" s="463"/>
      <c r="AB6052" s="462"/>
      <c r="AC6052" s="462"/>
      <c r="AD6052" s="464"/>
      <c r="AE6052" s="465"/>
    </row>
    <row r="6053" spans="27:31" ht="14.4">
      <c r="AA6053" s="463"/>
      <c r="AB6053" s="462"/>
      <c r="AC6053" s="462"/>
      <c r="AD6053" s="464"/>
      <c r="AE6053" s="465"/>
    </row>
    <row r="6054" spans="27:31" ht="14.4">
      <c r="AA6054" s="463"/>
      <c r="AB6054" s="462"/>
      <c r="AC6054" s="462"/>
      <c r="AD6054" s="464"/>
      <c r="AE6054" s="465"/>
    </row>
    <row r="6055" spans="27:31" ht="14.4">
      <c r="AA6055" s="463"/>
      <c r="AB6055" s="462"/>
      <c r="AC6055" s="462"/>
      <c r="AD6055" s="464"/>
      <c r="AE6055" s="465"/>
    </row>
    <row r="6056" spans="27:31" ht="14.4">
      <c r="AA6056" s="463"/>
      <c r="AB6056" s="462"/>
      <c r="AC6056" s="462"/>
      <c r="AD6056" s="464"/>
      <c r="AE6056" s="465"/>
    </row>
    <row r="6057" spans="27:31" ht="14.4">
      <c r="AA6057" s="463"/>
      <c r="AB6057" s="462"/>
      <c r="AC6057" s="462"/>
      <c r="AD6057" s="464"/>
      <c r="AE6057" s="465"/>
    </row>
    <row r="6058" spans="27:31" ht="14.4">
      <c r="AA6058" s="463"/>
      <c r="AB6058" s="462"/>
      <c r="AC6058" s="462"/>
      <c r="AD6058" s="464"/>
      <c r="AE6058" s="465"/>
    </row>
    <row r="6059" spans="27:31" ht="14.4">
      <c r="AA6059" s="463"/>
      <c r="AB6059" s="462"/>
      <c r="AC6059" s="462"/>
      <c r="AD6059" s="464"/>
      <c r="AE6059" s="465"/>
    </row>
    <row r="6060" spans="27:31" ht="14.4">
      <c r="AA6060" s="463"/>
      <c r="AB6060" s="462"/>
      <c r="AC6060" s="462"/>
      <c r="AD6060" s="464"/>
      <c r="AE6060" s="465"/>
    </row>
    <row r="6061" spans="27:31" ht="14.4">
      <c r="AA6061" s="463"/>
      <c r="AB6061" s="462"/>
      <c r="AC6061" s="462"/>
      <c r="AD6061" s="464"/>
      <c r="AE6061" s="465"/>
    </row>
    <row r="6062" spans="27:31" ht="14.4">
      <c r="AA6062" s="463"/>
      <c r="AB6062" s="462"/>
      <c r="AC6062" s="462"/>
      <c r="AD6062" s="464"/>
      <c r="AE6062" s="465"/>
    </row>
    <row r="6063" spans="27:31" ht="14.4">
      <c r="AA6063" s="463"/>
      <c r="AB6063" s="462"/>
      <c r="AC6063" s="462"/>
      <c r="AD6063" s="464"/>
      <c r="AE6063" s="465"/>
    </row>
    <row r="6064" spans="27:31" ht="14.4">
      <c r="AA6064" s="463"/>
      <c r="AB6064" s="462"/>
      <c r="AC6064" s="462"/>
      <c r="AD6064" s="464"/>
      <c r="AE6064" s="465"/>
    </row>
    <row r="6065" spans="27:31" ht="14.4">
      <c r="AA6065" s="463"/>
      <c r="AB6065" s="462"/>
      <c r="AC6065" s="462"/>
      <c r="AD6065" s="464"/>
      <c r="AE6065" s="465"/>
    </row>
    <row r="6066" spans="27:31" ht="14.4">
      <c r="AA6066" s="463"/>
      <c r="AB6066" s="462"/>
      <c r="AC6066" s="462"/>
      <c r="AD6066" s="464"/>
      <c r="AE6066" s="465"/>
    </row>
    <row r="6067" spans="27:31" ht="14.4">
      <c r="AA6067" s="463"/>
      <c r="AB6067" s="462"/>
      <c r="AC6067" s="462"/>
      <c r="AD6067" s="464"/>
      <c r="AE6067" s="465"/>
    </row>
    <row r="6068" spans="27:31" ht="14.4">
      <c r="AA6068" s="463"/>
      <c r="AB6068" s="462"/>
      <c r="AC6068" s="462"/>
      <c r="AD6068" s="464"/>
      <c r="AE6068" s="465"/>
    </row>
    <row r="6069" spans="27:31" ht="14.4">
      <c r="AA6069" s="463"/>
      <c r="AB6069" s="462"/>
      <c r="AC6069" s="462"/>
      <c r="AD6069" s="464"/>
      <c r="AE6069" s="465"/>
    </row>
    <row r="6070" spans="27:31" ht="14.4">
      <c r="AA6070" s="463"/>
      <c r="AB6070" s="462"/>
      <c r="AC6070" s="462"/>
      <c r="AD6070" s="464"/>
      <c r="AE6070" s="465"/>
    </row>
    <row r="6071" spans="27:31" ht="14.4">
      <c r="AA6071" s="463"/>
      <c r="AB6071" s="462"/>
      <c r="AC6071" s="462"/>
      <c r="AD6071" s="464"/>
      <c r="AE6071" s="465"/>
    </row>
    <row r="6072" spans="27:31" ht="14.4">
      <c r="AA6072" s="463"/>
      <c r="AB6072" s="462"/>
      <c r="AC6072" s="462"/>
      <c r="AD6072" s="464"/>
      <c r="AE6072" s="465"/>
    </row>
    <row r="6073" spans="27:31" ht="14.4">
      <c r="AA6073" s="463"/>
      <c r="AB6073" s="462"/>
      <c r="AC6073" s="462"/>
      <c r="AD6073" s="464"/>
      <c r="AE6073" s="465"/>
    </row>
    <row r="6074" spans="27:31" ht="14.4">
      <c r="AA6074" s="463"/>
      <c r="AB6074" s="462"/>
      <c r="AC6074" s="462"/>
      <c r="AD6074" s="464"/>
      <c r="AE6074" s="465"/>
    </row>
    <row r="6075" spans="27:31" ht="14.4">
      <c r="AA6075" s="463"/>
      <c r="AB6075" s="462"/>
      <c r="AC6075" s="462"/>
      <c r="AD6075" s="464"/>
      <c r="AE6075" s="465"/>
    </row>
    <row r="6076" spans="27:31" ht="14.4">
      <c r="AA6076" s="463"/>
      <c r="AB6076" s="462"/>
      <c r="AC6076" s="462"/>
      <c r="AD6076" s="464"/>
      <c r="AE6076" s="465"/>
    </row>
    <row r="6077" spans="27:31" ht="14.4">
      <c r="AA6077" s="463"/>
      <c r="AB6077" s="462"/>
      <c r="AC6077" s="462"/>
      <c r="AD6077" s="464"/>
      <c r="AE6077" s="465"/>
    </row>
    <row r="6078" spans="27:31" ht="14.4">
      <c r="AA6078" s="463"/>
      <c r="AB6078" s="462"/>
      <c r="AC6078" s="462"/>
      <c r="AD6078" s="464"/>
      <c r="AE6078" s="465"/>
    </row>
    <row r="6079" spans="27:31" ht="14.4">
      <c r="AA6079" s="463"/>
      <c r="AB6079" s="462"/>
      <c r="AC6079" s="462"/>
      <c r="AD6079" s="464"/>
      <c r="AE6079" s="465"/>
    </row>
    <row r="6080" spans="27:31" ht="14.4">
      <c r="AA6080" s="463"/>
      <c r="AB6080" s="462"/>
      <c r="AC6080" s="462"/>
      <c r="AD6080" s="464"/>
      <c r="AE6080" s="465"/>
    </row>
    <row r="6081" spans="27:31" ht="14.4">
      <c r="AA6081" s="463"/>
      <c r="AB6081" s="462"/>
      <c r="AC6081" s="462"/>
      <c r="AD6081" s="464"/>
      <c r="AE6081" s="465"/>
    </row>
    <row r="6082" spans="27:31" ht="14.4">
      <c r="AA6082" s="463"/>
      <c r="AB6082" s="462"/>
      <c r="AC6082" s="462"/>
      <c r="AD6082" s="464"/>
      <c r="AE6082" s="465"/>
    </row>
    <row r="6083" spans="27:31" ht="14.4">
      <c r="AA6083" s="463"/>
      <c r="AB6083" s="462"/>
      <c r="AC6083" s="462"/>
      <c r="AD6083" s="464"/>
      <c r="AE6083" s="465"/>
    </row>
    <row r="6084" spans="27:31" ht="14.4">
      <c r="AA6084" s="463"/>
      <c r="AB6084" s="462"/>
      <c r="AC6084" s="462"/>
      <c r="AD6084" s="464"/>
      <c r="AE6084" s="465"/>
    </row>
    <row r="6085" spans="27:31" ht="14.4">
      <c r="AA6085" s="463"/>
      <c r="AB6085" s="462"/>
      <c r="AC6085" s="462"/>
      <c r="AD6085" s="464"/>
      <c r="AE6085" s="465"/>
    </row>
    <row r="6086" spans="27:31" ht="14.4">
      <c r="AA6086" s="463"/>
      <c r="AB6086" s="462"/>
      <c r="AC6086" s="462"/>
      <c r="AD6086" s="464"/>
      <c r="AE6086" s="465"/>
    </row>
    <row r="6087" spans="27:31" ht="14.4">
      <c r="AA6087" s="463"/>
      <c r="AB6087" s="462"/>
      <c r="AC6087" s="462"/>
      <c r="AD6087" s="464"/>
      <c r="AE6087" s="465"/>
    </row>
    <row r="6088" spans="27:31" ht="14.4">
      <c r="AA6088" s="463"/>
      <c r="AB6088" s="462"/>
      <c r="AC6088" s="462"/>
      <c r="AD6088" s="464"/>
      <c r="AE6088" s="465"/>
    </row>
    <row r="6089" spans="27:31" ht="14.4">
      <c r="AA6089" s="463"/>
      <c r="AB6089" s="462"/>
      <c r="AC6089" s="462"/>
      <c r="AD6089" s="464"/>
      <c r="AE6089" s="465"/>
    </row>
    <row r="6090" spans="27:31" ht="14.4">
      <c r="AA6090" s="463"/>
      <c r="AB6090" s="462"/>
      <c r="AC6090" s="462"/>
      <c r="AD6090" s="464"/>
      <c r="AE6090" s="465"/>
    </row>
    <row r="6091" spans="27:31" ht="14.4">
      <c r="AA6091" s="463"/>
      <c r="AB6091" s="462"/>
      <c r="AC6091" s="462"/>
      <c r="AD6091" s="464"/>
      <c r="AE6091" s="465"/>
    </row>
    <row r="6092" spans="27:31" ht="14.4">
      <c r="AA6092" s="463"/>
      <c r="AB6092" s="462"/>
      <c r="AC6092" s="462"/>
      <c r="AD6092" s="464"/>
      <c r="AE6092" s="465"/>
    </row>
    <row r="6093" spans="27:31" ht="14.4">
      <c r="AA6093" s="463"/>
      <c r="AB6093" s="462"/>
      <c r="AC6093" s="462"/>
      <c r="AD6093" s="464"/>
      <c r="AE6093" s="465"/>
    </row>
    <row r="6094" spans="27:31" ht="14.4">
      <c r="AA6094" s="463"/>
      <c r="AB6094" s="462"/>
      <c r="AC6094" s="462"/>
      <c r="AD6094" s="464"/>
      <c r="AE6094" s="465"/>
    </row>
    <row r="6095" spans="27:31" ht="14.4">
      <c r="AA6095" s="463"/>
      <c r="AB6095" s="462"/>
      <c r="AC6095" s="462"/>
      <c r="AD6095" s="464"/>
      <c r="AE6095" s="465"/>
    </row>
    <row r="6096" spans="27:31" ht="14.4">
      <c r="AA6096" s="463"/>
      <c r="AB6096" s="462"/>
      <c r="AC6096" s="462"/>
      <c r="AD6096" s="464"/>
      <c r="AE6096" s="465"/>
    </row>
    <row r="6097" spans="27:31" ht="14.4">
      <c r="AA6097" s="463"/>
      <c r="AB6097" s="462"/>
      <c r="AC6097" s="462"/>
      <c r="AD6097" s="464"/>
      <c r="AE6097" s="465"/>
    </row>
    <row r="6098" spans="27:31" ht="14.4">
      <c r="AA6098" s="463"/>
      <c r="AB6098" s="462"/>
      <c r="AC6098" s="462"/>
      <c r="AD6098" s="464"/>
      <c r="AE6098" s="465"/>
    </row>
    <row r="6099" spans="27:31" ht="14.4">
      <c r="AA6099" s="463"/>
      <c r="AB6099" s="462"/>
      <c r="AC6099" s="462"/>
      <c r="AD6099" s="464"/>
      <c r="AE6099" s="465"/>
    </row>
    <row r="6100" spans="27:31" ht="14.4">
      <c r="AA6100" s="463"/>
      <c r="AB6100" s="462"/>
      <c r="AC6100" s="462"/>
      <c r="AD6100" s="464"/>
      <c r="AE6100" s="465"/>
    </row>
    <row r="6101" spans="27:31" ht="14.4">
      <c r="AA6101" s="463"/>
      <c r="AB6101" s="462"/>
      <c r="AC6101" s="462"/>
      <c r="AD6101" s="464"/>
      <c r="AE6101" s="465"/>
    </row>
    <row r="6102" spans="27:31" ht="14.4">
      <c r="AA6102" s="463"/>
      <c r="AB6102" s="462"/>
      <c r="AC6102" s="462"/>
      <c r="AD6102" s="464"/>
      <c r="AE6102" s="465"/>
    </row>
    <row r="6103" spans="27:31" ht="14.4">
      <c r="AA6103" s="463"/>
      <c r="AB6103" s="462"/>
      <c r="AC6103" s="462"/>
      <c r="AD6103" s="464"/>
      <c r="AE6103" s="465"/>
    </row>
    <row r="6104" spans="27:31" ht="14.4">
      <c r="AA6104" s="463"/>
      <c r="AB6104" s="462"/>
      <c r="AC6104" s="462"/>
      <c r="AD6104" s="464"/>
      <c r="AE6104" s="465"/>
    </row>
    <row r="6105" spans="27:31" ht="14.4">
      <c r="AA6105" s="463"/>
      <c r="AB6105" s="462"/>
      <c r="AC6105" s="462"/>
      <c r="AD6105" s="464"/>
      <c r="AE6105" s="465"/>
    </row>
    <row r="6106" spans="27:31" ht="14.4">
      <c r="AA6106" s="463"/>
      <c r="AB6106" s="462"/>
      <c r="AC6106" s="462"/>
      <c r="AD6106" s="464"/>
      <c r="AE6106" s="465"/>
    </row>
    <row r="6107" spans="27:31" ht="14.4">
      <c r="AA6107" s="463"/>
      <c r="AB6107" s="462"/>
      <c r="AC6107" s="462"/>
      <c r="AD6107" s="464"/>
      <c r="AE6107" s="465"/>
    </row>
    <row r="6108" spans="27:31" ht="14.4">
      <c r="AA6108" s="463"/>
      <c r="AB6108" s="462"/>
      <c r="AC6108" s="462"/>
      <c r="AD6108" s="464"/>
      <c r="AE6108" s="465"/>
    </row>
    <row r="6109" spans="27:31" ht="14.4">
      <c r="AA6109" s="463"/>
      <c r="AB6109" s="462"/>
      <c r="AC6109" s="462"/>
      <c r="AD6109" s="464"/>
      <c r="AE6109" s="465"/>
    </row>
    <row r="6110" spans="27:31" ht="14.4">
      <c r="AA6110" s="463"/>
      <c r="AB6110" s="462"/>
      <c r="AC6110" s="462"/>
      <c r="AD6110" s="464"/>
      <c r="AE6110" s="465"/>
    </row>
    <row r="6111" spans="27:31" ht="14.4">
      <c r="AA6111" s="463"/>
      <c r="AB6111" s="462"/>
      <c r="AC6111" s="462"/>
      <c r="AD6111" s="464"/>
      <c r="AE6111" s="465"/>
    </row>
    <row r="6112" spans="27:31" ht="14.4">
      <c r="AA6112" s="463"/>
      <c r="AB6112" s="462"/>
      <c r="AC6112" s="462"/>
      <c r="AD6112" s="464"/>
      <c r="AE6112" s="465"/>
    </row>
    <row r="6113" spans="27:31" ht="14.4">
      <c r="AA6113" s="463"/>
      <c r="AB6113" s="462"/>
      <c r="AC6113" s="462"/>
      <c r="AD6113" s="464"/>
      <c r="AE6113" s="465"/>
    </row>
    <row r="6114" spans="27:31" ht="14.4">
      <c r="AA6114" s="463"/>
      <c r="AB6114" s="462"/>
      <c r="AC6114" s="462"/>
      <c r="AD6114" s="464"/>
      <c r="AE6114" s="465"/>
    </row>
    <row r="6115" spans="27:31" ht="14.4">
      <c r="AA6115" s="463"/>
      <c r="AB6115" s="462"/>
      <c r="AC6115" s="462"/>
      <c r="AD6115" s="464"/>
      <c r="AE6115" s="465"/>
    </row>
    <row r="6116" spans="27:31" ht="14.4">
      <c r="AA6116" s="463"/>
      <c r="AB6116" s="462"/>
      <c r="AC6116" s="462"/>
      <c r="AD6116" s="464"/>
      <c r="AE6116" s="465"/>
    </row>
    <row r="6117" spans="27:31" ht="14.4">
      <c r="AA6117" s="463"/>
      <c r="AB6117" s="462"/>
      <c r="AC6117" s="462"/>
      <c r="AD6117" s="464"/>
      <c r="AE6117" s="465"/>
    </row>
    <row r="6118" spans="27:31" ht="14.4">
      <c r="AA6118" s="463"/>
      <c r="AB6118" s="462"/>
      <c r="AC6118" s="462"/>
      <c r="AD6118" s="464"/>
      <c r="AE6118" s="465"/>
    </row>
    <row r="6119" spans="27:31" ht="14.4">
      <c r="AA6119" s="463"/>
      <c r="AB6119" s="462"/>
      <c r="AC6119" s="462"/>
      <c r="AD6119" s="464"/>
      <c r="AE6119" s="465"/>
    </row>
    <row r="6120" spans="27:31" ht="14.4">
      <c r="AA6120" s="463"/>
      <c r="AB6120" s="462"/>
      <c r="AC6120" s="462"/>
      <c r="AD6120" s="464"/>
      <c r="AE6120" s="465"/>
    </row>
    <row r="6121" spans="27:31" ht="14.4">
      <c r="AA6121" s="463"/>
      <c r="AB6121" s="462"/>
      <c r="AC6121" s="462"/>
      <c r="AD6121" s="464"/>
      <c r="AE6121" s="465"/>
    </row>
    <row r="6122" spans="27:31" ht="14.4">
      <c r="AA6122" s="463"/>
      <c r="AB6122" s="462"/>
      <c r="AC6122" s="462"/>
      <c r="AD6122" s="464"/>
      <c r="AE6122" s="465"/>
    </row>
    <row r="6123" spans="27:31" ht="14.4">
      <c r="AA6123" s="463"/>
      <c r="AB6123" s="462"/>
      <c r="AC6123" s="462"/>
      <c r="AD6123" s="464"/>
      <c r="AE6123" s="465"/>
    </row>
    <row r="6124" spans="27:31" ht="14.4">
      <c r="AA6124" s="463"/>
      <c r="AB6124" s="462"/>
      <c r="AC6124" s="462"/>
      <c r="AD6124" s="464"/>
      <c r="AE6124" s="465"/>
    </row>
    <row r="6125" spans="27:31" ht="14.4">
      <c r="AA6125" s="463"/>
      <c r="AB6125" s="462"/>
      <c r="AC6125" s="462"/>
      <c r="AD6125" s="464"/>
      <c r="AE6125" s="465"/>
    </row>
    <row r="6126" spans="27:31" ht="14.4">
      <c r="AA6126" s="463"/>
      <c r="AB6126" s="462"/>
      <c r="AC6126" s="462"/>
      <c r="AD6126" s="464"/>
      <c r="AE6126" s="465"/>
    </row>
    <row r="6127" spans="27:31" ht="14.4">
      <c r="AA6127" s="463"/>
      <c r="AB6127" s="462"/>
      <c r="AC6127" s="462"/>
      <c r="AD6127" s="464"/>
      <c r="AE6127" s="465"/>
    </row>
    <row r="6128" spans="27:31" ht="14.4">
      <c r="AA6128" s="463"/>
      <c r="AB6128" s="462"/>
      <c r="AC6128" s="462"/>
      <c r="AD6128" s="464"/>
      <c r="AE6128" s="465"/>
    </row>
    <row r="6129" spans="27:31" ht="14.4">
      <c r="AA6129" s="463"/>
      <c r="AB6129" s="462"/>
      <c r="AC6129" s="462"/>
      <c r="AD6129" s="464"/>
      <c r="AE6129" s="465"/>
    </row>
    <row r="6130" spans="27:31" ht="14.4">
      <c r="AA6130" s="463"/>
      <c r="AB6130" s="462"/>
      <c r="AC6130" s="462"/>
      <c r="AD6130" s="464"/>
      <c r="AE6130" s="465"/>
    </row>
    <row r="6131" spans="27:31" ht="14.4">
      <c r="AA6131" s="463"/>
      <c r="AB6131" s="462"/>
      <c r="AC6131" s="462"/>
      <c r="AD6131" s="464"/>
      <c r="AE6131" s="465"/>
    </row>
    <row r="6132" spans="27:31" ht="14.4">
      <c r="AA6132" s="463"/>
      <c r="AB6132" s="462"/>
      <c r="AC6132" s="462"/>
      <c r="AD6132" s="464"/>
      <c r="AE6132" s="465"/>
    </row>
    <row r="6133" spans="27:31" ht="14.4">
      <c r="AA6133" s="463"/>
      <c r="AB6133" s="462"/>
      <c r="AC6133" s="462"/>
      <c r="AD6133" s="464"/>
      <c r="AE6133" s="465"/>
    </row>
    <row r="6134" spans="27:31" ht="14.4">
      <c r="AA6134" s="463"/>
      <c r="AB6134" s="462"/>
      <c r="AC6134" s="462"/>
      <c r="AD6134" s="464"/>
      <c r="AE6134" s="465"/>
    </row>
    <row r="6135" spans="27:31" ht="14.4">
      <c r="AA6135" s="463"/>
      <c r="AB6135" s="462"/>
      <c r="AC6135" s="462"/>
      <c r="AD6135" s="464"/>
      <c r="AE6135" s="465"/>
    </row>
    <row r="6136" spans="27:31" ht="14.4">
      <c r="AA6136" s="463"/>
      <c r="AB6136" s="462"/>
      <c r="AC6136" s="462"/>
      <c r="AD6136" s="464"/>
      <c r="AE6136" s="465"/>
    </row>
    <row r="6137" spans="27:31" ht="14.4">
      <c r="AA6137" s="463"/>
      <c r="AB6137" s="462"/>
      <c r="AC6137" s="462"/>
      <c r="AD6137" s="464"/>
      <c r="AE6137" s="465"/>
    </row>
    <row r="6138" spans="27:31" ht="14.4">
      <c r="AA6138" s="463"/>
      <c r="AB6138" s="462"/>
      <c r="AC6138" s="462"/>
      <c r="AD6138" s="464"/>
      <c r="AE6138" s="465"/>
    </row>
    <row r="6139" spans="27:31" ht="14.4">
      <c r="AA6139" s="463"/>
      <c r="AB6139" s="462"/>
      <c r="AC6139" s="462"/>
      <c r="AD6139" s="464"/>
      <c r="AE6139" s="465"/>
    </row>
    <row r="6140" spans="27:31" ht="14.4">
      <c r="AA6140" s="463"/>
      <c r="AB6140" s="462"/>
      <c r="AC6140" s="462"/>
      <c r="AD6140" s="464"/>
      <c r="AE6140" s="465"/>
    </row>
    <row r="6141" spans="27:31" ht="14.4">
      <c r="AA6141" s="463"/>
      <c r="AB6141" s="462"/>
      <c r="AC6141" s="462"/>
      <c r="AD6141" s="464"/>
      <c r="AE6141" s="465"/>
    </row>
    <row r="6142" spans="27:31" ht="14.4">
      <c r="AA6142" s="463"/>
      <c r="AB6142" s="462"/>
      <c r="AC6142" s="462"/>
      <c r="AD6142" s="464"/>
      <c r="AE6142" s="465"/>
    </row>
    <row r="6143" spans="27:31" ht="14.4">
      <c r="AA6143" s="463"/>
      <c r="AB6143" s="462"/>
      <c r="AC6143" s="462"/>
      <c r="AD6143" s="464"/>
      <c r="AE6143" s="465"/>
    </row>
    <row r="6144" spans="27:31" ht="14.4">
      <c r="AA6144" s="463"/>
      <c r="AB6144" s="462"/>
      <c r="AC6144" s="462"/>
      <c r="AD6144" s="464"/>
      <c r="AE6144" s="465"/>
    </row>
    <row r="6145" spans="27:31" ht="14.4">
      <c r="AA6145" s="463"/>
      <c r="AB6145" s="462"/>
      <c r="AC6145" s="462"/>
      <c r="AD6145" s="464"/>
      <c r="AE6145" s="465"/>
    </row>
    <row r="6146" spans="27:31" ht="14.4">
      <c r="AA6146" s="463"/>
      <c r="AB6146" s="462"/>
      <c r="AC6146" s="462"/>
      <c r="AD6146" s="464"/>
      <c r="AE6146" s="465"/>
    </row>
    <row r="6147" spans="27:31" ht="14.4">
      <c r="AA6147" s="463"/>
      <c r="AB6147" s="462"/>
      <c r="AC6147" s="462"/>
      <c r="AD6147" s="464"/>
      <c r="AE6147" s="465"/>
    </row>
    <row r="6148" spans="27:31" ht="14.4">
      <c r="AA6148" s="463"/>
      <c r="AB6148" s="462"/>
      <c r="AC6148" s="462"/>
      <c r="AD6148" s="464"/>
      <c r="AE6148" s="465"/>
    </row>
    <row r="6149" spans="27:31" ht="14.4">
      <c r="AA6149" s="463"/>
      <c r="AB6149" s="462"/>
      <c r="AC6149" s="462"/>
      <c r="AD6149" s="464"/>
      <c r="AE6149" s="465"/>
    </row>
    <row r="6150" spans="27:31" ht="14.4">
      <c r="AA6150" s="463"/>
      <c r="AB6150" s="462"/>
      <c r="AC6150" s="462"/>
      <c r="AD6150" s="464"/>
      <c r="AE6150" s="465"/>
    </row>
    <row r="6151" spans="27:31" ht="14.4">
      <c r="AA6151" s="463"/>
      <c r="AB6151" s="462"/>
      <c r="AC6151" s="462"/>
      <c r="AD6151" s="464"/>
      <c r="AE6151" s="465"/>
    </row>
    <row r="6152" spans="27:31" ht="14.4">
      <c r="AA6152" s="463"/>
      <c r="AB6152" s="462"/>
      <c r="AC6152" s="462"/>
      <c r="AD6152" s="464"/>
      <c r="AE6152" s="465"/>
    </row>
    <row r="6153" spans="27:31" ht="14.4">
      <c r="AA6153" s="463"/>
      <c r="AB6153" s="462"/>
      <c r="AC6153" s="462"/>
      <c r="AD6153" s="464"/>
      <c r="AE6153" s="465"/>
    </row>
    <row r="6154" spans="27:31" ht="14.4">
      <c r="AA6154" s="463"/>
      <c r="AB6154" s="462"/>
      <c r="AC6154" s="462"/>
      <c r="AD6154" s="464"/>
      <c r="AE6154" s="465"/>
    </row>
    <row r="6155" spans="27:31" ht="14.4">
      <c r="AA6155" s="463"/>
      <c r="AB6155" s="462"/>
      <c r="AC6155" s="462"/>
      <c r="AD6155" s="464"/>
      <c r="AE6155" s="465"/>
    </row>
    <row r="6156" spans="27:31" ht="14.4">
      <c r="AA6156" s="463"/>
      <c r="AB6156" s="462"/>
      <c r="AC6156" s="462"/>
      <c r="AD6156" s="464"/>
      <c r="AE6156" s="465"/>
    </row>
    <row r="6157" spans="27:31" ht="14.4">
      <c r="AA6157" s="463"/>
      <c r="AB6157" s="462"/>
      <c r="AC6157" s="462"/>
      <c r="AD6157" s="464"/>
      <c r="AE6157" s="465"/>
    </row>
    <row r="6158" spans="27:31" ht="14.4">
      <c r="AA6158" s="463"/>
      <c r="AB6158" s="462"/>
      <c r="AC6158" s="462"/>
      <c r="AD6158" s="464"/>
      <c r="AE6158" s="465"/>
    </row>
    <row r="6159" spans="27:31" ht="14.4">
      <c r="AA6159" s="463"/>
      <c r="AB6159" s="462"/>
      <c r="AC6159" s="462"/>
      <c r="AD6159" s="464"/>
      <c r="AE6159" s="465"/>
    </row>
    <row r="6160" spans="27:31" ht="14.4">
      <c r="AA6160" s="463"/>
      <c r="AB6160" s="462"/>
      <c r="AC6160" s="462"/>
      <c r="AD6160" s="464"/>
      <c r="AE6160" s="465"/>
    </row>
    <row r="6161" spans="27:31" ht="14.4">
      <c r="AA6161" s="463"/>
      <c r="AB6161" s="462"/>
      <c r="AC6161" s="462"/>
      <c r="AD6161" s="464"/>
      <c r="AE6161" s="465"/>
    </row>
    <row r="6162" spans="27:31" ht="14.4">
      <c r="AA6162" s="463"/>
      <c r="AB6162" s="462"/>
      <c r="AC6162" s="462"/>
      <c r="AD6162" s="464"/>
      <c r="AE6162" s="465"/>
    </row>
    <row r="6163" spans="27:31" ht="14.4">
      <c r="AA6163" s="463"/>
      <c r="AB6163" s="462"/>
      <c r="AC6163" s="462"/>
      <c r="AD6163" s="464"/>
      <c r="AE6163" s="465"/>
    </row>
    <row r="6164" spans="27:31" ht="14.4">
      <c r="AA6164" s="463"/>
      <c r="AB6164" s="462"/>
      <c r="AC6164" s="462"/>
      <c r="AD6164" s="464"/>
      <c r="AE6164" s="465"/>
    </row>
    <row r="6165" spans="27:31" ht="14.4">
      <c r="AA6165" s="463"/>
      <c r="AB6165" s="462"/>
      <c r="AC6165" s="462"/>
      <c r="AD6165" s="464"/>
      <c r="AE6165" s="465"/>
    </row>
    <row r="6166" spans="27:31" ht="14.4">
      <c r="AA6166" s="463"/>
      <c r="AB6166" s="462"/>
      <c r="AC6166" s="462"/>
      <c r="AD6166" s="464"/>
      <c r="AE6166" s="465"/>
    </row>
    <row r="6167" spans="27:31" ht="14.4">
      <c r="AA6167" s="463"/>
      <c r="AB6167" s="462"/>
      <c r="AC6167" s="462"/>
      <c r="AD6167" s="464"/>
      <c r="AE6167" s="465"/>
    </row>
    <row r="6168" spans="27:31" ht="14.4">
      <c r="AA6168" s="463"/>
      <c r="AB6168" s="462"/>
      <c r="AC6168" s="462"/>
      <c r="AD6168" s="464"/>
      <c r="AE6168" s="465"/>
    </row>
    <row r="6169" spans="27:31" ht="14.4">
      <c r="AA6169" s="463"/>
      <c r="AB6169" s="462"/>
      <c r="AC6169" s="462"/>
      <c r="AD6169" s="464"/>
      <c r="AE6169" s="465"/>
    </row>
    <row r="6170" spans="27:31" ht="14.4">
      <c r="AA6170" s="463"/>
      <c r="AB6170" s="462"/>
      <c r="AC6170" s="462"/>
      <c r="AD6170" s="464"/>
      <c r="AE6170" s="465"/>
    </row>
    <row r="6171" spans="27:31" ht="14.4">
      <c r="AA6171" s="463"/>
      <c r="AB6171" s="462"/>
      <c r="AC6171" s="462"/>
      <c r="AD6171" s="464"/>
      <c r="AE6171" s="465"/>
    </row>
    <row r="6172" spans="27:31" ht="14.4">
      <c r="AA6172" s="463"/>
      <c r="AB6172" s="462"/>
      <c r="AC6172" s="462"/>
      <c r="AD6172" s="464"/>
      <c r="AE6172" s="465"/>
    </row>
    <row r="6173" spans="27:31" ht="14.4">
      <c r="AA6173" s="463"/>
      <c r="AB6173" s="462"/>
      <c r="AC6173" s="462"/>
      <c r="AD6173" s="464"/>
      <c r="AE6173" s="465"/>
    </row>
    <row r="6174" spans="27:31" ht="14.4">
      <c r="AA6174" s="463"/>
      <c r="AB6174" s="462"/>
      <c r="AC6174" s="462"/>
      <c r="AD6174" s="464"/>
      <c r="AE6174" s="465"/>
    </row>
    <row r="6175" spans="27:31" ht="14.4">
      <c r="AA6175" s="463"/>
      <c r="AB6175" s="462"/>
      <c r="AC6175" s="462"/>
      <c r="AD6175" s="464"/>
      <c r="AE6175" s="465"/>
    </row>
    <row r="6176" spans="27:31" ht="14.4">
      <c r="AA6176" s="463"/>
      <c r="AB6176" s="462"/>
      <c r="AC6176" s="462"/>
      <c r="AD6176" s="464"/>
      <c r="AE6176" s="465"/>
    </row>
    <row r="6177" spans="27:31" ht="14.4">
      <c r="AA6177" s="463"/>
      <c r="AB6177" s="462"/>
      <c r="AC6177" s="462"/>
      <c r="AD6177" s="464"/>
      <c r="AE6177" s="465"/>
    </row>
    <row r="6178" spans="27:31" ht="14.4">
      <c r="AA6178" s="463"/>
      <c r="AB6178" s="462"/>
      <c r="AC6178" s="462"/>
      <c r="AD6178" s="464"/>
      <c r="AE6178" s="465"/>
    </row>
    <row r="6179" spans="27:31" ht="14.4">
      <c r="AA6179" s="463"/>
      <c r="AB6179" s="462"/>
      <c r="AC6179" s="462"/>
      <c r="AD6179" s="464"/>
      <c r="AE6179" s="465"/>
    </row>
    <row r="6180" spans="27:31" ht="14.4">
      <c r="AA6180" s="463"/>
      <c r="AB6180" s="462"/>
      <c r="AC6180" s="462"/>
      <c r="AD6180" s="464"/>
      <c r="AE6180" s="465"/>
    </row>
    <row r="6181" spans="27:31" ht="14.4">
      <c r="AA6181" s="463"/>
      <c r="AB6181" s="462"/>
      <c r="AC6181" s="462"/>
      <c r="AD6181" s="464"/>
      <c r="AE6181" s="465"/>
    </row>
    <row r="6182" spans="27:31" ht="14.4">
      <c r="AA6182" s="463"/>
      <c r="AB6182" s="462"/>
      <c r="AC6182" s="462"/>
      <c r="AD6182" s="464"/>
      <c r="AE6182" s="465"/>
    </row>
    <row r="6183" spans="27:31" ht="14.4">
      <c r="AA6183" s="463"/>
      <c r="AB6183" s="462"/>
      <c r="AC6183" s="462"/>
      <c r="AD6183" s="464"/>
      <c r="AE6183" s="465"/>
    </row>
    <row r="6184" spans="27:31" ht="14.4">
      <c r="AA6184" s="463"/>
      <c r="AB6184" s="462"/>
      <c r="AC6184" s="462"/>
      <c r="AD6184" s="464"/>
      <c r="AE6184" s="465"/>
    </row>
    <row r="6185" spans="27:31" ht="14.4">
      <c r="AA6185" s="463"/>
      <c r="AB6185" s="462"/>
      <c r="AC6185" s="462"/>
      <c r="AD6185" s="464"/>
      <c r="AE6185" s="465"/>
    </row>
    <row r="6186" spans="27:31" ht="14.4">
      <c r="AA6186" s="463"/>
      <c r="AB6186" s="462"/>
      <c r="AC6186" s="462"/>
      <c r="AD6186" s="464"/>
      <c r="AE6186" s="465"/>
    </row>
    <row r="6187" spans="27:31" ht="14.4">
      <c r="AA6187" s="463"/>
      <c r="AB6187" s="462"/>
      <c r="AC6187" s="462"/>
      <c r="AD6187" s="464"/>
      <c r="AE6187" s="465"/>
    </row>
    <row r="6188" spans="27:31" ht="14.4">
      <c r="AA6188" s="463"/>
      <c r="AB6188" s="462"/>
      <c r="AC6188" s="462"/>
      <c r="AD6188" s="464"/>
      <c r="AE6188" s="465"/>
    </row>
    <row r="6189" spans="27:31" ht="14.4">
      <c r="AA6189" s="463"/>
      <c r="AB6189" s="462"/>
      <c r="AC6189" s="462"/>
      <c r="AD6189" s="464"/>
      <c r="AE6189" s="465"/>
    </row>
    <row r="6190" spans="27:31" ht="14.4">
      <c r="AA6190" s="463"/>
      <c r="AB6190" s="462"/>
      <c r="AC6190" s="462"/>
      <c r="AD6190" s="464"/>
      <c r="AE6190" s="465"/>
    </row>
    <row r="6191" spans="27:31" ht="14.4">
      <c r="AA6191" s="463"/>
      <c r="AB6191" s="462"/>
      <c r="AC6191" s="462"/>
      <c r="AD6191" s="464"/>
      <c r="AE6191" s="465"/>
    </row>
    <row r="6192" spans="27:31" ht="14.4">
      <c r="AA6192" s="463"/>
      <c r="AB6192" s="462"/>
      <c r="AC6192" s="462"/>
      <c r="AD6192" s="464"/>
      <c r="AE6192" s="465"/>
    </row>
    <row r="6193" spans="27:31" ht="14.4">
      <c r="AA6193" s="463"/>
      <c r="AB6193" s="462"/>
      <c r="AC6193" s="462"/>
      <c r="AD6193" s="464"/>
      <c r="AE6193" s="465"/>
    </row>
    <row r="6194" spans="27:31" ht="14.4">
      <c r="AA6194" s="463"/>
      <c r="AB6194" s="462"/>
      <c r="AC6194" s="462"/>
      <c r="AD6194" s="464"/>
      <c r="AE6194" s="465"/>
    </row>
    <row r="6195" spans="27:31" ht="14.4">
      <c r="AA6195" s="463"/>
      <c r="AB6195" s="462"/>
      <c r="AC6195" s="462"/>
      <c r="AD6195" s="464"/>
      <c r="AE6195" s="465"/>
    </row>
    <row r="6196" spans="27:31" ht="14.4">
      <c r="AA6196" s="463"/>
      <c r="AB6196" s="462"/>
      <c r="AC6196" s="462"/>
      <c r="AD6196" s="464"/>
      <c r="AE6196" s="465"/>
    </row>
    <row r="6197" spans="27:31" ht="14.4">
      <c r="AA6197" s="463"/>
      <c r="AB6197" s="462"/>
      <c r="AC6197" s="462"/>
      <c r="AD6197" s="464"/>
      <c r="AE6197" s="465"/>
    </row>
    <row r="6198" spans="27:31" ht="14.4">
      <c r="AA6198" s="463"/>
      <c r="AB6198" s="462"/>
      <c r="AC6198" s="462"/>
      <c r="AD6198" s="464"/>
      <c r="AE6198" s="465"/>
    </row>
    <row r="6199" spans="27:31" ht="14.4">
      <c r="AA6199" s="463"/>
      <c r="AB6199" s="462"/>
      <c r="AC6199" s="462"/>
      <c r="AD6199" s="464"/>
      <c r="AE6199" s="465"/>
    </row>
    <row r="6200" spans="27:31" ht="14.4">
      <c r="AA6200" s="463"/>
      <c r="AB6200" s="462"/>
      <c r="AC6200" s="462"/>
      <c r="AD6200" s="464"/>
      <c r="AE6200" s="465"/>
    </row>
    <row r="6201" spans="27:31" ht="14.4">
      <c r="AA6201" s="463"/>
      <c r="AB6201" s="462"/>
      <c r="AC6201" s="462"/>
      <c r="AD6201" s="464"/>
      <c r="AE6201" s="465"/>
    </row>
    <row r="6202" spans="27:31" ht="14.4">
      <c r="AA6202" s="463"/>
      <c r="AB6202" s="462"/>
      <c r="AC6202" s="462"/>
      <c r="AD6202" s="464"/>
      <c r="AE6202" s="465"/>
    </row>
    <row r="6203" spans="27:31" ht="14.4">
      <c r="AA6203" s="463"/>
      <c r="AB6203" s="462"/>
      <c r="AC6203" s="462"/>
      <c r="AD6203" s="464"/>
      <c r="AE6203" s="465"/>
    </row>
    <row r="6204" spans="27:31" ht="14.4">
      <c r="AA6204" s="463"/>
      <c r="AB6204" s="462"/>
      <c r="AC6204" s="462"/>
      <c r="AD6204" s="464"/>
      <c r="AE6204" s="465"/>
    </row>
    <row r="6205" spans="27:31" ht="14.4">
      <c r="AA6205" s="463"/>
      <c r="AB6205" s="462"/>
      <c r="AC6205" s="462"/>
      <c r="AD6205" s="464"/>
      <c r="AE6205" s="465"/>
    </row>
    <row r="6206" spans="27:31" ht="14.4">
      <c r="AA6206" s="463"/>
      <c r="AB6206" s="462"/>
      <c r="AC6206" s="462"/>
      <c r="AD6206" s="464"/>
      <c r="AE6206" s="465"/>
    </row>
    <row r="6207" spans="27:31" ht="14.4">
      <c r="AA6207" s="463"/>
      <c r="AB6207" s="462"/>
      <c r="AC6207" s="462"/>
      <c r="AD6207" s="464"/>
      <c r="AE6207" s="465"/>
    </row>
    <row r="6208" spans="27:31" ht="14.4">
      <c r="AA6208" s="463"/>
      <c r="AB6208" s="462"/>
      <c r="AC6208" s="462"/>
      <c r="AD6208" s="464"/>
      <c r="AE6208" s="465"/>
    </row>
    <row r="6209" spans="27:31" ht="14.4">
      <c r="AA6209" s="463"/>
      <c r="AB6209" s="462"/>
      <c r="AC6209" s="462"/>
      <c r="AD6209" s="464"/>
      <c r="AE6209" s="465"/>
    </row>
    <row r="6210" spans="27:31" ht="14.4">
      <c r="AA6210" s="463"/>
      <c r="AB6210" s="462"/>
      <c r="AC6210" s="462"/>
      <c r="AD6210" s="464"/>
      <c r="AE6210" s="465"/>
    </row>
    <row r="6211" spans="27:31" ht="14.4">
      <c r="AA6211" s="463"/>
      <c r="AB6211" s="462"/>
      <c r="AC6211" s="462"/>
      <c r="AD6211" s="464"/>
      <c r="AE6211" s="465"/>
    </row>
    <row r="6212" spans="27:31" ht="14.4">
      <c r="AA6212" s="463"/>
      <c r="AB6212" s="462"/>
      <c r="AC6212" s="462"/>
      <c r="AD6212" s="464"/>
      <c r="AE6212" s="465"/>
    </row>
    <row r="6213" spans="27:31" ht="14.4">
      <c r="AA6213" s="463"/>
      <c r="AB6213" s="462"/>
      <c r="AC6213" s="462"/>
      <c r="AD6213" s="464"/>
      <c r="AE6213" s="465"/>
    </row>
    <row r="6214" spans="27:31" ht="14.4">
      <c r="AA6214" s="463"/>
      <c r="AB6214" s="462"/>
      <c r="AC6214" s="462"/>
      <c r="AD6214" s="464"/>
      <c r="AE6214" s="465"/>
    </row>
    <row r="6215" spans="27:31" ht="14.4">
      <c r="AA6215" s="463"/>
      <c r="AB6215" s="462"/>
      <c r="AC6215" s="462"/>
      <c r="AD6215" s="464"/>
      <c r="AE6215" s="465"/>
    </row>
    <row r="6216" spans="27:31" ht="14.4">
      <c r="AA6216" s="463"/>
      <c r="AB6216" s="462"/>
      <c r="AC6216" s="462"/>
      <c r="AD6216" s="464"/>
      <c r="AE6216" s="465"/>
    </row>
    <row r="6217" spans="27:31" ht="14.4">
      <c r="AA6217" s="463"/>
      <c r="AB6217" s="462"/>
      <c r="AC6217" s="462"/>
      <c r="AD6217" s="464"/>
      <c r="AE6217" s="465"/>
    </row>
    <row r="6218" spans="27:31" ht="14.4">
      <c r="AA6218" s="463"/>
      <c r="AB6218" s="462"/>
      <c r="AC6218" s="462"/>
      <c r="AD6218" s="464"/>
      <c r="AE6218" s="465"/>
    </row>
    <row r="6219" spans="27:31" ht="14.4">
      <c r="AA6219" s="463"/>
      <c r="AB6219" s="462"/>
      <c r="AC6219" s="462"/>
      <c r="AD6219" s="464"/>
      <c r="AE6219" s="465"/>
    </row>
    <row r="6220" spans="27:31" ht="14.4">
      <c r="AA6220" s="463"/>
      <c r="AB6220" s="462"/>
      <c r="AC6220" s="462"/>
      <c r="AD6220" s="464"/>
      <c r="AE6220" s="465"/>
    </row>
    <row r="6221" spans="27:31" ht="14.4">
      <c r="AA6221" s="463"/>
      <c r="AB6221" s="462"/>
      <c r="AC6221" s="462"/>
      <c r="AD6221" s="464"/>
      <c r="AE6221" s="465"/>
    </row>
    <row r="6222" spans="27:31" ht="14.4">
      <c r="AA6222" s="463"/>
      <c r="AB6222" s="462"/>
      <c r="AC6222" s="462"/>
      <c r="AD6222" s="464"/>
      <c r="AE6222" s="465"/>
    </row>
    <row r="6223" spans="27:31" ht="14.4">
      <c r="AA6223" s="463"/>
      <c r="AB6223" s="462"/>
      <c r="AC6223" s="462"/>
      <c r="AD6223" s="464"/>
      <c r="AE6223" s="465"/>
    </row>
    <row r="6224" spans="27:31" ht="14.4">
      <c r="AA6224" s="463"/>
      <c r="AB6224" s="462"/>
      <c r="AC6224" s="462"/>
      <c r="AD6224" s="464"/>
      <c r="AE6224" s="465"/>
    </row>
    <row r="6225" spans="27:31" ht="14.4">
      <c r="AA6225" s="463"/>
      <c r="AB6225" s="462"/>
      <c r="AC6225" s="462"/>
      <c r="AD6225" s="464"/>
      <c r="AE6225" s="465"/>
    </row>
    <row r="6226" spans="27:31" ht="14.4">
      <c r="AA6226" s="463"/>
      <c r="AB6226" s="462"/>
      <c r="AC6226" s="462"/>
      <c r="AD6226" s="464"/>
      <c r="AE6226" s="465"/>
    </row>
    <row r="6227" spans="27:31" ht="14.4">
      <c r="AA6227" s="463"/>
      <c r="AB6227" s="462"/>
      <c r="AC6227" s="462"/>
      <c r="AD6227" s="464"/>
      <c r="AE6227" s="465"/>
    </row>
    <row r="6228" spans="27:31" ht="14.4">
      <c r="AA6228" s="463"/>
      <c r="AB6228" s="462"/>
      <c r="AC6228" s="462"/>
      <c r="AD6228" s="464"/>
      <c r="AE6228" s="465"/>
    </row>
    <row r="6229" spans="27:31" ht="14.4">
      <c r="AA6229" s="463"/>
      <c r="AB6229" s="462"/>
      <c r="AC6229" s="462"/>
      <c r="AD6229" s="464"/>
      <c r="AE6229" s="465"/>
    </row>
    <row r="6230" spans="27:31" ht="14.4">
      <c r="AA6230" s="463"/>
      <c r="AB6230" s="462"/>
      <c r="AC6230" s="462"/>
      <c r="AD6230" s="464"/>
      <c r="AE6230" s="465"/>
    </row>
    <row r="6231" spans="27:31" ht="14.4">
      <c r="AA6231" s="463"/>
      <c r="AB6231" s="462"/>
      <c r="AC6231" s="462"/>
      <c r="AD6231" s="464"/>
      <c r="AE6231" s="465"/>
    </row>
    <row r="6232" spans="27:31" ht="14.4">
      <c r="AA6232" s="463"/>
      <c r="AB6232" s="462"/>
      <c r="AC6232" s="462"/>
      <c r="AD6232" s="464"/>
      <c r="AE6232" s="465"/>
    </row>
    <row r="6233" spans="27:31" ht="14.4">
      <c r="AA6233" s="463"/>
      <c r="AB6233" s="462"/>
      <c r="AC6233" s="462"/>
      <c r="AD6233" s="464"/>
      <c r="AE6233" s="465"/>
    </row>
    <row r="6234" spans="27:31" ht="14.4">
      <c r="AA6234" s="463"/>
      <c r="AB6234" s="462"/>
      <c r="AC6234" s="462"/>
      <c r="AD6234" s="464"/>
      <c r="AE6234" s="465"/>
    </row>
    <row r="6235" spans="27:31" ht="14.4">
      <c r="AA6235" s="463"/>
      <c r="AB6235" s="462"/>
      <c r="AC6235" s="462"/>
      <c r="AD6235" s="464"/>
      <c r="AE6235" s="465"/>
    </row>
    <row r="6236" spans="27:31" ht="14.4">
      <c r="AA6236" s="463"/>
      <c r="AB6236" s="462"/>
      <c r="AC6236" s="462"/>
      <c r="AD6236" s="464"/>
      <c r="AE6236" s="465"/>
    </row>
    <row r="6237" spans="27:31" ht="14.4">
      <c r="AA6237" s="463"/>
      <c r="AB6237" s="462"/>
      <c r="AC6237" s="462"/>
      <c r="AD6237" s="464"/>
      <c r="AE6237" s="465"/>
    </row>
    <row r="6238" spans="27:31" ht="14.4">
      <c r="AA6238" s="463"/>
      <c r="AB6238" s="462"/>
      <c r="AC6238" s="462"/>
      <c r="AD6238" s="464"/>
      <c r="AE6238" s="465"/>
    </row>
    <row r="6239" spans="27:31" ht="14.4">
      <c r="AA6239" s="463"/>
      <c r="AB6239" s="462"/>
      <c r="AC6239" s="462"/>
      <c r="AD6239" s="464"/>
      <c r="AE6239" s="465"/>
    </row>
    <row r="6240" spans="27:31" ht="14.4">
      <c r="AA6240" s="463"/>
      <c r="AB6240" s="462"/>
      <c r="AC6240" s="462"/>
      <c r="AD6240" s="464"/>
      <c r="AE6240" s="465"/>
    </row>
    <row r="6241" spans="27:31" ht="14.4">
      <c r="AA6241" s="463"/>
      <c r="AB6241" s="462"/>
      <c r="AC6241" s="462"/>
      <c r="AD6241" s="464"/>
      <c r="AE6241" s="465"/>
    </row>
    <row r="6242" spans="27:31" ht="14.4">
      <c r="AA6242" s="463"/>
      <c r="AB6242" s="462"/>
      <c r="AC6242" s="462"/>
      <c r="AD6242" s="464"/>
      <c r="AE6242" s="465"/>
    </row>
    <row r="6243" spans="27:31" ht="14.4">
      <c r="AA6243" s="463"/>
      <c r="AB6243" s="462"/>
      <c r="AC6243" s="462"/>
      <c r="AD6243" s="464"/>
      <c r="AE6243" s="465"/>
    </row>
    <row r="6244" spans="27:31" ht="14.4">
      <c r="AA6244" s="463"/>
      <c r="AB6244" s="462"/>
      <c r="AC6244" s="462"/>
      <c r="AD6244" s="464"/>
      <c r="AE6244" s="465"/>
    </row>
    <row r="6245" spans="27:31" ht="14.4">
      <c r="AA6245" s="463"/>
      <c r="AB6245" s="462"/>
      <c r="AC6245" s="462"/>
      <c r="AD6245" s="464"/>
      <c r="AE6245" s="465"/>
    </row>
    <row r="6246" spans="27:31" ht="14.4">
      <c r="AA6246" s="463"/>
      <c r="AB6246" s="462"/>
      <c r="AC6246" s="462"/>
      <c r="AD6246" s="464"/>
      <c r="AE6246" s="465"/>
    </row>
    <row r="6247" spans="27:31" ht="14.4">
      <c r="AA6247" s="463"/>
      <c r="AB6247" s="462"/>
      <c r="AC6247" s="462"/>
      <c r="AD6247" s="464"/>
      <c r="AE6247" s="465"/>
    </row>
    <row r="6248" spans="27:31" ht="14.4">
      <c r="AA6248" s="463"/>
      <c r="AB6248" s="462"/>
      <c r="AC6248" s="462"/>
      <c r="AD6248" s="464"/>
      <c r="AE6248" s="465"/>
    </row>
    <row r="6249" spans="27:31" ht="14.4">
      <c r="AA6249" s="463"/>
      <c r="AB6249" s="462"/>
      <c r="AC6249" s="462"/>
      <c r="AD6249" s="464"/>
      <c r="AE6249" s="465"/>
    </row>
    <row r="6250" spans="27:31" ht="14.4">
      <c r="AA6250" s="463"/>
      <c r="AB6250" s="462"/>
      <c r="AC6250" s="462"/>
      <c r="AD6250" s="464"/>
      <c r="AE6250" s="465"/>
    </row>
    <row r="6251" spans="27:31" ht="14.4">
      <c r="AA6251" s="463"/>
      <c r="AB6251" s="462"/>
      <c r="AC6251" s="462"/>
      <c r="AD6251" s="464"/>
      <c r="AE6251" s="465"/>
    </row>
    <row r="6252" spans="27:31" ht="14.4">
      <c r="AA6252" s="463"/>
      <c r="AB6252" s="462"/>
      <c r="AC6252" s="462"/>
      <c r="AD6252" s="464"/>
      <c r="AE6252" s="465"/>
    </row>
    <row r="6253" spans="27:31" ht="14.4">
      <c r="AA6253" s="463"/>
      <c r="AB6253" s="462"/>
      <c r="AC6253" s="462"/>
      <c r="AD6253" s="464"/>
      <c r="AE6253" s="465"/>
    </row>
    <row r="6254" spans="27:31" ht="14.4">
      <c r="AA6254" s="463"/>
      <c r="AB6254" s="462"/>
      <c r="AC6254" s="462"/>
      <c r="AD6254" s="464"/>
      <c r="AE6254" s="465"/>
    </row>
    <row r="6255" spans="27:31" ht="14.4">
      <c r="AA6255" s="463"/>
      <c r="AB6255" s="462"/>
      <c r="AC6255" s="462"/>
      <c r="AD6255" s="464"/>
      <c r="AE6255" s="465"/>
    </row>
    <row r="6256" spans="27:31" ht="14.4">
      <c r="AA6256" s="463"/>
      <c r="AB6256" s="462"/>
      <c r="AC6256" s="462"/>
      <c r="AD6256" s="464"/>
      <c r="AE6256" s="465"/>
    </row>
    <row r="6257" spans="27:31" ht="14.4">
      <c r="AA6257" s="463"/>
      <c r="AB6257" s="462"/>
      <c r="AC6257" s="462"/>
      <c r="AD6257" s="464"/>
      <c r="AE6257" s="465"/>
    </row>
    <row r="6258" spans="27:31" ht="14.4">
      <c r="AA6258" s="463"/>
      <c r="AB6258" s="462"/>
      <c r="AC6258" s="462"/>
      <c r="AD6258" s="464"/>
      <c r="AE6258" s="465"/>
    </row>
    <row r="6259" spans="27:31" ht="14.4">
      <c r="AA6259" s="463"/>
      <c r="AB6259" s="462"/>
      <c r="AC6259" s="462"/>
      <c r="AD6259" s="464"/>
      <c r="AE6259" s="465"/>
    </row>
    <row r="6260" spans="27:31" ht="14.4">
      <c r="AA6260" s="463"/>
      <c r="AB6260" s="462"/>
      <c r="AC6260" s="462"/>
      <c r="AD6260" s="464"/>
      <c r="AE6260" s="465"/>
    </row>
    <row r="6261" spans="27:31" ht="14.4">
      <c r="AA6261" s="463"/>
      <c r="AB6261" s="462"/>
      <c r="AC6261" s="462"/>
      <c r="AD6261" s="464"/>
      <c r="AE6261" s="465"/>
    </row>
    <row r="6262" spans="27:31" ht="14.4">
      <c r="AA6262" s="463"/>
      <c r="AB6262" s="462"/>
      <c r="AC6262" s="462"/>
      <c r="AD6262" s="464"/>
      <c r="AE6262" s="465"/>
    </row>
    <row r="6263" spans="27:31" ht="14.4">
      <c r="AA6263" s="463"/>
      <c r="AB6263" s="462"/>
      <c r="AC6263" s="462"/>
      <c r="AD6263" s="464"/>
      <c r="AE6263" s="465"/>
    </row>
    <row r="6264" spans="27:31" ht="14.4">
      <c r="AA6264" s="463"/>
      <c r="AB6264" s="462"/>
      <c r="AC6264" s="462"/>
      <c r="AD6264" s="464"/>
      <c r="AE6264" s="465"/>
    </row>
    <row r="6265" spans="27:31" ht="14.4">
      <c r="AA6265" s="463"/>
      <c r="AB6265" s="462"/>
      <c r="AC6265" s="462"/>
      <c r="AD6265" s="464"/>
      <c r="AE6265" s="465"/>
    </row>
    <row r="6266" spans="27:31" ht="14.4">
      <c r="AA6266" s="463"/>
      <c r="AB6266" s="462"/>
      <c r="AC6266" s="462"/>
      <c r="AD6266" s="464"/>
      <c r="AE6266" s="465"/>
    </row>
    <row r="6267" spans="27:31" ht="14.4">
      <c r="AA6267" s="463"/>
      <c r="AB6267" s="462"/>
      <c r="AC6267" s="462"/>
      <c r="AD6267" s="464"/>
      <c r="AE6267" s="465"/>
    </row>
    <row r="6268" spans="27:31" ht="14.4">
      <c r="AA6268" s="463"/>
      <c r="AB6268" s="462"/>
      <c r="AC6268" s="462"/>
      <c r="AD6268" s="464"/>
      <c r="AE6268" s="465"/>
    </row>
    <row r="6269" spans="27:31" ht="14.4">
      <c r="AA6269" s="463"/>
      <c r="AB6269" s="462"/>
      <c r="AC6269" s="462"/>
      <c r="AD6269" s="464"/>
      <c r="AE6269" s="465"/>
    </row>
    <row r="6270" spans="27:31" ht="14.4">
      <c r="AA6270" s="463"/>
      <c r="AB6270" s="462"/>
      <c r="AC6270" s="462"/>
      <c r="AD6270" s="464"/>
      <c r="AE6270" s="465"/>
    </row>
    <row r="6271" spans="27:31" ht="14.4">
      <c r="AA6271" s="463"/>
      <c r="AB6271" s="462"/>
      <c r="AC6271" s="462"/>
      <c r="AD6271" s="464"/>
      <c r="AE6271" s="465"/>
    </row>
    <row r="6272" spans="27:31" ht="14.4">
      <c r="AA6272" s="463"/>
      <c r="AB6272" s="462"/>
      <c r="AC6272" s="462"/>
      <c r="AD6272" s="464"/>
      <c r="AE6272" s="465"/>
    </row>
    <row r="6273" spans="27:31" ht="14.4">
      <c r="AA6273" s="463"/>
      <c r="AB6273" s="462"/>
      <c r="AC6273" s="462"/>
      <c r="AD6273" s="464"/>
      <c r="AE6273" s="465"/>
    </row>
    <row r="6274" spans="27:31" ht="14.4">
      <c r="AA6274" s="463"/>
      <c r="AB6274" s="462"/>
      <c r="AC6274" s="462"/>
      <c r="AD6274" s="464"/>
      <c r="AE6274" s="465"/>
    </row>
    <row r="6275" spans="27:31" ht="14.4">
      <c r="AA6275" s="463"/>
      <c r="AB6275" s="462"/>
      <c r="AC6275" s="462"/>
      <c r="AD6275" s="464"/>
      <c r="AE6275" s="465"/>
    </row>
    <row r="6276" spans="27:31" ht="14.4">
      <c r="AA6276" s="463"/>
      <c r="AB6276" s="462"/>
      <c r="AC6276" s="462"/>
      <c r="AD6276" s="464"/>
      <c r="AE6276" s="465"/>
    </row>
    <row r="6277" spans="27:31" ht="14.4">
      <c r="AA6277" s="463"/>
      <c r="AB6277" s="462"/>
      <c r="AC6277" s="462"/>
      <c r="AD6277" s="464"/>
      <c r="AE6277" s="465"/>
    </row>
    <row r="6278" spans="27:31" ht="14.4">
      <c r="AA6278" s="463"/>
      <c r="AB6278" s="462"/>
      <c r="AC6278" s="462"/>
      <c r="AD6278" s="464"/>
      <c r="AE6278" s="465"/>
    </row>
    <row r="6279" spans="27:31" ht="14.4">
      <c r="AA6279" s="463"/>
      <c r="AB6279" s="462"/>
      <c r="AC6279" s="462"/>
      <c r="AD6279" s="464"/>
      <c r="AE6279" s="465"/>
    </row>
    <row r="6280" spans="27:31" ht="14.4">
      <c r="AA6280" s="463"/>
      <c r="AB6280" s="462"/>
      <c r="AC6280" s="462"/>
      <c r="AD6280" s="464"/>
      <c r="AE6280" s="465"/>
    </row>
    <row r="6281" spans="27:31" ht="14.4">
      <c r="AA6281" s="463"/>
      <c r="AB6281" s="462"/>
      <c r="AC6281" s="462"/>
      <c r="AD6281" s="464"/>
      <c r="AE6281" s="465"/>
    </row>
    <row r="6282" spans="27:31" ht="14.4">
      <c r="AA6282" s="463"/>
      <c r="AB6282" s="462"/>
      <c r="AC6282" s="462"/>
      <c r="AD6282" s="464"/>
      <c r="AE6282" s="465"/>
    </row>
    <row r="6283" spans="27:31" ht="14.4">
      <c r="AA6283" s="463"/>
      <c r="AB6283" s="462"/>
      <c r="AC6283" s="462"/>
      <c r="AD6283" s="464"/>
      <c r="AE6283" s="465"/>
    </row>
    <row r="6284" spans="27:31" ht="14.4">
      <c r="AA6284" s="463"/>
      <c r="AB6284" s="462"/>
      <c r="AC6284" s="462"/>
      <c r="AD6284" s="464"/>
      <c r="AE6284" s="465"/>
    </row>
    <row r="6285" spans="27:31" ht="14.4">
      <c r="AA6285" s="463"/>
      <c r="AB6285" s="462"/>
      <c r="AC6285" s="462"/>
      <c r="AD6285" s="464"/>
      <c r="AE6285" s="465"/>
    </row>
    <row r="6286" spans="27:31" ht="14.4">
      <c r="AA6286" s="463"/>
      <c r="AB6286" s="462"/>
      <c r="AC6286" s="462"/>
      <c r="AD6286" s="464"/>
      <c r="AE6286" s="465"/>
    </row>
    <row r="6287" spans="27:31" ht="14.4">
      <c r="AA6287" s="463"/>
      <c r="AB6287" s="462"/>
      <c r="AC6287" s="462"/>
      <c r="AD6287" s="464"/>
      <c r="AE6287" s="465"/>
    </row>
    <row r="6288" spans="27:31" ht="14.4">
      <c r="AA6288" s="463"/>
      <c r="AB6288" s="462"/>
      <c r="AC6288" s="462"/>
      <c r="AD6288" s="464"/>
      <c r="AE6288" s="465"/>
    </row>
    <row r="6289" spans="27:31" ht="14.4">
      <c r="AA6289" s="463"/>
      <c r="AB6289" s="462"/>
      <c r="AC6289" s="462"/>
      <c r="AD6289" s="464"/>
      <c r="AE6289" s="465"/>
    </row>
    <row r="6290" spans="27:31" ht="14.4">
      <c r="AA6290" s="463"/>
      <c r="AB6290" s="462"/>
      <c r="AC6290" s="462"/>
      <c r="AD6290" s="464"/>
      <c r="AE6290" s="465"/>
    </row>
    <row r="6291" spans="27:31" ht="14.4">
      <c r="AA6291" s="463"/>
      <c r="AB6291" s="462"/>
      <c r="AC6291" s="462"/>
      <c r="AD6291" s="464"/>
      <c r="AE6291" s="465"/>
    </row>
    <row r="6292" spans="27:31" ht="14.4">
      <c r="AA6292" s="463"/>
      <c r="AB6292" s="462"/>
      <c r="AC6292" s="462"/>
      <c r="AD6292" s="464"/>
      <c r="AE6292" s="465"/>
    </row>
    <row r="6293" spans="27:31" ht="14.4">
      <c r="AA6293" s="463"/>
      <c r="AB6293" s="462"/>
      <c r="AC6293" s="462"/>
      <c r="AD6293" s="464"/>
      <c r="AE6293" s="465"/>
    </row>
    <row r="6294" spans="27:31" ht="14.4">
      <c r="AA6294" s="463"/>
      <c r="AB6294" s="462"/>
      <c r="AC6294" s="462"/>
      <c r="AD6294" s="464"/>
      <c r="AE6294" s="465"/>
    </row>
    <row r="6295" spans="27:31" ht="14.4">
      <c r="AA6295" s="463"/>
      <c r="AB6295" s="462"/>
      <c r="AC6295" s="462"/>
      <c r="AD6295" s="464"/>
      <c r="AE6295" s="465"/>
    </row>
    <row r="6296" spans="27:31" ht="14.4">
      <c r="AA6296" s="463"/>
      <c r="AB6296" s="462"/>
      <c r="AC6296" s="462"/>
      <c r="AD6296" s="464"/>
      <c r="AE6296" s="465"/>
    </row>
    <row r="6297" spans="27:31" ht="14.4">
      <c r="AA6297" s="463"/>
      <c r="AB6297" s="462"/>
      <c r="AC6297" s="462"/>
      <c r="AD6297" s="464"/>
      <c r="AE6297" s="465"/>
    </row>
    <row r="6298" spans="27:31" ht="14.4">
      <c r="AA6298" s="463"/>
      <c r="AB6298" s="462"/>
      <c r="AC6298" s="462"/>
      <c r="AD6298" s="464"/>
      <c r="AE6298" s="465"/>
    </row>
    <row r="6299" spans="27:31" ht="14.4">
      <c r="AA6299" s="463"/>
      <c r="AB6299" s="462"/>
      <c r="AC6299" s="462"/>
      <c r="AD6299" s="464"/>
      <c r="AE6299" s="465"/>
    </row>
    <row r="6300" spans="27:31" ht="14.4">
      <c r="AA6300" s="463"/>
      <c r="AB6300" s="462"/>
      <c r="AC6300" s="462"/>
      <c r="AD6300" s="464"/>
      <c r="AE6300" s="465"/>
    </row>
    <row r="6301" spans="27:31" ht="14.4">
      <c r="AA6301" s="463"/>
      <c r="AB6301" s="462"/>
      <c r="AC6301" s="462"/>
      <c r="AD6301" s="464"/>
      <c r="AE6301" s="465"/>
    </row>
    <row r="6302" spans="27:31" ht="14.4">
      <c r="AA6302" s="463"/>
      <c r="AB6302" s="462"/>
      <c r="AC6302" s="462"/>
      <c r="AD6302" s="464"/>
      <c r="AE6302" s="465"/>
    </row>
    <row r="6303" spans="27:31" ht="14.4">
      <c r="AA6303" s="463"/>
      <c r="AB6303" s="462"/>
      <c r="AC6303" s="462"/>
      <c r="AD6303" s="464"/>
      <c r="AE6303" s="465"/>
    </row>
    <row r="6304" spans="27:31" ht="14.4">
      <c r="AA6304" s="463"/>
      <c r="AB6304" s="462"/>
      <c r="AC6304" s="462"/>
      <c r="AD6304" s="464"/>
      <c r="AE6304" s="465"/>
    </row>
    <row r="6305" spans="27:31" ht="14.4">
      <c r="AA6305" s="463"/>
      <c r="AB6305" s="462"/>
      <c r="AC6305" s="462"/>
      <c r="AD6305" s="464"/>
      <c r="AE6305" s="465"/>
    </row>
    <row r="6306" spans="27:31" ht="14.4">
      <c r="AA6306" s="463"/>
      <c r="AB6306" s="462"/>
      <c r="AC6306" s="462"/>
      <c r="AD6306" s="464"/>
      <c r="AE6306" s="465"/>
    </row>
    <row r="6307" spans="27:31" ht="14.4">
      <c r="AA6307" s="463"/>
      <c r="AB6307" s="462"/>
      <c r="AC6307" s="462"/>
      <c r="AD6307" s="464"/>
      <c r="AE6307" s="465"/>
    </row>
    <row r="6308" spans="27:31" ht="14.4">
      <c r="AA6308" s="463"/>
      <c r="AB6308" s="462"/>
      <c r="AC6308" s="462"/>
      <c r="AD6308" s="464"/>
      <c r="AE6308" s="465"/>
    </row>
    <row r="6309" spans="27:31" ht="14.4">
      <c r="AA6309" s="463"/>
      <c r="AB6309" s="462"/>
      <c r="AC6309" s="462"/>
      <c r="AD6309" s="464"/>
      <c r="AE6309" s="465"/>
    </row>
    <row r="6310" spans="27:31" ht="14.4">
      <c r="AA6310" s="463"/>
      <c r="AB6310" s="462"/>
      <c r="AC6310" s="462"/>
      <c r="AD6310" s="464"/>
      <c r="AE6310" s="465"/>
    </row>
    <row r="6311" spans="27:31" ht="14.4">
      <c r="AA6311" s="463"/>
      <c r="AB6311" s="462"/>
      <c r="AC6311" s="462"/>
      <c r="AD6311" s="464"/>
      <c r="AE6311" s="465"/>
    </row>
    <row r="6312" spans="27:31" ht="14.4">
      <c r="AA6312" s="463"/>
      <c r="AB6312" s="462"/>
      <c r="AC6312" s="462"/>
      <c r="AD6312" s="464"/>
      <c r="AE6312" s="465"/>
    </row>
    <row r="6313" spans="27:31" ht="14.4">
      <c r="AA6313" s="463"/>
      <c r="AB6313" s="462"/>
      <c r="AC6313" s="462"/>
      <c r="AD6313" s="464"/>
      <c r="AE6313" s="465"/>
    </row>
    <row r="6314" spans="27:31" ht="14.4">
      <c r="AA6314" s="463"/>
      <c r="AB6314" s="462"/>
      <c r="AC6314" s="462"/>
      <c r="AD6314" s="464"/>
      <c r="AE6314" s="465"/>
    </row>
    <row r="6315" spans="27:31" ht="14.4">
      <c r="AA6315" s="463"/>
      <c r="AB6315" s="462"/>
      <c r="AC6315" s="462"/>
      <c r="AD6315" s="464"/>
      <c r="AE6315" s="465"/>
    </row>
    <row r="6316" spans="27:31" ht="14.4">
      <c r="AA6316" s="463"/>
      <c r="AB6316" s="462"/>
      <c r="AC6316" s="462"/>
      <c r="AD6316" s="464"/>
      <c r="AE6316" s="465"/>
    </row>
    <row r="6317" spans="27:31" ht="14.4">
      <c r="AA6317" s="463"/>
      <c r="AB6317" s="462"/>
      <c r="AC6317" s="462"/>
      <c r="AD6317" s="464"/>
      <c r="AE6317" s="465"/>
    </row>
    <row r="6318" spans="27:31" ht="14.4">
      <c r="AA6318" s="463"/>
      <c r="AB6318" s="462"/>
      <c r="AC6318" s="462"/>
      <c r="AD6318" s="464"/>
      <c r="AE6318" s="465"/>
    </row>
    <row r="6319" spans="27:31" ht="14.4">
      <c r="AA6319" s="463"/>
      <c r="AB6319" s="462"/>
      <c r="AC6319" s="462"/>
      <c r="AD6319" s="464"/>
      <c r="AE6319" s="465"/>
    </row>
    <row r="6320" spans="27:31" ht="14.4">
      <c r="AA6320" s="463"/>
      <c r="AB6320" s="462"/>
      <c r="AC6320" s="462"/>
      <c r="AD6320" s="464"/>
      <c r="AE6320" s="465"/>
    </row>
    <row r="6321" spans="27:31" ht="14.4">
      <c r="AA6321" s="463"/>
      <c r="AB6321" s="462"/>
      <c r="AC6321" s="462"/>
      <c r="AD6321" s="464"/>
      <c r="AE6321" s="465"/>
    </row>
    <row r="6322" spans="27:31" ht="14.4">
      <c r="AA6322" s="463"/>
      <c r="AB6322" s="462"/>
      <c r="AC6322" s="462"/>
      <c r="AD6322" s="464"/>
      <c r="AE6322" s="465"/>
    </row>
    <row r="6323" spans="27:31" ht="14.4">
      <c r="AA6323" s="463"/>
      <c r="AB6323" s="462"/>
      <c r="AC6323" s="462"/>
      <c r="AD6323" s="464"/>
      <c r="AE6323" s="465"/>
    </row>
    <row r="6324" spans="27:31" ht="14.4">
      <c r="AA6324" s="463"/>
      <c r="AB6324" s="462"/>
      <c r="AC6324" s="462"/>
      <c r="AD6324" s="464"/>
      <c r="AE6324" s="465"/>
    </row>
    <row r="6325" spans="27:31" ht="14.4">
      <c r="AA6325" s="463"/>
      <c r="AB6325" s="462"/>
      <c r="AC6325" s="462"/>
      <c r="AD6325" s="464"/>
      <c r="AE6325" s="465"/>
    </row>
    <row r="6326" spans="27:31" ht="14.4">
      <c r="AA6326" s="463"/>
      <c r="AB6326" s="462"/>
      <c r="AC6326" s="462"/>
      <c r="AD6326" s="464"/>
      <c r="AE6326" s="465"/>
    </row>
    <row r="6327" spans="27:31" ht="14.4">
      <c r="AA6327" s="463"/>
      <c r="AB6327" s="462"/>
      <c r="AC6327" s="462"/>
      <c r="AD6327" s="464"/>
      <c r="AE6327" s="465"/>
    </row>
    <row r="6328" spans="27:31" ht="14.4">
      <c r="AA6328" s="463"/>
      <c r="AB6328" s="462"/>
      <c r="AC6328" s="462"/>
      <c r="AD6328" s="464"/>
      <c r="AE6328" s="465"/>
    </row>
    <row r="6329" spans="27:31" ht="14.4">
      <c r="AA6329" s="463"/>
      <c r="AB6329" s="462"/>
      <c r="AC6329" s="462"/>
      <c r="AD6329" s="464"/>
      <c r="AE6329" s="465"/>
    </row>
    <row r="6330" spans="27:31" ht="14.4">
      <c r="AA6330" s="463"/>
      <c r="AB6330" s="462"/>
      <c r="AC6330" s="462"/>
      <c r="AD6330" s="464"/>
      <c r="AE6330" s="465"/>
    </row>
    <row r="6331" spans="27:31" ht="14.4">
      <c r="AA6331" s="463"/>
      <c r="AB6331" s="462"/>
      <c r="AC6331" s="462"/>
      <c r="AD6331" s="464"/>
      <c r="AE6331" s="465"/>
    </row>
    <row r="6332" spans="27:31" ht="14.4">
      <c r="AA6332" s="463"/>
      <c r="AB6332" s="462"/>
      <c r="AC6332" s="462"/>
      <c r="AD6332" s="464"/>
      <c r="AE6332" s="465"/>
    </row>
    <row r="6333" spans="27:31" ht="14.4">
      <c r="AA6333" s="463"/>
      <c r="AB6333" s="462"/>
      <c r="AC6333" s="462"/>
      <c r="AD6333" s="464"/>
      <c r="AE6333" s="465"/>
    </row>
    <row r="6334" spans="27:31" ht="14.4">
      <c r="AA6334" s="463"/>
      <c r="AB6334" s="462"/>
      <c r="AC6334" s="462"/>
      <c r="AD6334" s="464"/>
      <c r="AE6334" s="465"/>
    </row>
    <row r="6335" spans="27:31" ht="14.4">
      <c r="AA6335" s="463"/>
      <c r="AB6335" s="462"/>
      <c r="AC6335" s="462"/>
      <c r="AD6335" s="464"/>
      <c r="AE6335" s="465"/>
    </row>
    <row r="6336" spans="27:31" ht="14.4">
      <c r="AA6336" s="463"/>
      <c r="AB6336" s="462"/>
      <c r="AC6336" s="462"/>
      <c r="AD6336" s="464"/>
      <c r="AE6336" s="465"/>
    </row>
    <row r="6337" spans="27:31" ht="14.4">
      <c r="AA6337" s="463"/>
      <c r="AB6337" s="462"/>
      <c r="AC6337" s="462"/>
      <c r="AD6337" s="464"/>
      <c r="AE6337" s="465"/>
    </row>
    <row r="6338" spans="27:31" ht="14.4">
      <c r="AA6338" s="463"/>
      <c r="AB6338" s="462"/>
      <c r="AC6338" s="462"/>
      <c r="AD6338" s="464"/>
      <c r="AE6338" s="465"/>
    </row>
    <row r="6339" spans="27:31" ht="14.4">
      <c r="AA6339" s="463"/>
      <c r="AB6339" s="462"/>
      <c r="AC6339" s="462"/>
      <c r="AD6339" s="464"/>
      <c r="AE6339" s="465"/>
    </row>
    <row r="6340" spans="27:31" ht="14.4">
      <c r="AA6340" s="463"/>
      <c r="AB6340" s="462"/>
      <c r="AC6340" s="462"/>
      <c r="AD6340" s="464"/>
      <c r="AE6340" s="465"/>
    </row>
    <row r="6341" spans="27:31" ht="14.4">
      <c r="AA6341" s="463"/>
      <c r="AB6341" s="462"/>
      <c r="AC6341" s="462"/>
      <c r="AD6341" s="464"/>
      <c r="AE6341" s="465"/>
    </row>
    <row r="6342" spans="27:31" ht="14.4">
      <c r="AA6342" s="463"/>
      <c r="AB6342" s="462"/>
      <c r="AC6342" s="462"/>
      <c r="AD6342" s="464"/>
      <c r="AE6342" s="465"/>
    </row>
    <row r="6343" spans="27:31" ht="14.4">
      <c r="AA6343" s="463"/>
      <c r="AB6343" s="462"/>
      <c r="AC6343" s="462"/>
      <c r="AD6343" s="464"/>
      <c r="AE6343" s="465"/>
    </row>
    <row r="6344" spans="27:31" ht="14.4">
      <c r="AA6344" s="463"/>
      <c r="AB6344" s="462"/>
      <c r="AC6344" s="462"/>
      <c r="AD6344" s="464"/>
      <c r="AE6344" s="465"/>
    </row>
    <row r="6345" spans="27:31" ht="14.4">
      <c r="AA6345" s="463"/>
      <c r="AB6345" s="462"/>
      <c r="AC6345" s="462"/>
      <c r="AD6345" s="464"/>
      <c r="AE6345" s="465"/>
    </row>
    <row r="6346" spans="27:31" ht="14.4">
      <c r="AA6346" s="463"/>
      <c r="AB6346" s="462"/>
      <c r="AC6346" s="462"/>
      <c r="AD6346" s="464"/>
      <c r="AE6346" s="465"/>
    </row>
    <row r="6347" spans="27:31" ht="14.4">
      <c r="AA6347" s="463"/>
      <c r="AB6347" s="462"/>
      <c r="AC6347" s="462"/>
      <c r="AD6347" s="464"/>
      <c r="AE6347" s="465"/>
    </row>
    <row r="6348" spans="27:31" ht="14.4">
      <c r="AA6348" s="463"/>
      <c r="AB6348" s="462"/>
      <c r="AC6348" s="462"/>
      <c r="AD6348" s="464"/>
      <c r="AE6348" s="465"/>
    </row>
    <row r="6349" spans="27:31" ht="14.4">
      <c r="AA6349" s="463"/>
      <c r="AB6349" s="462"/>
      <c r="AC6349" s="462"/>
      <c r="AD6349" s="464"/>
      <c r="AE6349" s="465"/>
    </row>
    <row r="6350" spans="27:31" ht="14.4">
      <c r="AA6350" s="463"/>
      <c r="AB6350" s="462"/>
      <c r="AC6350" s="462"/>
      <c r="AD6350" s="464"/>
      <c r="AE6350" s="465"/>
    </row>
    <row r="6351" spans="27:31" ht="14.4">
      <c r="AA6351" s="463"/>
      <c r="AB6351" s="462"/>
      <c r="AC6351" s="462"/>
      <c r="AD6351" s="464"/>
      <c r="AE6351" s="465"/>
    </row>
    <row r="6352" spans="27:31" ht="14.4">
      <c r="AA6352" s="463"/>
      <c r="AB6352" s="462"/>
      <c r="AC6352" s="462"/>
      <c r="AD6352" s="464"/>
      <c r="AE6352" s="465"/>
    </row>
    <row r="6353" spans="27:31" ht="14.4">
      <c r="AA6353" s="463"/>
      <c r="AB6353" s="462"/>
      <c r="AC6353" s="462"/>
      <c r="AD6353" s="464"/>
      <c r="AE6353" s="465"/>
    </row>
    <row r="6354" spans="27:31" ht="14.4">
      <c r="AA6354" s="463"/>
      <c r="AB6354" s="462"/>
      <c r="AC6354" s="462"/>
      <c r="AD6354" s="464"/>
      <c r="AE6354" s="465"/>
    </row>
    <row r="6355" spans="27:31" ht="14.4">
      <c r="AA6355" s="463"/>
      <c r="AB6355" s="462"/>
      <c r="AC6355" s="462"/>
      <c r="AD6355" s="464"/>
      <c r="AE6355" s="465"/>
    </row>
    <row r="6356" spans="27:31" ht="14.4">
      <c r="AA6356" s="463"/>
      <c r="AB6356" s="462"/>
      <c r="AC6356" s="462"/>
      <c r="AD6356" s="464"/>
      <c r="AE6356" s="465"/>
    </row>
    <row r="6357" spans="27:31" ht="14.4">
      <c r="AA6357" s="463"/>
      <c r="AB6357" s="462"/>
      <c r="AC6357" s="462"/>
      <c r="AD6357" s="464"/>
      <c r="AE6357" s="465"/>
    </row>
    <row r="6358" spans="27:31" ht="14.4">
      <c r="AA6358" s="463"/>
      <c r="AB6358" s="462"/>
      <c r="AC6358" s="462"/>
      <c r="AD6358" s="464"/>
      <c r="AE6358" s="465"/>
    </row>
    <row r="6359" spans="27:31" ht="14.4">
      <c r="AA6359" s="463"/>
      <c r="AB6359" s="462"/>
      <c r="AC6359" s="462"/>
      <c r="AD6359" s="464"/>
      <c r="AE6359" s="465"/>
    </row>
    <row r="6360" spans="27:31" ht="14.4">
      <c r="AA6360" s="463"/>
      <c r="AB6360" s="462"/>
      <c r="AC6360" s="462"/>
      <c r="AD6360" s="464"/>
      <c r="AE6360" s="465"/>
    </row>
    <row r="6361" spans="27:31" ht="14.4">
      <c r="AA6361" s="463"/>
      <c r="AB6361" s="462"/>
      <c r="AC6361" s="462"/>
      <c r="AD6361" s="464"/>
      <c r="AE6361" s="465"/>
    </row>
    <row r="6362" spans="27:31" ht="14.4">
      <c r="AA6362" s="463"/>
      <c r="AB6362" s="462"/>
      <c r="AC6362" s="462"/>
      <c r="AD6362" s="464"/>
      <c r="AE6362" s="465"/>
    </row>
    <row r="6363" spans="27:31" ht="14.4">
      <c r="AA6363" s="463"/>
      <c r="AB6363" s="462"/>
      <c r="AC6363" s="462"/>
      <c r="AD6363" s="464"/>
      <c r="AE6363" s="465"/>
    </row>
    <row r="6364" spans="27:31" ht="14.4">
      <c r="AA6364" s="463"/>
      <c r="AB6364" s="462"/>
      <c r="AC6364" s="462"/>
      <c r="AD6364" s="464"/>
      <c r="AE6364" s="465"/>
    </row>
    <row r="6365" spans="27:31" ht="14.4">
      <c r="AA6365" s="463"/>
      <c r="AB6365" s="462"/>
      <c r="AC6365" s="462"/>
      <c r="AD6365" s="464"/>
      <c r="AE6365" s="465"/>
    </row>
    <row r="6366" spans="27:31" ht="14.4">
      <c r="AA6366" s="463"/>
      <c r="AB6366" s="462"/>
      <c r="AC6366" s="462"/>
      <c r="AD6366" s="464"/>
      <c r="AE6366" s="465"/>
    </row>
    <row r="6367" spans="27:31" ht="14.4">
      <c r="AA6367" s="463"/>
      <c r="AB6367" s="462"/>
      <c r="AC6367" s="462"/>
      <c r="AD6367" s="464"/>
      <c r="AE6367" s="465"/>
    </row>
    <row r="6368" spans="27:31" ht="14.4">
      <c r="AA6368" s="463"/>
      <c r="AB6368" s="462"/>
      <c r="AC6368" s="462"/>
      <c r="AD6368" s="464"/>
      <c r="AE6368" s="465"/>
    </row>
    <row r="6369" spans="27:31" ht="14.4">
      <c r="AA6369" s="463"/>
      <c r="AB6369" s="462"/>
      <c r="AC6369" s="462"/>
      <c r="AD6369" s="464"/>
      <c r="AE6369" s="465"/>
    </row>
    <row r="6370" spans="27:31" ht="14.4">
      <c r="AA6370" s="463"/>
      <c r="AB6370" s="462"/>
      <c r="AC6370" s="462"/>
      <c r="AD6370" s="464"/>
      <c r="AE6370" s="465"/>
    </row>
    <row r="6371" spans="27:31" ht="14.4">
      <c r="AA6371" s="463"/>
      <c r="AB6371" s="462"/>
      <c r="AC6371" s="462"/>
      <c r="AD6371" s="464"/>
      <c r="AE6371" s="465"/>
    </row>
    <row r="6372" spans="27:31" ht="14.4">
      <c r="AA6372" s="463"/>
      <c r="AB6372" s="462"/>
      <c r="AC6372" s="462"/>
      <c r="AD6372" s="464"/>
      <c r="AE6372" s="465"/>
    </row>
    <row r="6373" spans="27:31" ht="14.4">
      <c r="AA6373" s="463"/>
      <c r="AB6373" s="462"/>
      <c r="AC6373" s="462"/>
      <c r="AD6373" s="464"/>
      <c r="AE6373" s="465"/>
    </row>
    <row r="6374" spans="27:31" ht="14.4">
      <c r="AA6374" s="463"/>
      <c r="AB6374" s="462"/>
      <c r="AC6374" s="462"/>
      <c r="AD6374" s="464"/>
      <c r="AE6374" s="465"/>
    </row>
    <row r="6375" spans="27:31" ht="14.4">
      <c r="AA6375" s="463"/>
      <c r="AB6375" s="462"/>
      <c r="AC6375" s="462"/>
      <c r="AD6375" s="464"/>
      <c r="AE6375" s="465"/>
    </row>
    <row r="6376" spans="27:31" ht="14.4">
      <c r="AA6376" s="463"/>
      <c r="AB6376" s="462"/>
      <c r="AC6376" s="462"/>
      <c r="AD6376" s="464"/>
      <c r="AE6376" s="465"/>
    </row>
    <row r="6377" spans="27:31" ht="14.4">
      <c r="AA6377" s="463"/>
      <c r="AB6377" s="462"/>
      <c r="AC6377" s="462"/>
      <c r="AD6377" s="464"/>
      <c r="AE6377" s="465"/>
    </row>
    <row r="6378" spans="27:31" ht="14.4">
      <c r="AA6378" s="463"/>
      <c r="AB6378" s="462"/>
      <c r="AC6378" s="462"/>
      <c r="AD6378" s="464"/>
      <c r="AE6378" s="465"/>
    </row>
    <row r="6379" spans="27:31" ht="14.4">
      <c r="AA6379" s="463"/>
      <c r="AB6379" s="462"/>
      <c r="AC6379" s="462"/>
      <c r="AD6379" s="464"/>
      <c r="AE6379" s="465"/>
    </row>
    <row r="6380" spans="27:31" ht="14.4">
      <c r="AA6380" s="463"/>
      <c r="AB6380" s="462"/>
      <c r="AC6380" s="462"/>
      <c r="AD6380" s="464"/>
      <c r="AE6380" s="465"/>
    </row>
    <row r="6381" spans="27:31" ht="14.4">
      <c r="AA6381" s="463"/>
      <c r="AB6381" s="462"/>
      <c r="AC6381" s="462"/>
      <c r="AD6381" s="464"/>
      <c r="AE6381" s="465"/>
    </row>
    <row r="6382" spans="27:31" ht="14.4">
      <c r="AA6382" s="463"/>
      <c r="AB6382" s="462"/>
      <c r="AC6382" s="462"/>
      <c r="AD6382" s="464"/>
      <c r="AE6382" s="465"/>
    </row>
    <row r="6383" spans="27:31" ht="14.4">
      <c r="AA6383" s="463"/>
      <c r="AB6383" s="462"/>
      <c r="AC6383" s="462"/>
      <c r="AD6383" s="464"/>
      <c r="AE6383" s="465"/>
    </row>
    <row r="6384" spans="27:31" ht="14.4">
      <c r="AA6384" s="463"/>
      <c r="AB6384" s="462"/>
      <c r="AC6384" s="462"/>
      <c r="AD6384" s="464"/>
      <c r="AE6384" s="465"/>
    </row>
    <row r="6385" spans="27:31" ht="14.4">
      <c r="AA6385" s="463"/>
      <c r="AB6385" s="462"/>
      <c r="AC6385" s="462"/>
      <c r="AD6385" s="464"/>
      <c r="AE6385" s="465"/>
    </row>
    <row r="6386" spans="27:31" ht="14.4">
      <c r="AA6386" s="463"/>
      <c r="AB6386" s="462"/>
      <c r="AC6386" s="462"/>
      <c r="AD6386" s="464"/>
      <c r="AE6386" s="465"/>
    </row>
    <row r="6387" spans="27:31" ht="14.4">
      <c r="AA6387" s="463"/>
      <c r="AB6387" s="462"/>
      <c r="AC6387" s="462"/>
      <c r="AD6387" s="464"/>
      <c r="AE6387" s="465"/>
    </row>
    <row r="6388" spans="27:31" ht="14.4">
      <c r="AA6388" s="463"/>
      <c r="AB6388" s="462"/>
      <c r="AC6388" s="462"/>
      <c r="AD6388" s="464"/>
      <c r="AE6388" s="465"/>
    </row>
    <row r="6389" spans="27:31" ht="14.4">
      <c r="AA6389" s="463"/>
      <c r="AB6389" s="462"/>
      <c r="AC6389" s="462"/>
      <c r="AD6389" s="464"/>
      <c r="AE6389" s="465"/>
    </row>
    <row r="6390" spans="27:31" ht="14.4">
      <c r="AA6390" s="463"/>
      <c r="AB6390" s="462"/>
      <c r="AC6390" s="462"/>
      <c r="AD6390" s="464"/>
      <c r="AE6390" s="465"/>
    </row>
    <row r="6391" spans="27:31" ht="14.4">
      <c r="AA6391" s="463"/>
      <c r="AB6391" s="462"/>
      <c r="AC6391" s="462"/>
      <c r="AD6391" s="464"/>
      <c r="AE6391" s="465"/>
    </row>
    <row r="6392" spans="27:31" ht="14.4">
      <c r="AA6392" s="463"/>
      <c r="AB6392" s="462"/>
      <c r="AC6392" s="462"/>
      <c r="AD6392" s="464"/>
      <c r="AE6392" s="465"/>
    </row>
    <row r="6393" spans="27:31" ht="14.4">
      <c r="AA6393" s="463"/>
      <c r="AB6393" s="462"/>
      <c r="AC6393" s="462"/>
      <c r="AD6393" s="464"/>
      <c r="AE6393" s="465"/>
    </row>
    <row r="6394" spans="27:31" ht="14.4">
      <c r="AA6394" s="463"/>
      <c r="AB6394" s="462"/>
      <c r="AC6394" s="462"/>
      <c r="AD6394" s="464"/>
      <c r="AE6394" s="465"/>
    </row>
    <row r="6395" spans="27:31" ht="14.4">
      <c r="AA6395" s="463"/>
      <c r="AB6395" s="462"/>
      <c r="AC6395" s="462"/>
      <c r="AD6395" s="464"/>
      <c r="AE6395" s="465"/>
    </row>
    <row r="6396" spans="27:31" ht="14.4">
      <c r="AA6396" s="463"/>
      <c r="AB6396" s="462"/>
      <c r="AC6396" s="462"/>
      <c r="AD6396" s="464"/>
      <c r="AE6396" s="465"/>
    </row>
    <row r="6397" spans="27:31" ht="14.4">
      <c r="AA6397" s="463"/>
      <c r="AB6397" s="462"/>
      <c r="AC6397" s="462"/>
      <c r="AD6397" s="464"/>
      <c r="AE6397" s="465"/>
    </row>
    <row r="6398" spans="27:31" ht="14.4">
      <c r="AA6398" s="463"/>
      <c r="AB6398" s="462"/>
      <c r="AC6398" s="462"/>
      <c r="AD6398" s="464"/>
      <c r="AE6398" s="465"/>
    </row>
    <row r="6399" spans="27:31" ht="14.4">
      <c r="AA6399" s="463"/>
      <c r="AB6399" s="462"/>
      <c r="AC6399" s="462"/>
      <c r="AD6399" s="464"/>
      <c r="AE6399" s="465"/>
    </row>
    <row r="6400" spans="27:31" ht="14.4">
      <c r="AA6400" s="463"/>
      <c r="AB6400" s="462"/>
      <c r="AC6400" s="462"/>
      <c r="AD6400" s="464"/>
      <c r="AE6400" s="465"/>
    </row>
    <row r="6401" spans="27:31" ht="14.4">
      <c r="AA6401" s="463"/>
      <c r="AB6401" s="462"/>
      <c r="AC6401" s="462"/>
      <c r="AD6401" s="464"/>
      <c r="AE6401" s="465"/>
    </row>
    <row r="6402" spans="27:31" ht="14.4">
      <c r="AA6402" s="463"/>
      <c r="AB6402" s="462"/>
      <c r="AC6402" s="462"/>
      <c r="AD6402" s="464"/>
      <c r="AE6402" s="465"/>
    </row>
    <row r="6403" spans="27:31" ht="14.4">
      <c r="AA6403" s="463"/>
      <c r="AB6403" s="462"/>
      <c r="AC6403" s="462"/>
      <c r="AD6403" s="464"/>
      <c r="AE6403" s="465"/>
    </row>
    <row r="6404" spans="27:31" ht="14.4">
      <c r="AA6404" s="463"/>
      <c r="AB6404" s="462"/>
      <c r="AC6404" s="462"/>
      <c r="AD6404" s="464"/>
      <c r="AE6404" s="465"/>
    </row>
    <row r="6405" spans="27:31" ht="14.4">
      <c r="AA6405" s="463"/>
      <c r="AB6405" s="462"/>
      <c r="AC6405" s="462"/>
      <c r="AD6405" s="464"/>
      <c r="AE6405" s="465"/>
    </row>
    <row r="6406" spans="27:31" ht="14.4">
      <c r="AA6406" s="463"/>
      <c r="AB6406" s="462"/>
      <c r="AC6406" s="462"/>
      <c r="AD6406" s="464"/>
      <c r="AE6406" s="465"/>
    </row>
    <row r="6407" spans="27:31" ht="14.4">
      <c r="AA6407" s="463"/>
      <c r="AB6407" s="462"/>
      <c r="AC6407" s="462"/>
      <c r="AD6407" s="464"/>
      <c r="AE6407" s="465"/>
    </row>
    <row r="6408" spans="27:31" ht="14.4">
      <c r="AA6408" s="463"/>
      <c r="AB6408" s="462"/>
      <c r="AC6408" s="462"/>
      <c r="AD6408" s="464"/>
      <c r="AE6408" s="465"/>
    </row>
    <row r="6409" spans="27:31" ht="14.4">
      <c r="AA6409" s="463"/>
      <c r="AB6409" s="462"/>
      <c r="AC6409" s="462"/>
      <c r="AD6409" s="464"/>
      <c r="AE6409" s="465"/>
    </row>
    <row r="6410" spans="27:31" ht="14.4">
      <c r="AA6410" s="463"/>
      <c r="AB6410" s="462"/>
      <c r="AC6410" s="462"/>
      <c r="AD6410" s="464"/>
      <c r="AE6410" s="465"/>
    </row>
    <row r="6411" spans="27:31" ht="14.4">
      <c r="AA6411" s="463"/>
      <c r="AB6411" s="462"/>
      <c r="AC6411" s="462"/>
      <c r="AD6411" s="464"/>
      <c r="AE6411" s="465"/>
    </row>
    <row r="6412" spans="27:31" ht="14.4">
      <c r="AA6412" s="463"/>
      <c r="AB6412" s="462"/>
      <c r="AC6412" s="462"/>
      <c r="AD6412" s="464"/>
      <c r="AE6412" s="465"/>
    </row>
    <row r="6413" spans="27:31" ht="14.4">
      <c r="AA6413" s="463"/>
      <c r="AB6413" s="462"/>
      <c r="AC6413" s="462"/>
      <c r="AD6413" s="464"/>
      <c r="AE6413" s="465"/>
    </row>
    <row r="6414" spans="27:31" ht="14.4">
      <c r="AA6414" s="463"/>
      <c r="AB6414" s="462"/>
      <c r="AC6414" s="462"/>
      <c r="AD6414" s="464"/>
      <c r="AE6414" s="465"/>
    </row>
    <row r="6415" spans="27:31" ht="14.4">
      <c r="AA6415" s="463"/>
      <c r="AB6415" s="462"/>
      <c r="AC6415" s="462"/>
      <c r="AD6415" s="464"/>
      <c r="AE6415" s="465"/>
    </row>
    <row r="6416" spans="27:31" ht="14.4">
      <c r="AA6416" s="463"/>
      <c r="AB6416" s="462"/>
      <c r="AC6416" s="462"/>
      <c r="AD6416" s="464"/>
      <c r="AE6416" s="465"/>
    </row>
    <row r="6417" spans="27:31" ht="14.4">
      <c r="AA6417" s="463"/>
      <c r="AB6417" s="462"/>
      <c r="AC6417" s="462"/>
      <c r="AD6417" s="464"/>
      <c r="AE6417" s="465"/>
    </row>
    <row r="6418" spans="27:31" ht="14.4">
      <c r="AA6418" s="463"/>
      <c r="AB6418" s="462"/>
      <c r="AC6418" s="462"/>
      <c r="AD6418" s="464"/>
      <c r="AE6418" s="465"/>
    </row>
    <row r="6419" spans="27:31" ht="14.4">
      <c r="AA6419" s="463"/>
      <c r="AB6419" s="462"/>
      <c r="AC6419" s="462"/>
      <c r="AD6419" s="464"/>
      <c r="AE6419" s="465"/>
    </row>
    <row r="6420" spans="27:31" ht="14.4">
      <c r="AA6420" s="463"/>
      <c r="AB6420" s="462"/>
      <c r="AC6420" s="462"/>
      <c r="AD6420" s="464"/>
      <c r="AE6420" s="465"/>
    </row>
    <row r="6421" spans="27:31" ht="14.4">
      <c r="AA6421" s="463"/>
      <c r="AB6421" s="462"/>
      <c r="AC6421" s="462"/>
      <c r="AD6421" s="464"/>
      <c r="AE6421" s="465"/>
    </row>
    <row r="6422" spans="27:31" ht="14.4">
      <c r="AA6422" s="463"/>
      <c r="AB6422" s="462"/>
      <c r="AC6422" s="462"/>
      <c r="AD6422" s="464"/>
      <c r="AE6422" s="465"/>
    </row>
    <row r="6423" spans="27:31" ht="14.4">
      <c r="AA6423" s="463"/>
      <c r="AB6423" s="462"/>
      <c r="AC6423" s="462"/>
      <c r="AD6423" s="464"/>
      <c r="AE6423" s="465"/>
    </row>
    <row r="6424" spans="27:31" ht="14.4">
      <c r="AA6424" s="463"/>
      <c r="AB6424" s="462"/>
      <c r="AC6424" s="462"/>
      <c r="AD6424" s="464"/>
      <c r="AE6424" s="465"/>
    </row>
    <row r="6425" spans="27:31" ht="14.4">
      <c r="AA6425" s="463"/>
      <c r="AB6425" s="462"/>
      <c r="AC6425" s="462"/>
      <c r="AD6425" s="464"/>
      <c r="AE6425" s="465"/>
    </row>
    <row r="6426" spans="27:31" ht="14.4">
      <c r="AA6426" s="463"/>
      <c r="AB6426" s="462"/>
      <c r="AC6426" s="462"/>
      <c r="AD6426" s="464"/>
      <c r="AE6426" s="465"/>
    </row>
    <row r="6427" spans="27:31" ht="14.4">
      <c r="AA6427" s="463"/>
      <c r="AB6427" s="462"/>
      <c r="AC6427" s="462"/>
      <c r="AD6427" s="464"/>
      <c r="AE6427" s="465"/>
    </row>
    <row r="6428" spans="27:31" ht="14.4">
      <c r="AA6428" s="463"/>
      <c r="AB6428" s="462"/>
      <c r="AC6428" s="462"/>
      <c r="AD6428" s="464"/>
      <c r="AE6428" s="465"/>
    </row>
    <row r="6429" spans="27:31" ht="14.4">
      <c r="AA6429" s="463"/>
      <c r="AB6429" s="462"/>
      <c r="AC6429" s="462"/>
      <c r="AD6429" s="464"/>
      <c r="AE6429" s="465"/>
    </row>
    <row r="6430" spans="27:31" ht="14.4">
      <c r="AA6430" s="463"/>
      <c r="AB6430" s="462"/>
      <c r="AC6430" s="462"/>
      <c r="AD6430" s="464"/>
      <c r="AE6430" s="465"/>
    </row>
    <row r="6431" spans="27:31" ht="14.4">
      <c r="AA6431" s="463"/>
      <c r="AB6431" s="462"/>
      <c r="AC6431" s="462"/>
      <c r="AD6431" s="464"/>
      <c r="AE6431" s="465"/>
    </row>
    <row r="6432" spans="27:31" ht="14.4">
      <c r="AA6432" s="463"/>
      <c r="AB6432" s="462"/>
      <c r="AC6432" s="462"/>
      <c r="AD6432" s="464"/>
      <c r="AE6432" s="465"/>
    </row>
    <row r="6433" spans="27:31" ht="14.4">
      <c r="AA6433" s="463"/>
      <c r="AB6433" s="462"/>
      <c r="AC6433" s="462"/>
      <c r="AD6433" s="464"/>
      <c r="AE6433" s="465"/>
    </row>
    <row r="6434" spans="27:31" ht="14.4">
      <c r="AA6434" s="463"/>
      <c r="AB6434" s="462"/>
      <c r="AC6434" s="462"/>
      <c r="AD6434" s="464"/>
      <c r="AE6434" s="465"/>
    </row>
    <row r="6435" spans="27:31" ht="14.4">
      <c r="AA6435" s="463"/>
      <c r="AB6435" s="462"/>
      <c r="AC6435" s="462"/>
      <c r="AD6435" s="464"/>
      <c r="AE6435" s="465"/>
    </row>
    <row r="6436" spans="27:31" ht="14.4">
      <c r="AA6436" s="463"/>
      <c r="AB6436" s="462"/>
      <c r="AC6436" s="462"/>
      <c r="AD6436" s="464"/>
      <c r="AE6436" s="465"/>
    </row>
    <row r="6437" spans="27:31" ht="14.4">
      <c r="AA6437" s="463"/>
      <c r="AB6437" s="462"/>
      <c r="AC6437" s="462"/>
      <c r="AD6437" s="464"/>
      <c r="AE6437" s="465"/>
    </row>
    <row r="6438" spans="27:31" ht="14.4">
      <c r="AA6438" s="463"/>
      <c r="AB6438" s="462"/>
      <c r="AC6438" s="462"/>
      <c r="AD6438" s="464"/>
      <c r="AE6438" s="465"/>
    </row>
    <row r="6439" spans="27:31" ht="14.4">
      <c r="AA6439" s="463"/>
      <c r="AB6439" s="462"/>
      <c r="AC6439" s="462"/>
      <c r="AD6439" s="464"/>
      <c r="AE6439" s="465"/>
    </row>
    <row r="6440" spans="27:31" ht="14.4">
      <c r="AA6440" s="463"/>
      <c r="AB6440" s="462"/>
      <c r="AC6440" s="462"/>
      <c r="AD6440" s="464"/>
      <c r="AE6440" s="465"/>
    </row>
    <row r="6441" spans="27:31" ht="14.4">
      <c r="AA6441" s="463"/>
      <c r="AB6441" s="462"/>
      <c r="AC6441" s="462"/>
      <c r="AD6441" s="464"/>
      <c r="AE6441" s="465"/>
    </row>
    <row r="6442" spans="27:31" ht="14.4">
      <c r="AA6442" s="463"/>
      <c r="AB6442" s="462"/>
      <c r="AC6442" s="462"/>
      <c r="AD6442" s="464"/>
      <c r="AE6442" s="465"/>
    </row>
    <row r="6443" spans="27:31" ht="14.4">
      <c r="AA6443" s="463"/>
      <c r="AB6443" s="462"/>
      <c r="AC6443" s="462"/>
      <c r="AD6443" s="464"/>
      <c r="AE6443" s="465"/>
    </row>
    <row r="6444" spans="27:31" ht="14.4">
      <c r="AA6444" s="463"/>
      <c r="AB6444" s="462"/>
      <c r="AC6444" s="462"/>
      <c r="AD6444" s="464"/>
      <c r="AE6444" s="465"/>
    </row>
    <row r="6445" spans="27:31" ht="14.4">
      <c r="AA6445" s="463"/>
      <c r="AB6445" s="462"/>
      <c r="AC6445" s="462"/>
      <c r="AD6445" s="464"/>
      <c r="AE6445" s="465"/>
    </row>
    <row r="6446" spans="27:31" ht="14.4">
      <c r="AA6446" s="463"/>
      <c r="AB6446" s="462"/>
      <c r="AC6446" s="462"/>
      <c r="AD6446" s="464"/>
      <c r="AE6446" s="465"/>
    </row>
    <row r="6447" spans="27:31" ht="14.4">
      <c r="AA6447" s="463"/>
      <c r="AB6447" s="462"/>
      <c r="AC6447" s="462"/>
      <c r="AD6447" s="464"/>
      <c r="AE6447" s="465"/>
    </row>
    <row r="6448" spans="27:31" ht="14.4">
      <c r="AA6448" s="463"/>
      <c r="AB6448" s="462"/>
      <c r="AC6448" s="462"/>
      <c r="AD6448" s="464"/>
      <c r="AE6448" s="465"/>
    </row>
    <row r="6449" spans="27:31" ht="14.4">
      <c r="AA6449" s="463"/>
      <c r="AB6449" s="462"/>
      <c r="AC6449" s="462"/>
      <c r="AD6449" s="464"/>
      <c r="AE6449" s="465"/>
    </row>
    <row r="6450" spans="27:31" ht="14.4">
      <c r="AA6450" s="463"/>
      <c r="AB6450" s="462"/>
      <c r="AC6450" s="462"/>
      <c r="AD6450" s="464"/>
      <c r="AE6450" s="465"/>
    </row>
    <row r="6451" spans="27:31" ht="14.4">
      <c r="AA6451" s="463"/>
      <c r="AB6451" s="462"/>
      <c r="AC6451" s="462"/>
      <c r="AD6451" s="464"/>
      <c r="AE6451" s="465"/>
    </row>
    <row r="6452" spans="27:31" ht="14.4">
      <c r="AA6452" s="463"/>
      <c r="AB6452" s="462"/>
      <c r="AC6452" s="462"/>
      <c r="AD6452" s="464"/>
      <c r="AE6452" s="465"/>
    </row>
    <row r="6453" spans="27:31" ht="14.4">
      <c r="AA6453" s="463"/>
      <c r="AB6453" s="462"/>
      <c r="AC6453" s="462"/>
      <c r="AD6453" s="464"/>
      <c r="AE6453" s="465"/>
    </row>
    <row r="6454" spans="27:31" ht="14.4">
      <c r="AA6454" s="463"/>
      <c r="AB6454" s="462"/>
      <c r="AC6454" s="462"/>
      <c r="AD6454" s="464"/>
      <c r="AE6454" s="465"/>
    </row>
    <row r="6455" spans="27:31" ht="14.4">
      <c r="AA6455" s="463"/>
      <c r="AB6455" s="462"/>
      <c r="AC6455" s="462"/>
      <c r="AD6455" s="464"/>
      <c r="AE6455" s="465"/>
    </row>
    <row r="6456" spans="27:31" ht="14.4">
      <c r="AA6456" s="463"/>
      <c r="AB6456" s="462"/>
      <c r="AC6456" s="462"/>
      <c r="AD6456" s="464"/>
      <c r="AE6456" s="465"/>
    </row>
    <row r="6457" spans="27:31" ht="14.4">
      <c r="AA6457" s="463"/>
      <c r="AB6457" s="462"/>
      <c r="AC6457" s="462"/>
      <c r="AD6457" s="464"/>
      <c r="AE6457" s="465"/>
    </row>
    <row r="6458" spans="27:31" ht="14.4">
      <c r="AA6458" s="463"/>
      <c r="AB6458" s="462"/>
      <c r="AC6458" s="462"/>
      <c r="AD6458" s="464"/>
      <c r="AE6458" s="465"/>
    </row>
    <row r="6459" spans="27:31" ht="14.4">
      <c r="AA6459" s="463"/>
      <c r="AB6459" s="462"/>
      <c r="AC6459" s="462"/>
      <c r="AD6459" s="464"/>
      <c r="AE6459" s="465"/>
    </row>
    <row r="6460" spans="27:31" ht="14.4">
      <c r="AA6460" s="463"/>
      <c r="AB6460" s="462"/>
      <c r="AC6460" s="462"/>
      <c r="AD6460" s="464"/>
      <c r="AE6460" s="465"/>
    </row>
    <row r="6461" spans="27:31" ht="14.4">
      <c r="AA6461" s="463"/>
      <c r="AB6461" s="462"/>
      <c r="AC6461" s="462"/>
      <c r="AD6461" s="464"/>
      <c r="AE6461" s="465"/>
    </row>
    <row r="6462" spans="27:31" ht="14.4">
      <c r="AA6462" s="463"/>
      <c r="AB6462" s="462"/>
      <c r="AC6462" s="462"/>
      <c r="AD6462" s="464"/>
      <c r="AE6462" s="465"/>
    </row>
    <row r="6463" spans="27:31" ht="14.4">
      <c r="AA6463" s="463"/>
      <c r="AB6463" s="462"/>
      <c r="AC6463" s="462"/>
      <c r="AD6463" s="464"/>
      <c r="AE6463" s="465"/>
    </row>
    <row r="6464" spans="27:31" ht="14.4">
      <c r="AA6464" s="463"/>
      <c r="AB6464" s="462"/>
      <c r="AC6464" s="462"/>
      <c r="AD6464" s="464"/>
      <c r="AE6464" s="465"/>
    </row>
    <row r="6465" spans="27:31" ht="14.4">
      <c r="AA6465" s="463"/>
      <c r="AB6465" s="462"/>
      <c r="AC6465" s="462"/>
      <c r="AD6465" s="464"/>
      <c r="AE6465" s="465"/>
    </row>
    <row r="6466" spans="27:31" ht="14.4">
      <c r="AA6466" s="463"/>
      <c r="AB6466" s="462"/>
      <c r="AC6466" s="462"/>
      <c r="AD6466" s="464"/>
      <c r="AE6466" s="465"/>
    </row>
    <row r="6467" spans="27:31" ht="14.4">
      <c r="AA6467" s="463"/>
      <c r="AB6467" s="462"/>
      <c r="AC6467" s="462"/>
      <c r="AD6467" s="464"/>
      <c r="AE6467" s="465"/>
    </row>
    <row r="6468" spans="27:31" ht="14.4">
      <c r="AA6468" s="463"/>
      <c r="AB6468" s="462"/>
      <c r="AC6468" s="462"/>
      <c r="AD6468" s="464"/>
      <c r="AE6468" s="465"/>
    </row>
    <row r="6469" spans="27:31" ht="14.4">
      <c r="AA6469" s="463"/>
      <c r="AB6469" s="462"/>
      <c r="AC6469" s="462"/>
      <c r="AD6469" s="464"/>
      <c r="AE6469" s="465"/>
    </row>
    <row r="6470" spans="27:31" ht="14.4">
      <c r="AA6470" s="463"/>
      <c r="AB6470" s="462"/>
      <c r="AC6470" s="462"/>
      <c r="AD6470" s="464"/>
      <c r="AE6470" s="465"/>
    </row>
    <row r="6471" spans="27:31" ht="14.4">
      <c r="AA6471" s="463"/>
      <c r="AB6471" s="462"/>
      <c r="AC6471" s="462"/>
      <c r="AD6471" s="464"/>
      <c r="AE6471" s="465"/>
    </row>
    <row r="6472" spans="27:31" ht="14.4">
      <c r="AA6472" s="463"/>
      <c r="AB6472" s="462"/>
      <c r="AC6472" s="462"/>
      <c r="AD6472" s="464"/>
      <c r="AE6472" s="465"/>
    </row>
    <row r="6473" spans="27:31" ht="14.4">
      <c r="AA6473" s="463"/>
      <c r="AB6473" s="462"/>
      <c r="AC6473" s="462"/>
      <c r="AD6473" s="464"/>
      <c r="AE6473" s="465"/>
    </row>
    <row r="6474" spans="27:31" ht="14.4">
      <c r="AA6474" s="463"/>
      <c r="AB6474" s="462"/>
      <c r="AC6474" s="462"/>
      <c r="AD6474" s="464"/>
      <c r="AE6474" s="465"/>
    </row>
    <row r="6475" spans="27:31" ht="14.4">
      <c r="AA6475" s="463"/>
      <c r="AB6475" s="462"/>
      <c r="AC6475" s="462"/>
      <c r="AD6475" s="464"/>
      <c r="AE6475" s="465"/>
    </row>
    <row r="6476" spans="27:31" ht="14.4">
      <c r="AA6476" s="463"/>
      <c r="AB6476" s="462"/>
      <c r="AC6476" s="462"/>
      <c r="AD6476" s="464"/>
      <c r="AE6476" s="465"/>
    </row>
    <row r="6477" spans="27:31" ht="14.4">
      <c r="AA6477" s="463"/>
      <c r="AB6477" s="462"/>
      <c r="AC6477" s="462"/>
      <c r="AD6477" s="464"/>
      <c r="AE6477" s="465"/>
    </row>
    <row r="6478" spans="27:31" ht="14.4">
      <c r="AA6478" s="463"/>
      <c r="AB6478" s="462"/>
      <c r="AC6478" s="462"/>
      <c r="AD6478" s="464"/>
      <c r="AE6478" s="465"/>
    </row>
    <row r="6479" spans="27:31" ht="14.4">
      <c r="AA6479" s="463"/>
      <c r="AB6479" s="462"/>
      <c r="AC6479" s="462"/>
      <c r="AD6479" s="464"/>
      <c r="AE6479" s="465"/>
    </row>
    <row r="6480" spans="27:31" ht="14.4">
      <c r="AA6480" s="463"/>
      <c r="AB6480" s="462"/>
      <c r="AC6480" s="462"/>
      <c r="AD6480" s="464"/>
      <c r="AE6480" s="465"/>
    </row>
    <row r="6481" spans="27:31" ht="14.4">
      <c r="AA6481" s="463"/>
      <c r="AB6481" s="462"/>
      <c r="AC6481" s="462"/>
      <c r="AD6481" s="464"/>
      <c r="AE6481" s="465"/>
    </row>
    <row r="6482" spans="27:31" ht="14.4">
      <c r="AA6482" s="463"/>
      <c r="AB6482" s="462"/>
      <c r="AC6482" s="462"/>
      <c r="AD6482" s="464"/>
      <c r="AE6482" s="465"/>
    </row>
    <row r="6483" spans="27:31" ht="14.4">
      <c r="AA6483" s="463"/>
      <c r="AB6483" s="462"/>
      <c r="AC6483" s="462"/>
      <c r="AD6483" s="464"/>
      <c r="AE6483" s="465"/>
    </row>
    <row r="6484" spans="27:31" ht="14.4">
      <c r="AA6484" s="463"/>
      <c r="AB6484" s="462"/>
      <c r="AC6484" s="462"/>
      <c r="AD6484" s="464"/>
      <c r="AE6484" s="465"/>
    </row>
    <row r="6485" spans="27:31" ht="14.4">
      <c r="AA6485" s="463"/>
      <c r="AB6485" s="462"/>
      <c r="AC6485" s="462"/>
      <c r="AD6485" s="464"/>
      <c r="AE6485" s="465"/>
    </row>
    <row r="6486" spans="27:31" ht="14.4">
      <c r="AA6486" s="463"/>
      <c r="AB6486" s="462"/>
      <c r="AC6486" s="462"/>
      <c r="AD6486" s="464"/>
      <c r="AE6486" s="465"/>
    </row>
    <row r="6487" spans="27:31" ht="14.4">
      <c r="AA6487" s="463"/>
      <c r="AB6487" s="462"/>
      <c r="AC6487" s="462"/>
      <c r="AD6487" s="464"/>
      <c r="AE6487" s="465"/>
    </row>
    <row r="6488" spans="27:31" ht="14.4">
      <c r="AA6488" s="463"/>
      <c r="AB6488" s="462"/>
      <c r="AC6488" s="462"/>
      <c r="AD6488" s="464"/>
      <c r="AE6488" s="465"/>
    </row>
    <row r="6489" spans="27:31" ht="14.4">
      <c r="AA6489" s="463"/>
      <c r="AB6489" s="462"/>
      <c r="AC6489" s="462"/>
      <c r="AD6489" s="464"/>
      <c r="AE6489" s="465"/>
    </row>
    <row r="6490" spans="27:31" ht="14.4">
      <c r="AA6490" s="463"/>
      <c r="AB6490" s="462"/>
      <c r="AC6490" s="462"/>
      <c r="AD6490" s="464"/>
      <c r="AE6490" s="465"/>
    </row>
    <row r="6491" spans="27:31" ht="14.4">
      <c r="AA6491" s="463"/>
      <c r="AB6491" s="462"/>
      <c r="AC6491" s="462"/>
      <c r="AD6491" s="464"/>
      <c r="AE6491" s="465"/>
    </row>
    <row r="6492" spans="27:31" ht="14.4">
      <c r="AA6492" s="463"/>
      <c r="AB6492" s="462"/>
      <c r="AC6492" s="462"/>
      <c r="AD6492" s="464"/>
      <c r="AE6492" s="465"/>
    </row>
    <row r="6493" spans="27:31" ht="14.4">
      <c r="AA6493" s="463"/>
      <c r="AB6493" s="462"/>
      <c r="AC6493" s="462"/>
      <c r="AD6493" s="464"/>
      <c r="AE6493" s="465"/>
    </row>
    <row r="6494" spans="27:31" ht="14.4">
      <c r="AA6494" s="463"/>
      <c r="AB6494" s="462"/>
      <c r="AC6494" s="462"/>
      <c r="AD6494" s="464"/>
      <c r="AE6494" s="465"/>
    </row>
    <row r="6495" spans="27:31" ht="14.4">
      <c r="AA6495" s="463"/>
      <c r="AB6495" s="462"/>
      <c r="AC6495" s="462"/>
      <c r="AD6495" s="464"/>
      <c r="AE6495" s="465"/>
    </row>
    <row r="6496" spans="27:31" ht="14.4">
      <c r="AA6496" s="463"/>
      <c r="AB6496" s="462"/>
      <c r="AC6496" s="462"/>
      <c r="AD6496" s="464"/>
      <c r="AE6496" s="465"/>
    </row>
    <row r="6497" spans="27:31" ht="14.4">
      <c r="AA6497" s="463"/>
      <c r="AB6497" s="462"/>
      <c r="AC6497" s="462"/>
      <c r="AD6497" s="464"/>
      <c r="AE6497" s="465"/>
    </row>
    <row r="6498" spans="27:31" ht="14.4">
      <c r="AA6498" s="463"/>
      <c r="AB6498" s="462"/>
      <c r="AC6498" s="462"/>
      <c r="AD6498" s="464"/>
      <c r="AE6498" s="465"/>
    </row>
    <row r="6499" spans="27:31" ht="14.4">
      <c r="AA6499" s="463"/>
      <c r="AB6499" s="462"/>
      <c r="AC6499" s="462"/>
      <c r="AD6499" s="464"/>
      <c r="AE6499" s="465"/>
    </row>
    <row r="6500" spans="27:31" ht="14.4">
      <c r="AA6500" s="463"/>
      <c r="AB6500" s="462"/>
      <c r="AC6500" s="462"/>
      <c r="AD6500" s="464"/>
      <c r="AE6500" s="465"/>
    </row>
    <row r="6501" spans="27:31" ht="14.4">
      <c r="AA6501" s="463"/>
      <c r="AB6501" s="462"/>
      <c r="AC6501" s="462"/>
      <c r="AD6501" s="464"/>
      <c r="AE6501" s="465"/>
    </row>
    <row r="6502" spans="27:31" ht="14.4">
      <c r="AA6502" s="463"/>
      <c r="AB6502" s="462"/>
      <c r="AC6502" s="462"/>
      <c r="AD6502" s="464"/>
      <c r="AE6502" s="465"/>
    </row>
    <row r="6503" spans="27:31" ht="14.4">
      <c r="AA6503" s="463"/>
      <c r="AB6503" s="462"/>
      <c r="AC6503" s="462"/>
      <c r="AD6503" s="464"/>
      <c r="AE6503" s="465"/>
    </row>
    <row r="6504" spans="27:31" ht="14.4">
      <c r="AA6504" s="463"/>
      <c r="AB6504" s="462"/>
      <c r="AC6504" s="462"/>
      <c r="AD6504" s="464"/>
      <c r="AE6504" s="465"/>
    </row>
    <row r="6505" spans="27:31" ht="14.4">
      <c r="AA6505" s="463"/>
      <c r="AB6505" s="462"/>
      <c r="AC6505" s="462"/>
      <c r="AD6505" s="464"/>
      <c r="AE6505" s="465"/>
    </row>
    <row r="6506" spans="27:31" ht="14.4">
      <c r="AA6506" s="463"/>
      <c r="AB6506" s="462"/>
      <c r="AC6506" s="462"/>
      <c r="AD6506" s="464"/>
      <c r="AE6506" s="465"/>
    </row>
    <row r="6507" spans="27:31" ht="14.4">
      <c r="AA6507" s="463"/>
      <c r="AB6507" s="462"/>
      <c r="AC6507" s="462"/>
      <c r="AD6507" s="464"/>
      <c r="AE6507" s="465"/>
    </row>
    <row r="6508" spans="27:31" ht="14.4">
      <c r="AA6508" s="463"/>
      <c r="AB6508" s="462"/>
      <c r="AC6508" s="462"/>
      <c r="AD6508" s="464"/>
      <c r="AE6508" s="465"/>
    </row>
    <row r="6509" spans="27:31" ht="14.4">
      <c r="AA6509" s="463"/>
      <c r="AB6509" s="462"/>
      <c r="AC6509" s="462"/>
      <c r="AD6509" s="464"/>
      <c r="AE6509" s="465"/>
    </row>
    <row r="6510" spans="27:31" ht="14.4">
      <c r="AA6510" s="463"/>
      <c r="AB6510" s="462"/>
      <c r="AC6510" s="462"/>
      <c r="AD6510" s="464"/>
      <c r="AE6510" s="465"/>
    </row>
    <row r="6511" spans="27:31" ht="14.4">
      <c r="AA6511" s="463"/>
      <c r="AB6511" s="462"/>
      <c r="AC6511" s="462"/>
      <c r="AD6511" s="464"/>
      <c r="AE6511" s="465"/>
    </row>
    <row r="6512" spans="27:31" ht="14.4">
      <c r="AA6512" s="463"/>
      <c r="AB6512" s="462"/>
      <c r="AC6512" s="462"/>
      <c r="AD6512" s="464"/>
      <c r="AE6512" s="465"/>
    </row>
    <row r="6513" spans="27:31" ht="14.4">
      <c r="AA6513" s="463"/>
      <c r="AB6513" s="462"/>
      <c r="AC6513" s="462"/>
      <c r="AD6513" s="464"/>
      <c r="AE6513" s="465"/>
    </row>
    <row r="6514" spans="27:31" ht="14.4">
      <c r="AA6514" s="463"/>
      <c r="AB6514" s="462"/>
      <c r="AC6514" s="462"/>
      <c r="AD6514" s="464"/>
      <c r="AE6514" s="465"/>
    </row>
    <row r="6515" spans="27:31" ht="14.4">
      <c r="AA6515" s="463"/>
      <c r="AB6515" s="462"/>
      <c r="AC6515" s="462"/>
      <c r="AD6515" s="464"/>
      <c r="AE6515" s="465"/>
    </row>
    <row r="6516" spans="27:31" ht="14.4">
      <c r="AA6516" s="463"/>
      <c r="AB6516" s="462"/>
      <c r="AC6516" s="462"/>
      <c r="AD6516" s="464"/>
      <c r="AE6516" s="465"/>
    </row>
    <row r="6517" spans="27:31" ht="14.4">
      <c r="AA6517" s="463"/>
      <c r="AB6517" s="462"/>
      <c r="AC6517" s="462"/>
      <c r="AD6517" s="464"/>
      <c r="AE6517" s="465"/>
    </row>
    <row r="6518" spans="27:31" ht="14.4">
      <c r="AA6518" s="463"/>
      <c r="AB6518" s="462"/>
      <c r="AC6518" s="462"/>
      <c r="AD6518" s="464"/>
      <c r="AE6518" s="465"/>
    </row>
    <row r="6519" spans="27:31" ht="14.4">
      <c r="AA6519" s="463"/>
      <c r="AB6519" s="462"/>
      <c r="AC6519" s="462"/>
      <c r="AD6519" s="464"/>
      <c r="AE6519" s="465"/>
    </row>
    <row r="6520" spans="27:31" ht="14.4">
      <c r="AA6520" s="463"/>
      <c r="AB6520" s="462"/>
      <c r="AC6520" s="462"/>
      <c r="AD6520" s="464"/>
      <c r="AE6520" s="465"/>
    </row>
    <row r="6521" spans="27:31" ht="14.4">
      <c r="AA6521" s="463"/>
      <c r="AB6521" s="462"/>
      <c r="AC6521" s="462"/>
      <c r="AD6521" s="464"/>
      <c r="AE6521" s="465"/>
    </row>
    <row r="6522" spans="27:31" ht="14.4">
      <c r="AA6522" s="463"/>
      <c r="AB6522" s="462"/>
      <c r="AC6522" s="462"/>
      <c r="AD6522" s="464"/>
      <c r="AE6522" s="465"/>
    </row>
    <row r="6523" spans="27:31" ht="14.4">
      <c r="AA6523" s="463"/>
      <c r="AB6523" s="462"/>
      <c r="AC6523" s="462"/>
      <c r="AD6523" s="464"/>
      <c r="AE6523" s="465"/>
    </row>
    <row r="6524" spans="27:31" ht="14.4">
      <c r="AA6524" s="463"/>
      <c r="AB6524" s="462"/>
      <c r="AC6524" s="462"/>
      <c r="AD6524" s="464"/>
      <c r="AE6524" s="465"/>
    </row>
    <row r="6525" spans="27:31" ht="14.4">
      <c r="AA6525" s="463"/>
      <c r="AB6525" s="462"/>
      <c r="AC6525" s="462"/>
      <c r="AD6525" s="464"/>
      <c r="AE6525" s="465"/>
    </row>
    <row r="6526" spans="27:31" ht="14.4">
      <c r="AA6526" s="463"/>
      <c r="AB6526" s="462"/>
      <c r="AC6526" s="462"/>
      <c r="AD6526" s="464"/>
      <c r="AE6526" s="465"/>
    </row>
    <row r="6527" spans="27:31" ht="14.4">
      <c r="AA6527" s="463"/>
      <c r="AB6527" s="462"/>
      <c r="AC6527" s="462"/>
      <c r="AD6527" s="464"/>
      <c r="AE6527" s="465"/>
    </row>
    <row r="6528" spans="27:31" ht="14.4">
      <c r="AA6528" s="463"/>
      <c r="AB6528" s="462"/>
      <c r="AC6528" s="462"/>
      <c r="AD6528" s="464"/>
      <c r="AE6528" s="465"/>
    </row>
    <row r="6529" spans="27:31" ht="14.4">
      <c r="AA6529" s="463"/>
      <c r="AB6529" s="462"/>
      <c r="AC6529" s="462"/>
      <c r="AD6529" s="464"/>
      <c r="AE6529" s="465"/>
    </row>
    <row r="6530" spans="27:31" ht="14.4">
      <c r="AA6530" s="463"/>
      <c r="AB6530" s="462"/>
      <c r="AC6530" s="462"/>
      <c r="AD6530" s="464"/>
      <c r="AE6530" s="465"/>
    </row>
    <row r="6531" spans="27:31" ht="14.4">
      <c r="AA6531" s="463"/>
      <c r="AB6531" s="462"/>
      <c r="AC6531" s="462"/>
      <c r="AD6531" s="464"/>
      <c r="AE6531" s="465"/>
    </row>
    <row r="6532" spans="27:31" ht="14.4">
      <c r="AA6532" s="463"/>
      <c r="AB6532" s="462"/>
      <c r="AC6532" s="462"/>
      <c r="AD6532" s="464"/>
      <c r="AE6532" s="465"/>
    </row>
    <row r="6533" spans="27:31" ht="14.4">
      <c r="AA6533" s="463"/>
      <c r="AB6533" s="462"/>
      <c r="AC6533" s="462"/>
      <c r="AD6533" s="464"/>
      <c r="AE6533" s="465"/>
    </row>
    <row r="6534" spans="27:31" ht="14.4">
      <c r="AA6534" s="463"/>
      <c r="AB6534" s="462"/>
      <c r="AC6534" s="462"/>
      <c r="AD6534" s="464"/>
      <c r="AE6534" s="465"/>
    </row>
    <row r="6535" spans="27:31" ht="14.4">
      <c r="AA6535" s="463"/>
      <c r="AB6535" s="462"/>
      <c r="AC6535" s="462"/>
      <c r="AD6535" s="464"/>
      <c r="AE6535" s="465"/>
    </row>
    <row r="6536" spans="27:31" ht="14.4">
      <c r="AA6536" s="463"/>
      <c r="AB6536" s="462"/>
      <c r="AC6536" s="462"/>
      <c r="AD6536" s="464"/>
      <c r="AE6536" s="465"/>
    </row>
    <row r="6537" spans="27:31" ht="14.4">
      <c r="AA6537" s="463"/>
      <c r="AB6537" s="462"/>
      <c r="AC6537" s="462"/>
      <c r="AD6537" s="464"/>
      <c r="AE6537" s="465"/>
    </row>
    <row r="6538" spans="27:31" ht="14.4">
      <c r="AA6538" s="463"/>
      <c r="AB6538" s="462"/>
      <c r="AC6538" s="462"/>
      <c r="AD6538" s="464"/>
      <c r="AE6538" s="465"/>
    </row>
    <row r="6539" spans="27:31" ht="14.4">
      <c r="AA6539" s="463"/>
      <c r="AB6539" s="462"/>
      <c r="AC6539" s="462"/>
      <c r="AD6539" s="464"/>
      <c r="AE6539" s="465"/>
    </row>
    <row r="6540" spans="27:31" ht="14.4">
      <c r="AA6540" s="463"/>
      <c r="AB6540" s="462"/>
      <c r="AC6540" s="462"/>
      <c r="AD6540" s="464"/>
      <c r="AE6540" s="465"/>
    </row>
    <row r="6541" spans="27:31" ht="14.4">
      <c r="AA6541" s="463"/>
      <c r="AB6541" s="462"/>
      <c r="AC6541" s="462"/>
      <c r="AD6541" s="464"/>
      <c r="AE6541" s="465"/>
    </row>
    <row r="6542" spans="27:31" ht="14.4">
      <c r="AA6542" s="463"/>
      <c r="AB6542" s="462"/>
      <c r="AC6542" s="462"/>
      <c r="AD6542" s="464"/>
      <c r="AE6542" s="465"/>
    </row>
    <row r="6543" spans="27:31" ht="14.4">
      <c r="AA6543" s="463"/>
      <c r="AB6543" s="462"/>
      <c r="AC6543" s="462"/>
      <c r="AD6543" s="464"/>
      <c r="AE6543" s="465"/>
    </row>
    <row r="6544" spans="27:31" ht="14.4">
      <c r="AA6544" s="463"/>
      <c r="AB6544" s="462"/>
      <c r="AC6544" s="462"/>
      <c r="AD6544" s="464"/>
      <c r="AE6544" s="465"/>
    </row>
    <row r="6545" spans="27:31" ht="14.4">
      <c r="AA6545" s="463"/>
      <c r="AB6545" s="462"/>
      <c r="AC6545" s="462"/>
      <c r="AD6545" s="464"/>
      <c r="AE6545" s="465"/>
    </row>
    <row r="6546" spans="27:31" ht="14.4">
      <c r="AA6546" s="463"/>
      <c r="AB6546" s="462"/>
      <c r="AC6546" s="462"/>
      <c r="AD6546" s="464"/>
      <c r="AE6546" s="465"/>
    </row>
    <row r="6547" spans="27:31" ht="14.4">
      <c r="AA6547" s="463"/>
      <c r="AB6547" s="462"/>
      <c r="AC6547" s="462"/>
      <c r="AD6547" s="464"/>
      <c r="AE6547" s="465"/>
    </row>
    <row r="6548" spans="27:31" ht="14.4">
      <c r="AA6548" s="463"/>
      <c r="AB6548" s="462"/>
      <c r="AC6548" s="462"/>
      <c r="AD6548" s="464"/>
      <c r="AE6548" s="465"/>
    </row>
    <row r="6549" spans="27:31" ht="14.4">
      <c r="AA6549" s="463"/>
      <c r="AB6549" s="462"/>
      <c r="AC6549" s="462"/>
      <c r="AD6549" s="464"/>
      <c r="AE6549" s="465"/>
    </row>
    <row r="6550" spans="27:31" ht="14.4">
      <c r="AA6550" s="463"/>
      <c r="AB6550" s="462"/>
      <c r="AC6550" s="462"/>
      <c r="AD6550" s="464"/>
      <c r="AE6550" s="465"/>
    </row>
    <row r="6551" spans="27:31" ht="14.4">
      <c r="AA6551" s="463"/>
      <c r="AB6551" s="462"/>
      <c r="AC6551" s="462"/>
      <c r="AD6551" s="464"/>
      <c r="AE6551" s="465"/>
    </row>
    <row r="6552" spans="27:31" ht="14.4">
      <c r="AA6552" s="463"/>
      <c r="AB6552" s="462"/>
      <c r="AC6552" s="462"/>
      <c r="AD6552" s="464"/>
      <c r="AE6552" s="465"/>
    </row>
    <row r="6553" spans="27:31" ht="14.4">
      <c r="AA6553" s="463"/>
      <c r="AB6553" s="462"/>
      <c r="AC6553" s="462"/>
      <c r="AD6553" s="464"/>
      <c r="AE6553" s="465"/>
    </row>
    <row r="6554" spans="27:31" ht="14.4">
      <c r="AA6554" s="463"/>
      <c r="AB6554" s="462"/>
      <c r="AC6554" s="462"/>
      <c r="AD6554" s="464"/>
      <c r="AE6554" s="465"/>
    </row>
    <row r="6555" spans="27:31" ht="14.4">
      <c r="AA6555" s="463"/>
      <c r="AB6555" s="462"/>
      <c r="AC6555" s="462"/>
      <c r="AD6555" s="464"/>
      <c r="AE6555" s="465"/>
    </row>
    <row r="6556" spans="27:31" ht="14.4">
      <c r="AA6556" s="463"/>
      <c r="AB6556" s="462"/>
      <c r="AC6556" s="462"/>
      <c r="AD6556" s="464"/>
      <c r="AE6556" s="465"/>
    </row>
    <row r="6557" spans="27:31" ht="14.4">
      <c r="AA6557" s="463"/>
      <c r="AB6557" s="462"/>
      <c r="AC6557" s="462"/>
      <c r="AD6557" s="464"/>
      <c r="AE6557" s="465"/>
    </row>
    <row r="6558" spans="27:31" ht="14.4">
      <c r="AA6558" s="463"/>
      <c r="AB6558" s="462"/>
      <c r="AC6558" s="462"/>
      <c r="AD6558" s="464"/>
      <c r="AE6558" s="465"/>
    </row>
    <row r="6559" spans="27:31" ht="14.4">
      <c r="AA6559" s="463"/>
      <c r="AB6559" s="462"/>
      <c r="AC6559" s="462"/>
      <c r="AD6559" s="464"/>
      <c r="AE6559" s="465"/>
    </row>
    <row r="6560" spans="27:31" ht="14.4">
      <c r="AA6560" s="463"/>
      <c r="AB6560" s="462"/>
      <c r="AC6560" s="462"/>
      <c r="AD6560" s="464"/>
      <c r="AE6560" s="465"/>
    </row>
    <row r="6561" spans="27:31" ht="14.4">
      <c r="AA6561" s="463"/>
      <c r="AB6561" s="462"/>
      <c r="AC6561" s="462"/>
      <c r="AD6561" s="464"/>
      <c r="AE6561" s="465"/>
    </row>
    <row r="6562" spans="27:31" ht="14.4">
      <c r="AA6562" s="463"/>
      <c r="AB6562" s="462"/>
      <c r="AC6562" s="462"/>
      <c r="AD6562" s="464"/>
      <c r="AE6562" s="465"/>
    </row>
    <row r="6563" spans="27:31" ht="14.4">
      <c r="AA6563" s="463"/>
      <c r="AB6563" s="462"/>
      <c r="AC6563" s="462"/>
      <c r="AD6563" s="464"/>
      <c r="AE6563" s="465"/>
    </row>
    <row r="6564" spans="27:31" ht="14.4">
      <c r="AA6564" s="463"/>
      <c r="AB6564" s="462"/>
      <c r="AC6564" s="462"/>
      <c r="AD6564" s="464"/>
      <c r="AE6564" s="465"/>
    </row>
    <row r="6565" spans="27:31" ht="14.4">
      <c r="AA6565" s="463"/>
      <c r="AB6565" s="462"/>
      <c r="AC6565" s="462"/>
      <c r="AD6565" s="464"/>
      <c r="AE6565" s="465"/>
    </row>
    <row r="6566" spans="27:31" ht="14.4">
      <c r="AA6566" s="463"/>
      <c r="AB6566" s="462"/>
      <c r="AC6566" s="462"/>
      <c r="AD6566" s="464"/>
      <c r="AE6566" s="465"/>
    </row>
    <row r="6567" spans="27:31" ht="14.4">
      <c r="AA6567" s="463"/>
      <c r="AB6567" s="462"/>
      <c r="AC6567" s="462"/>
      <c r="AD6567" s="464"/>
      <c r="AE6567" s="465"/>
    </row>
    <row r="6568" spans="27:31" ht="14.4">
      <c r="AA6568" s="463"/>
      <c r="AB6568" s="462"/>
      <c r="AC6568" s="462"/>
      <c r="AD6568" s="464"/>
      <c r="AE6568" s="465"/>
    </row>
    <row r="6569" spans="27:31" ht="14.4">
      <c r="AA6569" s="463"/>
      <c r="AB6569" s="462"/>
      <c r="AC6569" s="462"/>
      <c r="AD6569" s="464"/>
      <c r="AE6569" s="465"/>
    </row>
    <row r="6570" spans="27:31" ht="14.4">
      <c r="AA6570" s="463"/>
      <c r="AB6570" s="462"/>
      <c r="AC6570" s="462"/>
      <c r="AD6570" s="464"/>
      <c r="AE6570" s="465"/>
    </row>
    <row r="6571" spans="27:31" ht="14.4">
      <c r="AA6571" s="463"/>
      <c r="AB6571" s="462"/>
      <c r="AC6571" s="462"/>
      <c r="AD6571" s="464"/>
      <c r="AE6571" s="465"/>
    </row>
    <row r="6572" spans="27:31" ht="14.4">
      <c r="AA6572" s="463"/>
      <c r="AB6572" s="462"/>
      <c r="AC6572" s="462"/>
      <c r="AD6572" s="464"/>
      <c r="AE6572" s="465"/>
    </row>
    <row r="6573" spans="27:31" ht="14.4">
      <c r="AA6573" s="463"/>
      <c r="AB6573" s="462"/>
      <c r="AC6573" s="462"/>
      <c r="AD6573" s="464"/>
      <c r="AE6573" s="465"/>
    </row>
    <row r="6574" spans="27:31" ht="14.4">
      <c r="AA6574" s="463"/>
      <c r="AB6574" s="462"/>
      <c r="AC6574" s="462"/>
      <c r="AD6574" s="464"/>
      <c r="AE6574" s="465"/>
    </row>
    <row r="6575" spans="27:31" ht="14.4">
      <c r="AA6575" s="463"/>
      <c r="AB6575" s="462"/>
      <c r="AC6575" s="462"/>
      <c r="AD6575" s="464"/>
      <c r="AE6575" s="465"/>
    </row>
    <row r="6576" spans="27:31" ht="14.4">
      <c r="AA6576" s="463"/>
      <c r="AB6576" s="462"/>
      <c r="AC6576" s="462"/>
      <c r="AD6576" s="464"/>
      <c r="AE6576" s="465"/>
    </row>
    <row r="6577" spans="27:31" ht="14.4">
      <c r="AA6577" s="463"/>
      <c r="AB6577" s="462"/>
      <c r="AC6577" s="462"/>
      <c r="AD6577" s="464"/>
      <c r="AE6577" s="465"/>
    </row>
    <row r="6578" spans="27:31" ht="14.4">
      <c r="AA6578" s="463"/>
      <c r="AB6578" s="462"/>
      <c r="AC6578" s="462"/>
      <c r="AD6578" s="464"/>
      <c r="AE6578" s="465"/>
    </row>
    <row r="6579" spans="27:31" ht="14.4">
      <c r="AA6579" s="463"/>
      <c r="AB6579" s="462"/>
      <c r="AC6579" s="462"/>
      <c r="AD6579" s="464"/>
      <c r="AE6579" s="465"/>
    </row>
    <row r="6580" spans="27:31" ht="14.4">
      <c r="AA6580" s="463"/>
      <c r="AB6580" s="462"/>
      <c r="AC6580" s="462"/>
      <c r="AD6580" s="464"/>
      <c r="AE6580" s="465"/>
    </row>
    <row r="6581" spans="27:31" ht="14.4">
      <c r="AA6581" s="463"/>
      <c r="AB6581" s="462"/>
      <c r="AC6581" s="462"/>
      <c r="AD6581" s="464"/>
      <c r="AE6581" s="465"/>
    </row>
    <row r="6582" spans="27:31" ht="14.4">
      <c r="AA6582" s="463"/>
      <c r="AB6582" s="462"/>
      <c r="AC6582" s="462"/>
      <c r="AD6582" s="464"/>
      <c r="AE6582" s="465"/>
    </row>
    <row r="6583" spans="27:31" ht="14.4">
      <c r="AA6583" s="463"/>
      <c r="AB6583" s="462"/>
      <c r="AC6583" s="462"/>
      <c r="AD6583" s="464"/>
      <c r="AE6583" s="465"/>
    </row>
    <row r="6584" spans="27:31" ht="14.4">
      <c r="AA6584" s="463"/>
      <c r="AB6584" s="462"/>
      <c r="AC6584" s="462"/>
      <c r="AD6584" s="464"/>
      <c r="AE6584" s="465"/>
    </row>
    <row r="6585" spans="27:31" ht="14.4">
      <c r="AA6585" s="463"/>
      <c r="AB6585" s="462"/>
      <c r="AC6585" s="462"/>
      <c r="AD6585" s="464"/>
      <c r="AE6585" s="465"/>
    </row>
    <row r="6586" spans="27:31" ht="14.4">
      <c r="AA6586" s="463"/>
      <c r="AB6586" s="462"/>
      <c r="AC6586" s="462"/>
      <c r="AD6586" s="464"/>
      <c r="AE6586" s="465"/>
    </row>
    <row r="6587" spans="27:31" ht="14.4">
      <c r="AA6587" s="463"/>
      <c r="AB6587" s="462"/>
      <c r="AC6587" s="462"/>
      <c r="AD6587" s="464"/>
      <c r="AE6587" s="465"/>
    </row>
    <row r="6588" spans="27:31" ht="14.4">
      <c r="AA6588" s="463"/>
      <c r="AB6588" s="462"/>
      <c r="AC6588" s="462"/>
      <c r="AD6588" s="464"/>
      <c r="AE6588" s="465"/>
    </row>
    <row r="6589" spans="27:31" ht="14.4">
      <c r="AA6589" s="463"/>
      <c r="AB6589" s="462"/>
      <c r="AC6589" s="462"/>
      <c r="AD6589" s="464"/>
      <c r="AE6589" s="465"/>
    </row>
    <row r="6590" spans="27:31" ht="14.4">
      <c r="AA6590" s="463"/>
      <c r="AB6590" s="462"/>
      <c r="AC6590" s="462"/>
      <c r="AD6590" s="464"/>
      <c r="AE6590" s="465"/>
    </row>
    <row r="6591" spans="27:31" ht="14.4">
      <c r="AA6591" s="463"/>
      <c r="AB6591" s="462"/>
      <c r="AC6591" s="462"/>
      <c r="AD6591" s="464"/>
      <c r="AE6591" s="465"/>
    </row>
    <row r="6592" spans="27:31" ht="14.4">
      <c r="AA6592" s="463"/>
      <c r="AB6592" s="462"/>
      <c r="AC6592" s="462"/>
      <c r="AD6592" s="464"/>
      <c r="AE6592" s="465"/>
    </row>
    <row r="6593" spans="27:31" ht="14.4">
      <c r="AA6593" s="463"/>
      <c r="AB6593" s="462"/>
      <c r="AC6593" s="462"/>
      <c r="AD6593" s="464"/>
      <c r="AE6593" s="465"/>
    </row>
    <row r="6594" spans="27:31" ht="14.4">
      <c r="AA6594" s="463"/>
      <c r="AB6594" s="462"/>
      <c r="AC6594" s="462"/>
      <c r="AD6594" s="464"/>
      <c r="AE6594" s="465"/>
    </row>
    <row r="6595" spans="27:31" ht="14.4">
      <c r="AA6595" s="463"/>
      <c r="AB6595" s="462"/>
      <c r="AC6595" s="462"/>
      <c r="AD6595" s="464"/>
      <c r="AE6595" s="465"/>
    </row>
    <row r="6596" spans="27:31" ht="14.4">
      <c r="AA6596" s="463"/>
      <c r="AB6596" s="462"/>
      <c r="AC6596" s="462"/>
      <c r="AD6596" s="464"/>
      <c r="AE6596" s="465"/>
    </row>
    <row r="6597" spans="27:31" ht="14.4">
      <c r="AA6597" s="463"/>
      <c r="AB6597" s="462"/>
      <c r="AC6597" s="462"/>
      <c r="AD6597" s="464"/>
      <c r="AE6597" s="465"/>
    </row>
    <row r="6598" spans="27:31" ht="14.4">
      <c r="AA6598" s="463"/>
      <c r="AB6598" s="462"/>
      <c r="AC6598" s="462"/>
      <c r="AD6598" s="464"/>
      <c r="AE6598" s="465"/>
    </row>
    <row r="6599" spans="27:31" ht="14.4">
      <c r="AA6599" s="463"/>
      <c r="AB6599" s="462"/>
      <c r="AC6599" s="462"/>
      <c r="AD6599" s="464"/>
      <c r="AE6599" s="465"/>
    </row>
    <row r="6600" spans="27:31" ht="14.4">
      <c r="AA6600" s="463"/>
      <c r="AB6600" s="462"/>
      <c r="AC6600" s="462"/>
      <c r="AD6600" s="464"/>
      <c r="AE6600" s="465"/>
    </row>
    <row r="6601" spans="27:31" ht="14.4">
      <c r="AA6601" s="463"/>
      <c r="AB6601" s="462"/>
      <c r="AC6601" s="462"/>
      <c r="AD6601" s="464"/>
      <c r="AE6601" s="465"/>
    </row>
    <row r="6602" spans="27:31" ht="14.4">
      <c r="AA6602" s="463"/>
      <c r="AB6602" s="462"/>
      <c r="AC6602" s="462"/>
      <c r="AD6602" s="464"/>
      <c r="AE6602" s="465"/>
    </row>
    <row r="6603" spans="27:31" ht="14.4">
      <c r="AA6603" s="463"/>
      <c r="AB6603" s="462"/>
      <c r="AC6603" s="462"/>
      <c r="AD6603" s="464"/>
      <c r="AE6603" s="465"/>
    </row>
    <row r="6604" spans="27:31" ht="14.4">
      <c r="AA6604" s="463"/>
      <c r="AB6604" s="462"/>
      <c r="AC6604" s="462"/>
      <c r="AD6604" s="464"/>
      <c r="AE6604" s="465"/>
    </row>
    <row r="6605" spans="27:31" ht="14.4">
      <c r="AA6605" s="463"/>
      <c r="AB6605" s="462"/>
      <c r="AC6605" s="462"/>
      <c r="AD6605" s="464"/>
      <c r="AE6605" s="465"/>
    </row>
    <row r="6606" spans="27:31" ht="14.4">
      <c r="AA6606" s="463"/>
      <c r="AB6606" s="462"/>
      <c r="AC6606" s="462"/>
      <c r="AD6606" s="464"/>
      <c r="AE6606" s="465"/>
    </row>
    <row r="6607" spans="27:31" ht="14.4">
      <c r="AA6607" s="463"/>
      <c r="AB6607" s="462"/>
      <c r="AC6607" s="462"/>
      <c r="AD6607" s="464"/>
      <c r="AE6607" s="465"/>
    </row>
    <row r="6608" spans="27:31" ht="14.4">
      <c r="AA6608" s="463"/>
      <c r="AB6608" s="462"/>
      <c r="AC6608" s="462"/>
      <c r="AD6608" s="464"/>
      <c r="AE6608" s="465"/>
    </row>
    <row r="6609" spans="27:31" ht="14.4">
      <c r="AA6609" s="463"/>
      <c r="AB6609" s="462"/>
      <c r="AC6609" s="462"/>
      <c r="AD6609" s="464"/>
      <c r="AE6609" s="465"/>
    </row>
    <row r="6610" spans="27:31" ht="14.4">
      <c r="AA6610" s="463"/>
      <c r="AB6610" s="462"/>
      <c r="AC6610" s="462"/>
      <c r="AD6610" s="464"/>
      <c r="AE6610" s="465"/>
    </row>
    <row r="6611" spans="27:31" ht="14.4">
      <c r="AA6611" s="463"/>
      <c r="AB6611" s="462"/>
      <c r="AC6611" s="462"/>
      <c r="AD6611" s="464"/>
      <c r="AE6611" s="465"/>
    </row>
    <row r="6612" spans="27:31" ht="14.4">
      <c r="AA6612" s="463"/>
      <c r="AB6612" s="462"/>
      <c r="AC6612" s="462"/>
      <c r="AD6612" s="464"/>
      <c r="AE6612" s="465"/>
    </row>
    <row r="6613" spans="27:31" ht="14.4">
      <c r="AA6613" s="463"/>
      <c r="AB6613" s="462"/>
      <c r="AC6613" s="462"/>
      <c r="AD6613" s="464"/>
      <c r="AE6613" s="465"/>
    </row>
    <row r="6614" spans="27:31" ht="14.4">
      <c r="AA6614" s="463"/>
      <c r="AB6614" s="462"/>
      <c r="AC6614" s="462"/>
      <c r="AD6614" s="464"/>
      <c r="AE6614" s="465"/>
    </row>
    <row r="6615" spans="27:31" ht="14.4">
      <c r="AA6615" s="463"/>
      <c r="AB6615" s="462"/>
      <c r="AC6615" s="462"/>
      <c r="AD6615" s="464"/>
      <c r="AE6615" s="465"/>
    </row>
    <row r="6616" spans="27:31" ht="14.4">
      <c r="AA6616" s="463"/>
      <c r="AB6616" s="462"/>
      <c r="AC6616" s="462"/>
      <c r="AD6616" s="464"/>
      <c r="AE6616" s="465"/>
    </row>
    <row r="6617" spans="27:31" ht="14.4">
      <c r="AA6617" s="463"/>
      <c r="AB6617" s="462"/>
      <c r="AC6617" s="462"/>
      <c r="AD6617" s="464"/>
      <c r="AE6617" s="465"/>
    </row>
    <row r="6618" spans="27:31" ht="14.4">
      <c r="AA6618" s="463"/>
      <c r="AB6618" s="462"/>
      <c r="AC6618" s="462"/>
      <c r="AD6618" s="464"/>
      <c r="AE6618" s="465"/>
    </row>
    <row r="6619" spans="27:31" ht="14.4">
      <c r="AA6619" s="463"/>
      <c r="AB6619" s="462"/>
      <c r="AC6619" s="462"/>
      <c r="AD6619" s="464"/>
      <c r="AE6619" s="465"/>
    </row>
    <row r="6620" spans="27:31" ht="14.4">
      <c r="AA6620" s="463"/>
      <c r="AB6620" s="462"/>
      <c r="AC6620" s="462"/>
      <c r="AD6620" s="464"/>
      <c r="AE6620" s="465"/>
    </row>
    <row r="6621" spans="27:31" ht="14.4">
      <c r="AA6621" s="463"/>
      <c r="AB6621" s="462"/>
      <c r="AC6621" s="462"/>
      <c r="AD6621" s="464"/>
      <c r="AE6621" s="465"/>
    </row>
    <row r="6622" spans="27:31" ht="14.4">
      <c r="AA6622" s="463"/>
      <c r="AB6622" s="462"/>
      <c r="AC6622" s="462"/>
      <c r="AD6622" s="464"/>
      <c r="AE6622" s="465"/>
    </row>
    <row r="6623" spans="27:31" ht="14.4">
      <c r="AA6623" s="463"/>
      <c r="AB6623" s="462"/>
      <c r="AC6623" s="462"/>
      <c r="AD6623" s="464"/>
      <c r="AE6623" s="465"/>
    </row>
    <row r="6624" spans="27:31" ht="14.4">
      <c r="AA6624" s="463"/>
      <c r="AB6624" s="462"/>
      <c r="AC6624" s="462"/>
      <c r="AD6624" s="464"/>
      <c r="AE6624" s="465"/>
    </row>
    <row r="6625" spans="27:31" ht="14.4">
      <c r="AA6625" s="463"/>
      <c r="AB6625" s="462"/>
      <c r="AC6625" s="462"/>
      <c r="AD6625" s="464"/>
      <c r="AE6625" s="465"/>
    </row>
    <row r="6626" spans="27:31" ht="14.4">
      <c r="AA6626" s="463"/>
      <c r="AB6626" s="462"/>
      <c r="AC6626" s="462"/>
      <c r="AD6626" s="464"/>
      <c r="AE6626" s="465"/>
    </row>
    <row r="6627" spans="27:31" ht="14.4">
      <c r="AA6627" s="463"/>
      <c r="AB6627" s="462"/>
      <c r="AC6627" s="462"/>
      <c r="AD6627" s="464"/>
      <c r="AE6627" s="465"/>
    </row>
    <row r="6628" spans="27:31" ht="14.4">
      <c r="AA6628" s="463"/>
      <c r="AB6628" s="462"/>
      <c r="AC6628" s="462"/>
      <c r="AD6628" s="464"/>
      <c r="AE6628" s="465"/>
    </row>
    <row r="6629" spans="27:31" ht="14.4">
      <c r="AA6629" s="463"/>
      <c r="AB6629" s="462"/>
      <c r="AC6629" s="462"/>
      <c r="AD6629" s="464"/>
      <c r="AE6629" s="465"/>
    </row>
    <row r="6630" spans="27:31" ht="14.4">
      <c r="AA6630" s="463"/>
      <c r="AB6630" s="462"/>
      <c r="AC6630" s="462"/>
      <c r="AD6630" s="464"/>
      <c r="AE6630" s="465"/>
    </row>
    <row r="6631" spans="27:31" ht="14.4">
      <c r="AA6631" s="463"/>
      <c r="AB6631" s="462"/>
      <c r="AC6631" s="462"/>
      <c r="AD6631" s="464"/>
      <c r="AE6631" s="465"/>
    </row>
    <row r="6632" spans="27:31" ht="14.4">
      <c r="AA6632" s="463"/>
      <c r="AB6632" s="462"/>
      <c r="AC6632" s="462"/>
      <c r="AD6632" s="464"/>
      <c r="AE6632" s="465"/>
    </row>
    <row r="6633" spans="27:31" ht="14.4">
      <c r="AA6633" s="463"/>
      <c r="AB6633" s="462"/>
      <c r="AC6633" s="462"/>
      <c r="AD6633" s="464"/>
      <c r="AE6633" s="465"/>
    </row>
    <row r="6634" spans="27:31" ht="14.4">
      <c r="AA6634" s="463"/>
      <c r="AB6634" s="462"/>
      <c r="AC6634" s="462"/>
      <c r="AD6634" s="464"/>
      <c r="AE6634" s="465"/>
    </row>
    <row r="6635" spans="27:31" ht="14.4">
      <c r="AA6635" s="463"/>
      <c r="AB6635" s="462"/>
      <c r="AC6635" s="462"/>
      <c r="AD6635" s="464"/>
      <c r="AE6635" s="465"/>
    </row>
    <row r="6636" spans="27:31" ht="14.4">
      <c r="AA6636" s="463"/>
      <c r="AB6636" s="462"/>
      <c r="AC6636" s="462"/>
      <c r="AD6636" s="464"/>
      <c r="AE6636" s="465"/>
    </row>
    <row r="6637" spans="27:31" ht="14.4">
      <c r="AA6637" s="463"/>
      <c r="AB6637" s="462"/>
      <c r="AC6637" s="462"/>
      <c r="AD6637" s="464"/>
      <c r="AE6637" s="465"/>
    </row>
    <row r="6638" spans="27:31" ht="14.4">
      <c r="AA6638" s="463"/>
      <c r="AB6638" s="462"/>
      <c r="AC6638" s="462"/>
      <c r="AD6638" s="464"/>
      <c r="AE6638" s="465"/>
    </row>
    <row r="6639" spans="27:31" ht="14.4">
      <c r="AA6639" s="463"/>
      <c r="AB6639" s="462"/>
      <c r="AC6639" s="462"/>
      <c r="AD6639" s="464"/>
      <c r="AE6639" s="465"/>
    </row>
    <row r="6640" spans="27:31" ht="14.4">
      <c r="AA6640" s="463"/>
      <c r="AB6640" s="462"/>
      <c r="AC6640" s="462"/>
      <c r="AD6640" s="464"/>
      <c r="AE6640" s="465"/>
    </row>
    <row r="6641" spans="27:31" ht="14.4">
      <c r="AA6641" s="463"/>
      <c r="AB6641" s="462"/>
      <c r="AC6641" s="462"/>
      <c r="AD6641" s="464"/>
      <c r="AE6641" s="465"/>
    </row>
    <row r="6642" spans="27:31" ht="14.4">
      <c r="AA6642" s="463"/>
      <c r="AB6642" s="462"/>
      <c r="AC6642" s="462"/>
      <c r="AD6642" s="464"/>
      <c r="AE6642" s="465"/>
    </row>
    <row r="6643" spans="27:31" ht="14.4">
      <c r="AA6643" s="463"/>
      <c r="AB6643" s="462"/>
      <c r="AC6643" s="462"/>
      <c r="AD6643" s="464"/>
      <c r="AE6643" s="465"/>
    </row>
    <row r="6644" spans="27:31" ht="14.4">
      <c r="AA6644" s="463"/>
      <c r="AB6644" s="462"/>
      <c r="AC6644" s="462"/>
      <c r="AD6644" s="464"/>
      <c r="AE6644" s="465"/>
    </row>
    <row r="6645" spans="27:31" ht="14.4">
      <c r="AA6645" s="463"/>
      <c r="AB6645" s="462"/>
      <c r="AC6645" s="462"/>
      <c r="AD6645" s="464"/>
      <c r="AE6645" s="465"/>
    </row>
    <row r="6646" spans="27:31" ht="14.4">
      <c r="AA6646" s="463"/>
      <c r="AB6646" s="462"/>
      <c r="AC6646" s="462"/>
      <c r="AD6646" s="464"/>
      <c r="AE6646" s="465"/>
    </row>
    <row r="6647" spans="27:31" ht="14.4">
      <c r="AA6647" s="463"/>
      <c r="AB6647" s="462"/>
      <c r="AC6647" s="462"/>
      <c r="AD6647" s="464"/>
      <c r="AE6647" s="465"/>
    </row>
    <row r="6648" spans="27:31" ht="14.4">
      <c r="AA6648" s="463"/>
      <c r="AB6648" s="462"/>
      <c r="AC6648" s="462"/>
      <c r="AD6648" s="464"/>
      <c r="AE6648" s="465"/>
    </row>
    <row r="6649" spans="27:31" ht="14.4">
      <c r="AA6649" s="463"/>
      <c r="AB6649" s="462"/>
      <c r="AC6649" s="462"/>
      <c r="AD6649" s="464"/>
      <c r="AE6649" s="465"/>
    </row>
    <row r="6650" spans="27:31" ht="14.4">
      <c r="AA6650" s="463"/>
      <c r="AB6650" s="462"/>
      <c r="AC6650" s="462"/>
      <c r="AD6650" s="464"/>
      <c r="AE6650" s="465"/>
    </row>
    <row r="6651" spans="27:31" ht="14.4">
      <c r="AA6651" s="463"/>
      <c r="AB6651" s="462"/>
      <c r="AC6651" s="462"/>
      <c r="AD6651" s="464"/>
      <c r="AE6651" s="465"/>
    </row>
    <row r="6652" spans="27:31" ht="14.4">
      <c r="AA6652" s="463"/>
      <c r="AB6652" s="462"/>
      <c r="AC6652" s="462"/>
      <c r="AD6652" s="464"/>
      <c r="AE6652" s="465"/>
    </row>
    <row r="6653" spans="27:31" ht="14.4">
      <c r="AA6653" s="463"/>
      <c r="AB6653" s="462"/>
      <c r="AC6653" s="462"/>
      <c r="AD6653" s="464"/>
      <c r="AE6653" s="465"/>
    </row>
    <row r="6654" spans="27:31" ht="14.4">
      <c r="AA6654" s="463"/>
      <c r="AB6654" s="462"/>
      <c r="AC6654" s="462"/>
      <c r="AD6654" s="464"/>
      <c r="AE6654" s="465"/>
    </row>
    <row r="6655" spans="27:31" ht="14.4">
      <c r="AA6655" s="463"/>
      <c r="AB6655" s="462"/>
      <c r="AC6655" s="462"/>
      <c r="AD6655" s="464"/>
      <c r="AE6655" s="465"/>
    </row>
    <row r="6656" spans="27:31" ht="14.4">
      <c r="AA6656" s="463"/>
      <c r="AB6656" s="462"/>
      <c r="AC6656" s="462"/>
      <c r="AD6656" s="464"/>
      <c r="AE6656" s="465"/>
    </row>
    <row r="6657" spans="27:31" ht="14.4">
      <c r="AA6657" s="463"/>
      <c r="AB6657" s="462"/>
      <c r="AC6657" s="462"/>
      <c r="AD6657" s="464"/>
      <c r="AE6657" s="465"/>
    </row>
    <row r="6658" spans="27:31" ht="14.4">
      <c r="AA6658" s="463"/>
      <c r="AB6658" s="462"/>
      <c r="AC6658" s="462"/>
      <c r="AD6658" s="464"/>
      <c r="AE6658" s="465"/>
    </row>
    <row r="6659" spans="27:31" ht="14.4">
      <c r="AA6659" s="463"/>
      <c r="AB6659" s="462"/>
      <c r="AC6659" s="462"/>
      <c r="AD6659" s="464"/>
      <c r="AE6659" s="465"/>
    </row>
    <row r="6660" spans="27:31" ht="14.4">
      <c r="AA6660" s="463"/>
      <c r="AB6660" s="462"/>
      <c r="AC6660" s="462"/>
      <c r="AD6660" s="464"/>
      <c r="AE6660" s="465"/>
    </row>
    <row r="6661" spans="27:31" ht="14.4">
      <c r="AA6661" s="463"/>
      <c r="AB6661" s="462"/>
      <c r="AC6661" s="462"/>
      <c r="AD6661" s="464"/>
      <c r="AE6661" s="465"/>
    </row>
    <row r="6662" spans="27:31" ht="14.4">
      <c r="AA6662" s="463"/>
      <c r="AB6662" s="462"/>
      <c r="AC6662" s="462"/>
      <c r="AD6662" s="464"/>
      <c r="AE6662" s="465"/>
    </row>
    <row r="6663" spans="27:31" ht="14.4">
      <c r="AA6663" s="463"/>
      <c r="AB6663" s="462"/>
      <c r="AC6663" s="462"/>
      <c r="AD6663" s="464"/>
      <c r="AE6663" s="465"/>
    </row>
    <row r="6664" spans="27:31" ht="14.4">
      <c r="AA6664" s="463"/>
      <c r="AB6664" s="462"/>
      <c r="AC6664" s="462"/>
      <c r="AD6664" s="464"/>
      <c r="AE6664" s="465"/>
    </row>
    <row r="6665" spans="27:31" ht="14.4">
      <c r="AA6665" s="463"/>
      <c r="AB6665" s="462"/>
      <c r="AC6665" s="462"/>
      <c r="AD6665" s="464"/>
      <c r="AE6665" s="465"/>
    </row>
    <row r="6666" spans="27:31" ht="14.4">
      <c r="AA6666" s="463"/>
      <c r="AB6666" s="462"/>
      <c r="AC6666" s="462"/>
      <c r="AD6666" s="464"/>
      <c r="AE6666" s="465"/>
    </row>
    <row r="6667" spans="27:31" ht="14.4">
      <c r="AA6667" s="463"/>
      <c r="AB6667" s="462"/>
      <c r="AC6667" s="462"/>
      <c r="AD6667" s="464"/>
      <c r="AE6667" s="465"/>
    </row>
    <row r="6668" spans="27:31" ht="14.4">
      <c r="AA6668" s="463"/>
      <c r="AB6668" s="462"/>
      <c r="AC6668" s="462"/>
      <c r="AD6668" s="464"/>
      <c r="AE6668" s="465"/>
    </row>
    <row r="6669" spans="27:31" ht="14.4">
      <c r="AA6669" s="463"/>
      <c r="AB6669" s="462"/>
      <c r="AC6669" s="462"/>
      <c r="AD6669" s="464"/>
      <c r="AE6669" s="465"/>
    </row>
    <row r="6670" spans="27:31" ht="14.4">
      <c r="AA6670" s="463"/>
      <c r="AB6670" s="462"/>
      <c r="AC6670" s="462"/>
      <c r="AD6670" s="464"/>
      <c r="AE6670" s="465"/>
    </row>
    <row r="6671" spans="27:31" ht="14.4">
      <c r="AA6671" s="463"/>
      <c r="AB6671" s="462"/>
      <c r="AC6671" s="462"/>
      <c r="AD6671" s="464"/>
      <c r="AE6671" s="465"/>
    </row>
    <row r="6672" spans="27:31" ht="14.4">
      <c r="AA6672" s="463"/>
      <c r="AB6672" s="462"/>
      <c r="AC6672" s="462"/>
      <c r="AD6672" s="464"/>
      <c r="AE6672" s="465"/>
    </row>
    <row r="6673" spans="27:31" ht="14.4">
      <c r="AA6673" s="463"/>
      <c r="AB6673" s="462"/>
      <c r="AC6673" s="462"/>
      <c r="AD6673" s="464"/>
      <c r="AE6673" s="465"/>
    </row>
    <row r="6674" spans="27:31" ht="14.4">
      <c r="AA6674" s="463"/>
      <c r="AB6674" s="462"/>
      <c r="AC6674" s="462"/>
      <c r="AD6674" s="464"/>
      <c r="AE6674" s="465"/>
    </row>
    <row r="6675" spans="27:31" ht="14.4">
      <c r="AA6675" s="463"/>
      <c r="AB6675" s="462"/>
      <c r="AC6675" s="462"/>
      <c r="AD6675" s="464"/>
      <c r="AE6675" s="465"/>
    </row>
    <row r="6676" spans="27:31" ht="14.4">
      <c r="AA6676" s="463"/>
      <c r="AB6676" s="462"/>
      <c r="AC6676" s="462"/>
      <c r="AD6676" s="464"/>
      <c r="AE6676" s="465"/>
    </row>
    <row r="6677" spans="27:31" ht="14.4">
      <c r="AA6677" s="463"/>
      <c r="AB6677" s="462"/>
      <c r="AC6677" s="462"/>
      <c r="AD6677" s="464"/>
      <c r="AE6677" s="465"/>
    </row>
    <row r="6678" spans="27:31" ht="14.4">
      <c r="AA6678" s="463"/>
      <c r="AB6678" s="462"/>
      <c r="AC6678" s="462"/>
      <c r="AD6678" s="464"/>
      <c r="AE6678" s="465"/>
    </row>
    <row r="6679" spans="27:31" ht="14.4">
      <c r="AA6679" s="463"/>
      <c r="AB6679" s="462"/>
      <c r="AC6679" s="462"/>
      <c r="AD6679" s="464"/>
      <c r="AE6679" s="465"/>
    </row>
    <row r="6680" spans="27:31" ht="14.4">
      <c r="AA6680" s="463"/>
      <c r="AB6680" s="462"/>
      <c r="AC6680" s="462"/>
      <c r="AD6680" s="464"/>
      <c r="AE6680" s="465"/>
    </row>
    <row r="6681" spans="27:31" ht="14.4">
      <c r="AA6681" s="463"/>
      <c r="AB6681" s="462"/>
      <c r="AC6681" s="462"/>
      <c r="AD6681" s="464"/>
      <c r="AE6681" s="465"/>
    </row>
    <row r="6682" spans="27:31" ht="14.4">
      <c r="AA6682" s="463"/>
      <c r="AB6682" s="462"/>
      <c r="AC6682" s="462"/>
      <c r="AD6682" s="464"/>
      <c r="AE6682" s="465"/>
    </row>
    <row r="6683" spans="27:31" ht="14.4">
      <c r="AA6683" s="463"/>
      <c r="AB6683" s="462"/>
      <c r="AC6683" s="462"/>
      <c r="AD6683" s="464"/>
      <c r="AE6683" s="465"/>
    </row>
    <row r="6684" spans="27:31" ht="14.4">
      <c r="AA6684" s="463"/>
      <c r="AB6684" s="462"/>
      <c r="AC6684" s="462"/>
      <c r="AD6684" s="464"/>
      <c r="AE6684" s="465"/>
    </row>
    <row r="6685" spans="27:31" ht="14.4">
      <c r="AA6685" s="463"/>
      <c r="AB6685" s="462"/>
      <c r="AC6685" s="462"/>
      <c r="AD6685" s="464"/>
      <c r="AE6685" s="465"/>
    </row>
    <row r="6686" spans="27:31" ht="14.4">
      <c r="AA6686" s="463"/>
      <c r="AB6686" s="462"/>
      <c r="AC6686" s="462"/>
      <c r="AD6686" s="464"/>
      <c r="AE6686" s="465"/>
    </row>
    <row r="6687" spans="27:31" ht="14.4">
      <c r="AA6687" s="463"/>
      <c r="AB6687" s="462"/>
      <c r="AC6687" s="462"/>
      <c r="AD6687" s="464"/>
      <c r="AE6687" s="465"/>
    </row>
    <row r="6688" spans="27:31" ht="14.4">
      <c r="AA6688" s="463"/>
      <c r="AB6688" s="462"/>
      <c r="AC6688" s="462"/>
      <c r="AD6688" s="464"/>
      <c r="AE6688" s="465"/>
    </row>
    <row r="6689" spans="27:31" ht="14.4">
      <c r="AA6689" s="463"/>
      <c r="AB6689" s="462"/>
      <c r="AC6689" s="462"/>
      <c r="AD6689" s="464"/>
      <c r="AE6689" s="465"/>
    </row>
    <row r="6690" spans="27:31" ht="14.4">
      <c r="AA6690" s="463"/>
      <c r="AB6690" s="462"/>
      <c r="AC6690" s="462"/>
      <c r="AD6690" s="464"/>
      <c r="AE6690" s="465"/>
    </row>
    <row r="6691" spans="27:31" ht="14.4">
      <c r="AA6691" s="463"/>
      <c r="AB6691" s="462"/>
      <c r="AC6691" s="462"/>
      <c r="AD6691" s="464"/>
      <c r="AE6691" s="465"/>
    </row>
    <row r="6692" spans="27:31" ht="14.4">
      <c r="AA6692" s="463"/>
      <c r="AB6692" s="462"/>
      <c r="AC6692" s="462"/>
      <c r="AD6692" s="464"/>
      <c r="AE6692" s="465"/>
    </row>
    <row r="6693" spans="27:31" ht="14.4">
      <c r="AA6693" s="463"/>
      <c r="AB6693" s="462"/>
      <c r="AC6693" s="462"/>
      <c r="AD6693" s="464"/>
      <c r="AE6693" s="465"/>
    </row>
    <row r="6694" spans="27:31" ht="14.4">
      <c r="AA6694" s="463"/>
      <c r="AB6694" s="462"/>
      <c r="AC6694" s="462"/>
      <c r="AD6694" s="464"/>
      <c r="AE6694" s="465"/>
    </row>
    <row r="6695" spans="27:31" ht="14.4">
      <c r="AA6695" s="463"/>
      <c r="AB6695" s="462"/>
      <c r="AC6695" s="462"/>
      <c r="AD6695" s="464"/>
      <c r="AE6695" s="465"/>
    </row>
    <row r="6696" spans="27:31" ht="14.4">
      <c r="AA6696" s="463"/>
      <c r="AB6696" s="462"/>
      <c r="AC6696" s="462"/>
      <c r="AD6696" s="464"/>
      <c r="AE6696" s="465"/>
    </row>
    <row r="6697" spans="27:31" ht="14.4">
      <c r="AA6697" s="463"/>
      <c r="AB6697" s="462"/>
      <c r="AC6697" s="462"/>
      <c r="AD6697" s="464"/>
      <c r="AE6697" s="465"/>
    </row>
    <row r="6698" spans="27:31" ht="14.4">
      <c r="AA6698" s="463"/>
      <c r="AB6698" s="462"/>
      <c r="AC6698" s="462"/>
      <c r="AD6698" s="464"/>
      <c r="AE6698" s="465"/>
    </row>
    <row r="6699" spans="27:31" ht="14.4">
      <c r="AA6699" s="463"/>
      <c r="AB6699" s="462"/>
      <c r="AC6699" s="462"/>
      <c r="AD6699" s="464"/>
      <c r="AE6699" s="465"/>
    </row>
    <row r="6700" spans="27:31" ht="14.4">
      <c r="AA6700" s="463"/>
      <c r="AB6700" s="462"/>
      <c r="AC6700" s="462"/>
      <c r="AD6700" s="464"/>
      <c r="AE6700" s="465"/>
    </row>
    <row r="6701" spans="27:31" ht="14.4">
      <c r="AA6701" s="463"/>
      <c r="AB6701" s="462"/>
      <c r="AC6701" s="462"/>
      <c r="AD6701" s="464"/>
      <c r="AE6701" s="465"/>
    </row>
    <row r="6702" spans="27:31" ht="14.4">
      <c r="AA6702" s="463"/>
      <c r="AB6702" s="462"/>
      <c r="AC6702" s="462"/>
      <c r="AD6702" s="464"/>
      <c r="AE6702" s="465"/>
    </row>
    <row r="6703" spans="27:31" ht="14.4">
      <c r="AA6703" s="463"/>
      <c r="AB6703" s="462"/>
      <c r="AC6703" s="462"/>
      <c r="AD6703" s="464"/>
      <c r="AE6703" s="465"/>
    </row>
    <row r="6704" spans="27:31" ht="14.4">
      <c r="AA6704" s="463"/>
      <c r="AB6704" s="462"/>
      <c r="AC6704" s="462"/>
      <c r="AD6704" s="464"/>
      <c r="AE6704" s="465"/>
    </row>
    <row r="6705" spans="27:31" ht="14.4">
      <c r="AA6705" s="463"/>
      <c r="AB6705" s="462"/>
      <c r="AC6705" s="462"/>
      <c r="AD6705" s="464"/>
      <c r="AE6705" s="465"/>
    </row>
    <row r="6706" spans="27:31" ht="14.4">
      <c r="AA6706" s="463"/>
      <c r="AB6706" s="462"/>
      <c r="AC6706" s="462"/>
      <c r="AD6706" s="464"/>
      <c r="AE6706" s="465"/>
    </row>
    <row r="6707" spans="27:31" ht="14.4">
      <c r="AA6707" s="463"/>
      <c r="AB6707" s="462"/>
      <c r="AC6707" s="462"/>
      <c r="AD6707" s="464"/>
      <c r="AE6707" s="465"/>
    </row>
    <row r="6708" spans="27:31" ht="14.4">
      <c r="AA6708" s="463"/>
      <c r="AB6708" s="462"/>
      <c r="AC6708" s="462"/>
      <c r="AD6708" s="464"/>
      <c r="AE6708" s="465"/>
    </row>
    <row r="6709" spans="27:31" ht="14.4">
      <c r="AA6709" s="463"/>
      <c r="AB6709" s="462"/>
      <c r="AC6709" s="462"/>
      <c r="AD6709" s="464"/>
      <c r="AE6709" s="465"/>
    </row>
    <row r="6710" spans="27:31" ht="14.4">
      <c r="AA6710" s="463"/>
      <c r="AB6710" s="462"/>
      <c r="AC6710" s="462"/>
      <c r="AD6710" s="464"/>
      <c r="AE6710" s="465"/>
    </row>
    <row r="6711" spans="27:31" ht="14.4">
      <c r="AA6711" s="463"/>
      <c r="AB6711" s="462"/>
      <c r="AC6711" s="462"/>
      <c r="AD6711" s="464"/>
      <c r="AE6711" s="465"/>
    </row>
    <row r="6712" spans="27:31" ht="14.4">
      <c r="AA6712" s="463"/>
      <c r="AB6712" s="462"/>
      <c r="AC6712" s="462"/>
      <c r="AD6712" s="464"/>
      <c r="AE6712" s="465"/>
    </row>
    <row r="6713" spans="27:31" ht="14.4">
      <c r="AA6713" s="463"/>
      <c r="AB6713" s="462"/>
      <c r="AC6713" s="462"/>
      <c r="AD6713" s="464"/>
      <c r="AE6713" s="465"/>
    </row>
    <row r="6714" spans="27:31" ht="14.4">
      <c r="AA6714" s="463"/>
      <c r="AB6714" s="462"/>
      <c r="AC6714" s="462"/>
      <c r="AD6714" s="464"/>
      <c r="AE6714" s="465"/>
    </row>
    <row r="6715" spans="27:31" ht="14.4">
      <c r="AA6715" s="463"/>
      <c r="AB6715" s="462"/>
      <c r="AC6715" s="462"/>
      <c r="AD6715" s="464"/>
      <c r="AE6715" s="465"/>
    </row>
    <row r="6716" spans="27:31" ht="14.4">
      <c r="AA6716" s="463"/>
      <c r="AB6716" s="462"/>
      <c r="AC6716" s="462"/>
      <c r="AD6716" s="464"/>
      <c r="AE6716" s="465"/>
    </row>
    <row r="6717" spans="27:31" ht="14.4">
      <c r="AA6717" s="463"/>
      <c r="AB6717" s="462"/>
      <c r="AC6717" s="462"/>
      <c r="AD6717" s="464"/>
      <c r="AE6717" s="465"/>
    </row>
    <row r="6718" spans="27:31" ht="14.4">
      <c r="AA6718" s="463"/>
      <c r="AB6718" s="462"/>
      <c r="AC6718" s="462"/>
      <c r="AD6718" s="464"/>
      <c r="AE6718" s="465"/>
    </row>
    <row r="6719" spans="27:31" ht="14.4">
      <c r="AA6719" s="463"/>
      <c r="AB6719" s="462"/>
      <c r="AC6719" s="462"/>
      <c r="AD6719" s="464"/>
      <c r="AE6719" s="465"/>
    </row>
    <row r="6720" spans="27:31" ht="14.4">
      <c r="AA6720" s="463"/>
      <c r="AB6720" s="462"/>
      <c r="AC6720" s="462"/>
      <c r="AD6720" s="464"/>
      <c r="AE6720" s="465"/>
    </row>
    <row r="6721" spans="27:31" ht="14.4">
      <c r="AA6721" s="463"/>
      <c r="AB6721" s="462"/>
      <c r="AC6721" s="462"/>
      <c r="AD6721" s="464"/>
      <c r="AE6721" s="465"/>
    </row>
    <row r="6722" spans="27:31" ht="14.4">
      <c r="AA6722" s="463"/>
      <c r="AB6722" s="462"/>
      <c r="AC6722" s="462"/>
      <c r="AD6722" s="464"/>
      <c r="AE6722" s="465"/>
    </row>
    <row r="6723" spans="27:31" ht="14.4">
      <c r="AA6723" s="463"/>
      <c r="AB6723" s="462"/>
      <c r="AC6723" s="462"/>
      <c r="AD6723" s="464"/>
      <c r="AE6723" s="465"/>
    </row>
    <row r="6724" spans="27:31" ht="14.4">
      <c r="AA6724" s="463"/>
      <c r="AB6724" s="462"/>
      <c r="AC6724" s="462"/>
      <c r="AD6724" s="464"/>
      <c r="AE6724" s="465"/>
    </row>
    <row r="6725" spans="27:31" ht="14.4">
      <c r="AA6725" s="463"/>
      <c r="AB6725" s="462"/>
      <c r="AC6725" s="462"/>
      <c r="AD6725" s="464"/>
      <c r="AE6725" s="465"/>
    </row>
    <row r="6726" spans="27:31" ht="14.4">
      <c r="AA6726" s="463"/>
      <c r="AB6726" s="462"/>
      <c r="AC6726" s="462"/>
      <c r="AD6726" s="464"/>
      <c r="AE6726" s="465"/>
    </row>
    <row r="6727" spans="27:31" ht="14.4">
      <c r="AA6727" s="463"/>
      <c r="AB6727" s="462"/>
      <c r="AC6727" s="462"/>
      <c r="AD6727" s="464"/>
      <c r="AE6727" s="465"/>
    </row>
    <row r="6728" spans="27:31" ht="14.4">
      <c r="AA6728" s="463"/>
      <c r="AB6728" s="462"/>
      <c r="AC6728" s="462"/>
      <c r="AD6728" s="464"/>
      <c r="AE6728" s="465"/>
    </row>
    <row r="6729" spans="27:31" ht="14.4">
      <c r="AA6729" s="463"/>
      <c r="AB6729" s="462"/>
      <c r="AC6729" s="462"/>
      <c r="AD6729" s="464"/>
      <c r="AE6729" s="465"/>
    </row>
    <row r="6730" spans="27:31" ht="14.4">
      <c r="AA6730" s="463"/>
      <c r="AB6730" s="462"/>
      <c r="AC6730" s="462"/>
      <c r="AD6730" s="464"/>
      <c r="AE6730" s="465"/>
    </row>
    <row r="6731" spans="27:31" ht="14.4">
      <c r="AA6731" s="463"/>
      <c r="AB6731" s="462"/>
      <c r="AC6731" s="462"/>
      <c r="AD6731" s="464"/>
      <c r="AE6731" s="465"/>
    </row>
    <row r="6732" spans="27:31" ht="14.4">
      <c r="AA6732" s="463"/>
      <c r="AB6732" s="462"/>
      <c r="AC6732" s="462"/>
      <c r="AD6732" s="464"/>
      <c r="AE6732" s="465"/>
    </row>
    <row r="6733" spans="27:31" ht="14.4">
      <c r="AA6733" s="463"/>
      <c r="AB6733" s="462"/>
      <c r="AC6733" s="462"/>
      <c r="AD6733" s="464"/>
      <c r="AE6733" s="465"/>
    </row>
    <row r="6734" spans="27:31" ht="14.4">
      <c r="AA6734" s="463"/>
      <c r="AB6734" s="462"/>
      <c r="AC6734" s="462"/>
      <c r="AD6734" s="464"/>
      <c r="AE6734" s="465"/>
    </row>
    <row r="6735" spans="27:31" ht="14.4">
      <c r="AA6735" s="463"/>
      <c r="AB6735" s="462"/>
      <c r="AC6735" s="462"/>
      <c r="AD6735" s="464"/>
      <c r="AE6735" s="465"/>
    </row>
    <row r="6736" spans="27:31" ht="14.4">
      <c r="AA6736" s="463"/>
      <c r="AB6736" s="462"/>
      <c r="AC6736" s="462"/>
      <c r="AD6736" s="464"/>
      <c r="AE6736" s="465"/>
    </row>
    <row r="6737" spans="27:31" ht="14.4">
      <c r="AA6737" s="463"/>
      <c r="AB6737" s="462"/>
      <c r="AC6737" s="462"/>
      <c r="AD6737" s="464"/>
      <c r="AE6737" s="465"/>
    </row>
    <row r="6738" spans="27:31" ht="14.4">
      <c r="AA6738" s="463"/>
      <c r="AB6738" s="462"/>
      <c r="AC6738" s="462"/>
      <c r="AD6738" s="464"/>
      <c r="AE6738" s="465"/>
    </row>
    <row r="6739" spans="27:31" ht="14.4">
      <c r="AA6739" s="463"/>
      <c r="AB6739" s="462"/>
      <c r="AC6739" s="462"/>
      <c r="AD6739" s="464"/>
      <c r="AE6739" s="465"/>
    </row>
    <row r="6740" spans="27:31" ht="14.4">
      <c r="AA6740" s="463"/>
      <c r="AB6740" s="462"/>
      <c r="AC6740" s="462"/>
      <c r="AD6740" s="464"/>
      <c r="AE6740" s="465"/>
    </row>
    <row r="6741" spans="27:31" ht="14.4">
      <c r="AA6741" s="463"/>
      <c r="AB6741" s="462"/>
      <c r="AC6741" s="462"/>
      <c r="AD6741" s="464"/>
      <c r="AE6741" s="465"/>
    </row>
    <row r="6742" spans="27:31" ht="14.4">
      <c r="AA6742" s="463"/>
      <c r="AB6742" s="462"/>
      <c r="AC6742" s="462"/>
      <c r="AD6742" s="464"/>
      <c r="AE6742" s="465"/>
    </row>
    <row r="6743" spans="27:31" ht="14.4">
      <c r="AA6743" s="463"/>
      <c r="AB6743" s="462"/>
      <c r="AC6743" s="462"/>
      <c r="AD6743" s="464"/>
      <c r="AE6743" s="465"/>
    </row>
    <row r="6744" spans="27:31" ht="14.4">
      <c r="AA6744" s="463"/>
      <c r="AB6744" s="462"/>
      <c r="AC6744" s="462"/>
      <c r="AD6744" s="464"/>
      <c r="AE6744" s="465"/>
    </row>
    <row r="6745" spans="27:31" ht="14.4">
      <c r="AA6745" s="463"/>
      <c r="AB6745" s="462"/>
      <c r="AC6745" s="462"/>
      <c r="AD6745" s="464"/>
      <c r="AE6745" s="465"/>
    </row>
    <row r="6746" spans="27:31" ht="14.4">
      <c r="AA6746" s="463"/>
      <c r="AB6746" s="462"/>
      <c r="AC6746" s="462"/>
      <c r="AD6746" s="464"/>
      <c r="AE6746" s="465"/>
    </row>
    <row r="6747" spans="27:31" ht="14.4">
      <c r="AA6747" s="463"/>
      <c r="AB6747" s="462"/>
      <c r="AC6747" s="462"/>
      <c r="AD6747" s="464"/>
      <c r="AE6747" s="465"/>
    </row>
    <row r="6748" spans="27:31" ht="14.4">
      <c r="AA6748" s="463"/>
      <c r="AB6748" s="462"/>
      <c r="AC6748" s="462"/>
      <c r="AD6748" s="464"/>
      <c r="AE6748" s="465"/>
    </row>
    <row r="6749" spans="27:31" ht="14.4">
      <c r="AA6749" s="463"/>
      <c r="AB6749" s="462"/>
      <c r="AC6749" s="462"/>
      <c r="AD6749" s="464"/>
      <c r="AE6749" s="465"/>
    </row>
    <row r="6750" spans="27:31" ht="14.4">
      <c r="AA6750" s="463"/>
      <c r="AB6750" s="462"/>
      <c r="AC6750" s="462"/>
      <c r="AD6750" s="464"/>
      <c r="AE6750" s="465"/>
    </row>
    <row r="6751" spans="27:31" ht="14.4">
      <c r="AA6751" s="463"/>
      <c r="AB6751" s="462"/>
      <c r="AC6751" s="462"/>
      <c r="AD6751" s="464"/>
      <c r="AE6751" s="465"/>
    </row>
    <row r="6752" spans="27:31" ht="14.4">
      <c r="AA6752" s="463"/>
      <c r="AB6752" s="462"/>
      <c r="AC6752" s="462"/>
      <c r="AD6752" s="464"/>
      <c r="AE6752" s="465"/>
    </row>
    <row r="6753" spans="27:31" ht="14.4">
      <c r="AA6753" s="463"/>
      <c r="AB6753" s="462"/>
      <c r="AC6753" s="462"/>
      <c r="AD6753" s="464"/>
      <c r="AE6753" s="465"/>
    </row>
    <row r="6754" spans="27:31" ht="14.4">
      <c r="AA6754" s="463"/>
      <c r="AB6754" s="462"/>
      <c r="AC6754" s="462"/>
      <c r="AD6754" s="464"/>
      <c r="AE6754" s="465"/>
    </row>
    <row r="6755" spans="27:31" ht="14.4">
      <c r="AA6755" s="463"/>
      <c r="AB6755" s="462"/>
      <c r="AC6755" s="462"/>
      <c r="AD6755" s="464"/>
      <c r="AE6755" s="465"/>
    </row>
    <row r="6756" spans="27:31" ht="14.4">
      <c r="AA6756" s="463"/>
      <c r="AB6756" s="462"/>
      <c r="AC6756" s="462"/>
      <c r="AD6756" s="464"/>
      <c r="AE6756" s="465"/>
    </row>
    <row r="6757" spans="27:31" ht="14.4">
      <c r="AA6757" s="463"/>
      <c r="AB6757" s="462"/>
      <c r="AC6757" s="462"/>
      <c r="AD6757" s="464"/>
      <c r="AE6757" s="465"/>
    </row>
    <row r="6758" spans="27:31" ht="14.4">
      <c r="AA6758" s="463"/>
      <c r="AB6758" s="462"/>
      <c r="AC6758" s="462"/>
      <c r="AD6758" s="464"/>
      <c r="AE6758" s="465"/>
    </row>
    <row r="6759" spans="27:31" ht="14.4">
      <c r="AA6759" s="463"/>
      <c r="AB6759" s="462"/>
      <c r="AC6759" s="462"/>
      <c r="AD6759" s="464"/>
      <c r="AE6759" s="465"/>
    </row>
    <row r="6760" spans="27:31" ht="14.4">
      <c r="AA6760" s="463"/>
      <c r="AB6760" s="462"/>
      <c r="AC6760" s="462"/>
      <c r="AD6760" s="464"/>
      <c r="AE6760" s="465"/>
    </row>
    <row r="6761" spans="27:31" ht="14.4">
      <c r="AA6761" s="463"/>
      <c r="AB6761" s="462"/>
      <c r="AC6761" s="462"/>
      <c r="AD6761" s="464"/>
      <c r="AE6761" s="465"/>
    </row>
    <row r="6762" spans="27:31" ht="14.4">
      <c r="AA6762" s="463"/>
      <c r="AB6762" s="462"/>
      <c r="AC6762" s="462"/>
      <c r="AD6762" s="464"/>
      <c r="AE6762" s="465"/>
    </row>
    <row r="6763" spans="27:31" ht="14.4">
      <c r="AA6763" s="463"/>
      <c r="AB6763" s="462"/>
      <c r="AC6763" s="462"/>
      <c r="AD6763" s="464"/>
      <c r="AE6763" s="465"/>
    </row>
    <row r="6764" spans="27:31" ht="14.4">
      <c r="AA6764" s="463"/>
      <c r="AB6764" s="462"/>
      <c r="AC6764" s="462"/>
      <c r="AD6764" s="464"/>
      <c r="AE6764" s="465"/>
    </row>
    <row r="6765" spans="27:31" ht="14.4">
      <c r="AA6765" s="463"/>
      <c r="AB6765" s="462"/>
      <c r="AC6765" s="462"/>
      <c r="AD6765" s="464"/>
      <c r="AE6765" s="465"/>
    </row>
    <row r="6766" spans="27:31" ht="14.4">
      <c r="AA6766" s="463"/>
      <c r="AB6766" s="462"/>
      <c r="AC6766" s="462"/>
      <c r="AD6766" s="464"/>
      <c r="AE6766" s="465"/>
    </row>
    <row r="6767" spans="27:31" ht="14.4">
      <c r="AA6767" s="463"/>
      <c r="AB6767" s="462"/>
      <c r="AC6767" s="462"/>
      <c r="AD6767" s="464"/>
      <c r="AE6767" s="465"/>
    </row>
    <row r="6768" spans="27:31" ht="14.4">
      <c r="AA6768" s="463"/>
      <c r="AB6768" s="462"/>
      <c r="AC6768" s="462"/>
      <c r="AD6768" s="464"/>
      <c r="AE6768" s="465"/>
    </row>
    <row r="6769" spans="27:31" ht="14.4">
      <c r="AA6769" s="463"/>
      <c r="AB6769" s="462"/>
      <c r="AC6769" s="462"/>
      <c r="AD6769" s="464"/>
      <c r="AE6769" s="465"/>
    </row>
    <row r="6770" spans="27:31" ht="14.4">
      <c r="AA6770" s="463"/>
      <c r="AB6770" s="462"/>
      <c r="AC6770" s="462"/>
      <c r="AD6770" s="464"/>
      <c r="AE6770" s="465"/>
    </row>
    <row r="6771" spans="27:31" ht="14.4">
      <c r="AA6771" s="463"/>
      <c r="AB6771" s="462"/>
      <c r="AC6771" s="462"/>
      <c r="AD6771" s="464"/>
      <c r="AE6771" s="465"/>
    </row>
    <row r="6772" spans="27:31" ht="14.4">
      <c r="AA6772" s="463"/>
      <c r="AB6772" s="462"/>
      <c r="AC6772" s="462"/>
      <c r="AD6772" s="464"/>
      <c r="AE6772" s="465"/>
    </row>
    <row r="6773" spans="27:31" ht="14.4">
      <c r="AA6773" s="463"/>
      <c r="AB6773" s="462"/>
      <c r="AC6773" s="462"/>
      <c r="AD6773" s="464"/>
      <c r="AE6773" s="465"/>
    </row>
    <row r="6774" spans="27:31" ht="14.4">
      <c r="AA6774" s="463"/>
      <c r="AB6774" s="462"/>
      <c r="AC6774" s="462"/>
      <c r="AD6774" s="464"/>
      <c r="AE6774" s="465"/>
    </row>
    <row r="6775" spans="27:31" ht="14.4">
      <c r="AA6775" s="463"/>
      <c r="AB6775" s="462"/>
      <c r="AC6775" s="462"/>
      <c r="AD6775" s="464"/>
      <c r="AE6775" s="465"/>
    </row>
    <row r="6776" spans="27:31" ht="14.4">
      <c r="AA6776" s="463"/>
      <c r="AB6776" s="462"/>
      <c r="AC6776" s="462"/>
      <c r="AD6776" s="464"/>
      <c r="AE6776" s="465"/>
    </row>
    <row r="6777" spans="27:31" ht="14.4">
      <c r="AA6777" s="463"/>
      <c r="AB6777" s="462"/>
      <c r="AC6777" s="462"/>
      <c r="AD6777" s="464"/>
      <c r="AE6777" s="465"/>
    </row>
    <row r="6778" spans="27:31" ht="14.4">
      <c r="AA6778" s="463"/>
      <c r="AB6778" s="462"/>
      <c r="AC6778" s="462"/>
      <c r="AD6778" s="464"/>
      <c r="AE6778" s="465"/>
    </row>
    <row r="6779" spans="27:31" ht="14.4">
      <c r="AA6779" s="463"/>
      <c r="AB6779" s="462"/>
      <c r="AC6779" s="462"/>
      <c r="AD6779" s="464"/>
      <c r="AE6779" s="465"/>
    </row>
    <row r="6780" spans="27:31" ht="14.4">
      <c r="AA6780" s="463"/>
      <c r="AB6780" s="462"/>
      <c r="AC6780" s="462"/>
      <c r="AD6780" s="464"/>
      <c r="AE6780" s="465"/>
    </row>
    <row r="6781" spans="27:31" ht="14.4">
      <c r="AA6781" s="463"/>
      <c r="AB6781" s="462"/>
      <c r="AC6781" s="462"/>
      <c r="AD6781" s="464"/>
      <c r="AE6781" s="465"/>
    </row>
    <row r="6782" spans="27:31" ht="14.4">
      <c r="AA6782" s="463"/>
      <c r="AB6782" s="462"/>
      <c r="AC6782" s="462"/>
      <c r="AD6782" s="464"/>
      <c r="AE6782" s="465"/>
    </row>
    <row r="6783" spans="27:31" ht="14.4">
      <c r="AA6783" s="463"/>
      <c r="AB6783" s="462"/>
      <c r="AC6783" s="462"/>
      <c r="AD6783" s="464"/>
      <c r="AE6783" s="465"/>
    </row>
    <row r="6784" spans="27:31" ht="14.4">
      <c r="AA6784" s="463"/>
      <c r="AB6784" s="462"/>
      <c r="AC6784" s="462"/>
      <c r="AD6784" s="464"/>
      <c r="AE6784" s="465"/>
    </row>
    <row r="6785" spans="27:31" ht="14.4">
      <c r="AA6785" s="463"/>
      <c r="AB6785" s="462"/>
      <c r="AC6785" s="462"/>
      <c r="AD6785" s="464"/>
      <c r="AE6785" s="465"/>
    </row>
    <row r="6786" spans="27:31" ht="14.4">
      <c r="AA6786" s="463"/>
      <c r="AB6786" s="462"/>
      <c r="AC6786" s="462"/>
      <c r="AD6786" s="464"/>
      <c r="AE6786" s="465"/>
    </row>
    <row r="6787" spans="27:31" ht="14.4">
      <c r="AA6787" s="463"/>
      <c r="AB6787" s="462"/>
      <c r="AC6787" s="462"/>
      <c r="AD6787" s="464"/>
      <c r="AE6787" s="465"/>
    </row>
    <row r="6788" spans="27:31" ht="14.4">
      <c r="AA6788" s="463"/>
      <c r="AB6788" s="462"/>
      <c r="AC6788" s="462"/>
      <c r="AD6788" s="464"/>
      <c r="AE6788" s="465"/>
    </row>
    <row r="6789" spans="27:31" ht="14.4">
      <c r="AA6789" s="463"/>
      <c r="AB6789" s="462"/>
      <c r="AC6789" s="462"/>
      <c r="AD6789" s="464"/>
      <c r="AE6789" s="465"/>
    </row>
    <row r="6790" spans="27:31" ht="14.4">
      <c r="AA6790" s="463"/>
      <c r="AB6790" s="462"/>
      <c r="AC6790" s="462"/>
      <c r="AD6790" s="464"/>
      <c r="AE6790" s="465"/>
    </row>
    <row r="6791" spans="27:31" ht="14.4">
      <c r="AA6791" s="463"/>
      <c r="AB6791" s="462"/>
      <c r="AC6791" s="462"/>
      <c r="AD6791" s="464"/>
      <c r="AE6791" s="465"/>
    </row>
    <row r="6792" spans="27:31" ht="14.4">
      <c r="AA6792" s="463"/>
      <c r="AB6792" s="462"/>
      <c r="AC6792" s="462"/>
      <c r="AD6792" s="464"/>
      <c r="AE6792" s="465"/>
    </row>
    <row r="6793" spans="27:31" ht="14.4">
      <c r="AA6793" s="463"/>
      <c r="AB6793" s="462"/>
      <c r="AC6793" s="462"/>
      <c r="AD6793" s="464"/>
      <c r="AE6793" s="465"/>
    </row>
    <row r="6794" spans="27:31" ht="14.4">
      <c r="AA6794" s="463"/>
      <c r="AB6794" s="462"/>
      <c r="AC6794" s="462"/>
      <c r="AD6794" s="464"/>
      <c r="AE6794" s="465"/>
    </row>
    <row r="6795" spans="27:31" ht="14.4">
      <c r="AA6795" s="463"/>
      <c r="AB6795" s="462"/>
      <c r="AC6795" s="462"/>
      <c r="AD6795" s="464"/>
      <c r="AE6795" s="465"/>
    </row>
    <row r="6796" spans="27:31" ht="14.4">
      <c r="AA6796" s="463"/>
      <c r="AB6796" s="462"/>
      <c r="AC6796" s="462"/>
      <c r="AD6796" s="464"/>
      <c r="AE6796" s="465"/>
    </row>
    <row r="6797" spans="27:31" ht="14.4">
      <c r="AA6797" s="463"/>
      <c r="AB6797" s="462"/>
      <c r="AC6797" s="462"/>
      <c r="AD6797" s="464"/>
      <c r="AE6797" s="465"/>
    </row>
    <row r="6798" spans="27:31" ht="14.4">
      <c r="AA6798" s="463"/>
      <c r="AB6798" s="462"/>
      <c r="AC6798" s="462"/>
      <c r="AD6798" s="464"/>
      <c r="AE6798" s="465"/>
    </row>
    <row r="6799" spans="27:31" ht="14.4">
      <c r="AA6799" s="463"/>
      <c r="AB6799" s="462"/>
      <c r="AC6799" s="462"/>
      <c r="AD6799" s="464"/>
      <c r="AE6799" s="465"/>
    </row>
    <row r="6800" spans="27:31" ht="14.4">
      <c r="AA6800" s="463"/>
      <c r="AB6800" s="462"/>
      <c r="AC6800" s="462"/>
      <c r="AD6800" s="464"/>
      <c r="AE6800" s="465"/>
    </row>
    <row r="6801" spans="27:31" ht="14.4">
      <c r="AA6801" s="463"/>
      <c r="AB6801" s="462"/>
      <c r="AC6801" s="462"/>
      <c r="AD6801" s="464"/>
      <c r="AE6801" s="465"/>
    </row>
    <row r="6802" spans="27:31" ht="14.4">
      <c r="AA6802" s="463"/>
      <c r="AB6802" s="462"/>
      <c r="AC6802" s="462"/>
      <c r="AD6802" s="464"/>
      <c r="AE6802" s="465"/>
    </row>
    <row r="6803" spans="27:31" ht="14.4">
      <c r="AA6803" s="463"/>
      <c r="AB6803" s="462"/>
      <c r="AC6803" s="462"/>
      <c r="AD6803" s="464"/>
      <c r="AE6803" s="465"/>
    </row>
    <row r="6804" spans="27:31" ht="14.4">
      <c r="AA6804" s="463"/>
      <c r="AB6804" s="462"/>
      <c r="AC6804" s="462"/>
      <c r="AD6804" s="464"/>
      <c r="AE6804" s="465"/>
    </row>
    <row r="6805" spans="27:31" ht="14.4">
      <c r="AA6805" s="463"/>
      <c r="AB6805" s="462"/>
      <c r="AC6805" s="462"/>
      <c r="AD6805" s="464"/>
      <c r="AE6805" s="465"/>
    </row>
    <row r="6806" spans="27:31" ht="14.4">
      <c r="AA6806" s="463"/>
      <c r="AB6806" s="462"/>
      <c r="AC6806" s="462"/>
      <c r="AD6806" s="464"/>
      <c r="AE6806" s="465"/>
    </row>
    <row r="6807" spans="27:31" ht="14.4">
      <c r="AA6807" s="463"/>
      <c r="AB6807" s="462"/>
      <c r="AC6807" s="462"/>
      <c r="AD6807" s="464"/>
      <c r="AE6807" s="465"/>
    </row>
    <row r="6808" spans="27:31" ht="14.4">
      <c r="AA6808" s="463"/>
      <c r="AB6808" s="462"/>
      <c r="AC6808" s="462"/>
      <c r="AD6808" s="464"/>
      <c r="AE6808" s="465"/>
    </row>
    <row r="6809" spans="27:31" ht="14.4">
      <c r="AA6809" s="463"/>
      <c r="AB6809" s="462"/>
      <c r="AC6809" s="462"/>
      <c r="AD6809" s="464"/>
      <c r="AE6809" s="465"/>
    </row>
    <row r="6810" spans="27:31" ht="14.4">
      <c r="AA6810" s="463"/>
      <c r="AB6810" s="462"/>
      <c r="AC6810" s="462"/>
      <c r="AD6810" s="464"/>
      <c r="AE6810" s="465"/>
    </row>
    <row r="6811" spans="27:31" ht="14.4">
      <c r="AA6811" s="463"/>
      <c r="AB6811" s="462"/>
      <c r="AC6811" s="462"/>
      <c r="AD6811" s="464"/>
      <c r="AE6811" s="465"/>
    </row>
    <row r="6812" spans="27:31" ht="14.4">
      <c r="AA6812" s="463"/>
      <c r="AB6812" s="462"/>
      <c r="AC6812" s="462"/>
      <c r="AD6812" s="464"/>
      <c r="AE6812" s="465"/>
    </row>
    <row r="6813" spans="27:31" ht="14.4">
      <c r="AA6813" s="463"/>
      <c r="AB6813" s="462"/>
      <c r="AC6813" s="462"/>
      <c r="AD6813" s="464"/>
      <c r="AE6813" s="465"/>
    </row>
    <row r="6814" spans="27:31" ht="14.4">
      <c r="AA6814" s="463"/>
      <c r="AB6814" s="462"/>
      <c r="AC6814" s="462"/>
      <c r="AD6814" s="464"/>
      <c r="AE6814" s="465"/>
    </row>
    <row r="6815" spans="27:31" ht="14.4">
      <c r="AA6815" s="463"/>
      <c r="AB6815" s="462"/>
      <c r="AC6815" s="462"/>
      <c r="AD6815" s="464"/>
      <c r="AE6815" s="465"/>
    </row>
    <row r="6816" spans="27:31" ht="14.4">
      <c r="AA6816" s="463"/>
      <c r="AB6816" s="462"/>
      <c r="AC6816" s="462"/>
      <c r="AD6816" s="464"/>
      <c r="AE6816" s="465"/>
    </row>
    <row r="6817" spans="27:31" ht="14.4">
      <c r="AA6817" s="463"/>
      <c r="AB6817" s="462"/>
      <c r="AC6817" s="462"/>
      <c r="AD6817" s="464"/>
      <c r="AE6817" s="465"/>
    </row>
    <row r="6818" spans="27:31" ht="14.4">
      <c r="AA6818" s="463"/>
      <c r="AB6818" s="462"/>
      <c r="AC6818" s="462"/>
      <c r="AD6818" s="464"/>
      <c r="AE6818" s="465"/>
    </row>
    <row r="6819" spans="27:31" ht="14.4">
      <c r="AA6819" s="463"/>
      <c r="AB6819" s="462"/>
      <c r="AC6819" s="462"/>
      <c r="AD6819" s="464"/>
      <c r="AE6819" s="465"/>
    </row>
    <row r="6820" spans="27:31" ht="14.4">
      <c r="AA6820" s="463"/>
      <c r="AB6820" s="462"/>
      <c r="AC6820" s="462"/>
      <c r="AD6820" s="464"/>
      <c r="AE6820" s="465"/>
    </row>
    <row r="6821" spans="27:31" ht="14.4">
      <c r="AA6821" s="463"/>
      <c r="AB6821" s="462"/>
      <c r="AC6821" s="462"/>
      <c r="AD6821" s="464"/>
      <c r="AE6821" s="465"/>
    </row>
    <row r="6822" spans="27:31" ht="14.4">
      <c r="AA6822" s="463"/>
      <c r="AB6822" s="462"/>
      <c r="AC6822" s="462"/>
      <c r="AD6822" s="464"/>
      <c r="AE6822" s="465"/>
    </row>
    <row r="6823" spans="27:31" ht="14.4">
      <c r="AA6823" s="463"/>
      <c r="AB6823" s="462"/>
      <c r="AC6823" s="462"/>
      <c r="AD6823" s="464"/>
      <c r="AE6823" s="465"/>
    </row>
    <row r="6824" spans="27:31" ht="14.4">
      <c r="AA6824" s="463"/>
      <c r="AB6824" s="462"/>
      <c r="AC6824" s="462"/>
      <c r="AD6824" s="464"/>
      <c r="AE6824" s="465"/>
    </row>
    <row r="6825" spans="27:31" ht="14.4">
      <c r="AA6825" s="463"/>
      <c r="AB6825" s="462"/>
      <c r="AC6825" s="462"/>
      <c r="AD6825" s="464"/>
      <c r="AE6825" s="465"/>
    </row>
    <row r="6826" spans="27:31" ht="14.4">
      <c r="AA6826" s="463"/>
      <c r="AB6826" s="462"/>
      <c r="AC6826" s="462"/>
      <c r="AD6826" s="464"/>
      <c r="AE6826" s="465"/>
    </row>
    <row r="6827" spans="27:31" ht="14.4">
      <c r="AA6827" s="463"/>
      <c r="AB6827" s="462"/>
      <c r="AC6827" s="462"/>
      <c r="AD6827" s="464"/>
      <c r="AE6827" s="465"/>
    </row>
    <row r="6828" spans="27:31" ht="14.4">
      <c r="AA6828" s="463"/>
      <c r="AB6828" s="462"/>
      <c r="AC6828" s="462"/>
      <c r="AD6828" s="464"/>
      <c r="AE6828" s="465"/>
    </row>
    <row r="6829" spans="27:31" ht="14.4">
      <c r="AA6829" s="463"/>
      <c r="AB6829" s="462"/>
      <c r="AC6829" s="462"/>
      <c r="AD6829" s="464"/>
      <c r="AE6829" s="465"/>
    </row>
    <row r="6830" spans="27:31" ht="14.4">
      <c r="AA6830" s="463"/>
      <c r="AB6830" s="462"/>
      <c r="AC6830" s="462"/>
      <c r="AD6830" s="464"/>
      <c r="AE6830" s="465"/>
    </row>
    <row r="6831" spans="27:31" ht="14.4">
      <c r="AA6831" s="463"/>
      <c r="AB6831" s="462"/>
      <c r="AC6831" s="462"/>
      <c r="AD6831" s="464"/>
      <c r="AE6831" s="465"/>
    </row>
    <row r="6832" spans="27:31" ht="14.4">
      <c r="AA6832" s="463"/>
      <c r="AB6832" s="462"/>
      <c r="AC6832" s="462"/>
      <c r="AD6832" s="464"/>
      <c r="AE6832" s="465"/>
    </row>
    <row r="6833" spans="27:31" ht="14.4">
      <c r="AA6833" s="463"/>
      <c r="AB6833" s="462"/>
      <c r="AC6833" s="462"/>
      <c r="AD6833" s="464"/>
      <c r="AE6833" s="465"/>
    </row>
    <row r="6834" spans="27:31" ht="14.4">
      <c r="AA6834" s="463"/>
      <c r="AB6834" s="462"/>
      <c r="AC6834" s="462"/>
      <c r="AD6834" s="464"/>
      <c r="AE6834" s="465"/>
    </row>
    <row r="6835" spans="27:31" ht="14.4">
      <c r="AA6835" s="463"/>
      <c r="AB6835" s="462"/>
      <c r="AC6835" s="462"/>
      <c r="AD6835" s="464"/>
      <c r="AE6835" s="465"/>
    </row>
    <row r="6836" spans="27:31" ht="14.4">
      <c r="AA6836" s="463"/>
      <c r="AB6836" s="462"/>
      <c r="AC6836" s="462"/>
      <c r="AD6836" s="464"/>
      <c r="AE6836" s="465"/>
    </row>
    <row r="6837" spans="27:31" ht="14.4">
      <c r="AA6837" s="463"/>
      <c r="AB6837" s="462"/>
      <c r="AC6837" s="462"/>
      <c r="AD6837" s="464"/>
      <c r="AE6837" s="465"/>
    </row>
    <row r="6838" spans="27:31" ht="14.4">
      <c r="AA6838" s="463"/>
      <c r="AB6838" s="462"/>
      <c r="AC6838" s="462"/>
      <c r="AD6838" s="464"/>
      <c r="AE6838" s="465"/>
    </row>
    <row r="6839" spans="27:31" ht="14.4">
      <c r="AA6839" s="463"/>
      <c r="AB6839" s="462"/>
      <c r="AC6839" s="462"/>
      <c r="AD6839" s="464"/>
      <c r="AE6839" s="465"/>
    </row>
    <row r="6840" spans="27:31" ht="14.4">
      <c r="AA6840" s="463"/>
      <c r="AB6840" s="462"/>
      <c r="AC6840" s="462"/>
      <c r="AD6840" s="464"/>
      <c r="AE6840" s="465"/>
    </row>
    <row r="6841" spans="27:31" ht="14.4">
      <c r="AA6841" s="463"/>
      <c r="AB6841" s="462"/>
      <c r="AC6841" s="462"/>
      <c r="AD6841" s="464"/>
      <c r="AE6841" s="465"/>
    </row>
    <row r="6842" spans="27:31" ht="14.4">
      <c r="AA6842" s="463"/>
      <c r="AB6842" s="462"/>
      <c r="AC6842" s="462"/>
      <c r="AD6842" s="464"/>
      <c r="AE6842" s="465"/>
    </row>
    <row r="6843" spans="27:31" ht="14.4">
      <c r="AA6843" s="463"/>
      <c r="AB6843" s="462"/>
      <c r="AC6843" s="462"/>
      <c r="AD6843" s="464"/>
      <c r="AE6843" s="465"/>
    </row>
    <row r="6844" spans="27:31" ht="14.4">
      <c r="AA6844" s="463"/>
      <c r="AB6844" s="462"/>
      <c r="AC6844" s="462"/>
      <c r="AD6844" s="464"/>
      <c r="AE6844" s="465"/>
    </row>
    <row r="6845" spans="27:31" ht="14.4">
      <c r="AA6845" s="463"/>
      <c r="AB6845" s="462"/>
      <c r="AC6845" s="462"/>
      <c r="AD6845" s="464"/>
      <c r="AE6845" s="465"/>
    </row>
    <row r="6846" spans="27:31" ht="14.4">
      <c r="AA6846" s="463"/>
      <c r="AB6846" s="462"/>
      <c r="AC6846" s="462"/>
      <c r="AD6846" s="464"/>
      <c r="AE6846" s="465"/>
    </row>
    <row r="6847" spans="27:31" ht="14.4">
      <c r="AA6847" s="463"/>
      <c r="AB6847" s="462"/>
      <c r="AC6847" s="462"/>
      <c r="AD6847" s="464"/>
      <c r="AE6847" s="465"/>
    </row>
    <row r="6848" spans="27:31" ht="14.4">
      <c r="AA6848" s="463"/>
      <c r="AB6848" s="462"/>
      <c r="AC6848" s="462"/>
      <c r="AD6848" s="464"/>
      <c r="AE6848" s="465"/>
    </row>
    <row r="6849" spans="27:31" ht="14.4">
      <c r="AA6849" s="463"/>
      <c r="AB6849" s="462"/>
      <c r="AC6849" s="462"/>
      <c r="AD6849" s="464"/>
      <c r="AE6849" s="465"/>
    </row>
    <row r="6850" spans="27:31" ht="14.4">
      <c r="AA6850" s="463"/>
      <c r="AB6850" s="462"/>
      <c r="AC6850" s="462"/>
      <c r="AD6850" s="464"/>
      <c r="AE6850" s="465"/>
    </row>
    <row r="6851" spans="27:31" ht="14.4">
      <c r="AA6851" s="463"/>
      <c r="AB6851" s="462"/>
      <c r="AC6851" s="462"/>
      <c r="AD6851" s="464"/>
      <c r="AE6851" s="465"/>
    </row>
    <row r="6852" spans="27:31" ht="14.4">
      <c r="AA6852" s="463"/>
      <c r="AB6852" s="462"/>
      <c r="AC6852" s="462"/>
      <c r="AD6852" s="464"/>
      <c r="AE6852" s="465"/>
    </row>
    <row r="6853" spans="27:31" ht="14.4">
      <c r="AA6853" s="463"/>
      <c r="AB6853" s="462"/>
      <c r="AC6853" s="462"/>
      <c r="AD6853" s="464"/>
      <c r="AE6853" s="465"/>
    </row>
    <row r="6854" spans="27:31" ht="14.4">
      <c r="AA6854" s="463"/>
      <c r="AB6854" s="462"/>
      <c r="AC6854" s="462"/>
      <c r="AD6854" s="464"/>
      <c r="AE6854" s="465"/>
    </row>
    <row r="6855" spans="27:31" ht="14.4">
      <c r="AA6855" s="463"/>
      <c r="AB6855" s="462"/>
      <c r="AC6855" s="462"/>
      <c r="AD6855" s="464"/>
      <c r="AE6855" s="465"/>
    </row>
    <row r="6856" spans="27:31" ht="14.4">
      <c r="AA6856" s="463"/>
      <c r="AB6856" s="462"/>
      <c r="AC6856" s="462"/>
      <c r="AD6856" s="464"/>
      <c r="AE6856" s="465"/>
    </row>
    <row r="6857" spans="27:31" ht="14.4">
      <c r="AA6857" s="463"/>
      <c r="AB6857" s="462"/>
      <c r="AC6857" s="462"/>
      <c r="AD6857" s="464"/>
      <c r="AE6857" s="465"/>
    </row>
    <row r="6858" spans="27:31" ht="14.4">
      <c r="AA6858" s="463"/>
      <c r="AB6858" s="462"/>
      <c r="AC6858" s="462"/>
      <c r="AD6858" s="464"/>
      <c r="AE6858" s="465"/>
    </row>
    <row r="6859" spans="27:31" ht="14.4">
      <c r="AA6859" s="463"/>
      <c r="AB6859" s="462"/>
      <c r="AC6859" s="462"/>
      <c r="AD6859" s="464"/>
      <c r="AE6859" s="465"/>
    </row>
    <row r="6860" spans="27:31" ht="14.4">
      <c r="AA6860" s="463"/>
      <c r="AB6860" s="462"/>
      <c r="AC6860" s="462"/>
      <c r="AD6860" s="464"/>
      <c r="AE6860" s="465"/>
    </row>
    <row r="6861" spans="27:31" ht="14.4">
      <c r="AA6861" s="463"/>
      <c r="AB6861" s="462"/>
      <c r="AC6861" s="462"/>
      <c r="AD6861" s="464"/>
      <c r="AE6861" s="465"/>
    </row>
    <row r="6862" spans="27:31" ht="14.4">
      <c r="AA6862" s="463"/>
      <c r="AB6862" s="462"/>
      <c r="AC6862" s="462"/>
      <c r="AD6862" s="464"/>
      <c r="AE6862" s="465"/>
    </row>
    <row r="6863" spans="27:31" ht="14.4">
      <c r="AA6863" s="463"/>
      <c r="AB6863" s="462"/>
      <c r="AC6863" s="462"/>
      <c r="AD6863" s="464"/>
      <c r="AE6863" s="465"/>
    </row>
    <row r="6864" spans="27:31" ht="14.4">
      <c r="AA6864" s="463"/>
      <c r="AB6864" s="462"/>
      <c r="AC6864" s="462"/>
      <c r="AD6864" s="464"/>
      <c r="AE6864" s="465"/>
    </row>
    <row r="6865" spans="27:31" ht="14.4">
      <c r="AA6865" s="463"/>
      <c r="AB6865" s="462"/>
      <c r="AC6865" s="462"/>
      <c r="AD6865" s="464"/>
      <c r="AE6865" s="465"/>
    </row>
    <row r="6866" spans="27:31" ht="14.4">
      <c r="AA6866" s="463"/>
      <c r="AB6866" s="462"/>
      <c r="AC6866" s="462"/>
      <c r="AD6866" s="464"/>
      <c r="AE6866" s="465"/>
    </row>
    <row r="6867" spans="27:31" ht="14.4">
      <c r="AA6867" s="463"/>
      <c r="AB6867" s="462"/>
      <c r="AC6867" s="462"/>
      <c r="AD6867" s="464"/>
      <c r="AE6867" s="465"/>
    </row>
    <row r="6868" spans="27:31" ht="14.4">
      <c r="AA6868" s="463"/>
      <c r="AB6868" s="462"/>
      <c r="AC6868" s="462"/>
      <c r="AD6868" s="464"/>
      <c r="AE6868" s="465"/>
    </row>
    <row r="6869" spans="27:31" ht="14.4">
      <c r="AA6869" s="463"/>
      <c r="AB6869" s="462"/>
      <c r="AC6869" s="462"/>
      <c r="AD6869" s="464"/>
      <c r="AE6869" s="465"/>
    </row>
    <row r="6870" spans="27:31" ht="14.4">
      <c r="AA6870" s="463"/>
      <c r="AB6870" s="462"/>
      <c r="AC6870" s="462"/>
      <c r="AD6870" s="464"/>
      <c r="AE6870" s="465"/>
    </row>
    <row r="6871" spans="27:31" ht="14.4">
      <c r="AA6871" s="463"/>
      <c r="AB6871" s="462"/>
      <c r="AC6871" s="462"/>
      <c r="AD6871" s="464"/>
      <c r="AE6871" s="465"/>
    </row>
    <row r="6872" spans="27:31" ht="14.4">
      <c r="AA6872" s="463"/>
      <c r="AB6872" s="462"/>
      <c r="AC6872" s="462"/>
      <c r="AD6872" s="464"/>
      <c r="AE6872" s="465"/>
    </row>
    <row r="6873" spans="27:31" ht="14.4">
      <c r="AA6873" s="463"/>
      <c r="AB6873" s="462"/>
      <c r="AC6873" s="462"/>
      <c r="AD6873" s="464"/>
      <c r="AE6873" s="465"/>
    </row>
    <row r="6874" spans="27:31" ht="14.4">
      <c r="AA6874" s="463"/>
      <c r="AB6874" s="462"/>
      <c r="AC6874" s="462"/>
      <c r="AD6874" s="464"/>
      <c r="AE6874" s="465"/>
    </row>
    <row r="6875" spans="27:31" ht="14.4">
      <c r="AA6875" s="463"/>
      <c r="AB6875" s="462"/>
      <c r="AC6875" s="462"/>
      <c r="AD6875" s="464"/>
      <c r="AE6875" s="465"/>
    </row>
    <row r="6876" spans="27:31" ht="14.4">
      <c r="AA6876" s="463"/>
      <c r="AB6876" s="462"/>
      <c r="AC6876" s="462"/>
      <c r="AD6876" s="464"/>
      <c r="AE6876" s="465"/>
    </row>
    <row r="6877" spans="27:31" ht="14.4">
      <c r="AA6877" s="463"/>
      <c r="AB6877" s="462"/>
      <c r="AC6877" s="462"/>
      <c r="AD6877" s="464"/>
      <c r="AE6877" s="465"/>
    </row>
    <row r="6878" spans="27:31" ht="14.4">
      <c r="AA6878" s="463"/>
      <c r="AB6878" s="462"/>
      <c r="AC6878" s="462"/>
      <c r="AD6878" s="464"/>
      <c r="AE6878" s="465"/>
    </row>
    <row r="6879" spans="27:31" ht="14.4">
      <c r="AA6879" s="463"/>
      <c r="AB6879" s="462"/>
      <c r="AC6879" s="462"/>
      <c r="AD6879" s="464"/>
      <c r="AE6879" s="465"/>
    </row>
    <row r="6880" spans="27:31" ht="14.4">
      <c r="AA6880" s="463"/>
      <c r="AB6880" s="462"/>
      <c r="AC6880" s="462"/>
      <c r="AD6880" s="464"/>
      <c r="AE6880" s="465"/>
    </row>
    <row r="6881" spans="27:31" ht="14.4">
      <c r="AA6881" s="463"/>
      <c r="AB6881" s="462"/>
      <c r="AC6881" s="462"/>
      <c r="AD6881" s="464"/>
      <c r="AE6881" s="465"/>
    </row>
    <row r="6882" spans="27:31" ht="14.4">
      <c r="AA6882" s="463"/>
      <c r="AB6882" s="462"/>
      <c r="AC6882" s="462"/>
      <c r="AD6882" s="464"/>
      <c r="AE6882" s="465"/>
    </row>
    <row r="6883" spans="27:31" ht="14.4">
      <c r="AA6883" s="463"/>
      <c r="AB6883" s="462"/>
      <c r="AC6883" s="462"/>
      <c r="AD6883" s="464"/>
      <c r="AE6883" s="465"/>
    </row>
    <row r="6884" spans="27:31" ht="14.4">
      <c r="AA6884" s="463"/>
      <c r="AB6884" s="462"/>
      <c r="AC6884" s="462"/>
      <c r="AD6884" s="464"/>
      <c r="AE6884" s="465"/>
    </row>
    <row r="6885" spans="27:31" ht="14.4">
      <c r="AA6885" s="463"/>
      <c r="AB6885" s="462"/>
      <c r="AC6885" s="462"/>
      <c r="AD6885" s="464"/>
      <c r="AE6885" s="465"/>
    </row>
    <row r="6886" spans="27:31" ht="14.4">
      <c r="AA6886" s="463"/>
      <c r="AB6886" s="462"/>
      <c r="AC6886" s="462"/>
      <c r="AD6886" s="464"/>
      <c r="AE6886" s="465"/>
    </row>
    <row r="6887" spans="27:31" ht="14.4">
      <c r="AA6887" s="463"/>
      <c r="AB6887" s="462"/>
      <c r="AC6887" s="462"/>
      <c r="AD6887" s="464"/>
      <c r="AE6887" s="465"/>
    </row>
    <row r="6888" spans="27:31" ht="14.4">
      <c r="AA6888" s="463"/>
      <c r="AB6888" s="462"/>
      <c r="AC6888" s="462"/>
      <c r="AD6888" s="464"/>
      <c r="AE6888" s="465"/>
    </row>
    <row r="6889" spans="27:31" ht="14.4">
      <c r="AA6889" s="463"/>
      <c r="AB6889" s="462"/>
      <c r="AC6889" s="462"/>
      <c r="AD6889" s="464"/>
      <c r="AE6889" s="465"/>
    </row>
    <row r="6890" spans="27:31" ht="14.4">
      <c r="AA6890" s="463"/>
      <c r="AB6890" s="462"/>
      <c r="AC6890" s="462"/>
      <c r="AD6890" s="464"/>
      <c r="AE6890" s="465"/>
    </row>
    <row r="6891" spans="27:31" ht="14.4">
      <c r="AA6891" s="463"/>
      <c r="AB6891" s="462"/>
      <c r="AC6891" s="462"/>
      <c r="AD6891" s="464"/>
      <c r="AE6891" s="465"/>
    </row>
    <row r="6892" spans="27:31" ht="14.4">
      <c r="AA6892" s="463"/>
      <c r="AB6892" s="462"/>
      <c r="AC6892" s="462"/>
      <c r="AD6892" s="464"/>
      <c r="AE6892" s="465"/>
    </row>
    <row r="6893" spans="27:31" ht="14.4">
      <c r="AA6893" s="463"/>
      <c r="AB6893" s="462"/>
      <c r="AC6893" s="462"/>
      <c r="AD6893" s="464"/>
      <c r="AE6893" s="465"/>
    </row>
    <row r="6894" spans="27:31" ht="14.4">
      <c r="AA6894" s="463"/>
      <c r="AB6894" s="462"/>
      <c r="AC6894" s="462"/>
      <c r="AD6894" s="464"/>
      <c r="AE6894" s="465"/>
    </row>
    <row r="6895" spans="27:31" ht="14.4">
      <c r="AA6895" s="463"/>
      <c r="AB6895" s="462"/>
      <c r="AC6895" s="462"/>
      <c r="AD6895" s="464"/>
      <c r="AE6895" s="465"/>
    </row>
    <row r="6896" spans="27:31" ht="14.4">
      <c r="AA6896" s="463"/>
      <c r="AB6896" s="462"/>
      <c r="AC6896" s="462"/>
      <c r="AD6896" s="464"/>
      <c r="AE6896" s="465"/>
    </row>
    <row r="6897" spans="27:31" ht="14.4">
      <c r="AA6897" s="463"/>
      <c r="AB6897" s="462"/>
      <c r="AC6897" s="462"/>
      <c r="AD6897" s="464"/>
      <c r="AE6897" s="465"/>
    </row>
    <row r="6898" spans="27:31" ht="14.4">
      <c r="AA6898" s="463"/>
      <c r="AB6898" s="462"/>
      <c r="AC6898" s="462"/>
      <c r="AD6898" s="464"/>
      <c r="AE6898" s="465"/>
    </row>
    <row r="6899" spans="27:31" ht="14.4">
      <c r="AA6899" s="463"/>
      <c r="AB6899" s="462"/>
      <c r="AC6899" s="462"/>
      <c r="AD6899" s="464"/>
      <c r="AE6899" s="465"/>
    </row>
    <row r="6900" spans="27:31" ht="14.4">
      <c r="AA6900" s="463"/>
      <c r="AB6900" s="462"/>
      <c r="AC6900" s="462"/>
      <c r="AD6900" s="464"/>
      <c r="AE6900" s="465"/>
    </row>
    <row r="6901" spans="27:31" ht="14.4">
      <c r="AA6901" s="463"/>
      <c r="AB6901" s="462"/>
      <c r="AC6901" s="462"/>
      <c r="AD6901" s="464"/>
      <c r="AE6901" s="465"/>
    </row>
    <row r="6902" spans="27:31" ht="14.4">
      <c r="AA6902" s="463"/>
      <c r="AB6902" s="462"/>
      <c r="AC6902" s="462"/>
      <c r="AD6902" s="464"/>
      <c r="AE6902" s="465"/>
    </row>
    <row r="6903" spans="27:31" ht="14.4">
      <c r="AA6903" s="463"/>
      <c r="AB6903" s="462"/>
      <c r="AC6903" s="462"/>
      <c r="AD6903" s="464"/>
      <c r="AE6903" s="465"/>
    </row>
    <row r="6904" spans="27:31" ht="14.4">
      <c r="AA6904" s="463"/>
      <c r="AB6904" s="462"/>
      <c r="AC6904" s="462"/>
      <c r="AD6904" s="464"/>
      <c r="AE6904" s="465"/>
    </row>
    <row r="6905" spans="27:31" ht="14.4">
      <c r="AA6905" s="463"/>
      <c r="AB6905" s="462"/>
      <c r="AC6905" s="462"/>
      <c r="AD6905" s="464"/>
      <c r="AE6905" s="465"/>
    </row>
    <row r="6906" spans="27:31" ht="14.4">
      <c r="AA6906" s="463"/>
      <c r="AB6906" s="462"/>
      <c r="AC6906" s="462"/>
      <c r="AD6906" s="464"/>
      <c r="AE6906" s="465"/>
    </row>
    <row r="6907" spans="27:31" ht="14.4">
      <c r="AA6907" s="463"/>
      <c r="AB6907" s="462"/>
      <c r="AC6907" s="462"/>
      <c r="AD6907" s="464"/>
      <c r="AE6907" s="465"/>
    </row>
    <row r="6908" spans="27:31" ht="14.4">
      <c r="AA6908" s="463"/>
      <c r="AB6908" s="462"/>
      <c r="AC6908" s="462"/>
      <c r="AD6908" s="464"/>
      <c r="AE6908" s="465"/>
    </row>
    <row r="6909" spans="27:31" ht="14.4">
      <c r="AA6909" s="463"/>
      <c r="AB6909" s="462"/>
      <c r="AC6909" s="462"/>
      <c r="AD6909" s="464"/>
      <c r="AE6909" s="465"/>
    </row>
    <row r="6910" spans="27:31" ht="14.4">
      <c r="AA6910" s="463"/>
      <c r="AB6910" s="462"/>
      <c r="AC6910" s="462"/>
      <c r="AD6910" s="464"/>
      <c r="AE6910" s="465"/>
    </row>
    <row r="6911" spans="27:31" ht="14.4">
      <c r="AA6911" s="463"/>
      <c r="AB6911" s="462"/>
      <c r="AC6911" s="462"/>
      <c r="AD6911" s="464"/>
      <c r="AE6911" s="465"/>
    </row>
    <row r="6912" spans="27:31" ht="14.4">
      <c r="AA6912" s="463"/>
      <c r="AB6912" s="462"/>
      <c r="AC6912" s="462"/>
      <c r="AD6912" s="464"/>
      <c r="AE6912" s="465"/>
    </row>
    <row r="6913" spans="27:31" ht="14.4">
      <c r="AA6913" s="463"/>
      <c r="AB6913" s="462"/>
      <c r="AC6913" s="462"/>
      <c r="AD6913" s="464"/>
      <c r="AE6913" s="465"/>
    </row>
    <row r="6914" spans="27:31" ht="14.4">
      <c r="AA6914" s="463"/>
      <c r="AB6914" s="462"/>
      <c r="AC6914" s="462"/>
      <c r="AD6914" s="464"/>
      <c r="AE6914" s="465"/>
    </row>
    <row r="6915" spans="27:31" ht="14.4">
      <c r="AA6915" s="463"/>
      <c r="AB6915" s="462"/>
      <c r="AC6915" s="462"/>
      <c r="AD6915" s="464"/>
      <c r="AE6915" s="465"/>
    </row>
    <row r="6916" spans="27:31" ht="14.4">
      <c r="AA6916" s="463"/>
      <c r="AB6916" s="462"/>
      <c r="AC6916" s="462"/>
      <c r="AD6916" s="464"/>
      <c r="AE6916" s="465"/>
    </row>
    <row r="6917" spans="27:31" ht="14.4">
      <c r="AA6917" s="463"/>
      <c r="AB6917" s="462"/>
      <c r="AC6917" s="462"/>
      <c r="AD6917" s="464"/>
      <c r="AE6917" s="465"/>
    </row>
    <row r="6918" spans="27:31" ht="14.4">
      <c r="AA6918" s="463"/>
      <c r="AB6918" s="462"/>
      <c r="AC6918" s="462"/>
      <c r="AD6918" s="464"/>
      <c r="AE6918" s="465"/>
    </row>
    <row r="6919" spans="27:31" ht="14.4">
      <c r="AA6919" s="463"/>
      <c r="AB6919" s="462"/>
      <c r="AC6919" s="462"/>
      <c r="AD6919" s="464"/>
      <c r="AE6919" s="465"/>
    </row>
    <row r="6920" spans="27:31" ht="14.4">
      <c r="AA6920" s="463"/>
      <c r="AB6920" s="462"/>
      <c r="AC6920" s="462"/>
      <c r="AD6920" s="464"/>
      <c r="AE6920" s="465"/>
    </row>
    <row r="6921" spans="27:31" ht="14.4">
      <c r="AA6921" s="463"/>
      <c r="AB6921" s="462"/>
      <c r="AC6921" s="462"/>
      <c r="AD6921" s="464"/>
      <c r="AE6921" s="465"/>
    </row>
    <row r="6922" spans="27:31" ht="14.4">
      <c r="AA6922" s="463"/>
      <c r="AB6922" s="462"/>
      <c r="AC6922" s="462"/>
      <c r="AD6922" s="464"/>
      <c r="AE6922" s="465"/>
    </row>
    <row r="6923" spans="27:31" ht="14.4">
      <c r="AA6923" s="463"/>
      <c r="AB6923" s="462"/>
      <c r="AC6923" s="462"/>
      <c r="AD6923" s="464"/>
      <c r="AE6923" s="465"/>
    </row>
    <row r="6924" spans="27:31" ht="14.4">
      <c r="AA6924" s="463"/>
      <c r="AB6924" s="462"/>
      <c r="AC6924" s="462"/>
      <c r="AD6924" s="464"/>
      <c r="AE6924" s="465"/>
    </row>
    <row r="6925" spans="27:31" ht="14.4">
      <c r="AA6925" s="463"/>
      <c r="AB6925" s="462"/>
      <c r="AC6925" s="462"/>
      <c r="AD6925" s="464"/>
      <c r="AE6925" s="465"/>
    </row>
    <row r="6926" spans="27:31" ht="14.4">
      <c r="AA6926" s="463"/>
      <c r="AB6926" s="462"/>
      <c r="AC6926" s="462"/>
      <c r="AD6926" s="464"/>
      <c r="AE6926" s="465"/>
    </row>
    <row r="6927" spans="27:31" ht="14.4">
      <c r="AA6927" s="463"/>
      <c r="AB6927" s="462"/>
      <c r="AC6927" s="462"/>
      <c r="AD6927" s="464"/>
      <c r="AE6927" s="465"/>
    </row>
    <row r="6928" spans="27:31" ht="14.4">
      <c r="AA6928" s="463"/>
      <c r="AB6928" s="462"/>
      <c r="AC6928" s="462"/>
      <c r="AD6928" s="464"/>
      <c r="AE6928" s="465"/>
    </row>
    <row r="6929" spans="27:31" ht="14.4">
      <c r="AA6929" s="463"/>
      <c r="AB6929" s="462"/>
      <c r="AC6929" s="462"/>
      <c r="AD6929" s="464"/>
      <c r="AE6929" s="465"/>
    </row>
    <row r="6930" spans="27:31" ht="14.4">
      <c r="AA6930" s="463"/>
      <c r="AB6930" s="462"/>
      <c r="AC6930" s="462"/>
      <c r="AD6930" s="464"/>
      <c r="AE6930" s="465"/>
    </row>
    <row r="6931" spans="27:31" ht="14.4">
      <c r="AA6931" s="463"/>
      <c r="AB6931" s="462"/>
      <c r="AC6931" s="462"/>
      <c r="AD6931" s="464"/>
      <c r="AE6931" s="465"/>
    </row>
    <row r="6932" spans="27:31" ht="14.4">
      <c r="AA6932" s="463"/>
      <c r="AB6932" s="462"/>
      <c r="AC6932" s="462"/>
      <c r="AD6932" s="464"/>
      <c r="AE6932" s="465"/>
    </row>
    <row r="6933" spans="27:31" ht="14.4">
      <c r="AA6933" s="463"/>
      <c r="AB6933" s="462"/>
      <c r="AC6933" s="462"/>
      <c r="AD6933" s="464"/>
      <c r="AE6933" s="465"/>
    </row>
    <row r="6934" spans="27:31" ht="14.4">
      <c r="AA6934" s="463"/>
      <c r="AB6934" s="462"/>
      <c r="AC6934" s="462"/>
      <c r="AD6934" s="464"/>
      <c r="AE6934" s="465"/>
    </row>
    <row r="6935" spans="27:31" ht="14.4">
      <c r="AA6935" s="463"/>
      <c r="AB6935" s="462"/>
      <c r="AC6935" s="462"/>
      <c r="AD6935" s="464"/>
      <c r="AE6935" s="465"/>
    </row>
    <row r="6936" spans="27:31" ht="14.4">
      <c r="AA6936" s="463"/>
      <c r="AB6936" s="462"/>
      <c r="AC6936" s="462"/>
      <c r="AD6936" s="464"/>
      <c r="AE6936" s="465"/>
    </row>
    <row r="6937" spans="27:31" ht="14.4">
      <c r="AA6937" s="463"/>
      <c r="AB6937" s="462"/>
      <c r="AC6937" s="462"/>
      <c r="AD6937" s="464"/>
      <c r="AE6937" s="465"/>
    </row>
    <row r="6938" spans="27:31" ht="14.4">
      <c r="AA6938" s="463"/>
      <c r="AB6938" s="462"/>
      <c r="AC6938" s="462"/>
      <c r="AD6938" s="464"/>
      <c r="AE6938" s="465"/>
    </row>
    <row r="6939" spans="27:31" ht="14.4">
      <c r="AA6939" s="463"/>
      <c r="AB6939" s="462"/>
      <c r="AC6939" s="462"/>
      <c r="AD6939" s="464"/>
      <c r="AE6939" s="465"/>
    </row>
    <row r="6940" spans="27:31" ht="14.4">
      <c r="AA6940" s="463"/>
      <c r="AB6940" s="462"/>
      <c r="AC6940" s="462"/>
      <c r="AD6940" s="464"/>
      <c r="AE6940" s="465"/>
    </row>
    <row r="6941" spans="27:31" ht="14.4">
      <c r="AA6941" s="463"/>
      <c r="AB6941" s="462"/>
      <c r="AC6941" s="462"/>
      <c r="AD6941" s="464"/>
      <c r="AE6941" s="465"/>
    </row>
    <row r="6942" spans="27:31" ht="14.4">
      <c r="AA6942" s="463"/>
      <c r="AB6942" s="462"/>
      <c r="AC6942" s="462"/>
      <c r="AD6942" s="464"/>
      <c r="AE6942" s="465"/>
    </row>
    <row r="6943" spans="27:31" ht="14.4">
      <c r="AA6943" s="463"/>
      <c r="AB6943" s="462"/>
      <c r="AC6943" s="462"/>
      <c r="AD6943" s="464"/>
      <c r="AE6943" s="465"/>
    </row>
    <row r="6944" spans="27:31" ht="14.4">
      <c r="AA6944" s="463"/>
      <c r="AB6944" s="462"/>
      <c r="AC6944" s="462"/>
      <c r="AD6944" s="464"/>
      <c r="AE6944" s="465"/>
    </row>
    <row r="6945" spans="27:31" ht="14.4">
      <c r="AA6945" s="463"/>
      <c r="AB6945" s="462"/>
      <c r="AC6945" s="462"/>
      <c r="AD6945" s="464"/>
      <c r="AE6945" s="465"/>
    </row>
    <row r="6946" spans="27:31" ht="14.4">
      <c r="AA6946" s="463"/>
      <c r="AB6946" s="462"/>
      <c r="AC6946" s="462"/>
      <c r="AD6946" s="464"/>
      <c r="AE6946" s="465"/>
    </row>
    <row r="6947" spans="27:31" ht="14.4">
      <c r="AA6947" s="463"/>
      <c r="AB6947" s="462"/>
      <c r="AC6947" s="462"/>
      <c r="AD6947" s="464"/>
      <c r="AE6947" s="465"/>
    </row>
    <row r="6948" spans="27:31" ht="14.4">
      <c r="AA6948" s="463"/>
      <c r="AB6948" s="462"/>
      <c r="AC6948" s="462"/>
      <c r="AD6948" s="464"/>
      <c r="AE6948" s="465"/>
    </row>
    <row r="6949" spans="27:31" ht="14.4">
      <c r="AA6949" s="463"/>
      <c r="AB6949" s="462"/>
      <c r="AC6949" s="462"/>
      <c r="AD6949" s="464"/>
      <c r="AE6949" s="465"/>
    </row>
    <row r="6950" spans="27:31" ht="14.4">
      <c r="AA6950" s="463"/>
      <c r="AB6950" s="462"/>
      <c r="AC6950" s="462"/>
      <c r="AD6950" s="464"/>
      <c r="AE6950" s="465"/>
    </row>
    <row r="6951" spans="27:31" ht="14.4">
      <c r="AA6951" s="463"/>
      <c r="AB6951" s="462"/>
      <c r="AC6951" s="462"/>
      <c r="AD6951" s="464"/>
      <c r="AE6951" s="465"/>
    </row>
    <row r="6952" spans="27:31" ht="14.4">
      <c r="AA6952" s="463"/>
      <c r="AB6952" s="462"/>
      <c r="AC6952" s="462"/>
      <c r="AD6952" s="464"/>
      <c r="AE6952" s="465"/>
    </row>
    <row r="6953" spans="27:31" ht="14.4">
      <c r="AA6953" s="463"/>
      <c r="AB6953" s="462"/>
      <c r="AC6953" s="462"/>
      <c r="AD6953" s="464"/>
      <c r="AE6953" s="465"/>
    </row>
    <row r="6954" spans="27:31" ht="14.4">
      <c r="AA6954" s="463"/>
      <c r="AB6954" s="462"/>
      <c r="AC6954" s="462"/>
      <c r="AD6954" s="464"/>
      <c r="AE6954" s="465"/>
    </row>
    <row r="6955" spans="27:31" ht="14.4">
      <c r="AA6955" s="463"/>
      <c r="AB6955" s="462"/>
      <c r="AC6955" s="462"/>
      <c r="AD6955" s="464"/>
      <c r="AE6955" s="465"/>
    </row>
    <row r="6956" spans="27:31" ht="14.4">
      <c r="AA6956" s="463"/>
      <c r="AB6956" s="462"/>
      <c r="AC6956" s="462"/>
      <c r="AD6956" s="464"/>
      <c r="AE6956" s="465"/>
    </row>
    <row r="6957" spans="27:31" ht="14.4">
      <c r="AA6957" s="463"/>
      <c r="AB6957" s="462"/>
      <c r="AC6957" s="462"/>
      <c r="AD6957" s="464"/>
      <c r="AE6957" s="465"/>
    </row>
    <row r="6958" spans="27:31" ht="14.4">
      <c r="AA6958" s="463"/>
      <c r="AB6958" s="462"/>
      <c r="AC6958" s="462"/>
      <c r="AD6958" s="464"/>
      <c r="AE6958" s="465"/>
    </row>
    <row r="6959" spans="27:31" ht="14.4">
      <c r="AA6959" s="463"/>
      <c r="AB6959" s="462"/>
      <c r="AC6959" s="462"/>
      <c r="AD6959" s="464"/>
      <c r="AE6959" s="465"/>
    </row>
    <row r="6960" spans="27:31" ht="14.4">
      <c r="AA6960" s="463"/>
      <c r="AB6960" s="462"/>
      <c r="AC6960" s="462"/>
      <c r="AD6960" s="464"/>
      <c r="AE6960" s="465"/>
    </row>
    <row r="6961" spans="27:31" ht="14.4">
      <c r="AA6961" s="463"/>
      <c r="AB6961" s="462"/>
      <c r="AC6961" s="462"/>
      <c r="AD6961" s="464"/>
      <c r="AE6961" s="465"/>
    </row>
    <row r="6962" spans="27:31" ht="14.4">
      <c r="AA6962" s="463"/>
      <c r="AB6962" s="462"/>
      <c r="AC6962" s="462"/>
      <c r="AD6962" s="464"/>
      <c r="AE6962" s="465"/>
    </row>
    <row r="6963" spans="27:31" ht="14.4">
      <c r="AA6963" s="463"/>
      <c r="AB6963" s="462"/>
      <c r="AC6963" s="462"/>
      <c r="AD6963" s="464"/>
      <c r="AE6963" s="465"/>
    </row>
    <row r="6964" spans="27:31" ht="14.4">
      <c r="AA6964" s="463"/>
      <c r="AB6964" s="462"/>
      <c r="AC6964" s="462"/>
      <c r="AD6964" s="464"/>
      <c r="AE6964" s="465"/>
    </row>
    <row r="6965" spans="27:31" ht="14.4">
      <c r="AA6965" s="463"/>
      <c r="AB6965" s="462"/>
      <c r="AC6965" s="462"/>
      <c r="AD6965" s="464"/>
      <c r="AE6965" s="465"/>
    </row>
    <row r="6966" spans="27:31" ht="14.4">
      <c r="AA6966" s="463"/>
      <c r="AB6966" s="462"/>
      <c r="AC6966" s="462"/>
      <c r="AD6966" s="464"/>
      <c r="AE6966" s="465"/>
    </row>
    <row r="6967" spans="27:31" ht="14.4">
      <c r="AA6967" s="463"/>
      <c r="AB6967" s="462"/>
      <c r="AC6967" s="462"/>
      <c r="AD6967" s="464"/>
      <c r="AE6967" s="465"/>
    </row>
    <row r="6968" spans="27:31" ht="14.4">
      <c r="AA6968" s="463"/>
      <c r="AB6968" s="462"/>
      <c r="AC6968" s="462"/>
      <c r="AD6968" s="464"/>
      <c r="AE6968" s="465"/>
    </row>
    <row r="6969" spans="27:31" ht="14.4">
      <c r="AA6969" s="463"/>
      <c r="AB6969" s="462"/>
      <c r="AC6969" s="462"/>
      <c r="AD6969" s="464"/>
      <c r="AE6969" s="465"/>
    </row>
    <row r="6970" spans="27:31" ht="14.4">
      <c r="AA6970" s="463"/>
      <c r="AB6970" s="462"/>
      <c r="AC6970" s="462"/>
      <c r="AD6970" s="464"/>
      <c r="AE6970" s="465"/>
    </row>
    <row r="6971" spans="27:31" ht="14.4">
      <c r="AA6971" s="463"/>
      <c r="AB6971" s="462"/>
      <c r="AC6971" s="462"/>
      <c r="AD6971" s="464"/>
      <c r="AE6971" s="465"/>
    </row>
    <row r="6972" spans="27:31" ht="14.4">
      <c r="AA6972" s="463"/>
      <c r="AB6972" s="462"/>
      <c r="AC6972" s="462"/>
      <c r="AD6972" s="464"/>
      <c r="AE6972" s="465"/>
    </row>
    <row r="6973" spans="27:31" ht="14.4">
      <c r="AA6973" s="463"/>
      <c r="AB6973" s="462"/>
      <c r="AC6973" s="462"/>
      <c r="AD6973" s="464"/>
      <c r="AE6973" s="465"/>
    </row>
    <row r="6974" spans="27:31" ht="14.4">
      <c r="AA6974" s="463"/>
      <c r="AB6974" s="462"/>
      <c r="AC6974" s="462"/>
      <c r="AD6974" s="464"/>
      <c r="AE6974" s="465"/>
    </row>
    <row r="6975" spans="27:31" ht="14.4">
      <c r="AA6975" s="463"/>
      <c r="AB6975" s="462"/>
      <c r="AC6975" s="462"/>
      <c r="AD6975" s="464"/>
      <c r="AE6975" s="465"/>
    </row>
    <row r="6976" spans="27:31" ht="14.4">
      <c r="AA6976" s="463"/>
      <c r="AB6976" s="462"/>
      <c r="AC6976" s="462"/>
      <c r="AD6976" s="464"/>
      <c r="AE6976" s="465"/>
    </row>
    <row r="6977" spans="27:31" ht="14.4">
      <c r="AA6977" s="463"/>
      <c r="AB6977" s="462"/>
      <c r="AC6977" s="462"/>
      <c r="AD6977" s="464"/>
      <c r="AE6977" s="465"/>
    </row>
    <row r="6978" spans="27:31" ht="14.4">
      <c r="AA6978" s="463"/>
      <c r="AB6978" s="462"/>
      <c r="AC6978" s="462"/>
      <c r="AD6978" s="464"/>
      <c r="AE6978" s="465"/>
    </row>
    <row r="6979" spans="27:31" ht="14.4">
      <c r="AA6979" s="463"/>
      <c r="AB6979" s="462"/>
      <c r="AC6979" s="462"/>
      <c r="AD6979" s="464"/>
      <c r="AE6979" s="465"/>
    </row>
    <row r="6980" spans="27:31" ht="14.4">
      <c r="AA6980" s="463"/>
      <c r="AB6980" s="462"/>
      <c r="AC6980" s="462"/>
      <c r="AD6980" s="464"/>
      <c r="AE6980" s="465"/>
    </row>
    <row r="6981" spans="27:31" ht="14.4">
      <c r="AA6981" s="463"/>
      <c r="AB6981" s="462"/>
      <c r="AC6981" s="462"/>
      <c r="AD6981" s="464"/>
      <c r="AE6981" s="465"/>
    </row>
    <row r="6982" spans="27:31" ht="14.4">
      <c r="AA6982" s="463"/>
      <c r="AB6982" s="462"/>
      <c r="AC6982" s="462"/>
      <c r="AD6982" s="464"/>
      <c r="AE6982" s="465"/>
    </row>
    <row r="6983" spans="27:31" ht="14.4">
      <c r="AA6983" s="463"/>
      <c r="AB6983" s="462"/>
      <c r="AC6983" s="462"/>
      <c r="AD6983" s="464"/>
      <c r="AE6983" s="465"/>
    </row>
    <row r="6984" spans="27:31" ht="14.4">
      <c r="AA6984" s="463"/>
      <c r="AB6984" s="462"/>
      <c r="AC6984" s="462"/>
      <c r="AD6984" s="464"/>
      <c r="AE6984" s="465"/>
    </row>
    <row r="6985" spans="27:31" ht="14.4">
      <c r="AA6985" s="463"/>
      <c r="AB6985" s="462"/>
      <c r="AC6985" s="462"/>
      <c r="AD6985" s="464"/>
      <c r="AE6985" s="465"/>
    </row>
    <row r="6986" spans="27:31" ht="14.4">
      <c r="AA6986" s="463"/>
      <c r="AB6986" s="462"/>
      <c r="AC6986" s="462"/>
      <c r="AD6986" s="464"/>
      <c r="AE6986" s="465"/>
    </row>
    <row r="6987" spans="27:31" ht="14.4">
      <c r="AA6987" s="463"/>
      <c r="AB6987" s="462"/>
      <c r="AC6987" s="462"/>
      <c r="AD6987" s="464"/>
      <c r="AE6987" s="465"/>
    </row>
    <row r="6988" spans="27:31" ht="14.4">
      <c r="AA6988" s="463"/>
      <c r="AB6988" s="462"/>
      <c r="AC6988" s="462"/>
      <c r="AD6988" s="464"/>
      <c r="AE6988" s="465"/>
    </row>
    <row r="6989" spans="27:31" ht="14.4">
      <c r="AA6989" s="463"/>
      <c r="AB6989" s="462"/>
      <c r="AC6989" s="462"/>
      <c r="AD6989" s="464"/>
      <c r="AE6989" s="465"/>
    </row>
    <row r="6990" spans="27:31" ht="14.4">
      <c r="AA6990" s="463"/>
      <c r="AB6990" s="462"/>
      <c r="AC6990" s="462"/>
      <c r="AD6990" s="464"/>
      <c r="AE6990" s="465"/>
    </row>
    <row r="6991" spans="27:31" ht="14.4">
      <c r="AA6991" s="463"/>
      <c r="AB6991" s="462"/>
      <c r="AC6991" s="462"/>
      <c r="AD6991" s="464"/>
      <c r="AE6991" s="465"/>
    </row>
    <row r="6992" spans="27:31" ht="14.4">
      <c r="AA6992" s="463"/>
      <c r="AB6992" s="462"/>
      <c r="AC6992" s="462"/>
      <c r="AD6992" s="464"/>
      <c r="AE6992" s="465"/>
    </row>
    <row r="6993" spans="27:31" ht="14.4">
      <c r="AA6993" s="463"/>
      <c r="AB6993" s="462"/>
      <c r="AC6993" s="462"/>
      <c r="AD6993" s="464"/>
      <c r="AE6993" s="465"/>
    </row>
    <row r="6994" spans="27:31" ht="14.4">
      <c r="AA6994" s="463"/>
      <c r="AB6994" s="462"/>
      <c r="AC6994" s="462"/>
      <c r="AD6994" s="464"/>
      <c r="AE6994" s="465"/>
    </row>
    <row r="6995" spans="27:31" ht="14.4">
      <c r="AA6995" s="463"/>
      <c r="AB6995" s="462"/>
      <c r="AC6995" s="462"/>
      <c r="AD6995" s="464"/>
      <c r="AE6995" s="465"/>
    </row>
    <row r="6996" spans="27:31" ht="14.4">
      <c r="AA6996" s="463"/>
      <c r="AB6996" s="462"/>
      <c r="AC6996" s="462"/>
      <c r="AD6996" s="464"/>
      <c r="AE6996" s="465"/>
    </row>
    <row r="6997" spans="27:31" ht="14.4">
      <c r="AA6997" s="463"/>
      <c r="AB6997" s="462"/>
      <c r="AC6997" s="462"/>
      <c r="AD6997" s="464"/>
      <c r="AE6997" s="465"/>
    </row>
    <row r="6998" spans="27:31" ht="14.4">
      <c r="AA6998" s="463"/>
      <c r="AB6998" s="462"/>
      <c r="AC6998" s="462"/>
      <c r="AD6998" s="464"/>
      <c r="AE6998" s="465"/>
    </row>
    <row r="6999" spans="27:31" ht="14.4">
      <c r="AA6999" s="463"/>
      <c r="AB6999" s="462"/>
      <c r="AC6999" s="462"/>
      <c r="AD6999" s="464"/>
      <c r="AE6999" s="465"/>
    </row>
    <row r="7000" spans="27:31" ht="14.4">
      <c r="AA7000" s="463"/>
      <c r="AB7000" s="462"/>
      <c r="AC7000" s="462"/>
      <c r="AD7000" s="464"/>
      <c r="AE7000" s="465"/>
    </row>
    <row r="7001" spans="27:31" ht="14.4">
      <c r="AA7001" s="463"/>
      <c r="AB7001" s="462"/>
      <c r="AC7001" s="462"/>
      <c r="AD7001" s="464"/>
      <c r="AE7001" s="465"/>
    </row>
    <row r="7002" spans="27:31" ht="14.4">
      <c r="AA7002" s="463"/>
      <c r="AB7002" s="462"/>
      <c r="AC7002" s="462"/>
      <c r="AD7002" s="464"/>
      <c r="AE7002" s="465"/>
    </row>
    <row r="7003" spans="27:31" ht="14.4">
      <c r="AA7003" s="463"/>
      <c r="AB7003" s="462"/>
      <c r="AC7003" s="462"/>
      <c r="AD7003" s="464"/>
      <c r="AE7003" s="465"/>
    </row>
    <row r="7004" spans="27:31" ht="14.4">
      <c r="AA7004" s="463"/>
      <c r="AB7004" s="462"/>
      <c r="AC7004" s="462"/>
      <c r="AD7004" s="464"/>
      <c r="AE7004" s="465"/>
    </row>
    <row r="7005" spans="27:31" ht="14.4">
      <c r="AA7005" s="463"/>
      <c r="AB7005" s="462"/>
      <c r="AC7005" s="462"/>
      <c r="AD7005" s="464"/>
      <c r="AE7005" s="465"/>
    </row>
    <row r="7006" spans="27:31" ht="14.4">
      <c r="AA7006" s="463"/>
      <c r="AB7006" s="462"/>
      <c r="AC7006" s="462"/>
      <c r="AD7006" s="464"/>
      <c r="AE7006" s="465"/>
    </row>
    <row r="7007" spans="27:31" ht="14.4">
      <c r="AA7007" s="463"/>
      <c r="AB7007" s="462"/>
      <c r="AC7007" s="462"/>
      <c r="AD7007" s="464"/>
      <c r="AE7007" s="465"/>
    </row>
    <row r="7008" spans="27:31" ht="14.4">
      <c r="AA7008" s="463"/>
      <c r="AB7008" s="462"/>
      <c r="AC7008" s="462"/>
      <c r="AD7008" s="464"/>
      <c r="AE7008" s="465"/>
    </row>
    <row r="7009" spans="27:31" ht="14.4">
      <c r="AA7009" s="463"/>
      <c r="AB7009" s="462"/>
      <c r="AC7009" s="462"/>
      <c r="AD7009" s="464"/>
      <c r="AE7009" s="465"/>
    </row>
    <row r="7010" spans="27:31" ht="14.4">
      <c r="AA7010" s="463"/>
      <c r="AB7010" s="462"/>
      <c r="AC7010" s="462"/>
      <c r="AD7010" s="464"/>
      <c r="AE7010" s="465"/>
    </row>
    <row r="7011" spans="27:31" ht="14.4">
      <c r="AA7011" s="463"/>
      <c r="AB7011" s="462"/>
      <c r="AC7011" s="462"/>
      <c r="AD7011" s="464"/>
      <c r="AE7011" s="465"/>
    </row>
    <row r="7012" spans="27:31" ht="14.4">
      <c r="AA7012" s="463"/>
      <c r="AB7012" s="462"/>
      <c r="AC7012" s="462"/>
      <c r="AD7012" s="464"/>
      <c r="AE7012" s="465"/>
    </row>
    <row r="7013" spans="27:31" ht="14.4">
      <c r="AA7013" s="463"/>
      <c r="AB7013" s="462"/>
      <c r="AC7013" s="462"/>
      <c r="AD7013" s="464"/>
      <c r="AE7013" s="465"/>
    </row>
    <row r="7014" spans="27:31" ht="14.4">
      <c r="AA7014" s="463"/>
      <c r="AB7014" s="462"/>
      <c r="AC7014" s="462"/>
      <c r="AD7014" s="464"/>
      <c r="AE7014" s="465"/>
    </row>
    <row r="7015" spans="27:31" ht="14.4">
      <c r="AA7015" s="463"/>
      <c r="AB7015" s="462"/>
      <c r="AC7015" s="462"/>
      <c r="AD7015" s="464"/>
      <c r="AE7015" s="465"/>
    </row>
    <row r="7016" spans="27:31" ht="14.4">
      <c r="AA7016" s="463"/>
      <c r="AB7016" s="462"/>
      <c r="AC7016" s="462"/>
      <c r="AD7016" s="464"/>
      <c r="AE7016" s="465"/>
    </row>
    <row r="7017" spans="27:31" ht="14.4">
      <c r="AA7017" s="463"/>
      <c r="AB7017" s="462"/>
      <c r="AC7017" s="462"/>
      <c r="AD7017" s="464"/>
      <c r="AE7017" s="465"/>
    </row>
    <row r="7018" spans="27:31" ht="14.4">
      <c r="AA7018" s="463"/>
      <c r="AB7018" s="462"/>
      <c r="AC7018" s="462"/>
      <c r="AD7018" s="464"/>
      <c r="AE7018" s="465"/>
    </row>
    <row r="7019" spans="27:31" ht="14.4">
      <c r="AA7019" s="463"/>
      <c r="AB7019" s="462"/>
      <c r="AC7019" s="462"/>
      <c r="AD7019" s="464"/>
      <c r="AE7019" s="465"/>
    </row>
    <row r="7020" spans="27:31" ht="14.4">
      <c r="AA7020" s="463"/>
      <c r="AB7020" s="462"/>
      <c r="AC7020" s="462"/>
      <c r="AD7020" s="464"/>
      <c r="AE7020" s="465"/>
    </row>
    <row r="7021" spans="27:31" ht="14.4">
      <c r="AA7021" s="463"/>
      <c r="AB7021" s="462"/>
      <c r="AC7021" s="462"/>
      <c r="AD7021" s="464"/>
      <c r="AE7021" s="465"/>
    </row>
    <row r="7022" spans="27:31" ht="14.4">
      <c r="AA7022" s="463"/>
      <c r="AB7022" s="462"/>
      <c r="AC7022" s="462"/>
      <c r="AD7022" s="464"/>
      <c r="AE7022" s="465"/>
    </row>
    <row r="7023" spans="27:31" ht="14.4">
      <c r="AA7023" s="463"/>
      <c r="AB7023" s="462"/>
      <c r="AC7023" s="462"/>
      <c r="AD7023" s="464"/>
      <c r="AE7023" s="465"/>
    </row>
    <row r="7024" spans="27:31" ht="14.4">
      <c r="AA7024" s="463"/>
      <c r="AB7024" s="462"/>
      <c r="AC7024" s="462"/>
      <c r="AD7024" s="464"/>
      <c r="AE7024" s="465"/>
    </row>
    <row r="7025" spans="27:31" ht="14.4">
      <c r="AA7025" s="463"/>
      <c r="AB7025" s="462"/>
      <c r="AC7025" s="462"/>
      <c r="AD7025" s="464"/>
      <c r="AE7025" s="465"/>
    </row>
    <row r="7026" spans="27:31" ht="14.4">
      <c r="AA7026" s="463"/>
      <c r="AB7026" s="462"/>
      <c r="AC7026" s="462"/>
      <c r="AD7026" s="464"/>
      <c r="AE7026" s="465"/>
    </row>
    <row r="7027" spans="27:31" ht="14.4">
      <c r="AA7027" s="463"/>
      <c r="AB7027" s="462"/>
      <c r="AC7027" s="462"/>
      <c r="AD7027" s="464"/>
      <c r="AE7027" s="465"/>
    </row>
    <row r="7028" spans="27:31" ht="14.4">
      <c r="AA7028" s="463"/>
      <c r="AB7028" s="462"/>
      <c r="AC7028" s="462"/>
      <c r="AD7028" s="464"/>
      <c r="AE7028" s="465"/>
    </row>
    <row r="7029" spans="27:31" ht="14.4">
      <c r="AA7029" s="463"/>
      <c r="AB7029" s="462"/>
      <c r="AC7029" s="462"/>
      <c r="AD7029" s="464"/>
      <c r="AE7029" s="465"/>
    </row>
    <row r="7030" spans="27:31" ht="14.4">
      <c r="AA7030" s="463"/>
      <c r="AB7030" s="462"/>
      <c r="AC7030" s="462"/>
      <c r="AD7030" s="464"/>
      <c r="AE7030" s="465"/>
    </row>
    <row r="7031" spans="27:31" ht="14.4">
      <c r="AA7031" s="463"/>
      <c r="AB7031" s="462"/>
      <c r="AC7031" s="462"/>
      <c r="AD7031" s="464"/>
      <c r="AE7031" s="465"/>
    </row>
    <row r="7032" spans="27:31" ht="14.4">
      <c r="AA7032" s="463"/>
      <c r="AB7032" s="462"/>
      <c r="AC7032" s="462"/>
      <c r="AD7032" s="464"/>
      <c r="AE7032" s="465"/>
    </row>
    <row r="7033" spans="27:31" ht="14.4">
      <c r="AA7033" s="463"/>
      <c r="AB7033" s="462"/>
      <c r="AC7033" s="462"/>
      <c r="AD7033" s="464"/>
      <c r="AE7033" s="465"/>
    </row>
    <row r="7034" spans="27:31" ht="14.4">
      <c r="AA7034" s="463"/>
      <c r="AB7034" s="462"/>
      <c r="AC7034" s="462"/>
      <c r="AD7034" s="464"/>
      <c r="AE7034" s="465"/>
    </row>
    <row r="7035" spans="27:31" ht="14.4">
      <c r="AA7035" s="463"/>
      <c r="AB7035" s="462"/>
      <c r="AC7035" s="462"/>
      <c r="AD7035" s="464"/>
      <c r="AE7035" s="465"/>
    </row>
    <row r="7036" spans="27:31" ht="14.4">
      <c r="AA7036" s="463"/>
      <c r="AB7036" s="462"/>
      <c r="AC7036" s="462"/>
      <c r="AD7036" s="464"/>
      <c r="AE7036" s="465"/>
    </row>
    <row r="7037" spans="27:31" ht="14.4">
      <c r="AA7037" s="463"/>
      <c r="AB7037" s="462"/>
      <c r="AC7037" s="462"/>
      <c r="AD7037" s="464"/>
      <c r="AE7037" s="465"/>
    </row>
    <row r="7038" spans="27:31" ht="14.4">
      <c r="AA7038" s="463"/>
      <c r="AB7038" s="462"/>
      <c r="AC7038" s="462"/>
      <c r="AD7038" s="464"/>
      <c r="AE7038" s="465"/>
    </row>
    <row r="7039" spans="27:31" ht="14.4">
      <c r="AA7039" s="463"/>
      <c r="AB7039" s="462"/>
      <c r="AC7039" s="462"/>
      <c r="AD7039" s="464"/>
      <c r="AE7039" s="465"/>
    </row>
    <row r="7040" spans="27:31" ht="14.4">
      <c r="AA7040" s="463"/>
      <c r="AB7040" s="462"/>
      <c r="AC7040" s="462"/>
      <c r="AD7040" s="464"/>
      <c r="AE7040" s="465"/>
    </row>
    <row r="7041" spans="27:31" ht="14.4">
      <c r="AA7041" s="463"/>
      <c r="AB7041" s="462"/>
      <c r="AC7041" s="462"/>
      <c r="AD7041" s="464"/>
      <c r="AE7041" s="465"/>
    </row>
    <row r="7042" spans="27:31" ht="14.4">
      <c r="AA7042" s="463"/>
      <c r="AB7042" s="462"/>
      <c r="AC7042" s="462"/>
      <c r="AD7042" s="464"/>
      <c r="AE7042" s="465"/>
    </row>
    <row r="7043" spans="27:31" ht="14.4">
      <c r="AA7043" s="463"/>
      <c r="AB7043" s="462"/>
      <c r="AC7043" s="462"/>
      <c r="AD7043" s="464"/>
      <c r="AE7043" s="465"/>
    </row>
    <row r="7044" spans="27:31" ht="14.4">
      <c r="AA7044" s="463"/>
      <c r="AB7044" s="462"/>
      <c r="AC7044" s="462"/>
      <c r="AD7044" s="464"/>
      <c r="AE7044" s="465"/>
    </row>
    <row r="7045" spans="27:31" ht="14.4">
      <c r="AA7045" s="463"/>
      <c r="AB7045" s="462"/>
      <c r="AC7045" s="462"/>
      <c r="AD7045" s="464"/>
      <c r="AE7045" s="465"/>
    </row>
    <row r="7046" spans="27:31" ht="14.4">
      <c r="AA7046" s="463"/>
      <c r="AB7046" s="462"/>
      <c r="AC7046" s="462"/>
      <c r="AD7046" s="464"/>
      <c r="AE7046" s="465"/>
    </row>
    <row r="7047" spans="27:31" ht="14.4">
      <c r="AA7047" s="463"/>
      <c r="AB7047" s="462"/>
      <c r="AC7047" s="462"/>
      <c r="AD7047" s="464"/>
      <c r="AE7047" s="465"/>
    </row>
    <row r="7048" spans="27:31" ht="14.4">
      <c r="AA7048" s="463"/>
      <c r="AB7048" s="462"/>
      <c r="AC7048" s="462"/>
      <c r="AD7048" s="464"/>
      <c r="AE7048" s="465"/>
    </row>
    <row r="7049" spans="27:31" ht="14.4">
      <c r="AA7049" s="463"/>
      <c r="AB7049" s="462"/>
      <c r="AC7049" s="462"/>
      <c r="AD7049" s="464"/>
      <c r="AE7049" s="465"/>
    </row>
    <row r="7050" spans="27:31" ht="14.4">
      <c r="AA7050" s="463"/>
      <c r="AB7050" s="462"/>
      <c r="AC7050" s="462"/>
      <c r="AD7050" s="464"/>
      <c r="AE7050" s="465"/>
    </row>
    <row r="7051" spans="27:31" ht="14.4">
      <c r="AA7051" s="463"/>
      <c r="AB7051" s="462"/>
      <c r="AC7051" s="462"/>
      <c r="AD7051" s="464"/>
      <c r="AE7051" s="465"/>
    </row>
    <row r="7052" spans="27:31" ht="14.4">
      <c r="AA7052" s="463"/>
      <c r="AB7052" s="462"/>
      <c r="AC7052" s="462"/>
      <c r="AD7052" s="464"/>
      <c r="AE7052" s="465"/>
    </row>
    <row r="7053" spans="27:31" ht="14.4">
      <c r="AA7053" s="463"/>
      <c r="AB7053" s="462"/>
      <c r="AC7053" s="462"/>
      <c r="AD7053" s="464"/>
      <c r="AE7053" s="465"/>
    </row>
    <row r="7054" spans="27:31" ht="14.4">
      <c r="AA7054" s="463"/>
      <c r="AB7054" s="462"/>
      <c r="AC7054" s="462"/>
      <c r="AD7054" s="464"/>
      <c r="AE7054" s="465"/>
    </row>
    <row r="7055" spans="27:31" ht="14.4">
      <c r="AA7055" s="463"/>
      <c r="AB7055" s="462"/>
      <c r="AC7055" s="462"/>
      <c r="AD7055" s="464"/>
      <c r="AE7055" s="465"/>
    </row>
    <row r="7056" spans="27:31" ht="14.4">
      <c r="AA7056" s="463"/>
      <c r="AB7056" s="462"/>
      <c r="AC7056" s="462"/>
      <c r="AD7056" s="464"/>
      <c r="AE7056" s="465"/>
    </row>
    <row r="7057" spans="27:31" ht="14.4">
      <c r="AA7057" s="463"/>
      <c r="AB7057" s="462"/>
      <c r="AC7057" s="462"/>
      <c r="AD7057" s="464"/>
      <c r="AE7057" s="465"/>
    </row>
    <row r="7058" spans="27:31" ht="14.4">
      <c r="AA7058" s="463"/>
      <c r="AB7058" s="462"/>
      <c r="AC7058" s="462"/>
      <c r="AD7058" s="464"/>
      <c r="AE7058" s="465"/>
    </row>
    <row r="7059" spans="27:31" ht="14.4">
      <c r="AA7059" s="463"/>
      <c r="AB7059" s="462"/>
      <c r="AC7059" s="462"/>
      <c r="AD7059" s="464"/>
      <c r="AE7059" s="465"/>
    </row>
    <row r="7060" spans="27:31" ht="14.4">
      <c r="AA7060" s="463"/>
      <c r="AB7060" s="462"/>
      <c r="AC7060" s="462"/>
      <c r="AD7060" s="464"/>
      <c r="AE7060" s="465"/>
    </row>
    <row r="7061" spans="27:31" ht="14.4">
      <c r="AA7061" s="463"/>
      <c r="AB7061" s="462"/>
      <c r="AC7061" s="462"/>
      <c r="AD7061" s="464"/>
      <c r="AE7061" s="465"/>
    </row>
    <row r="7062" spans="27:31" ht="14.4">
      <c r="AA7062" s="463"/>
      <c r="AB7062" s="462"/>
      <c r="AC7062" s="462"/>
      <c r="AD7062" s="464"/>
      <c r="AE7062" s="465"/>
    </row>
    <row r="7063" spans="27:31" ht="14.4">
      <c r="AA7063" s="463"/>
      <c r="AB7063" s="462"/>
      <c r="AC7063" s="462"/>
      <c r="AD7063" s="464"/>
      <c r="AE7063" s="465"/>
    </row>
    <row r="7064" spans="27:31" ht="14.4">
      <c r="AA7064" s="463"/>
      <c r="AB7064" s="462"/>
      <c r="AC7064" s="462"/>
      <c r="AD7064" s="464"/>
      <c r="AE7064" s="465"/>
    </row>
    <row r="7065" spans="27:31" ht="14.4">
      <c r="AA7065" s="463"/>
      <c r="AB7065" s="462"/>
      <c r="AC7065" s="462"/>
      <c r="AD7065" s="464"/>
      <c r="AE7065" s="465"/>
    </row>
    <row r="7066" spans="27:31" ht="14.4">
      <c r="AA7066" s="463"/>
      <c r="AB7066" s="462"/>
      <c r="AC7066" s="462"/>
      <c r="AD7066" s="464"/>
      <c r="AE7066" s="465"/>
    </row>
    <row r="7067" spans="27:31" ht="14.4">
      <c r="AA7067" s="463"/>
      <c r="AB7067" s="462"/>
      <c r="AC7067" s="462"/>
      <c r="AD7067" s="464"/>
      <c r="AE7067" s="465"/>
    </row>
    <row r="7068" spans="27:31" ht="14.4">
      <c r="AA7068" s="463"/>
      <c r="AB7068" s="462"/>
      <c r="AC7068" s="462"/>
      <c r="AD7068" s="464"/>
      <c r="AE7068" s="465"/>
    </row>
    <row r="7069" spans="27:31" ht="14.4">
      <c r="AA7069" s="463"/>
      <c r="AB7069" s="462"/>
      <c r="AC7069" s="462"/>
      <c r="AD7069" s="464"/>
      <c r="AE7069" s="465"/>
    </row>
    <row r="7070" spans="27:31" ht="14.4">
      <c r="AA7070" s="463"/>
      <c r="AB7070" s="462"/>
      <c r="AC7070" s="462"/>
      <c r="AD7070" s="464"/>
      <c r="AE7070" s="465"/>
    </row>
    <row r="7071" spans="27:31" ht="14.4">
      <c r="AA7071" s="463"/>
      <c r="AB7071" s="462"/>
      <c r="AC7071" s="462"/>
      <c r="AD7071" s="464"/>
      <c r="AE7071" s="465"/>
    </row>
    <row r="7072" spans="27:31" ht="14.4">
      <c r="AA7072" s="463"/>
      <c r="AB7072" s="462"/>
      <c r="AC7072" s="462"/>
      <c r="AD7072" s="464"/>
      <c r="AE7072" s="465"/>
    </row>
    <row r="7073" spans="27:31" ht="14.4">
      <c r="AA7073" s="463"/>
      <c r="AB7073" s="462"/>
      <c r="AC7073" s="462"/>
      <c r="AD7073" s="464"/>
      <c r="AE7073" s="465"/>
    </row>
    <row r="7074" spans="27:31" ht="14.4">
      <c r="AA7074" s="463"/>
      <c r="AB7074" s="462"/>
      <c r="AC7074" s="462"/>
      <c r="AD7074" s="464"/>
      <c r="AE7074" s="465"/>
    </row>
    <row r="7075" spans="27:31" ht="14.4">
      <c r="AA7075" s="463"/>
      <c r="AB7075" s="462"/>
      <c r="AC7075" s="462"/>
      <c r="AD7075" s="464"/>
      <c r="AE7075" s="465"/>
    </row>
    <row r="7076" spans="27:31" ht="14.4">
      <c r="AA7076" s="463"/>
      <c r="AB7076" s="462"/>
      <c r="AC7076" s="462"/>
      <c r="AD7076" s="464"/>
      <c r="AE7076" s="465"/>
    </row>
    <row r="7077" spans="27:31" ht="14.4">
      <c r="AA7077" s="463"/>
      <c r="AB7077" s="462"/>
      <c r="AC7077" s="462"/>
      <c r="AD7077" s="464"/>
      <c r="AE7077" s="465"/>
    </row>
    <row r="7078" spans="27:31" ht="14.4">
      <c r="AA7078" s="463"/>
      <c r="AB7078" s="462"/>
      <c r="AC7078" s="462"/>
      <c r="AD7078" s="464"/>
      <c r="AE7078" s="465"/>
    </row>
    <row r="7079" spans="27:31" ht="14.4">
      <c r="AA7079" s="463"/>
      <c r="AB7079" s="462"/>
      <c r="AC7079" s="462"/>
      <c r="AD7079" s="464"/>
      <c r="AE7079" s="465"/>
    </row>
    <row r="7080" spans="27:31" ht="14.4">
      <c r="AA7080" s="463"/>
      <c r="AB7080" s="462"/>
      <c r="AC7080" s="462"/>
      <c r="AD7080" s="464"/>
      <c r="AE7080" s="465"/>
    </row>
    <row r="7081" spans="27:31" ht="14.4">
      <c r="AA7081" s="463"/>
      <c r="AB7081" s="462"/>
      <c r="AC7081" s="462"/>
      <c r="AD7081" s="464"/>
      <c r="AE7081" s="465"/>
    </row>
    <row r="7082" spans="27:31" ht="14.4">
      <c r="AA7082" s="463"/>
      <c r="AB7082" s="462"/>
      <c r="AC7082" s="462"/>
      <c r="AD7082" s="464"/>
      <c r="AE7082" s="465"/>
    </row>
    <row r="7083" spans="27:31" ht="14.4">
      <c r="AA7083" s="463"/>
      <c r="AB7083" s="462"/>
      <c r="AC7083" s="462"/>
      <c r="AD7083" s="464"/>
      <c r="AE7083" s="465"/>
    </row>
    <row r="7084" spans="27:31" ht="14.4">
      <c r="AA7084" s="463"/>
      <c r="AB7084" s="462"/>
      <c r="AC7084" s="462"/>
      <c r="AD7084" s="464"/>
      <c r="AE7084" s="465"/>
    </row>
    <row r="7085" spans="27:31" ht="14.4">
      <c r="AA7085" s="463"/>
      <c r="AB7085" s="462"/>
      <c r="AC7085" s="462"/>
      <c r="AD7085" s="464"/>
      <c r="AE7085" s="465"/>
    </row>
    <row r="7086" spans="27:31" ht="14.4">
      <c r="AA7086" s="463"/>
      <c r="AB7086" s="462"/>
      <c r="AC7086" s="462"/>
      <c r="AD7086" s="464"/>
      <c r="AE7086" s="465"/>
    </row>
    <row r="7087" spans="27:31" ht="14.4">
      <c r="AA7087" s="463"/>
      <c r="AB7087" s="462"/>
      <c r="AC7087" s="462"/>
      <c r="AD7087" s="464"/>
      <c r="AE7087" s="465"/>
    </row>
    <row r="7088" spans="27:31" ht="14.4">
      <c r="AA7088" s="463"/>
      <c r="AB7088" s="462"/>
      <c r="AC7088" s="462"/>
      <c r="AD7088" s="464"/>
      <c r="AE7088" s="465"/>
    </row>
    <row r="7089" spans="27:31" ht="14.4">
      <c r="AA7089" s="463"/>
      <c r="AB7089" s="462"/>
      <c r="AC7089" s="462"/>
      <c r="AD7089" s="464"/>
      <c r="AE7089" s="465"/>
    </row>
    <row r="7090" spans="27:31" ht="14.4">
      <c r="AA7090" s="463"/>
      <c r="AB7090" s="462"/>
      <c r="AC7090" s="462"/>
      <c r="AD7090" s="464"/>
      <c r="AE7090" s="465"/>
    </row>
    <row r="7091" spans="27:31" ht="14.4">
      <c r="AA7091" s="463"/>
      <c r="AB7091" s="462"/>
      <c r="AC7091" s="462"/>
      <c r="AD7091" s="464"/>
      <c r="AE7091" s="465"/>
    </row>
    <row r="7092" spans="27:31" ht="14.4">
      <c r="AA7092" s="463"/>
      <c r="AB7092" s="462"/>
      <c r="AC7092" s="462"/>
      <c r="AD7092" s="464"/>
      <c r="AE7092" s="465"/>
    </row>
    <row r="7093" spans="27:31" ht="14.4">
      <c r="AA7093" s="463"/>
      <c r="AB7093" s="462"/>
      <c r="AC7093" s="462"/>
      <c r="AD7093" s="464"/>
      <c r="AE7093" s="465"/>
    </row>
    <row r="7094" spans="27:31" ht="14.4">
      <c r="AA7094" s="463"/>
      <c r="AB7094" s="462"/>
      <c r="AC7094" s="462"/>
      <c r="AD7094" s="464"/>
      <c r="AE7094" s="465"/>
    </row>
    <row r="7095" spans="27:31" ht="14.4">
      <c r="AA7095" s="463"/>
      <c r="AB7095" s="462"/>
      <c r="AC7095" s="462"/>
      <c r="AD7095" s="464"/>
      <c r="AE7095" s="465"/>
    </row>
    <row r="7096" spans="27:31" ht="14.4">
      <c r="AA7096" s="463"/>
      <c r="AB7096" s="462"/>
      <c r="AC7096" s="462"/>
      <c r="AD7096" s="464"/>
      <c r="AE7096" s="465"/>
    </row>
    <row r="7097" spans="27:31" ht="14.4">
      <c r="AA7097" s="463"/>
      <c r="AB7097" s="462"/>
      <c r="AC7097" s="462"/>
      <c r="AD7097" s="464"/>
      <c r="AE7097" s="465"/>
    </row>
    <row r="7098" spans="27:31" ht="14.4">
      <c r="AA7098" s="463"/>
      <c r="AB7098" s="462"/>
      <c r="AC7098" s="462"/>
      <c r="AD7098" s="464"/>
      <c r="AE7098" s="465"/>
    </row>
    <row r="7099" spans="27:31" ht="14.4">
      <c r="AA7099" s="463"/>
      <c r="AB7099" s="462"/>
      <c r="AC7099" s="462"/>
      <c r="AD7099" s="464"/>
      <c r="AE7099" s="465"/>
    </row>
    <row r="7100" spans="27:31" ht="14.4">
      <c r="AA7100" s="463"/>
      <c r="AB7100" s="462"/>
      <c r="AC7100" s="462"/>
      <c r="AD7100" s="464"/>
      <c r="AE7100" s="465"/>
    </row>
    <row r="7101" spans="27:31" ht="14.4">
      <c r="AA7101" s="463"/>
      <c r="AB7101" s="462"/>
      <c r="AC7101" s="462"/>
      <c r="AD7101" s="464"/>
      <c r="AE7101" s="465"/>
    </row>
    <row r="7102" spans="27:31" ht="14.4">
      <c r="AA7102" s="463"/>
      <c r="AB7102" s="462"/>
      <c r="AC7102" s="462"/>
      <c r="AD7102" s="464"/>
      <c r="AE7102" s="465"/>
    </row>
    <row r="7103" spans="27:31" ht="14.4">
      <c r="AA7103" s="463"/>
      <c r="AB7103" s="462"/>
      <c r="AC7103" s="462"/>
      <c r="AD7103" s="464"/>
      <c r="AE7103" s="465"/>
    </row>
    <row r="7104" spans="27:31" ht="14.4">
      <c r="AA7104" s="463"/>
      <c r="AB7104" s="462"/>
      <c r="AC7104" s="462"/>
      <c r="AD7104" s="464"/>
      <c r="AE7104" s="465"/>
    </row>
    <row r="7105" spans="27:31" ht="14.4">
      <c r="AA7105" s="463"/>
      <c r="AB7105" s="462"/>
      <c r="AC7105" s="462"/>
      <c r="AD7105" s="464"/>
      <c r="AE7105" s="465"/>
    </row>
    <row r="7106" spans="27:31" ht="14.4">
      <c r="AA7106" s="463"/>
      <c r="AB7106" s="462"/>
      <c r="AC7106" s="462"/>
      <c r="AD7106" s="464"/>
      <c r="AE7106" s="465"/>
    </row>
    <row r="7107" spans="27:31" ht="14.4">
      <c r="AA7107" s="463"/>
      <c r="AB7107" s="462"/>
      <c r="AC7107" s="462"/>
      <c r="AD7107" s="464"/>
      <c r="AE7107" s="465"/>
    </row>
    <row r="7108" spans="27:31" ht="14.4">
      <c r="AA7108" s="463"/>
      <c r="AB7108" s="462"/>
      <c r="AC7108" s="462"/>
      <c r="AD7108" s="464"/>
      <c r="AE7108" s="465"/>
    </row>
    <row r="7109" spans="27:31" ht="14.4">
      <c r="AA7109" s="463"/>
      <c r="AB7109" s="462"/>
      <c r="AC7109" s="462"/>
      <c r="AD7109" s="464"/>
      <c r="AE7109" s="465"/>
    </row>
    <row r="7110" spans="27:31" ht="14.4">
      <c r="AA7110" s="463"/>
      <c r="AB7110" s="462"/>
      <c r="AC7110" s="462"/>
      <c r="AD7110" s="464"/>
      <c r="AE7110" s="465"/>
    </row>
    <row r="7111" spans="27:31" ht="14.4">
      <c r="AA7111" s="463"/>
      <c r="AB7111" s="462"/>
      <c r="AC7111" s="462"/>
      <c r="AD7111" s="464"/>
      <c r="AE7111" s="465"/>
    </row>
    <row r="7112" spans="27:31" ht="14.4">
      <c r="AA7112" s="463"/>
      <c r="AB7112" s="462"/>
      <c r="AC7112" s="462"/>
      <c r="AD7112" s="464"/>
      <c r="AE7112" s="465"/>
    </row>
    <row r="7113" spans="27:31" ht="14.4">
      <c r="AA7113" s="463"/>
      <c r="AB7113" s="462"/>
      <c r="AC7113" s="462"/>
      <c r="AD7113" s="464"/>
      <c r="AE7113" s="465"/>
    </row>
    <row r="7114" spans="27:31" ht="14.4">
      <c r="AA7114" s="463"/>
      <c r="AB7114" s="462"/>
      <c r="AC7114" s="462"/>
      <c r="AD7114" s="464"/>
      <c r="AE7114" s="465"/>
    </row>
    <row r="7115" spans="27:31" ht="14.4">
      <c r="AA7115" s="463"/>
      <c r="AB7115" s="462"/>
      <c r="AC7115" s="462"/>
      <c r="AD7115" s="464"/>
      <c r="AE7115" s="465"/>
    </row>
    <row r="7116" spans="27:31" ht="14.4">
      <c r="AA7116" s="463"/>
      <c r="AB7116" s="462"/>
      <c r="AC7116" s="462"/>
      <c r="AD7116" s="464"/>
      <c r="AE7116" s="465"/>
    </row>
    <row r="7117" spans="27:31" ht="14.4">
      <c r="AA7117" s="463"/>
      <c r="AB7117" s="462"/>
      <c r="AC7117" s="462"/>
      <c r="AD7117" s="464"/>
      <c r="AE7117" s="465"/>
    </row>
    <row r="7118" spans="27:31" ht="14.4">
      <c r="AA7118" s="463"/>
      <c r="AB7118" s="462"/>
      <c r="AC7118" s="462"/>
      <c r="AD7118" s="464"/>
      <c r="AE7118" s="465"/>
    </row>
    <row r="7119" spans="27:31" ht="14.4">
      <c r="AA7119" s="463"/>
      <c r="AB7119" s="462"/>
      <c r="AC7119" s="462"/>
      <c r="AD7119" s="464"/>
      <c r="AE7119" s="465"/>
    </row>
    <row r="7120" spans="27:31" ht="14.4">
      <c r="AA7120" s="463"/>
      <c r="AB7120" s="462"/>
      <c r="AC7120" s="462"/>
      <c r="AD7120" s="464"/>
      <c r="AE7120" s="465"/>
    </row>
    <row r="7121" spans="27:31" ht="14.4">
      <c r="AA7121" s="463"/>
      <c r="AB7121" s="462"/>
      <c r="AC7121" s="462"/>
      <c r="AD7121" s="464"/>
      <c r="AE7121" s="465"/>
    </row>
    <row r="7122" spans="27:31" ht="14.4">
      <c r="AA7122" s="463"/>
      <c r="AB7122" s="462"/>
      <c r="AC7122" s="462"/>
      <c r="AD7122" s="464"/>
      <c r="AE7122" s="465"/>
    </row>
    <row r="7123" spans="27:31" ht="14.4">
      <c r="AA7123" s="463"/>
      <c r="AB7123" s="462"/>
      <c r="AC7123" s="462"/>
      <c r="AD7123" s="464"/>
      <c r="AE7123" s="465"/>
    </row>
    <row r="7124" spans="27:31" ht="14.4">
      <c r="AA7124" s="463"/>
      <c r="AB7124" s="462"/>
      <c r="AC7124" s="462"/>
      <c r="AD7124" s="464"/>
      <c r="AE7124" s="465"/>
    </row>
    <row r="7125" spans="27:31" ht="14.4">
      <c r="AA7125" s="463"/>
      <c r="AB7125" s="462"/>
      <c r="AC7125" s="462"/>
      <c r="AD7125" s="464"/>
      <c r="AE7125" s="465"/>
    </row>
    <row r="7126" spans="27:31" ht="14.4">
      <c r="AA7126" s="463"/>
      <c r="AB7126" s="462"/>
      <c r="AC7126" s="462"/>
      <c r="AD7126" s="464"/>
      <c r="AE7126" s="465"/>
    </row>
    <row r="7127" spans="27:31" ht="14.4">
      <c r="AA7127" s="463"/>
      <c r="AB7127" s="462"/>
      <c r="AC7127" s="462"/>
      <c r="AD7127" s="464"/>
      <c r="AE7127" s="465"/>
    </row>
    <row r="7128" spans="27:31" ht="14.4">
      <c r="AA7128" s="463"/>
      <c r="AB7128" s="462"/>
      <c r="AC7128" s="462"/>
      <c r="AD7128" s="464"/>
      <c r="AE7128" s="465"/>
    </row>
    <row r="7129" spans="27:31" ht="14.4">
      <c r="AA7129" s="463"/>
      <c r="AB7129" s="462"/>
      <c r="AC7129" s="462"/>
      <c r="AD7129" s="464"/>
      <c r="AE7129" s="465"/>
    </row>
    <row r="7130" spans="27:31" ht="14.4">
      <c r="AA7130" s="463"/>
      <c r="AB7130" s="462"/>
      <c r="AC7130" s="462"/>
      <c r="AD7130" s="464"/>
      <c r="AE7130" s="465"/>
    </row>
    <row r="7131" spans="27:31" ht="14.4">
      <c r="AA7131" s="463"/>
      <c r="AB7131" s="462"/>
      <c r="AC7131" s="462"/>
      <c r="AD7131" s="464"/>
      <c r="AE7131" s="465"/>
    </row>
    <row r="7132" spans="27:31" ht="14.4">
      <c r="AA7132" s="463"/>
      <c r="AB7132" s="462"/>
      <c r="AC7132" s="462"/>
      <c r="AD7132" s="464"/>
      <c r="AE7132" s="465"/>
    </row>
    <row r="7133" spans="27:31" ht="14.4">
      <c r="AA7133" s="463"/>
      <c r="AB7133" s="462"/>
      <c r="AC7133" s="462"/>
      <c r="AD7133" s="464"/>
      <c r="AE7133" s="465"/>
    </row>
    <row r="7134" spans="27:31" ht="14.4">
      <c r="AA7134" s="463"/>
      <c r="AB7134" s="462"/>
      <c r="AC7134" s="462"/>
      <c r="AD7134" s="464"/>
      <c r="AE7134" s="465"/>
    </row>
    <row r="7135" spans="27:31" ht="14.4">
      <c r="AA7135" s="463"/>
      <c r="AB7135" s="462"/>
      <c r="AC7135" s="462"/>
      <c r="AD7135" s="464"/>
      <c r="AE7135" s="465"/>
    </row>
    <row r="7136" spans="27:31" ht="14.4">
      <c r="AA7136" s="463"/>
      <c r="AB7136" s="462"/>
      <c r="AC7136" s="462"/>
      <c r="AD7136" s="464"/>
      <c r="AE7136" s="465"/>
    </row>
    <row r="7137" spans="27:31" ht="14.4">
      <c r="AA7137" s="463"/>
      <c r="AB7137" s="462"/>
      <c r="AC7137" s="462"/>
      <c r="AD7137" s="464"/>
      <c r="AE7137" s="465"/>
    </row>
    <row r="7138" spans="27:31" ht="14.4">
      <c r="AA7138" s="463"/>
      <c r="AB7138" s="462"/>
      <c r="AC7138" s="462"/>
      <c r="AD7138" s="464"/>
      <c r="AE7138" s="465"/>
    </row>
    <row r="7139" spans="27:31" ht="14.4">
      <c r="AA7139" s="463"/>
      <c r="AB7139" s="462"/>
      <c r="AC7139" s="462"/>
      <c r="AD7139" s="464"/>
      <c r="AE7139" s="465"/>
    </row>
    <row r="7140" spans="27:31" ht="14.4">
      <c r="AA7140" s="463"/>
      <c r="AB7140" s="462"/>
      <c r="AC7140" s="462"/>
      <c r="AD7140" s="464"/>
      <c r="AE7140" s="465"/>
    </row>
    <row r="7141" spans="27:31" ht="14.4">
      <c r="AA7141" s="463"/>
      <c r="AB7141" s="462"/>
      <c r="AC7141" s="462"/>
      <c r="AD7141" s="464"/>
      <c r="AE7141" s="465"/>
    </row>
    <row r="7142" spans="27:31" ht="14.4">
      <c r="AA7142" s="463"/>
      <c r="AB7142" s="462"/>
      <c r="AC7142" s="462"/>
      <c r="AD7142" s="464"/>
      <c r="AE7142" s="465"/>
    </row>
    <row r="7143" spans="27:31" ht="14.4">
      <c r="AA7143" s="463"/>
      <c r="AB7143" s="462"/>
      <c r="AC7143" s="462"/>
      <c r="AD7143" s="464"/>
      <c r="AE7143" s="465"/>
    </row>
    <row r="7144" spans="27:31" ht="14.4">
      <c r="AA7144" s="463"/>
      <c r="AB7144" s="462"/>
      <c r="AC7144" s="462"/>
      <c r="AD7144" s="464"/>
      <c r="AE7144" s="465"/>
    </row>
    <row r="7145" spans="27:31" ht="14.4">
      <c r="AA7145" s="463"/>
      <c r="AB7145" s="462"/>
      <c r="AC7145" s="462"/>
      <c r="AD7145" s="464"/>
      <c r="AE7145" s="465"/>
    </row>
    <row r="7146" spans="27:31" ht="14.4">
      <c r="AA7146" s="463"/>
      <c r="AB7146" s="462"/>
      <c r="AC7146" s="462"/>
      <c r="AD7146" s="464"/>
      <c r="AE7146" s="465"/>
    </row>
    <row r="7147" spans="27:31" ht="14.4">
      <c r="AA7147" s="463"/>
      <c r="AB7147" s="462"/>
      <c r="AC7147" s="462"/>
      <c r="AD7147" s="464"/>
      <c r="AE7147" s="465"/>
    </row>
    <row r="7148" spans="27:31" ht="14.4">
      <c r="AA7148" s="463"/>
      <c r="AB7148" s="462"/>
      <c r="AC7148" s="462"/>
      <c r="AD7148" s="464"/>
      <c r="AE7148" s="465"/>
    </row>
    <row r="7149" spans="27:31" ht="14.4">
      <c r="AA7149" s="463"/>
      <c r="AB7149" s="462"/>
      <c r="AC7149" s="462"/>
      <c r="AD7149" s="464"/>
      <c r="AE7149" s="465"/>
    </row>
    <row r="7150" spans="27:31" ht="14.4">
      <c r="AA7150" s="463"/>
      <c r="AB7150" s="462"/>
      <c r="AC7150" s="462"/>
      <c r="AD7150" s="464"/>
      <c r="AE7150" s="465"/>
    </row>
    <row r="7151" spans="27:31" ht="14.4">
      <c r="AA7151" s="463"/>
      <c r="AB7151" s="462"/>
      <c r="AC7151" s="462"/>
      <c r="AD7151" s="464"/>
      <c r="AE7151" s="465"/>
    </row>
    <row r="7152" spans="27:31" ht="14.4">
      <c r="AA7152" s="463"/>
      <c r="AB7152" s="462"/>
      <c r="AC7152" s="462"/>
      <c r="AD7152" s="464"/>
      <c r="AE7152" s="465"/>
    </row>
    <row r="7153" spans="27:31" ht="14.4">
      <c r="AA7153" s="463"/>
      <c r="AB7153" s="462"/>
      <c r="AC7153" s="462"/>
      <c r="AD7153" s="464"/>
      <c r="AE7153" s="465"/>
    </row>
    <row r="7154" spans="27:31" ht="14.4">
      <c r="AA7154" s="463"/>
      <c r="AB7154" s="462"/>
      <c r="AC7154" s="462"/>
      <c r="AD7154" s="464"/>
      <c r="AE7154" s="465"/>
    </row>
    <row r="7155" spans="27:31" ht="14.4">
      <c r="AA7155" s="463"/>
      <c r="AB7155" s="462"/>
      <c r="AC7155" s="462"/>
      <c r="AD7155" s="464"/>
      <c r="AE7155" s="465"/>
    </row>
    <row r="7156" spans="27:31" ht="14.4">
      <c r="AA7156" s="463"/>
      <c r="AB7156" s="462"/>
      <c r="AC7156" s="462"/>
      <c r="AD7156" s="464"/>
      <c r="AE7156" s="465"/>
    </row>
    <row r="7157" spans="27:31" ht="14.4">
      <c r="AA7157" s="463"/>
      <c r="AB7157" s="462"/>
      <c r="AC7157" s="462"/>
      <c r="AD7157" s="464"/>
      <c r="AE7157" s="465"/>
    </row>
    <row r="7158" spans="27:31" ht="14.4">
      <c r="AA7158" s="463"/>
      <c r="AB7158" s="462"/>
      <c r="AC7158" s="462"/>
      <c r="AD7158" s="464"/>
      <c r="AE7158" s="465"/>
    </row>
    <row r="7159" spans="27:31" ht="14.4">
      <c r="AA7159" s="463"/>
      <c r="AB7159" s="462"/>
      <c r="AC7159" s="462"/>
      <c r="AD7159" s="464"/>
      <c r="AE7159" s="465"/>
    </row>
    <row r="7160" spans="27:31" ht="14.4">
      <c r="AA7160" s="463"/>
      <c r="AB7160" s="462"/>
      <c r="AC7160" s="462"/>
      <c r="AD7160" s="464"/>
      <c r="AE7160" s="465"/>
    </row>
    <row r="7161" spans="27:31" ht="14.4">
      <c r="AA7161" s="463"/>
      <c r="AB7161" s="462"/>
      <c r="AC7161" s="462"/>
      <c r="AD7161" s="464"/>
      <c r="AE7161" s="465"/>
    </row>
    <row r="7162" spans="27:31" ht="14.4">
      <c r="AA7162" s="463"/>
      <c r="AB7162" s="462"/>
      <c r="AC7162" s="462"/>
      <c r="AD7162" s="464"/>
      <c r="AE7162" s="465"/>
    </row>
    <row r="7163" spans="27:31" ht="14.4">
      <c r="AA7163" s="463"/>
      <c r="AB7163" s="462"/>
      <c r="AC7163" s="462"/>
      <c r="AD7163" s="464"/>
      <c r="AE7163" s="465"/>
    </row>
    <row r="7164" spans="27:31" ht="14.4">
      <c r="AA7164" s="463"/>
      <c r="AB7164" s="462"/>
      <c r="AC7164" s="462"/>
      <c r="AD7164" s="464"/>
      <c r="AE7164" s="465"/>
    </row>
    <row r="7165" spans="27:31" ht="14.4">
      <c r="AA7165" s="463"/>
      <c r="AB7165" s="462"/>
      <c r="AC7165" s="462"/>
      <c r="AD7165" s="464"/>
      <c r="AE7165" s="465"/>
    </row>
    <row r="7166" spans="27:31" ht="14.4">
      <c r="AA7166" s="463"/>
      <c r="AB7166" s="462"/>
      <c r="AC7166" s="462"/>
      <c r="AD7166" s="464"/>
      <c r="AE7166" s="465"/>
    </row>
    <row r="7167" spans="27:31" ht="14.4">
      <c r="AA7167" s="463"/>
      <c r="AB7167" s="462"/>
      <c r="AC7167" s="462"/>
      <c r="AD7167" s="464"/>
      <c r="AE7167" s="465"/>
    </row>
    <row r="7168" spans="27:31" ht="14.4">
      <c r="AA7168" s="463"/>
      <c r="AB7168" s="462"/>
      <c r="AC7168" s="462"/>
      <c r="AD7168" s="464"/>
      <c r="AE7168" s="465"/>
    </row>
    <row r="7169" spans="27:31" ht="14.4">
      <c r="AA7169" s="463"/>
      <c r="AB7169" s="462"/>
      <c r="AC7169" s="462"/>
      <c r="AD7169" s="464"/>
      <c r="AE7169" s="465"/>
    </row>
    <row r="7170" spans="27:31" ht="14.4">
      <c r="AA7170" s="463"/>
      <c r="AB7170" s="462"/>
      <c r="AC7170" s="462"/>
      <c r="AD7170" s="464"/>
      <c r="AE7170" s="465"/>
    </row>
    <row r="7171" spans="27:31" ht="14.4">
      <c r="AA7171" s="463"/>
      <c r="AB7171" s="462"/>
      <c r="AC7171" s="462"/>
      <c r="AD7171" s="464"/>
      <c r="AE7171" s="465"/>
    </row>
    <row r="7172" spans="27:31" ht="14.4">
      <c r="AA7172" s="463"/>
      <c r="AB7172" s="462"/>
      <c r="AC7172" s="462"/>
      <c r="AD7172" s="464"/>
      <c r="AE7172" s="465"/>
    </row>
    <row r="7173" spans="27:31" ht="14.4">
      <c r="AA7173" s="463"/>
      <c r="AB7173" s="462"/>
      <c r="AC7173" s="462"/>
      <c r="AD7173" s="464"/>
      <c r="AE7173" s="465"/>
    </row>
    <row r="7174" spans="27:31" ht="14.4">
      <c r="AA7174" s="463"/>
      <c r="AB7174" s="462"/>
      <c r="AC7174" s="462"/>
      <c r="AD7174" s="464"/>
      <c r="AE7174" s="465"/>
    </row>
    <row r="7175" spans="27:31" ht="14.4">
      <c r="AA7175" s="463"/>
      <c r="AB7175" s="462"/>
      <c r="AC7175" s="462"/>
      <c r="AD7175" s="464"/>
      <c r="AE7175" s="465"/>
    </row>
    <row r="7176" spans="27:31" ht="14.4">
      <c r="AA7176" s="463"/>
      <c r="AB7176" s="462"/>
      <c r="AC7176" s="462"/>
      <c r="AD7176" s="464"/>
      <c r="AE7176" s="465"/>
    </row>
    <row r="7177" spans="27:31" ht="14.4">
      <c r="AA7177" s="463"/>
      <c r="AB7177" s="462"/>
      <c r="AC7177" s="462"/>
      <c r="AD7177" s="464"/>
      <c r="AE7177" s="465"/>
    </row>
    <row r="7178" spans="27:31" ht="14.4">
      <c r="AA7178" s="463"/>
      <c r="AB7178" s="462"/>
      <c r="AC7178" s="462"/>
      <c r="AD7178" s="464"/>
      <c r="AE7178" s="465"/>
    </row>
    <row r="7179" spans="27:31" ht="14.4">
      <c r="AA7179" s="463"/>
      <c r="AB7179" s="462"/>
      <c r="AC7179" s="462"/>
      <c r="AD7179" s="464"/>
      <c r="AE7179" s="465"/>
    </row>
    <row r="7180" spans="27:31" ht="14.4">
      <c r="AA7180" s="463"/>
      <c r="AB7180" s="462"/>
      <c r="AC7180" s="462"/>
      <c r="AD7180" s="464"/>
      <c r="AE7180" s="465"/>
    </row>
    <row r="7181" spans="27:31" ht="14.4">
      <c r="AA7181" s="463"/>
      <c r="AB7181" s="462"/>
      <c r="AC7181" s="462"/>
      <c r="AD7181" s="464"/>
      <c r="AE7181" s="465"/>
    </row>
    <row r="7182" spans="27:31" ht="14.4">
      <c r="AA7182" s="463"/>
      <c r="AB7182" s="462"/>
      <c r="AC7182" s="462"/>
      <c r="AD7182" s="464"/>
      <c r="AE7182" s="465"/>
    </row>
    <row r="7183" spans="27:31" ht="14.4">
      <c r="AA7183" s="463"/>
      <c r="AB7183" s="462"/>
      <c r="AC7183" s="462"/>
      <c r="AD7183" s="464"/>
      <c r="AE7183" s="465"/>
    </row>
    <row r="7184" spans="27:31" ht="14.4">
      <c r="AA7184" s="463"/>
      <c r="AB7184" s="462"/>
      <c r="AC7184" s="462"/>
      <c r="AD7184" s="464"/>
      <c r="AE7184" s="465"/>
    </row>
    <row r="7185" spans="27:31" ht="14.4">
      <c r="AA7185" s="463"/>
      <c r="AB7185" s="462"/>
      <c r="AC7185" s="462"/>
      <c r="AD7185" s="464"/>
      <c r="AE7185" s="465"/>
    </row>
    <row r="7186" spans="27:31" ht="14.4">
      <c r="AA7186" s="463"/>
      <c r="AB7186" s="462"/>
      <c r="AC7186" s="462"/>
      <c r="AD7186" s="464"/>
      <c r="AE7186" s="465"/>
    </row>
    <row r="7187" spans="27:31" ht="14.4">
      <c r="AA7187" s="463"/>
      <c r="AB7187" s="462"/>
      <c r="AC7187" s="462"/>
      <c r="AD7187" s="464"/>
      <c r="AE7187" s="465"/>
    </row>
    <row r="7188" spans="27:31" ht="14.4">
      <c r="AA7188" s="463"/>
      <c r="AB7188" s="462"/>
      <c r="AC7188" s="462"/>
      <c r="AD7188" s="464"/>
      <c r="AE7188" s="465"/>
    </row>
    <row r="7189" spans="27:31" ht="14.4">
      <c r="AA7189" s="463"/>
      <c r="AB7189" s="462"/>
      <c r="AC7189" s="462"/>
      <c r="AD7189" s="464"/>
      <c r="AE7189" s="465"/>
    </row>
    <row r="7190" spans="27:31" ht="14.4">
      <c r="AA7190" s="463"/>
      <c r="AB7190" s="462"/>
      <c r="AC7190" s="462"/>
      <c r="AD7190" s="464"/>
      <c r="AE7190" s="465"/>
    </row>
    <row r="7191" spans="27:31" ht="14.4">
      <c r="AA7191" s="463"/>
      <c r="AB7191" s="462"/>
      <c r="AC7191" s="462"/>
      <c r="AD7191" s="464"/>
      <c r="AE7191" s="465"/>
    </row>
    <row r="7192" spans="27:31" ht="14.4">
      <c r="AA7192" s="463"/>
      <c r="AB7192" s="462"/>
      <c r="AC7192" s="462"/>
      <c r="AD7192" s="464"/>
      <c r="AE7192" s="465"/>
    </row>
    <row r="7193" spans="27:31" ht="14.4">
      <c r="AA7193" s="463"/>
      <c r="AB7193" s="462"/>
      <c r="AC7193" s="462"/>
      <c r="AD7193" s="464"/>
      <c r="AE7193" s="465"/>
    </row>
    <row r="7194" spans="27:31" ht="14.4">
      <c r="AA7194" s="463"/>
      <c r="AB7194" s="462"/>
      <c r="AC7194" s="462"/>
      <c r="AD7194" s="464"/>
      <c r="AE7194" s="465"/>
    </row>
    <row r="7195" spans="27:31" ht="14.4">
      <c r="AA7195" s="463"/>
      <c r="AB7195" s="462"/>
      <c r="AC7195" s="462"/>
      <c r="AD7195" s="464"/>
      <c r="AE7195" s="465"/>
    </row>
    <row r="7196" spans="27:31" ht="14.4">
      <c r="AA7196" s="463"/>
      <c r="AB7196" s="462"/>
      <c r="AC7196" s="462"/>
      <c r="AD7196" s="464"/>
      <c r="AE7196" s="465"/>
    </row>
    <row r="7197" spans="27:31" ht="14.4">
      <c r="AA7197" s="463"/>
      <c r="AB7197" s="462"/>
      <c r="AC7197" s="462"/>
      <c r="AD7197" s="464"/>
      <c r="AE7197" s="465"/>
    </row>
    <row r="7198" spans="27:31" ht="14.4">
      <c r="AA7198" s="463"/>
      <c r="AB7198" s="462"/>
      <c r="AC7198" s="462"/>
      <c r="AD7198" s="464"/>
      <c r="AE7198" s="465"/>
    </row>
    <row r="7199" spans="27:31" ht="14.4">
      <c r="AA7199" s="463"/>
      <c r="AB7199" s="462"/>
      <c r="AC7199" s="462"/>
      <c r="AD7199" s="464"/>
      <c r="AE7199" s="465"/>
    </row>
    <row r="7200" spans="27:31" ht="14.4">
      <c r="AA7200" s="463"/>
      <c r="AB7200" s="462"/>
      <c r="AC7200" s="462"/>
      <c r="AD7200" s="464"/>
      <c r="AE7200" s="465"/>
    </row>
    <row r="7201" spans="27:31" ht="14.4">
      <c r="AA7201" s="463"/>
      <c r="AB7201" s="462"/>
      <c r="AC7201" s="462"/>
      <c r="AD7201" s="464"/>
      <c r="AE7201" s="465"/>
    </row>
    <row r="7202" spans="27:31" ht="14.4">
      <c r="AA7202" s="463"/>
      <c r="AB7202" s="462"/>
      <c r="AC7202" s="462"/>
      <c r="AD7202" s="464"/>
      <c r="AE7202" s="465"/>
    </row>
    <row r="7203" spans="27:31" ht="14.4">
      <c r="AA7203" s="463"/>
      <c r="AB7203" s="462"/>
      <c r="AC7203" s="462"/>
      <c r="AD7203" s="464"/>
      <c r="AE7203" s="465"/>
    </row>
    <row r="7204" spans="27:31" ht="14.4">
      <c r="AA7204" s="463"/>
      <c r="AB7204" s="462"/>
      <c r="AC7204" s="462"/>
      <c r="AD7204" s="464"/>
      <c r="AE7204" s="465"/>
    </row>
    <row r="7205" spans="27:31" ht="14.4">
      <c r="AA7205" s="463"/>
      <c r="AB7205" s="462"/>
      <c r="AC7205" s="462"/>
      <c r="AD7205" s="464"/>
      <c r="AE7205" s="465"/>
    </row>
    <row r="7206" spans="27:31" ht="14.4">
      <c r="AA7206" s="463"/>
      <c r="AB7206" s="462"/>
      <c r="AC7206" s="462"/>
      <c r="AD7206" s="464"/>
      <c r="AE7206" s="465"/>
    </row>
    <row r="7207" spans="27:31" ht="14.4">
      <c r="AA7207" s="463"/>
      <c r="AB7207" s="462"/>
      <c r="AC7207" s="462"/>
      <c r="AD7207" s="464"/>
      <c r="AE7207" s="465"/>
    </row>
    <row r="7208" spans="27:31" ht="14.4">
      <c r="AA7208" s="463"/>
      <c r="AB7208" s="462"/>
      <c r="AC7208" s="462"/>
      <c r="AD7208" s="464"/>
      <c r="AE7208" s="465"/>
    </row>
    <row r="7209" spans="27:31" ht="14.4">
      <c r="AA7209" s="463"/>
      <c r="AB7209" s="462"/>
      <c r="AC7209" s="462"/>
      <c r="AD7209" s="464"/>
      <c r="AE7209" s="465"/>
    </row>
    <row r="7210" spans="27:31" ht="14.4">
      <c r="AA7210" s="463"/>
      <c r="AB7210" s="462"/>
      <c r="AC7210" s="462"/>
      <c r="AD7210" s="464"/>
      <c r="AE7210" s="465"/>
    </row>
    <row r="7211" spans="27:31" ht="14.4">
      <c r="AA7211" s="463"/>
      <c r="AB7211" s="462"/>
      <c r="AC7211" s="462"/>
      <c r="AD7211" s="464"/>
      <c r="AE7211" s="465"/>
    </row>
    <row r="7212" spans="27:31" ht="14.4">
      <c r="AA7212" s="463"/>
      <c r="AB7212" s="462"/>
      <c r="AC7212" s="462"/>
      <c r="AD7212" s="464"/>
      <c r="AE7212" s="465"/>
    </row>
    <row r="7213" spans="27:31" ht="14.4">
      <c r="AA7213" s="463"/>
      <c r="AB7213" s="462"/>
      <c r="AC7213" s="462"/>
      <c r="AD7213" s="464"/>
      <c r="AE7213" s="465"/>
    </row>
    <row r="7214" spans="27:31" ht="14.4">
      <c r="AA7214" s="463"/>
      <c r="AB7214" s="462"/>
      <c r="AC7214" s="462"/>
      <c r="AD7214" s="464"/>
      <c r="AE7214" s="465"/>
    </row>
    <row r="7215" spans="27:31" ht="14.4">
      <c r="AA7215" s="463"/>
      <c r="AB7215" s="462"/>
      <c r="AC7215" s="462"/>
      <c r="AD7215" s="464"/>
      <c r="AE7215" s="465"/>
    </row>
    <row r="7216" spans="27:31" ht="14.4">
      <c r="AA7216" s="463"/>
      <c r="AB7216" s="462"/>
      <c r="AC7216" s="462"/>
      <c r="AD7216" s="464"/>
      <c r="AE7216" s="465"/>
    </row>
    <row r="7217" spans="27:31" ht="14.4">
      <c r="AA7217" s="463"/>
      <c r="AB7217" s="462"/>
      <c r="AC7217" s="462"/>
      <c r="AD7217" s="464"/>
      <c r="AE7217" s="465"/>
    </row>
    <row r="7218" spans="27:31" ht="14.4">
      <c r="AA7218" s="463"/>
      <c r="AB7218" s="462"/>
      <c r="AC7218" s="462"/>
      <c r="AD7218" s="464"/>
      <c r="AE7218" s="465"/>
    </row>
    <row r="7219" spans="27:31" ht="14.4">
      <c r="AA7219" s="463"/>
      <c r="AB7219" s="462"/>
      <c r="AC7219" s="462"/>
      <c r="AD7219" s="464"/>
      <c r="AE7219" s="465"/>
    </row>
    <row r="7220" spans="27:31" ht="14.4">
      <c r="AA7220" s="463"/>
      <c r="AB7220" s="462"/>
      <c r="AC7220" s="462"/>
      <c r="AD7220" s="464"/>
      <c r="AE7220" s="465"/>
    </row>
    <row r="7221" spans="27:31" ht="14.4">
      <c r="AA7221" s="463"/>
      <c r="AB7221" s="462"/>
      <c r="AC7221" s="462"/>
      <c r="AD7221" s="464"/>
      <c r="AE7221" s="465"/>
    </row>
    <row r="7222" spans="27:31" ht="14.4">
      <c r="AA7222" s="463"/>
      <c r="AB7222" s="462"/>
      <c r="AC7222" s="462"/>
      <c r="AD7222" s="464"/>
      <c r="AE7222" s="465"/>
    </row>
    <row r="7223" spans="27:31" ht="14.4">
      <c r="AA7223" s="463"/>
      <c r="AB7223" s="462"/>
      <c r="AC7223" s="462"/>
      <c r="AD7223" s="464"/>
      <c r="AE7223" s="465"/>
    </row>
    <row r="7224" spans="27:31" ht="14.4">
      <c r="AA7224" s="463"/>
      <c r="AB7224" s="462"/>
      <c r="AC7224" s="462"/>
      <c r="AD7224" s="464"/>
      <c r="AE7224" s="465"/>
    </row>
    <row r="7225" spans="27:31" ht="14.4">
      <c r="AA7225" s="463"/>
      <c r="AB7225" s="462"/>
      <c r="AC7225" s="462"/>
      <c r="AD7225" s="464"/>
      <c r="AE7225" s="465"/>
    </row>
    <row r="7226" spans="27:31" ht="14.4">
      <c r="AA7226" s="463"/>
      <c r="AB7226" s="462"/>
      <c r="AC7226" s="462"/>
      <c r="AD7226" s="464"/>
      <c r="AE7226" s="465"/>
    </row>
    <row r="7227" spans="27:31" ht="14.4">
      <c r="AA7227" s="463"/>
      <c r="AB7227" s="462"/>
      <c r="AC7227" s="462"/>
      <c r="AD7227" s="464"/>
      <c r="AE7227" s="465"/>
    </row>
    <row r="7228" spans="27:31" ht="14.4">
      <c r="AA7228" s="463"/>
      <c r="AB7228" s="462"/>
      <c r="AC7228" s="462"/>
      <c r="AD7228" s="464"/>
      <c r="AE7228" s="465"/>
    </row>
    <row r="7229" spans="27:31" ht="14.4">
      <c r="AA7229" s="463"/>
      <c r="AB7229" s="462"/>
      <c r="AC7229" s="462"/>
      <c r="AD7229" s="464"/>
      <c r="AE7229" s="465"/>
    </row>
    <row r="7230" spans="27:31" ht="14.4">
      <c r="AA7230" s="463"/>
      <c r="AB7230" s="462"/>
      <c r="AC7230" s="462"/>
      <c r="AD7230" s="464"/>
      <c r="AE7230" s="465"/>
    </row>
    <row r="7231" spans="27:31" ht="14.4">
      <c r="AA7231" s="463"/>
      <c r="AB7231" s="462"/>
      <c r="AC7231" s="462"/>
      <c r="AD7231" s="464"/>
      <c r="AE7231" s="465"/>
    </row>
    <row r="7232" spans="27:31" ht="14.4">
      <c r="AA7232" s="463"/>
      <c r="AB7232" s="462"/>
      <c r="AC7232" s="462"/>
      <c r="AD7232" s="464"/>
      <c r="AE7232" s="465"/>
    </row>
    <row r="7233" spans="27:31" ht="14.4">
      <c r="AA7233" s="463"/>
      <c r="AB7233" s="462"/>
      <c r="AC7233" s="462"/>
      <c r="AD7233" s="464"/>
      <c r="AE7233" s="465"/>
    </row>
    <row r="7234" spans="27:31" ht="14.4">
      <c r="AA7234" s="463"/>
      <c r="AB7234" s="462"/>
      <c r="AC7234" s="462"/>
      <c r="AD7234" s="464"/>
      <c r="AE7234" s="465"/>
    </row>
    <row r="7235" spans="27:31" ht="14.4">
      <c r="AA7235" s="463"/>
      <c r="AB7235" s="462"/>
      <c r="AC7235" s="462"/>
      <c r="AD7235" s="464"/>
      <c r="AE7235" s="465"/>
    </row>
    <row r="7236" spans="27:31" ht="14.4">
      <c r="AA7236" s="463"/>
      <c r="AB7236" s="462"/>
      <c r="AC7236" s="462"/>
      <c r="AD7236" s="464"/>
      <c r="AE7236" s="465"/>
    </row>
    <row r="7237" spans="27:31" ht="14.4">
      <c r="AA7237" s="463"/>
      <c r="AB7237" s="462"/>
      <c r="AC7237" s="462"/>
      <c r="AD7237" s="464"/>
      <c r="AE7237" s="465"/>
    </row>
    <row r="7238" spans="27:31" ht="14.4">
      <c r="AA7238" s="463"/>
      <c r="AB7238" s="462"/>
      <c r="AC7238" s="462"/>
      <c r="AD7238" s="464"/>
      <c r="AE7238" s="465"/>
    </row>
    <row r="7239" spans="27:31" ht="14.4">
      <c r="AA7239" s="463"/>
      <c r="AB7239" s="462"/>
      <c r="AC7239" s="462"/>
      <c r="AD7239" s="464"/>
      <c r="AE7239" s="465"/>
    </row>
    <row r="7240" spans="27:31" ht="14.4">
      <c r="AA7240" s="463"/>
      <c r="AB7240" s="462"/>
      <c r="AC7240" s="462"/>
      <c r="AD7240" s="464"/>
      <c r="AE7240" s="465"/>
    </row>
    <row r="7241" spans="27:31" ht="14.4">
      <c r="AA7241" s="463"/>
      <c r="AB7241" s="462"/>
      <c r="AC7241" s="462"/>
      <c r="AD7241" s="464"/>
      <c r="AE7241" s="465"/>
    </row>
    <row r="7242" spans="27:31" ht="14.4">
      <c r="AA7242" s="463"/>
      <c r="AB7242" s="462"/>
      <c r="AC7242" s="462"/>
      <c r="AD7242" s="464"/>
      <c r="AE7242" s="465"/>
    </row>
    <row r="7243" spans="27:31" ht="14.4">
      <c r="AA7243" s="463"/>
      <c r="AB7243" s="462"/>
      <c r="AC7243" s="462"/>
      <c r="AD7243" s="464"/>
      <c r="AE7243" s="465"/>
    </row>
    <row r="7244" spans="27:31" ht="14.4">
      <c r="AA7244" s="463"/>
      <c r="AB7244" s="462"/>
      <c r="AC7244" s="462"/>
      <c r="AD7244" s="464"/>
      <c r="AE7244" s="465"/>
    </row>
    <row r="7245" spans="27:31" ht="14.4">
      <c r="AA7245" s="463"/>
      <c r="AB7245" s="462"/>
      <c r="AC7245" s="462"/>
      <c r="AD7245" s="464"/>
      <c r="AE7245" s="465"/>
    </row>
    <row r="7246" spans="27:31" ht="14.4">
      <c r="AA7246" s="463"/>
      <c r="AB7246" s="462"/>
      <c r="AC7246" s="462"/>
      <c r="AD7246" s="464"/>
      <c r="AE7246" s="465"/>
    </row>
    <row r="7247" spans="27:31" ht="14.4">
      <c r="AA7247" s="463"/>
      <c r="AB7247" s="462"/>
      <c r="AC7247" s="462"/>
      <c r="AD7247" s="464"/>
      <c r="AE7247" s="465"/>
    </row>
    <row r="7248" spans="27:31" ht="14.4">
      <c r="AA7248" s="463"/>
      <c r="AB7248" s="462"/>
      <c r="AC7248" s="462"/>
      <c r="AD7248" s="464"/>
      <c r="AE7248" s="465"/>
    </row>
    <row r="7249" spans="27:31" ht="14.4">
      <c r="AA7249" s="463"/>
      <c r="AB7249" s="462"/>
      <c r="AC7249" s="462"/>
      <c r="AD7249" s="464"/>
      <c r="AE7249" s="465"/>
    </row>
    <row r="7250" spans="27:31" ht="14.4">
      <c r="AA7250" s="463"/>
      <c r="AB7250" s="462"/>
      <c r="AC7250" s="462"/>
      <c r="AD7250" s="464"/>
      <c r="AE7250" s="465"/>
    </row>
    <row r="7251" spans="27:31" ht="14.4">
      <c r="AA7251" s="463"/>
      <c r="AB7251" s="462"/>
      <c r="AC7251" s="462"/>
      <c r="AD7251" s="464"/>
      <c r="AE7251" s="465"/>
    </row>
    <row r="7252" spans="27:31" ht="14.4">
      <c r="AA7252" s="463"/>
      <c r="AB7252" s="462"/>
      <c r="AC7252" s="462"/>
      <c r="AD7252" s="464"/>
      <c r="AE7252" s="465"/>
    </row>
    <row r="7253" spans="27:31" ht="14.4">
      <c r="AA7253" s="463"/>
      <c r="AB7253" s="462"/>
      <c r="AC7253" s="462"/>
      <c r="AD7253" s="464"/>
      <c r="AE7253" s="465"/>
    </row>
    <row r="7254" spans="27:31" ht="14.4">
      <c r="AA7254" s="463"/>
      <c r="AB7254" s="462"/>
      <c r="AC7254" s="462"/>
      <c r="AD7254" s="464"/>
      <c r="AE7254" s="465"/>
    </row>
    <row r="7255" spans="27:31" ht="14.4">
      <c r="AA7255" s="463"/>
      <c r="AB7255" s="462"/>
      <c r="AC7255" s="462"/>
      <c r="AD7255" s="464"/>
      <c r="AE7255" s="465"/>
    </row>
    <row r="7256" spans="27:31" ht="14.4">
      <c r="AA7256" s="463"/>
      <c r="AB7256" s="462"/>
      <c r="AC7256" s="462"/>
      <c r="AD7256" s="464"/>
      <c r="AE7256" s="465"/>
    </row>
    <row r="7257" spans="27:31" ht="14.4">
      <c r="AA7257" s="463"/>
      <c r="AB7257" s="462"/>
      <c r="AC7257" s="462"/>
      <c r="AD7257" s="464"/>
      <c r="AE7257" s="465"/>
    </row>
    <row r="7258" spans="27:31" ht="14.4">
      <c r="AA7258" s="463"/>
      <c r="AB7258" s="462"/>
      <c r="AC7258" s="462"/>
      <c r="AD7258" s="464"/>
      <c r="AE7258" s="465"/>
    </row>
    <row r="7259" spans="27:31" ht="14.4">
      <c r="AA7259" s="463"/>
      <c r="AB7259" s="462"/>
      <c r="AC7259" s="462"/>
      <c r="AD7259" s="464"/>
      <c r="AE7259" s="465"/>
    </row>
    <row r="7260" spans="27:31" ht="14.4">
      <c r="AA7260" s="463"/>
      <c r="AB7260" s="462"/>
      <c r="AC7260" s="462"/>
      <c r="AD7260" s="464"/>
      <c r="AE7260" s="465"/>
    </row>
    <row r="7261" spans="27:31" ht="14.4">
      <c r="AA7261" s="463"/>
      <c r="AB7261" s="462"/>
      <c r="AC7261" s="462"/>
      <c r="AD7261" s="464"/>
      <c r="AE7261" s="465"/>
    </row>
    <row r="7262" spans="27:31" ht="14.4">
      <c r="AA7262" s="463"/>
      <c r="AB7262" s="462"/>
      <c r="AC7262" s="462"/>
      <c r="AD7262" s="464"/>
      <c r="AE7262" s="465"/>
    </row>
    <row r="7263" spans="27:31" ht="14.4">
      <c r="AA7263" s="463"/>
      <c r="AB7263" s="462"/>
      <c r="AC7263" s="462"/>
      <c r="AD7263" s="464"/>
      <c r="AE7263" s="465"/>
    </row>
    <row r="7264" spans="27:31" ht="14.4">
      <c r="AA7264" s="463"/>
      <c r="AB7264" s="462"/>
      <c r="AC7264" s="462"/>
      <c r="AD7264" s="464"/>
      <c r="AE7264" s="465"/>
    </row>
    <row r="7265" spans="27:31" ht="14.4">
      <c r="AA7265" s="463"/>
      <c r="AB7265" s="462"/>
      <c r="AC7265" s="462"/>
      <c r="AD7265" s="464"/>
      <c r="AE7265" s="465"/>
    </row>
    <row r="7266" spans="27:31" ht="14.4">
      <c r="AA7266" s="463"/>
      <c r="AB7266" s="462"/>
      <c r="AC7266" s="462"/>
      <c r="AD7266" s="464"/>
      <c r="AE7266" s="465"/>
    </row>
    <row r="7267" spans="27:31" ht="14.4">
      <c r="AA7267" s="463"/>
      <c r="AB7267" s="462"/>
      <c r="AC7267" s="462"/>
      <c r="AD7267" s="464"/>
      <c r="AE7267" s="465"/>
    </row>
    <row r="7268" spans="27:31" ht="14.4">
      <c r="AA7268" s="463"/>
      <c r="AB7268" s="462"/>
      <c r="AC7268" s="462"/>
      <c r="AD7268" s="464"/>
      <c r="AE7268" s="465"/>
    </row>
    <row r="7269" spans="27:31" ht="14.4">
      <c r="AA7269" s="463"/>
      <c r="AB7269" s="462"/>
      <c r="AC7269" s="462"/>
      <c r="AD7269" s="464"/>
      <c r="AE7269" s="465"/>
    </row>
    <row r="7270" spans="27:31" ht="14.4">
      <c r="AA7270" s="463"/>
      <c r="AB7270" s="462"/>
      <c r="AC7270" s="462"/>
      <c r="AD7270" s="464"/>
      <c r="AE7270" s="465"/>
    </row>
    <row r="7271" spans="27:31" ht="14.4">
      <c r="AA7271" s="463"/>
      <c r="AB7271" s="462"/>
      <c r="AC7271" s="462"/>
      <c r="AD7271" s="464"/>
      <c r="AE7271" s="465"/>
    </row>
    <row r="7272" spans="27:31" ht="14.4">
      <c r="AA7272" s="463"/>
      <c r="AB7272" s="462"/>
      <c r="AC7272" s="462"/>
      <c r="AD7272" s="464"/>
      <c r="AE7272" s="465"/>
    </row>
    <row r="7273" spans="27:31" ht="14.4">
      <c r="AA7273" s="463"/>
      <c r="AB7273" s="462"/>
      <c r="AC7273" s="462"/>
      <c r="AD7273" s="464"/>
      <c r="AE7273" s="465"/>
    </row>
    <row r="7274" spans="27:31" ht="14.4">
      <c r="AA7274" s="463"/>
      <c r="AB7274" s="462"/>
      <c r="AC7274" s="462"/>
      <c r="AD7274" s="464"/>
      <c r="AE7274" s="465"/>
    </row>
    <row r="7275" spans="27:31" ht="14.4">
      <c r="AA7275" s="463"/>
      <c r="AB7275" s="462"/>
      <c r="AC7275" s="462"/>
      <c r="AD7275" s="464"/>
      <c r="AE7275" s="465"/>
    </row>
    <row r="7276" spans="27:31" ht="14.4">
      <c r="AA7276" s="463"/>
      <c r="AB7276" s="462"/>
      <c r="AC7276" s="462"/>
      <c r="AD7276" s="464"/>
      <c r="AE7276" s="465"/>
    </row>
    <row r="7277" spans="27:31" ht="14.4">
      <c r="AA7277" s="463"/>
      <c r="AB7277" s="462"/>
      <c r="AC7277" s="462"/>
      <c r="AD7277" s="464"/>
      <c r="AE7277" s="465"/>
    </row>
    <row r="7278" spans="27:31" ht="14.4">
      <c r="AA7278" s="463"/>
      <c r="AB7278" s="462"/>
      <c r="AC7278" s="462"/>
      <c r="AD7278" s="464"/>
      <c r="AE7278" s="465"/>
    </row>
    <row r="7279" spans="27:31" ht="14.4">
      <c r="AA7279" s="463"/>
      <c r="AB7279" s="462"/>
      <c r="AC7279" s="462"/>
      <c r="AD7279" s="464"/>
      <c r="AE7279" s="465"/>
    </row>
    <row r="7280" spans="27:31" ht="14.4">
      <c r="AA7280" s="463"/>
      <c r="AB7280" s="462"/>
      <c r="AC7280" s="462"/>
      <c r="AD7280" s="464"/>
      <c r="AE7280" s="465"/>
    </row>
    <row r="7281" spans="27:31" ht="14.4">
      <c r="AA7281" s="463"/>
      <c r="AB7281" s="462"/>
      <c r="AC7281" s="462"/>
      <c r="AD7281" s="464"/>
      <c r="AE7281" s="465"/>
    </row>
    <row r="7282" spans="27:31" ht="14.4">
      <c r="AA7282" s="463"/>
      <c r="AB7282" s="462"/>
      <c r="AC7282" s="462"/>
      <c r="AD7282" s="464"/>
      <c r="AE7282" s="465"/>
    </row>
    <row r="7283" spans="27:31" ht="14.4">
      <c r="AA7283" s="463"/>
      <c r="AB7283" s="462"/>
      <c r="AC7283" s="462"/>
      <c r="AD7283" s="464"/>
      <c r="AE7283" s="465"/>
    </row>
    <row r="7284" spans="27:31" ht="14.4">
      <c r="AA7284" s="463"/>
      <c r="AB7284" s="462"/>
      <c r="AC7284" s="462"/>
      <c r="AD7284" s="464"/>
      <c r="AE7284" s="465"/>
    </row>
    <row r="7285" spans="27:31" ht="14.4">
      <c r="AA7285" s="463"/>
      <c r="AB7285" s="462"/>
      <c r="AC7285" s="462"/>
      <c r="AD7285" s="464"/>
      <c r="AE7285" s="465"/>
    </row>
    <row r="7286" spans="27:31" ht="14.4">
      <c r="AA7286" s="463"/>
      <c r="AB7286" s="462"/>
      <c r="AC7286" s="462"/>
      <c r="AD7286" s="464"/>
      <c r="AE7286" s="465"/>
    </row>
    <row r="7287" spans="27:31" ht="14.4">
      <c r="AA7287" s="463"/>
      <c r="AB7287" s="462"/>
      <c r="AC7287" s="462"/>
      <c r="AD7287" s="464"/>
      <c r="AE7287" s="465"/>
    </row>
    <row r="7288" spans="27:31" ht="14.4">
      <c r="AA7288" s="463"/>
      <c r="AB7288" s="462"/>
      <c r="AC7288" s="462"/>
      <c r="AD7288" s="464"/>
      <c r="AE7288" s="465"/>
    </row>
    <row r="7289" spans="27:31" ht="14.4">
      <c r="AA7289" s="463"/>
      <c r="AB7289" s="462"/>
      <c r="AC7289" s="462"/>
      <c r="AD7289" s="464"/>
      <c r="AE7289" s="465"/>
    </row>
    <row r="7290" spans="27:31" ht="14.4">
      <c r="AA7290" s="463"/>
      <c r="AB7290" s="462"/>
      <c r="AC7290" s="462"/>
      <c r="AD7290" s="464"/>
      <c r="AE7290" s="465"/>
    </row>
    <row r="7291" spans="27:31" ht="14.4">
      <c r="AA7291" s="463"/>
      <c r="AB7291" s="462"/>
      <c r="AC7291" s="462"/>
      <c r="AD7291" s="464"/>
      <c r="AE7291" s="465"/>
    </row>
    <row r="7292" spans="27:31" ht="14.4">
      <c r="AA7292" s="463"/>
      <c r="AB7292" s="462"/>
      <c r="AC7292" s="462"/>
      <c r="AD7292" s="464"/>
      <c r="AE7292" s="465"/>
    </row>
    <row r="7293" spans="27:31" ht="14.4">
      <c r="AA7293" s="463"/>
      <c r="AB7293" s="462"/>
      <c r="AC7293" s="462"/>
      <c r="AD7293" s="464"/>
      <c r="AE7293" s="465"/>
    </row>
    <row r="7294" spans="27:31" ht="14.4">
      <c r="AA7294" s="463"/>
      <c r="AB7294" s="462"/>
      <c r="AC7294" s="462"/>
      <c r="AD7294" s="464"/>
      <c r="AE7294" s="465"/>
    </row>
    <row r="7295" spans="27:31" ht="14.4">
      <c r="AA7295" s="463"/>
      <c r="AB7295" s="462"/>
      <c r="AC7295" s="462"/>
      <c r="AD7295" s="464"/>
      <c r="AE7295" s="465"/>
    </row>
    <row r="7296" spans="27:31" ht="14.4">
      <c r="AA7296" s="463"/>
      <c r="AB7296" s="462"/>
      <c r="AC7296" s="462"/>
      <c r="AD7296" s="464"/>
      <c r="AE7296" s="465"/>
    </row>
    <row r="7297" spans="27:31" ht="14.4">
      <c r="AA7297" s="463"/>
      <c r="AB7297" s="462"/>
      <c r="AC7297" s="462"/>
      <c r="AD7297" s="464"/>
      <c r="AE7297" s="465"/>
    </row>
    <row r="7298" spans="27:31" ht="14.4">
      <c r="AA7298" s="463"/>
      <c r="AB7298" s="462"/>
      <c r="AC7298" s="462"/>
      <c r="AD7298" s="464"/>
      <c r="AE7298" s="465"/>
    </row>
    <row r="7299" spans="27:31" ht="14.4">
      <c r="AA7299" s="463"/>
      <c r="AB7299" s="462"/>
      <c r="AC7299" s="462"/>
      <c r="AD7299" s="464"/>
      <c r="AE7299" s="465"/>
    </row>
    <row r="7300" spans="27:31" ht="14.4">
      <c r="AA7300" s="463"/>
      <c r="AB7300" s="462"/>
      <c r="AC7300" s="462"/>
      <c r="AD7300" s="464"/>
      <c r="AE7300" s="465"/>
    </row>
    <row r="7301" spans="27:31" ht="14.4">
      <c r="AA7301" s="463"/>
      <c r="AB7301" s="462"/>
      <c r="AC7301" s="462"/>
      <c r="AD7301" s="464"/>
      <c r="AE7301" s="465"/>
    </row>
    <row r="7302" spans="27:31" ht="14.4">
      <c r="AA7302" s="463"/>
      <c r="AB7302" s="462"/>
      <c r="AC7302" s="462"/>
      <c r="AD7302" s="464"/>
      <c r="AE7302" s="465"/>
    </row>
    <row r="7303" spans="27:31" ht="14.4">
      <c r="AA7303" s="463"/>
      <c r="AB7303" s="462"/>
      <c r="AC7303" s="462"/>
      <c r="AD7303" s="464"/>
      <c r="AE7303" s="465"/>
    </row>
    <row r="7304" spans="27:31" ht="14.4">
      <c r="AA7304" s="463"/>
      <c r="AB7304" s="462"/>
      <c r="AC7304" s="462"/>
      <c r="AD7304" s="464"/>
      <c r="AE7304" s="465"/>
    </row>
    <row r="7305" spans="27:31" ht="14.4">
      <c r="AA7305" s="463"/>
      <c r="AB7305" s="462"/>
      <c r="AC7305" s="462"/>
      <c r="AD7305" s="464"/>
      <c r="AE7305" s="465"/>
    </row>
    <row r="7306" spans="27:31" ht="14.4">
      <c r="AA7306" s="463"/>
      <c r="AB7306" s="462"/>
      <c r="AC7306" s="462"/>
      <c r="AD7306" s="464"/>
      <c r="AE7306" s="465"/>
    </row>
    <row r="7307" spans="27:31" ht="14.4">
      <c r="AA7307" s="463"/>
      <c r="AB7307" s="462"/>
      <c r="AC7307" s="462"/>
      <c r="AD7307" s="464"/>
      <c r="AE7307" s="465"/>
    </row>
    <row r="7308" spans="27:31" ht="14.4">
      <c r="AA7308" s="463"/>
      <c r="AB7308" s="462"/>
      <c r="AC7308" s="462"/>
      <c r="AD7308" s="464"/>
      <c r="AE7308" s="465"/>
    </row>
    <row r="7309" spans="27:31" ht="14.4">
      <c r="AA7309" s="463"/>
      <c r="AB7309" s="462"/>
      <c r="AC7309" s="462"/>
      <c r="AD7309" s="464"/>
      <c r="AE7309" s="465"/>
    </row>
    <row r="7310" spans="27:31" ht="14.4">
      <c r="AA7310" s="463"/>
      <c r="AB7310" s="462"/>
      <c r="AC7310" s="462"/>
      <c r="AD7310" s="464"/>
      <c r="AE7310" s="465"/>
    </row>
    <row r="7311" spans="27:31" ht="14.4">
      <c r="AA7311" s="463"/>
      <c r="AB7311" s="462"/>
      <c r="AC7311" s="462"/>
      <c r="AD7311" s="464"/>
      <c r="AE7311" s="465"/>
    </row>
    <row r="7312" spans="27:31" ht="14.4">
      <c r="AA7312" s="463"/>
      <c r="AB7312" s="462"/>
      <c r="AC7312" s="462"/>
      <c r="AD7312" s="464"/>
      <c r="AE7312" s="465"/>
    </row>
    <row r="7313" spans="27:31" ht="14.4">
      <c r="AA7313" s="463"/>
      <c r="AB7313" s="462"/>
      <c r="AC7313" s="462"/>
      <c r="AD7313" s="464"/>
      <c r="AE7313" s="465"/>
    </row>
    <row r="7314" spans="27:31" ht="14.4">
      <c r="AA7314" s="463"/>
      <c r="AB7314" s="462"/>
      <c r="AC7314" s="462"/>
      <c r="AD7314" s="464"/>
      <c r="AE7314" s="465"/>
    </row>
    <row r="7315" spans="27:31" ht="14.4">
      <c r="AA7315" s="463"/>
      <c r="AB7315" s="462"/>
      <c r="AC7315" s="462"/>
      <c r="AD7315" s="464"/>
      <c r="AE7315" s="465"/>
    </row>
    <row r="7316" spans="27:31" ht="14.4">
      <c r="AA7316" s="463"/>
      <c r="AB7316" s="462"/>
      <c r="AC7316" s="462"/>
      <c r="AD7316" s="464"/>
      <c r="AE7316" s="465"/>
    </row>
    <row r="7317" spans="27:31" ht="14.4">
      <c r="AA7317" s="463"/>
      <c r="AB7317" s="462"/>
      <c r="AC7317" s="462"/>
      <c r="AD7317" s="464"/>
      <c r="AE7317" s="465"/>
    </row>
    <row r="7318" spans="27:31" ht="14.4">
      <c r="AA7318" s="463"/>
      <c r="AB7318" s="462"/>
      <c r="AC7318" s="462"/>
      <c r="AD7318" s="464"/>
      <c r="AE7318" s="465"/>
    </row>
    <row r="7319" spans="27:31" ht="14.4">
      <c r="AA7319" s="463"/>
      <c r="AB7319" s="462"/>
      <c r="AC7319" s="462"/>
      <c r="AD7319" s="464"/>
      <c r="AE7319" s="465"/>
    </row>
    <row r="7320" spans="27:31" ht="14.4">
      <c r="AA7320" s="463"/>
      <c r="AB7320" s="462"/>
      <c r="AC7320" s="462"/>
      <c r="AD7320" s="464"/>
      <c r="AE7320" s="465"/>
    </row>
    <row r="7321" spans="27:31" ht="14.4">
      <c r="AA7321" s="463"/>
      <c r="AB7321" s="462"/>
      <c r="AC7321" s="462"/>
      <c r="AD7321" s="464"/>
      <c r="AE7321" s="465"/>
    </row>
    <row r="7322" spans="27:31" ht="14.4">
      <c r="AA7322" s="463"/>
      <c r="AB7322" s="462"/>
      <c r="AC7322" s="462"/>
      <c r="AD7322" s="464"/>
      <c r="AE7322" s="465"/>
    </row>
    <row r="7323" spans="27:31" ht="14.4">
      <c r="AA7323" s="463"/>
      <c r="AB7323" s="462"/>
      <c r="AC7323" s="462"/>
      <c r="AD7323" s="464"/>
      <c r="AE7323" s="465"/>
    </row>
    <row r="7324" spans="27:31" ht="14.4">
      <c r="AA7324" s="463"/>
      <c r="AB7324" s="462"/>
      <c r="AC7324" s="462"/>
      <c r="AD7324" s="464"/>
      <c r="AE7324" s="465"/>
    </row>
    <row r="7325" spans="27:31" ht="14.4">
      <c r="AA7325" s="463"/>
      <c r="AB7325" s="462"/>
      <c r="AC7325" s="462"/>
      <c r="AD7325" s="464"/>
      <c r="AE7325" s="465"/>
    </row>
    <row r="7326" spans="27:31" ht="14.4">
      <c r="AA7326" s="463"/>
      <c r="AB7326" s="462"/>
      <c r="AC7326" s="462"/>
      <c r="AD7326" s="464"/>
      <c r="AE7326" s="465"/>
    </row>
    <row r="7327" spans="27:31" ht="14.4">
      <c r="AA7327" s="463"/>
      <c r="AB7327" s="462"/>
      <c r="AC7327" s="462"/>
      <c r="AD7327" s="464"/>
      <c r="AE7327" s="465"/>
    </row>
    <row r="7328" spans="27:31" ht="14.4">
      <c r="AA7328" s="463"/>
      <c r="AB7328" s="462"/>
      <c r="AC7328" s="462"/>
      <c r="AD7328" s="464"/>
      <c r="AE7328" s="465"/>
    </row>
    <row r="7329" spans="27:31" ht="14.4">
      <c r="AA7329" s="463"/>
      <c r="AB7329" s="462"/>
      <c r="AC7329" s="462"/>
      <c r="AD7329" s="464"/>
      <c r="AE7329" s="465"/>
    </row>
    <row r="7330" spans="27:31" ht="14.4">
      <c r="AA7330" s="463"/>
      <c r="AB7330" s="462"/>
      <c r="AC7330" s="462"/>
      <c r="AD7330" s="464"/>
      <c r="AE7330" s="465"/>
    </row>
    <row r="7331" spans="27:31" ht="14.4">
      <c r="AA7331" s="463"/>
      <c r="AB7331" s="462"/>
      <c r="AC7331" s="462"/>
      <c r="AD7331" s="464"/>
      <c r="AE7331" s="465"/>
    </row>
    <row r="7332" spans="27:31" ht="14.4">
      <c r="AA7332" s="463"/>
      <c r="AB7332" s="462"/>
      <c r="AC7332" s="462"/>
      <c r="AD7332" s="464"/>
      <c r="AE7332" s="465"/>
    </row>
    <row r="7333" spans="27:31" ht="14.4">
      <c r="AA7333" s="463"/>
      <c r="AB7333" s="462"/>
      <c r="AC7333" s="462"/>
      <c r="AD7333" s="464"/>
      <c r="AE7333" s="465"/>
    </row>
    <row r="7334" spans="27:31" ht="14.4">
      <c r="AA7334" s="463"/>
      <c r="AB7334" s="462"/>
      <c r="AC7334" s="462"/>
      <c r="AD7334" s="464"/>
      <c r="AE7334" s="465"/>
    </row>
    <row r="7335" spans="27:31" ht="14.4">
      <c r="AA7335" s="463"/>
      <c r="AB7335" s="462"/>
      <c r="AC7335" s="462"/>
      <c r="AD7335" s="464"/>
      <c r="AE7335" s="465"/>
    </row>
    <row r="7336" spans="27:31" ht="14.4">
      <c r="AA7336" s="463"/>
      <c r="AB7336" s="462"/>
      <c r="AC7336" s="462"/>
      <c r="AD7336" s="464"/>
      <c r="AE7336" s="465"/>
    </row>
    <row r="7337" spans="27:31" ht="14.4">
      <c r="AA7337" s="463"/>
      <c r="AB7337" s="462"/>
      <c r="AC7337" s="462"/>
      <c r="AD7337" s="464"/>
      <c r="AE7337" s="465"/>
    </row>
    <row r="7338" spans="27:31" ht="14.4">
      <c r="AA7338" s="463"/>
      <c r="AB7338" s="462"/>
      <c r="AC7338" s="462"/>
      <c r="AD7338" s="464"/>
      <c r="AE7338" s="465"/>
    </row>
    <row r="7339" spans="27:31" ht="14.4">
      <c r="AA7339" s="463"/>
      <c r="AB7339" s="462"/>
      <c r="AC7339" s="462"/>
      <c r="AD7339" s="464"/>
      <c r="AE7339" s="465"/>
    </row>
    <row r="7340" spans="27:31" ht="14.4">
      <c r="AA7340" s="463"/>
      <c r="AB7340" s="462"/>
      <c r="AC7340" s="462"/>
      <c r="AD7340" s="464"/>
      <c r="AE7340" s="465"/>
    </row>
    <row r="7341" spans="27:31" ht="14.4">
      <c r="AA7341" s="463"/>
      <c r="AB7341" s="462"/>
      <c r="AC7341" s="462"/>
      <c r="AD7341" s="464"/>
      <c r="AE7341" s="465"/>
    </row>
    <row r="7342" spans="27:31" ht="14.4">
      <c r="AA7342" s="463"/>
      <c r="AB7342" s="462"/>
      <c r="AC7342" s="462"/>
      <c r="AD7342" s="464"/>
      <c r="AE7342" s="465"/>
    </row>
    <row r="7343" spans="27:31" ht="14.4">
      <c r="AA7343" s="463"/>
      <c r="AB7343" s="462"/>
      <c r="AC7343" s="462"/>
      <c r="AD7343" s="464"/>
      <c r="AE7343" s="465"/>
    </row>
    <row r="7344" spans="27:31" ht="14.4">
      <c r="AA7344" s="463"/>
      <c r="AB7344" s="462"/>
      <c r="AC7344" s="462"/>
      <c r="AD7344" s="464"/>
      <c r="AE7344" s="465"/>
    </row>
    <row r="7345" spans="27:31" ht="14.4">
      <c r="AA7345" s="463"/>
      <c r="AB7345" s="462"/>
      <c r="AC7345" s="462"/>
      <c r="AD7345" s="464"/>
      <c r="AE7345" s="465"/>
    </row>
    <row r="7346" spans="27:31" ht="14.4">
      <c r="AA7346" s="463"/>
      <c r="AB7346" s="462"/>
      <c r="AC7346" s="462"/>
      <c r="AD7346" s="464"/>
      <c r="AE7346" s="465"/>
    </row>
    <row r="7347" spans="27:31" ht="14.4">
      <c r="AA7347" s="463"/>
      <c r="AB7347" s="462"/>
      <c r="AC7347" s="462"/>
      <c r="AD7347" s="464"/>
      <c r="AE7347" s="465"/>
    </row>
    <row r="7348" spans="27:31" ht="14.4">
      <c r="AA7348" s="463"/>
      <c r="AB7348" s="462"/>
      <c r="AC7348" s="462"/>
      <c r="AD7348" s="464"/>
      <c r="AE7348" s="465"/>
    </row>
    <row r="7349" spans="27:31" ht="14.4">
      <c r="AA7349" s="463"/>
      <c r="AB7349" s="462"/>
      <c r="AC7349" s="462"/>
      <c r="AD7349" s="464"/>
      <c r="AE7349" s="465"/>
    </row>
    <row r="7350" spans="27:31" ht="14.4">
      <c r="AA7350" s="463"/>
      <c r="AB7350" s="462"/>
      <c r="AC7350" s="462"/>
      <c r="AD7350" s="464"/>
      <c r="AE7350" s="465"/>
    </row>
    <row r="7351" spans="27:31" ht="14.4">
      <c r="AA7351" s="463"/>
      <c r="AB7351" s="462"/>
      <c r="AC7351" s="462"/>
      <c r="AD7351" s="464"/>
      <c r="AE7351" s="465"/>
    </row>
    <row r="7352" spans="27:31" ht="14.4">
      <c r="AA7352" s="463"/>
      <c r="AB7352" s="462"/>
      <c r="AC7352" s="462"/>
      <c r="AD7352" s="464"/>
      <c r="AE7352" s="465"/>
    </row>
    <row r="7353" spans="27:31" ht="14.4">
      <c r="AA7353" s="463"/>
      <c r="AB7353" s="462"/>
      <c r="AC7353" s="462"/>
      <c r="AD7353" s="464"/>
      <c r="AE7353" s="465"/>
    </row>
    <row r="7354" spans="27:31" ht="14.4">
      <c r="AA7354" s="463"/>
      <c r="AB7354" s="462"/>
      <c r="AC7354" s="462"/>
      <c r="AD7354" s="464"/>
      <c r="AE7354" s="465"/>
    </row>
    <row r="7355" spans="27:31" ht="14.4">
      <c r="AA7355" s="463"/>
      <c r="AB7355" s="462"/>
      <c r="AC7355" s="462"/>
      <c r="AD7355" s="464"/>
      <c r="AE7355" s="465"/>
    </row>
    <row r="7356" spans="27:31" ht="14.4">
      <c r="AA7356" s="463"/>
      <c r="AB7356" s="462"/>
      <c r="AC7356" s="462"/>
      <c r="AD7356" s="464"/>
      <c r="AE7356" s="465"/>
    </row>
    <row r="7357" spans="27:31" ht="14.4">
      <c r="AA7357" s="463"/>
      <c r="AB7357" s="462"/>
      <c r="AC7357" s="462"/>
      <c r="AD7357" s="464"/>
      <c r="AE7357" s="465"/>
    </row>
    <row r="7358" spans="27:31" ht="14.4">
      <c r="AA7358" s="463"/>
      <c r="AB7358" s="462"/>
      <c r="AC7358" s="462"/>
      <c r="AD7358" s="464"/>
      <c r="AE7358" s="465"/>
    </row>
    <row r="7359" spans="27:31" ht="14.4">
      <c r="AA7359" s="463"/>
      <c r="AB7359" s="462"/>
      <c r="AC7359" s="462"/>
      <c r="AD7359" s="464"/>
      <c r="AE7359" s="465"/>
    </row>
    <row r="7360" spans="27:31" ht="14.4">
      <c r="AA7360" s="463"/>
      <c r="AB7360" s="462"/>
      <c r="AC7360" s="462"/>
      <c r="AD7360" s="464"/>
      <c r="AE7360" s="465"/>
    </row>
    <row r="7361" spans="27:31" ht="14.4">
      <c r="AA7361" s="463"/>
      <c r="AB7361" s="462"/>
      <c r="AC7361" s="462"/>
      <c r="AD7361" s="464"/>
      <c r="AE7361" s="465"/>
    </row>
    <row r="7362" spans="27:31" ht="14.4">
      <c r="AA7362" s="463"/>
      <c r="AB7362" s="462"/>
      <c r="AC7362" s="462"/>
      <c r="AD7362" s="464"/>
      <c r="AE7362" s="465"/>
    </row>
    <row r="7363" spans="27:31" ht="14.4">
      <c r="AA7363" s="463"/>
      <c r="AB7363" s="462"/>
      <c r="AC7363" s="462"/>
      <c r="AD7363" s="464"/>
      <c r="AE7363" s="465"/>
    </row>
    <row r="7364" spans="27:31" ht="14.4">
      <c r="AA7364" s="463"/>
      <c r="AB7364" s="462"/>
      <c r="AC7364" s="462"/>
      <c r="AD7364" s="464"/>
      <c r="AE7364" s="465"/>
    </row>
    <row r="7365" spans="27:31" ht="14.4">
      <c r="AA7365" s="463"/>
      <c r="AB7365" s="462"/>
      <c r="AC7365" s="462"/>
      <c r="AD7365" s="464"/>
      <c r="AE7365" s="465"/>
    </row>
    <row r="7366" spans="27:31" ht="14.4">
      <c r="AA7366" s="463"/>
      <c r="AB7366" s="462"/>
      <c r="AC7366" s="462"/>
      <c r="AD7366" s="464"/>
      <c r="AE7366" s="465"/>
    </row>
    <row r="7367" spans="27:31" ht="14.4">
      <c r="AA7367" s="463"/>
      <c r="AB7367" s="462"/>
      <c r="AC7367" s="462"/>
      <c r="AD7367" s="464"/>
      <c r="AE7367" s="465"/>
    </row>
    <row r="7368" spans="27:31" ht="14.4">
      <c r="AA7368" s="463"/>
      <c r="AB7368" s="462"/>
      <c r="AC7368" s="462"/>
      <c r="AD7368" s="464"/>
      <c r="AE7368" s="465"/>
    </row>
    <row r="7369" spans="27:31" ht="14.4">
      <c r="AA7369" s="463"/>
      <c r="AB7369" s="462"/>
      <c r="AC7369" s="462"/>
      <c r="AD7369" s="464"/>
      <c r="AE7369" s="465"/>
    </row>
    <row r="7370" spans="27:31" ht="14.4">
      <c r="AA7370" s="463"/>
      <c r="AB7370" s="462"/>
      <c r="AC7370" s="462"/>
      <c r="AD7370" s="464"/>
      <c r="AE7370" s="465"/>
    </row>
    <row r="7371" spans="27:31" ht="14.4">
      <c r="AA7371" s="463"/>
      <c r="AB7371" s="462"/>
      <c r="AC7371" s="462"/>
      <c r="AD7371" s="464"/>
      <c r="AE7371" s="465"/>
    </row>
    <row r="7372" spans="27:31" ht="14.4">
      <c r="AA7372" s="463"/>
      <c r="AB7372" s="462"/>
      <c r="AC7372" s="462"/>
      <c r="AD7372" s="464"/>
      <c r="AE7372" s="465"/>
    </row>
    <row r="7373" spans="27:31" ht="14.4">
      <c r="AA7373" s="463"/>
      <c r="AB7373" s="462"/>
      <c r="AC7373" s="462"/>
      <c r="AD7373" s="464"/>
      <c r="AE7373" s="465"/>
    </row>
    <row r="7374" spans="27:31" ht="14.4">
      <c r="AA7374" s="463"/>
      <c r="AB7374" s="462"/>
      <c r="AC7374" s="462"/>
      <c r="AD7374" s="464"/>
      <c r="AE7374" s="465"/>
    </row>
    <row r="7375" spans="27:31" ht="14.4">
      <c r="AA7375" s="463"/>
      <c r="AB7375" s="462"/>
      <c r="AC7375" s="462"/>
      <c r="AD7375" s="464"/>
      <c r="AE7375" s="465"/>
    </row>
    <row r="7376" spans="27:31" ht="14.4">
      <c r="AA7376" s="463"/>
      <c r="AB7376" s="462"/>
      <c r="AC7376" s="462"/>
      <c r="AD7376" s="464"/>
      <c r="AE7376" s="465"/>
    </row>
    <row r="7377" spans="27:31" ht="14.4">
      <c r="AA7377" s="463"/>
      <c r="AB7377" s="462"/>
      <c r="AC7377" s="462"/>
      <c r="AD7377" s="464"/>
      <c r="AE7377" s="465"/>
    </row>
    <row r="7378" spans="27:31" ht="14.4">
      <c r="AA7378" s="463"/>
      <c r="AB7378" s="462"/>
      <c r="AC7378" s="462"/>
      <c r="AD7378" s="464"/>
      <c r="AE7378" s="465"/>
    </row>
    <row r="7379" spans="27:31" ht="14.4">
      <c r="AA7379" s="463"/>
      <c r="AB7379" s="462"/>
      <c r="AC7379" s="462"/>
      <c r="AD7379" s="464"/>
      <c r="AE7379" s="465"/>
    </row>
    <row r="7380" spans="27:31" ht="14.4">
      <c r="AA7380" s="463"/>
      <c r="AB7380" s="462"/>
      <c r="AC7380" s="462"/>
      <c r="AD7380" s="464"/>
      <c r="AE7380" s="465"/>
    </row>
    <row r="7381" spans="27:31" ht="14.4">
      <c r="AA7381" s="463"/>
      <c r="AB7381" s="462"/>
      <c r="AC7381" s="462"/>
      <c r="AD7381" s="464"/>
      <c r="AE7381" s="465"/>
    </row>
    <row r="7382" spans="27:31" ht="14.4">
      <c r="AA7382" s="463"/>
      <c r="AB7382" s="462"/>
      <c r="AC7382" s="462"/>
      <c r="AD7382" s="464"/>
      <c r="AE7382" s="465"/>
    </row>
    <row r="7383" spans="27:31" ht="14.4">
      <c r="AA7383" s="463"/>
      <c r="AB7383" s="462"/>
      <c r="AC7383" s="462"/>
      <c r="AD7383" s="464"/>
      <c r="AE7383" s="465"/>
    </row>
    <row r="7384" spans="27:31" ht="14.4">
      <c r="AA7384" s="463"/>
      <c r="AB7384" s="462"/>
      <c r="AC7384" s="462"/>
      <c r="AD7384" s="464"/>
      <c r="AE7384" s="465"/>
    </row>
    <row r="7385" spans="27:31" ht="14.4">
      <c r="AA7385" s="463"/>
      <c r="AB7385" s="462"/>
      <c r="AC7385" s="462"/>
      <c r="AD7385" s="464"/>
      <c r="AE7385" s="465"/>
    </row>
    <row r="7386" spans="27:31" ht="14.4">
      <c r="AA7386" s="463"/>
      <c r="AB7386" s="462"/>
      <c r="AC7386" s="462"/>
      <c r="AD7386" s="464"/>
      <c r="AE7386" s="465"/>
    </row>
    <row r="7387" spans="27:31" ht="14.4">
      <c r="AA7387" s="463"/>
      <c r="AB7387" s="462"/>
      <c r="AC7387" s="462"/>
      <c r="AD7387" s="464"/>
      <c r="AE7387" s="465"/>
    </row>
    <row r="7388" spans="27:31" ht="14.4">
      <c r="AA7388" s="463"/>
      <c r="AB7388" s="462"/>
      <c r="AC7388" s="462"/>
      <c r="AD7388" s="464"/>
      <c r="AE7388" s="465"/>
    </row>
    <row r="7389" spans="27:31" ht="14.4">
      <c r="AA7389" s="463"/>
      <c r="AB7389" s="462"/>
      <c r="AC7389" s="462"/>
      <c r="AD7389" s="464"/>
      <c r="AE7389" s="465"/>
    </row>
    <row r="7390" spans="27:31" ht="14.4">
      <c r="AA7390" s="463"/>
      <c r="AB7390" s="462"/>
      <c r="AC7390" s="462"/>
      <c r="AD7390" s="464"/>
      <c r="AE7390" s="465"/>
    </row>
    <row r="7391" spans="27:31" ht="14.4">
      <c r="AA7391" s="463"/>
      <c r="AB7391" s="462"/>
      <c r="AC7391" s="462"/>
      <c r="AD7391" s="464"/>
      <c r="AE7391" s="465"/>
    </row>
    <row r="7392" spans="27:31" ht="14.4">
      <c r="AA7392" s="463"/>
      <c r="AB7392" s="462"/>
      <c r="AC7392" s="462"/>
      <c r="AD7392" s="464"/>
      <c r="AE7392" s="465"/>
    </row>
    <row r="7393" spans="27:31" ht="14.4">
      <c r="AA7393" s="463"/>
      <c r="AB7393" s="462"/>
      <c r="AC7393" s="462"/>
      <c r="AD7393" s="464"/>
      <c r="AE7393" s="465"/>
    </row>
    <row r="7394" spans="27:31" ht="14.4">
      <c r="AA7394" s="463"/>
      <c r="AB7394" s="462"/>
      <c r="AC7394" s="462"/>
      <c r="AD7394" s="464"/>
      <c r="AE7394" s="465"/>
    </row>
    <row r="7395" spans="27:31" ht="14.4">
      <c r="AA7395" s="463"/>
      <c r="AB7395" s="462"/>
      <c r="AC7395" s="462"/>
      <c r="AD7395" s="464"/>
      <c r="AE7395" s="465"/>
    </row>
    <row r="7396" spans="27:31" ht="14.4">
      <c r="AA7396" s="463"/>
      <c r="AB7396" s="462"/>
      <c r="AC7396" s="462"/>
      <c r="AD7396" s="464"/>
      <c r="AE7396" s="465"/>
    </row>
    <row r="7397" spans="27:31" ht="14.4">
      <c r="AA7397" s="463"/>
      <c r="AB7397" s="462"/>
      <c r="AC7397" s="462"/>
      <c r="AD7397" s="464"/>
      <c r="AE7397" s="465"/>
    </row>
    <row r="7398" spans="27:31" ht="14.4">
      <c r="AA7398" s="463"/>
      <c r="AB7398" s="462"/>
      <c r="AC7398" s="462"/>
      <c r="AD7398" s="464"/>
      <c r="AE7398" s="465"/>
    </row>
    <row r="7399" spans="27:31" ht="14.4">
      <c r="AA7399" s="463"/>
      <c r="AB7399" s="462"/>
      <c r="AC7399" s="462"/>
      <c r="AD7399" s="464"/>
      <c r="AE7399" s="465"/>
    </row>
    <row r="7400" spans="27:31" ht="14.4">
      <c r="AA7400" s="463"/>
      <c r="AB7400" s="462"/>
      <c r="AC7400" s="462"/>
      <c r="AD7400" s="464"/>
      <c r="AE7400" s="465"/>
    </row>
    <row r="7401" spans="27:31" ht="14.4">
      <c r="AA7401" s="463"/>
      <c r="AB7401" s="462"/>
      <c r="AC7401" s="462"/>
      <c r="AD7401" s="464"/>
      <c r="AE7401" s="465"/>
    </row>
    <row r="7402" spans="27:31" ht="14.4">
      <c r="AA7402" s="463"/>
      <c r="AB7402" s="462"/>
      <c r="AC7402" s="462"/>
      <c r="AD7402" s="464"/>
      <c r="AE7402" s="465"/>
    </row>
    <row r="7403" spans="27:31" ht="14.4">
      <c r="AA7403" s="463"/>
      <c r="AB7403" s="462"/>
      <c r="AC7403" s="462"/>
      <c r="AD7403" s="464"/>
      <c r="AE7403" s="465"/>
    </row>
    <row r="7404" spans="27:31" ht="14.4">
      <c r="AA7404" s="463"/>
      <c r="AB7404" s="462"/>
      <c r="AC7404" s="462"/>
      <c r="AD7404" s="464"/>
      <c r="AE7404" s="465"/>
    </row>
    <row r="7405" spans="27:31" ht="14.4">
      <c r="AA7405" s="463"/>
      <c r="AB7405" s="462"/>
      <c r="AC7405" s="462"/>
      <c r="AD7405" s="464"/>
      <c r="AE7405" s="465"/>
    </row>
    <row r="7406" spans="27:31" ht="14.4">
      <c r="AA7406" s="463"/>
      <c r="AB7406" s="462"/>
      <c r="AC7406" s="462"/>
      <c r="AD7406" s="464"/>
      <c r="AE7406" s="465"/>
    </row>
    <row r="7407" spans="27:31" ht="14.4">
      <c r="AA7407" s="463"/>
      <c r="AB7407" s="462"/>
      <c r="AC7407" s="462"/>
      <c r="AD7407" s="464"/>
      <c r="AE7407" s="465"/>
    </row>
    <row r="7408" spans="27:31" ht="14.4">
      <c r="AA7408" s="463"/>
      <c r="AB7408" s="462"/>
      <c r="AC7408" s="462"/>
      <c r="AD7408" s="464"/>
      <c r="AE7408" s="465"/>
    </row>
    <row r="7409" spans="27:31" ht="14.4">
      <c r="AA7409" s="463"/>
      <c r="AB7409" s="462"/>
      <c r="AC7409" s="462"/>
      <c r="AD7409" s="464"/>
      <c r="AE7409" s="465"/>
    </row>
    <row r="7410" spans="27:31" ht="14.4">
      <c r="AA7410" s="463"/>
      <c r="AB7410" s="462"/>
      <c r="AC7410" s="462"/>
      <c r="AD7410" s="464"/>
      <c r="AE7410" s="465"/>
    </row>
    <row r="7411" spans="27:31" ht="14.4">
      <c r="AA7411" s="463"/>
      <c r="AB7411" s="462"/>
      <c r="AC7411" s="462"/>
      <c r="AD7411" s="464"/>
      <c r="AE7411" s="465"/>
    </row>
    <row r="7412" spans="27:31" ht="14.4">
      <c r="AA7412" s="463"/>
      <c r="AB7412" s="462"/>
      <c r="AC7412" s="462"/>
      <c r="AD7412" s="464"/>
      <c r="AE7412" s="465"/>
    </row>
    <row r="7413" spans="27:31" ht="14.4">
      <c r="AA7413" s="463"/>
      <c r="AB7413" s="462"/>
      <c r="AC7413" s="462"/>
      <c r="AD7413" s="464"/>
      <c r="AE7413" s="465"/>
    </row>
    <row r="7414" spans="27:31" ht="14.4">
      <c r="AA7414" s="463"/>
      <c r="AB7414" s="462"/>
      <c r="AC7414" s="462"/>
      <c r="AD7414" s="464"/>
      <c r="AE7414" s="465"/>
    </row>
    <row r="7415" spans="27:31" ht="14.4">
      <c r="AA7415" s="463"/>
      <c r="AB7415" s="462"/>
      <c r="AC7415" s="462"/>
      <c r="AD7415" s="464"/>
      <c r="AE7415" s="465"/>
    </row>
    <row r="7416" spans="27:31" ht="14.4">
      <c r="AA7416" s="463"/>
      <c r="AB7416" s="462"/>
      <c r="AC7416" s="462"/>
      <c r="AD7416" s="464"/>
      <c r="AE7416" s="465"/>
    </row>
    <row r="7417" spans="27:31" ht="14.4">
      <c r="AA7417" s="463"/>
      <c r="AB7417" s="462"/>
      <c r="AC7417" s="462"/>
      <c r="AD7417" s="464"/>
      <c r="AE7417" s="465"/>
    </row>
    <row r="7418" spans="27:31" ht="14.4">
      <c r="AA7418" s="463"/>
      <c r="AB7418" s="462"/>
      <c r="AC7418" s="462"/>
      <c r="AD7418" s="464"/>
      <c r="AE7418" s="465"/>
    </row>
    <row r="7419" spans="27:31" ht="14.4">
      <c r="AA7419" s="463"/>
      <c r="AB7419" s="462"/>
      <c r="AC7419" s="462"/>
      <c r="AD7419" s="464"/>
      <c r="AE7419" s="465"/>
    </row>
    <row r="7420" spans="27:31" ht="14.4">
      <c r="AA7420" s="463"/>
      <c r="AB7420" s="462"/>
      <c r="AC7420" s="462"/>
      <c r="AD7420" s="464"/>
      <c r="AE7420" s="465"/>
    </row>
    <row r="7421" spans="27:31" ht="14.4">
      <c r="AA7421" s="463"/>
      <c r="AB7421" s="462"/>
      <c r="AC7421" s="462"/>
      <c r="AD7421" s="464"/>
      <c r="AE7421" s="465"/>
    </row>
    <row r="7422" spans="27:31" ht="14.4">
      <c r="AA7422" s="463"/>
      <c r="AB7422" s="462"/>
      <c r="AC7422" s="462"/>
      <c r="AD7422" s="464"/>
      <c r="AE7422" s="465"/>
    </row>
    <row r="7423" spans="27:31" ht="14.4">
      <c r="AA7423" s="463"/>
      <c r="AB7423" s="462"/>
      <c r="AC7423" s="462"/>
      <c r="AD7423" s="464"/>
      <c r="AE7423" s="465"/>
    </row>
    <row r="7424" spans="27:31" ht="14.4">
      <c r="AA7424" s="463"/>
      <c r="AB7424" s="462"/>
      <c r="AC7424" s="462"/>
      <c r="AD7424" s="464"/>
      <c r="AE7424" s="465"/>
    </row>
    <row r="7425" spans="27:31" ht="14.4">
      <c r="AA7425" s="463"/>
      <c r="AB7425" s="462"/>
      <c r="AC7425" s="462"/>
      <c r="AD7425" s="464"/>
      <c r="AE7425" s="465"/>
    </row>
    <row r="7426" spans="27:31" ht="14.4">
      <c r="AA7426" s="463"/>
      <c r="AB7426" s="462"/>
      <c r="AC7426" s="462"/>
      <c r="AD7426" s="464"/>
      <c r="AE7426" s="465"/>
    </row>
    <row r="7427" spans="27:31" ht="14.4">
      <c r="AA7427" s="463"/>
      <c r="AB7427" s="462"/>
      <c r="AC7427" s="462"/>
      <c r="AD7427" s="464"/>
      <c r="AE7427" s="465"/>
    </row>
    <row r="7428" spans="27:31" ht="14.4">
      <c r="AA7428" s="463"/>
      <c r="AB7428" s="462"/>
      <c r="AC7428" s="462"/>
      <c r="AD7428" s="464"/>
      <c r="AE7428" s="465"/>
    </row>
    <row r="7429" spans="27:31" ht="14.4">
      <c r="AA7429" s="463"/>
      <c r="AB7429" s="462"/>
      <c r="AC7429" s="462"/>
      <c r="AD7429" s="464"/>
      <c r="AE7429" s="465"/>
    </row>
    <row r="7430" spans="27:31" ht="14.4">
      <c r="AA7430" s="463"/>
      <c r="AB7430" s="462"/>
      <c r="AC7430" s="462"/>
      <c r="AD7430" s="464"/>
      <c r="AE7430" s="465"/>
    </row>
    <row r="7431" spans="27:31" ht="14.4">
      <c r="AA7431" s="463"/>
      <c r="AB7431" s="462"/>
      <c r="AC7431" s="462"/>
      <c r="AD7431" s="464"/>
      <c r="AE7431" s="465"/>
    </row>
    <row r="7432" spans="27:31" ht="14.4">
      <c r="AA7432" s="463"/>
      <c r="AB7432" s="462"/>
      <c r="AC7432" s="462"/>
      <c r="AD7432" s="464"/>
      <c r="AE7432" s="465"/>
    </row>
    <row r="7433" spans="27:31" ht="14.4">
      <c r="AA7433" s="463"/>
      <c r="AB7433" s="462"/>
      <c r="AC7433" s="462"/>
      <c r="AD7433" s="464"/>
      <c r="AE7433" s="465"/>
    </row>
    <row r="7434" spans="27:31" ht="14.4">
      <c r="AA7434" s="463"/>
      <c r="AB7434" s="462"/>
      <c r="AC7434" s="462"/>
      <c r="AD7434" s="464"/>
      <c r="AE7434" s="465"/>
    </row>
    <row r="7435" spans="27:31" ht="14.4">
      <c r="AA7435" s="463"/>
      <c r="AB7435" s="462"/>
      <c r="AC7435" s="462"/>
      <c r="AD7435" s="464"/>
      <c r="AE7435" s="465"/>
    </row>
    <row r="7436" spans="27:31" ht="14.4">
      <c r="AA7436" s="463"/>
      <c r="AB7436" s="462"/>
      <c r="AC7436" s="462"/>
      <c r="AD7436" s="464"/>
      <c r="AE7436" s="465"/>
    </row>
    <row r="7437" spans="27:31" ht="14.4">
      <c r="AA7437" s="463"/>
      <c r="AB7437" s="462"/>
      <c r="AC7437" s="462"/>
      <c r="AD7437" s="464"/>
      <c r="AE7437" s="465"/>
    </row>
    <row r="7438" spans="27:31" ht="14.4">
      <c r="AA7438" s="463"/>
      <c r="AB7438" s="462"/>
      <c r="AC7438" s="462"/>
      <c r="AD7438" s="464"/>
      <c r="AE7438" s="465"/>
    </row>
    <row r="7439" spans="27:31" ht="14.4">
      <c r="AA7439" s="463"/>
      <c r="AB7439" s="462"/>
      <c r="AC7439" s="462"/>
      <c r="AD7439" s="464"/>
      <c r="AE7439" s="465"/>
    </row>
    <row r="7440" spans="27:31" ht="14.4">
      <c r="AA7440" s="463"/>
      <c r="AB7440" s="462"/>
      <c r="AC7440" s="462"/>
      <c r="AD7440" s="464"/>
      <c r="AE7440" s="465"/>
    </row>
    <row r="7441" spans="27:31" ht="14.4">
      <c r="AA7441" s="463"/>
      <c r="AB7441" s="462"/>
      <c r="AC7441" s="462"/>
      <c r="AD7441" s="464"/>
      <c r="AE7441" s="465"/>
    </row>
    <row r="7442" spans="27:31" ht="14.4">
      <c r="AA7442" s="463"/>
      <c r="AB7442" s="462"/>
      <c r="AC7442" s="462"/>
      <c r="AD7442" s="464"/>
      <c r="AE7442" s="465"/>
    </row>
    <row r="7443" spans="27:31" ht="14.4">
      <c r="AA7443" s="463"/>
      <c r="AB7443" s="462"/>
      <c r="AC7443" s="462"/>
      <c r="AD7443" s="464"/>
      <c r="AE7443" s="465"/>
    </row>
    <row r="7444" spans="27:31" ht="14.4">
      <c r="AA7444" s="463"/>
      <c r="AB7444" s="462"/>
      <c r="AC7444" s="462"/>
      <c r="AD7444" s="464"/>
      <c r="AE7444" s="465"/>
    </row>
    <row r="7445" spans="27:31" ht="14.4">
      <c r="AA7445" s="463"/>
      <c r="AB7445" s="462"/>
      <c r="AC7445" s="462"/>
      <c r="AD7445" s="464"/>
      <c r="AE7445" s="465"/>
    </row>
    <row r="7446" spans="27:31" ht="14.4">
      <c r="AA7446" s="463"/>
      <c r="AB7446" s="462"/>
      <c r="AC7446" s="462"/>
      <c r="AD7446" s="464"/>
      <c r="AE7446" s="465"/>
    </row>
    <row r="7447" spans="27:31" ht="14.4">
      <c r="AA7447" s="463"/>
      <c r="AB7447" s="462"/>
      <c r="AC7447" s="462"/>
      <c r="AD7447" s="464"/>
      <c r="AE7447" s="465"/>
    </row>
    <row r="7448" spans="27:31" ht="14.4">
      <c r="AA7448" s="463"/>
      <c r="AB7448" s="462"/>
      <c r="AC7448" s="462"/>
      <c r="AD7448" s="464"/>
      <c r="AE7448" s="465"/>
    </row>
    <row r="7449" spans="27:31" ht="14.4">
      <c r="AA7449" s="463"/>
      <c r="AB7449" s="462"/>
      <c r="AC7449" s="462"/>
      <c r="AD7449" s="464"/>
      <c r="AE7449" s="465"/>
    </row>
    <row r="7450" spans="27:31" ht="14.4">
      <c r="AA7450" s="463"/>
      <c r="AB7450" s="462"/>
      <c r="AC7450" s="462"/>
      <c r="AD7450" s="464"/>
      <c r="AE7450" s="465"/>
    </row>
    <row r="7451" spans="27:31" ht="14.4">
      <c r="AA7451" s="463"/>
      <c r="AB7451" s="462"/>
      <c r="AC7451" s="462"/>
      <c r="AD7451" s="464"/>
      <c r="AE7451" s="465"/>
    </row>
    <row r="7452" spans="27:31" ht="14.4">
      <c r="AA7452" s="463"/>
      <c r="AB7452" s="462"/>
      <c r="AC7452" s="462"/>
      <c r="AD7452" s="464"/>
      <c r="AE7452" s="465"/>
    </row>
    <row r="7453" spans="27:31" ht="14.4">
      <c r="AA7453" s="463"/>
      <c r="AB7453" s="462"/>
      <c r="AC7453" s="462"/>
      <c r="AD7453" s="464"/>
      <c r="AE7453" s="465"/>
    </row>
    <row r="7454" spans="27:31" ht="14.4">
      <c r="AA7454" s="463"/>
      <c r="AB7454" s="462"/>
      <c r="AC7454" s="462"/>
      <c r="AD7454" s="464"/>
      <c r="AE7454" s="465"/>
    </row>
    <row r="7455" spans="27:31" ht="14.4">
      <c r="AA7455" s="463"/>
      <c r="AB7455" s="462"/>
      <c r="AC7455" s="462"/>
      <c r="AD7455" s="464"/>
      <c r="AE7455" s="465"/>
    </row>
    <row r="7456" spans="27:31" ht="14.4">
      <c r="AA7456" s="463"/>
      <c r="AB7456" s="462"/>
      <c r="AC7456" s="462"/>
      <c r="AD7456" s="464"/>
      <c r="AE7456" s="465"/>
    </row>
    <row r="7457" spans="27:31" ht="14.4">
      <c r="AA7457" s="463"/>
      <c r="AB7457" s="462"/>
      <c r="AC7457" s="462"/>
      <c r="AD7457" s="464"/>
      <c r="AE7457" s="465"/>
    </row>
    <row r="7458" spans="27:31" ht="14.4">
      <c r="AA7458" s="463"/>
      <c r="AB7458" s="462"/>
      <c r="AC7458" s="462"/>
      <c r="AD7458" s="464"/>
      <c r="AE7458" s="465"/>
    </row>
    <row r="7459" spans="27:31" ht="14.4">
      <c r="AA7459" s="463"/>
      <c r="AB7459" s="462"/>
      <c r="AC7459" s="462"/>
      <c r="AD7459" s="464"/>
      <c r="AE7459" s="465"/>
    </row>
    <row r="7460" spans="27:31" ht="14.4">
      <c r="AA7460" s="463"/>
      <c r="AB7460" s="462"/>
      <c r="AC7460" s="462"/>
      <c r="AD7460" s="464"/>
      <c r="AE7460" s="465"/>
    </row>
    <row r="7461" spans="27:31" ht="14.4">
      <c r="AA7461" s="463"/>
      <c r="AB7461" s="462"/>
      <c r="AC7461" s="462"/>
      <c r="AD7461" s="464"/>
      <c r="AE7461" s="465"/>
    </row>
    <row r="7462" spans="27:31" ht="14.4">
      <c r="AA7462" s="463"/>
      <c r="AB7462" s="462"/>
      <c r="AC7462" s="462"/>
      <c r="AD7462" s="464"/>
      <c r="AE7462" s="465"/>
    </row>
    <row r="7463" spans="27:31" ht="14.4">
      <c r="AA7463" s="463"/>
      <c r="AB7463" s="462"/>
      <c r="AC7463" s="462"/>
      <c r="AD7463" s="464"/>
      <c r="AE7463" s="465"/>
    </row>
    <row r="7464" spans="27:31" ht="14.4">
      <c r="AA7464" s="463"/>
      <c r="AB7464" s="462"/>
      <c r="AC7464" s="462"/>
      <c r="AD7464" s="464"/>
      <c r="AE7464" s="465"/>
    </row>
    <row r="7465" spans="27:31" ht="14.4">
      <c r="AA7465" s="463"/>
      <c r="AB7465" s="462"/>
      <c r="AC7465" s="462"/>
      <c r="AD7465" s="464"/>
      <c r="AE7465" s="465"/>
    </row>
    <row r="7466" spans="27:31" ht="14.4">
      <c r="AA7466" s="463"/>
      <c r="AB7466" s="462"/>
      <c r="AC7466" s="462"/>
      <c r="AD7466" s="464"/>
      <c r="AE7466" s="465"/>
    </row>
    <row r="7467" spans="27:31" ht="14.4">
      <c r="AA7467" s="463"/>
      <c r="AB7467" s="462"/>
      <c r="AC7467" s="462"/>
      <c r="AD7467" s="464"/>
      <c r="AE7467" s="465"/>
    </row>
    <row r="7468" spans="27:31" ht="14.4">
      <c r="AA7468" s="463"/>
      <c r="AB7468" s="462"/>
      <c r="AC7468" s="462"/>
      <c r="AD7468" s="464"/>
      <c r="AE7468" s="465"/>
    </row>
    <row r="7469" spans="27:31" ht="14.4">
      <c r="AA7469" s="463"/>
      <c r="AB7469" s="462"/>
      <c r="AC7469" s="462"/>
      <c r="AD7469" s="464"/>
      <c r="AE7469" s="465"/>
    </row>
    <row r="7470" spans="27:31" ht="14.4">
      <c r="AA7470" s="463"/>
      <c r="AB7470" s="462"/>
      <c r="AC7470" s="462"/>
      <c r="AD7470" s="464"/>
      <c r="AE7470" s="465"/>
    </row>
    <row r="7471" spans="27:31" ht="14.4">
      <c r="AA7471" s="463"/>
      <c r="AB7471" s="462"/>
      <c r="AC7471" s="462"/>
      <c r="AD7471" s="464"/>
      <c r="AE7471" s="465"/>
    </row>
    <row r="7472" spans="27:31" ht="14.4">
      <c r="AA7472" s="463"/>
      <c r="AB7472" s="462"/>
      <c r="AC7472" s="462"/>
      <c r="AD7472" s="464"/>
      <c r="AE7472" s="465"/>
    </row>
    <row r="7473" spans="27:31" ht="14.4">
      <c r="AA7473" s="463"/>
      <c r="AB7473" s="462"/>
      <c r="AC7473" s="462"/>
      <c r="AD7473" s="464"/>
      <c r="AE7473" s="465"/>
    </row>
    <row r="7474" spans="27:31" ht="14.4">
      <c r="AA7474" s="463"/>
      <c r="AB7474" s="462"/>
      <c r="AC7474" s="462"/>
      <c r="AD7474" s="464"/>
      <c r="AE7474" s="465"/>
    </row>
    <row r="7475" spans="27:31" ht="14.4">
      <c r="AA7475" s="463"/>
      <c r="AB7475" s="462"/>
      <c r="AC7475" s="462"/>
      <c r="AD7475" s="464"/>
      <c r="AE7475" s="465"/>
    </row>
    <row r="7476" spans="27:31" ht="14.4">
      <c r="AA7476" s="463"/>
      <c r="AB7476" s="462"/>
      <c r="AC7476" s="462"/>
      <c r="AD7476" s="464"/>
      <c r="AE7476" s="465"/>
    </row>
    <row r="7477" spans="27:31" ht="14.4">
      <c r="AA7477" s="463"/>
      <c r="AB7477" s="462"/>
      <c r="AC7477" s="462"/>
      <c r="AD7477" s="464"/>
      <c r="AE7477" s="465"/>
    </row>
    <row r="7478" spans="27:31" ht="14.4">
      <c r="AA7478" s="463"/>
      <c r="AB7478" s="462"/>
      <c r="AC7478" s="462"/>
      <c r="AD7478" s="464"/>
      <c r="AE7478" s="465"/>
    </row>
    <row r="7479" spans="27:31" ht="14.4">
      <c r="AA7479" s="463"/>
      <c r="AB7479" s="462"/>
      <c r="AC7479" s="462"/>
      <c r="AD7479" s="464"/>
      <c r="AE7479" s="465"/>
    </row>
    <row r="7480" spans="27:31" ht="14.4">
      <c r="AA7480" s="463"/>
      <c r="AB7480" s="462"/>
      <c r="AC7480" s="462"/>
      <c r="AD7480" s="464"/>
      <c r="AE7480" s="465"/>
    </row>
    <row r="7481" spans="27:31" ht="14.4">
      <c r="AA7481" s="463"/>
      <c r="AB7481" s="462"/>
      <c r="AC7481" s="462"/>
      <c r="AD7481" s="464"/>
      <c r="AE7481" s="465"/>
    </row>
    <row r="7482" spans="27:31" ht="14.4">
      <c r="AA7482" s="463"/>
      <c r="AB7482" s="462"/>
      <c r="AC7482" s="462"/>
      <c r="AD7482" s="464"/>
      <c r="AE7482" s="465"/>
    </row>
    <row r="7483" spans="27:31" ht="14.4">
      <c r="AA7483" s="463"/>
      <c r="AB7483" s="462"/>
      <c r="AC7483" s="462"/>
      <c r="AD7483" s="464"/>
      <c r="AE7483" s="465"/>
    </row>
    <row r="7484" spans="27:31" ht="14.4">
      <c r="AA7484" s="463"/>
      <c r="AB7484" s="462"/>
      <c r="AC7484" s="462"/>
      <c r="AD7484" s="464"/>
      <c r="AE7484" s="465"/>
    </row>
    <row r="7485" spans="27:31" ht="14.4">
      <c r="AA7485" s="463"/>
      <c r="AB7485" s="462"/>
      <c r="AC7485" s="462"/>
      <c r="AD7485" s="464"/>
      <c r="AE7485" s="465"/>
    </row>
    <row r="7486" spans="27:31" ht="14.4">
      <c r="AA7486" s="463"/>
      <c r="AB7486" s="462"/>
      <c r="AC7486" s="462"/>
      <c r="AD7486" s="464"/>
      <c r="AE7486" s="465"/>
    </row>
    <row r="7487" spans="27:31" ht="14.4">
      <c r="AA7487" s="463"/>
      <c r="AB7487" s="462"/>
      <c r="AC7487" s="462"/>
      <c r="AD7487" s="464"/>
      <c r="AE7487" s="465"/>
    </row>
    <row r="7488" spans="27:31" ht="14.4">
      <c r="AA7488" s="463"/>
      <c r="AB7488" s="462"/>
      <c r="AC7488" s="462"/>
      <c r="AD7488" s="464"/>
      <c r="AE7488" s="465"/>
    </row>
    <row r="7489" spans="27:31" ht="14.4">
      <c r="AA7489" s="463"/>
      <c r="AB7489" s="462"/>
      <c r="AC7489" s="462"/>
      <c r="AD7489" s="464"/>
      <c r="AE7489" s="465"/>
    </row>
    <row r="7490" spans="27:31" ht="14.4">
      <c r="AA7490" s="463"/>
      <c r="AB7490" s="462"/>
      <c r="AC7490" s="462"/>
      <c r="AD7490" s="464"/>
      <c r="AE7490" s="465"/>
    </row>
    <row r="7491" spans="27:31" ht="14.4">
      <c r="AA7491" s="463"/>
      <c r="AB7491" s="462"/>
      <c r="AC7491" s="462"/>
      <c r="AD7491" s="464"/>
      <c r="AE7491" s="465"/>
    </row>
    <row r="7492" spans="27:31" ht="14.4">
      <c r="AA7492" s="463"/>
      <c r="AB7492" s="462"/>
      <c r="AC7492" s="462"/>
      <c r="AD7492" s="464"/>
      <c r="AE7492" s="465"/>
    </row>
    <row r="7493" spans="27:31" ht="14.4">
      <c r="AA7493" s="463"/>
      <c r="AB7493" s="462"/>
      <c r="AC7493" s="462"/>
      <c r="AD7493" s="464"/>
      <c r="AE7493" s="465"/>
    </row>
    <row r="7494" spans="27:31" ht="14.4">
      <c r="AA7494" s="463"/>
      <c r="AB7494" s="462"/>
      <c r="AC7494" s="462"/>
      <c r="AD7494" s="464"/>
      <c r="AE7494" s="465"/>
    </row>
    <row r="7495" spans="27:31" ht="14.4">
      <c r="AA7495" s="463"/>
      <c r="AB7495" s="462"/>
      <c r="AC7495" s="462"/>
      <c r="AD7495" s="464"/>
      <c r="AE7495" s="465"/>
    </row>
    <row r="7496" spans="27:31" ht="14.4">
      <c r="AA7496" s="463"/>
      <c r="AB7496" s="462"/>
      <c r="AC7496" s="462"/>
      <c r="AD7496" s="464"/>
      <c r="AE7496" s="465"/>
    </row>
    <row r="7497" spans="27:31" ht="14.4">
      <c r="AA7497" s="463"/>
      <c r="AB7497" s="462"/>
      <c r="AC7497" s="462"/>
      <c r="AD7497" s="464"/>
      <c r="AE7497" s="465"/>
    </row>
    <row r="7498" spans="27:31" ht="14.4">
      <c r="AA7498" s="463"/>
      <c r="AB7498" s="462"/>
      <c r="AC7498" s="462"/>
      <c r="AD7498" s="464"/>
      <c r="AE7498" s="465"/>
    </row>
    <row r="7499" spans="27:31" ht="14.4">
      <c r="AA7499" s="463"/>
      <c r="AB7499" s="462"/>
      <c r="AC7499" s="462"/>
      <c r="AD7499" s="464"/>
      <c r="AE7499" s="465"/>
    </row>
    <row r="7500" spans="27:31" ht="14.4">
      <c r="AA7500" s="463"/>
      <c r="AB7500" s="462"/>
      <c r="AC7500" s="462"/>
      <c r="AD7500" s="464"/>
      <c r="AE7500" s="465"/>
    </row>
    <row r="7501" spans="27:31" ht="14.4">
      <c r="AA7501" s="463"/>
      <c r="AB7501" s="462"/>
      <c r="AC7501" s="462"/>
      <c r="AD7501" s="464"/>
      <c r="AE7501" s="465"/>
    </row>
    <row r="7502" spans="27:31" ht="14.4">
      <c r="AA7502" s="463"/>
      <c r="AB7502" s="462"/>
      <c r="AC7502" s="462"/>
      <c r="AD7502" s="464"/>
      <c r="AE7502" s="465"/>
    </row>
    <row r="7503" spans="27:31" ht="14.4">
      <c r="AA7503" s="463"/>
      <c r="AB7503" s="462"/>
      <c r="AC7503" s="462"/>
      <c r="AD7503" s="464"/>
      <c r="AE7503" s="465"/>
    </row>
    <row r="7504" spans="27:31" ht="14.4">
      <c r="AA7504" s="463"/>
      <c r="AB7504" s="462"/>
      <c r="AC7504" s="462"/>
      <c r="AD7504" s="464"/>
      <c r="AE7504" s="465"/>
    </row>
    <row r="7505" spans="27:31" ht="14.4">
      <c r="AA7505" s="463"/>
      <c r="AB7505" s="462"/>
      <c r="AC7505" s="462"/>
      <c r="AD7505" s="464"/>
      <c r="AE7505" s="465"/>
    </row>
    <row r="7506" spans="27:31" ht="14.4">
      <c r="AA7506" s="463"/>
      <c r="AB7506" s="462"/>
      <c r="AC7506" s="462"/>
      <c r="AD7506" s="464"/>
      <c r="AE7506" s="465"/>
    </row>
    <row r="7507" spans="27:31" ht="14.4">
      <c r="AA7507" s="463"/>
      <c r="AB7507" s="462"/>
      <c r="AC7507" s="462"/>
      <c r="AD7507" s="464"/>
      <c r="AE7507" s="465"/>
    </row>
    <row r="7508" spans="27:31" ht="14.4">
      <c r="AA7508" s="463"/>
      <c r="AB7508" s="462"/>
      <c r="AC7508" s="462"/>
      <c r="AD7508" s="464"/>
      <c r="AE7508" s="465"/>
    </row>
    <row r="7509" spans="27:31" ht="14.4">
      <c r="AA7509" s="463"/>
      <c r="AB7509" s="462"/>
      <c r="AC7509" s="462"/>
      <c r="AD7509" s="464"/>
      <c r="AE7509" s="465"/>
    </row>
    <row r="7510" spans="27:31" ht="14.4">
      <c r="AA7510" s="463"/>
      <c r="AB7510" s="462"/>
      <c r="AC7510" s="462"/>
      <c r="AD7510" s="464"/>
      <c r="AE7510" s="465"/>
    </row>
    <row r="7511" spans="27:31" ht="14.4">
      <c r="AA7511" s="463"/>
      <c r="AB7511" s="462"/>
      <c r="AC7511" s="462"/>
      <c r="AD7511" s="464"/>
      <c r="AE7511" s="465"/>
    </row>
    <row r="7512" spans="27:31" ht="14.4">
      <c r="AA7512" s="463"/>
      <c r="AB7512" s="462"/>
      <c r="AC7512" s="462"/>
      <c r="AD7512" s="464"/>
      <c r="AE7512" s="465"/>
    </row>
    <row r="7513" spans="27:31" ht="14.4">
      <c r="AA7513" s="463"/>
      <c r="AB7513" s="462"/>
      <c r="AC7513" s="462"/>
      <c r="AD7513" s="464"/>
      <c r="AE7513" s="465"/>
    </row>
    <row r="7514" spans="27:31" ht="14.4">
      <c r="AA7514" s="463"/>
      <c r="AB7514" s="462"/>
      <c r="AC7514" s="462"/>
      <c r="AD7514" s="464"/>
      <c r="AE7514" s="465"/>
    </row>
    <row r="7515" spans="27:31" ht="14.4">
      <c r="AA7515" s="463"/>
      <c r="AB7515" s="462"/>
      <c r="AC7515" s="462"/>
      <c r="AD7515" s="464"/>
      <c r="AE7515" s="465"/>
    </row>
    <row r="7516" spans="27:31" ht="14.4">
      <c r="AA7516" s="463"/>
      <c r="AB7516" s="462"/>
      <c r="AC7516" s="462"/>
      <c r="AD7516" s="464"/>
      <c r="AE7516" s="465"/>
    </row>
    <row r="7517" spans="27:31" ht="14.4">
      <c r="AA7517" s="463"/>
      <c r="AB7517" s="462"/>
      <c r="AC7517" s="462"/>
      <c r="AD7517" s="464"/>
      <c r="AE7517" s="465"/>
    </row>
    <row r="7518" spans="27:31" ht="14.4">
      <c r="AA7518" s="463"/>
      <c r="AB7518" s="462"/>
      <c r="AC7518" s="462"/>
      <c r="AD7518" s="464"/>
      <c r="AE7518" s="465"/>
    </row>
    <row r="7519" spans="27:31" ht="14.4">
      <c r="AA7519" s="463"/>
      <c r="AB7519" s="462"/>
      <c r="AC7519" s="462"/>
      <c r="AD7519" s="464"/>
      <c r="AE7519" s="465"/>
    </row>
    <row r="7520" spans="27:31" ht="14.4">
      <c r="AA7520" s="463"/>
      <c r="AB7520" s="462"/>
      <c r="AC7520" s="462"/>
      <c r="AD7520" s="464"/>
      <c r="AE7520" s="465"/>
    </row>
    <row r="7521" spans="27:31" ht="14.4">
      <c r="AA7521" s="463"/>
      <c r="AB7521" s="462"/>
      <c r="AC7521" s="462"/>
      <c r="AD7521" s="464"/>
      <c r="AE7521" s="465"/>
    </row>
    <row r="7522" spans="27:31" ht="14.4">
      <c r="AA7522" s="463"/>
      <c r="AB7522" s="462"/>
      <c r="AC7522" s="462"/>
      <c r="AD7522" s="464"/>
      <c r="AE7522" s="465"/>
    </row>
    <row r="7523" spans="27:31" ht="14.4">
      <c r="AA7523" s="463"/>
      <c r="AB7523" s="462"/>
      <c r="AC7523" s="462"/>
      <c r="AD7523" s="464"/>
      <c r="AE7523" s="465"/>
    </row>
    <row r="7524" spans="27:31" ht="14.4">
      <c r="AA7524" s="463"/>
      <c r="AB7524" s="462"/>
      <c r="AC7524" s="462"/>
      <c r="AD7524" s="464"/>
      <c r="AE7524" s="465"/>
    </row>
    <row r="7525" spans="27:31" ht="14.4">
      <c r="AA7525" s="463"/>
      <c r="AB7525" s="462"/>
      <c r="AC7525" s="462"/>
      <c r="AD7525" s="464"/>
      <c r="AE7525" s="465"/>
    </row>
    <row r="7526" spans="27:31" ht="14.4">
      <c r="AA7526" s="463"/>
      <c r="AB7526" s="462"/>
      <c r="AC7526" s="462"/>
      <c r="AD7526" s="464"/>
      <c r="AE7526" s="465"/>
    </row>
    <row r="7527" spans="27:31" ht="14.4">
      <c r="AA7527" s="463"/>
      <c r="AB7527" s="462"/>
      <c r="AC7527" s="462"/>
      <c r="AD7527" s="464"/>
      <c r="AE7527" s="465"/>
    </row>
    <row r="7528" spans="27:31" ht="14.4">
      <c r="AA7528" s="463"/>
      <c r="AB7528" s="462"/>
      <c r="AC7528" s="462"/>
      <c r="AD7528" s="464"/>
      <c r="AE7528" s="465"/>
    </row>
    <row r="7529" spans="27:31" ht="14.4">
      <c r="AA7529" s="463"/>
      <c r="AB7529" s="462"/>
      <c r="AC7529" s="462"/>
      <c r="AD7529" s="464"/>
      <c r="AE7529" s="465"/>
    </row>
    <row r="7530" spans="27:31" ht="14.4">
      <c r="AA7530" s="463"/>
      <c r="AB7530" s="462"/>
      <c r="AC7530" s="462"/>
      <c r="AD7530" s="464"/>
      <c r="AE7530" s="465"/>
    </row>
    <row r="7531" spans="27:31" ht="14.4">
      <c r="AA7531" s="463"/>
      <c r="AB7531" s="462"/>
      <c r="AC7531" s="462"/>
      <c r="AD7531" s="464"/>
      <c r="AE7531" s="465"/>
    </row>
    <row r="7532" spans="27:31" ht="14.4">
      <c r="AA7532" s="463"/>
      <c r="AB7532" s="462"/>
      <c r="AC7532" s="462"/>
      <c r="AD7532" s="464"/>
      <c r="AE7532" s="465"/>
    </row>
    <row r="7533" spans="27:31" ht="14.4">
      <c r="AA7533" s="463"/>
      <c r="AB7533" s="462"/>
      <c r="AC7533" s="462"/>
      <c r="AD7533" s="464"/>
      <c r="AE7533" s="465"/>
    </row>
    <row r="7534" spans="27:31" ht="14.4">
      <c r="AA7534" s="463"/>
      <c r="AB7534" s="462"/>
      <c r="AC7534" s="462"/>
      <c r="AD7534" s="464"/>
      <c r="AE7534" s="465"/>
    </row>
    <row r="7535" spans="27:31" ht="14.4">
      <c r="AA7535" s="463"/>
      <c r="AB7535" s="462"/>
      <c r="AC7535" s="462"/>
      <c r="AD7535" s="464"/>
      <c r="AE7535" s="465"/>
    </row>
    <row r="7536" spans="27:31" ht="14.4">
      <c r="AA7536" s="463"/>
      <c r="AB7536" s="462"/>
      <c r="AC7536" s="462"/>
      <c r="AD7536" s="464"/>
      <c r="AE7536" s="465"/>
    </row>
    <row r="7537" spans="27:31" ht="14.4">
      <c r="AA7537" s="463"/>
      <c r="AB7537" s="462"/>
      <c r="AC7537" s="462"/>
      <c r="AD7537" s="464"/>
      <c r="AE7537" s="465"/>
    </row>
    <row r="7538" spans="27:31" ht="14.4">
      <c r="AA7538" s="463"/>
      <c r="AB7538" s="462"/>
      <c r="AC7538" s="462"/>
      <c r="AD7538" s="464"/>
      <c r="AE7538" s="465"/>
    </row>
    <row r="7539" spans="27:31" ht="14.4">
      <c r="AA7539" s="463"/>
      <c r="AB7539" s="462"/>
      <c r="AC7539" s="462"/>
      <c r="AD7539" s="464"/>
      <c r="AE7539" s="465"/>
    </row>
    <row r="7540" spans="27:31" ht="14.4">
      <c r="AA7540" s="463"/>
      <c r="AB7540" s="462"/>
      <c r="AC7540" s="462"/>
      <c r="AD7540" s="464"/>
      <c r="AE7540" s="465"/>
    </row>
    <row r="7541" spans="27:31" ht="14.4">
      <c r="AA7541" s="463"/>
      <c r="AB7541" s="462"/>
      <c r="AC7541" s="462"/>
      <c r="AD7541" s="464"/>
      <c r="AE7541" s="465"/>
    </row>
    <row r="7542" spans="27:31" ht="14.4">
      <c r="AA7542" s="463"/>
      <c r="AB7542" s="462"/>
      <c r="AC7542" s="462"/>
      <c r="AD7542" s="464"/>
      <c r="AE7542" s="465"/>
    </row>
    <row r="7543" spans="27:31" ht="14.4">
      <c r="AA7543" s="463"/>
      <c r="AB7543" s="462"/>
      <c r="AC7543" s="462"/>
      <c r="AD7543" s="464"/>
      <c r="AE7543" s="465"/>
    </row>
    <row r="7544" spans="27:31" ht="14.4">
      <c r="AA7544" s="463"/>
      <c r="AB7544" s="462"/>
      <c r="AC7544" s="462"/>
      <c r="AD7544" s="464"/>
      <c r="AE7544" s="465"/>
    </row>
    <row r="7545" spans="27:31" ht="14.4">
      <c r="AA7545" s="463"/>
      <c r="AB7545" s="462"/>
      <c r="AC7545" s="462"/>
      <c r="AD7545" s="464"/>
      <c r="AE7545" s="465"/>
    </row>
    <row r="7546" spans="27:31" ht="14.4">
      <c r="AA7546" s="463"/>
      <c r="AB7546" s="462"/>
      <c r="AC7546" s="462"/>
      <c r="AD7546" s="464"/>
      <c r="AE7546" s="465"/>
    </row>
    <row r="7547" spans="27:31" ht="14.4">
      <c r="AA7547" s="463"/>
      <c r="AB7547" s="462"/>
      <c r="AC7547" s="462"/>
      <c r="AD7547" s="464"/>
      <c r="AE7547" s="465"/>
    </row>
    <row r="7548" spans="27:31" ht="14.4">
      <c r="AA7548" s="463"/>
      <c r="AB7548" s="462"/>
      <c r="AC7548" s="462"/>
      <c r="AD7548" s="464"/>
      <c r="AE7548" s="465"/>
    </row>
    <row r="7549" spans="27:31" ht="14.4">
      <c r="AA7549" s="463"/>
      <c r="AB7549" s="462"/>
      <c r="AC7549" s="462"/>
      <c r="AD7549" s="464"/>
      <c r="AE7549" s="465"/>
    </row>
    <row r="7550" spans="27:31" ht="14.4">
      <c r="AA7550" s="463"/>
      <c r="AB7550" s="462"/>
      <c r="AC7550" s="462"/>
      <c r="AD7550" s="464"/>
      <c r="AE7550" s="465"/>
    </row>
    <row r="7551" spans="27:31" ht="14.4">
      <c r="AA7551" s="463"/>
      <c r="AB7551" s="462"/>
      <c r="AC7551" s="462"/>
      <c r="AD7551" s="464"/>
      <c r="AE7551" s="465"/>
    </row>
    <row r="7552" spans="27:31" ht="14.4">
      <c r="AA7552" s="463"/>
      <c r="AB7552" s="462"/>
      <c r="AC7552" s="462"/>
      <c r="AD7552" s="464"/>
      <c r="AE7552" s="465"/>
    </row>
    <row r="7553" spans="27:31" ht="14.4">
      <c r="AA7553" s="463"/>
      <c r="AB7553" s="462"/>
      <c r="AC7553" s="462"/>
      <c r="AD7553" s="464"/>
      <c r="AE7553" s="465"/>
    </row>
    <row r="7554" spans="27:31" ht="14.4">
      <c r="AA7554" s="463"/>
      <c r="AB7554" s="462"/>
      <c r="AC7554" s="462"/>
      <c r="AD7554" s="464"/>
      <c r="AE7554" s="465"/>
    </row>
    <row r="7555" spans="27:31" ht="14.4">
      <c r="AA7555" s="463"/>
      <c r="AB7555" s="462"/>
      <c r="AC7555" s="462"/>
      <c r="AD7555" s="464"/>
      <c r="AE7555" s="465"/>
    </row>
    <row r="7556" spans="27:31" ht="14.4">
      <c r="AA7556" s="463"/>
      <c r="AB7556" s="462"/>
      <c r="AC7556" s="462"/>
      <c r="AD7556" s="464"/>
      <c r="AE7556" s="465"/>
    </row>
    <row r="7557" spans="27:31" ht="14.4">
      <c r="AA7557" s="463"/>
      <c r="AB7557" s="462"/>
      <c r="AC7557" s="462"/>
      <c r="AD7557" s="464"/>
      <c r="AE7557" s="465"/>
    </row>
    <row r="7558" spans="27:31" ht="14.4">
      <c r="AA7558" s="463"/>
      <c r="AB7558" s="462"/>
      <c r="AC7558" s="462"/>
      <c r="AD7558" s="464"/>
      <c r="AE7558" s="465"/>
    </row>
    <row r="7559" spans="27:31" ht="14.4">
      <c r="AA7559" s="463"/>
      <c r="AB7559" s="462"/>
      <c r="AC7559" s="462"/>
      <c r="AD7559" s="464"/>
      <c r="AE7559" s="465"/>
    </row>
    <row r="7560" spans="27:31" ht="14.4">
      <c r="AA7560" s="463"/>
      <c r="AB7560" s="462"/>
      <c r="AC7560" s="462"/>
      <c r="AD7560" s="464"/>
      <c r="AE7560" s="465"/>
    </row>
    <row r="7561" spans="27:31" ht="14.4">
      <c r="AA7561" s="463"/>
      <c r="AB7561" s="462"/>
      <c r="AC7561" s="462"/>
      <c r="AD7561" s="464"/>
      <c r="AE7561" s="465"/>
    </row>
    <row r="7562" spans="27:31" ht="14.4">
      <c r="AA7562" s="463"/>
      <c r="AB7562" s="462"/>
      <c r="AC7562" s="462"/>
      <c r="AD7562" s="464"/>
      <c r="AE7562" s="465"/>
    </row>
    <row r="7563" spans="27:31" ht="14.4">
      <c r="AA7563" s="463"/>
      <c r="AB7563" s="462"/>
      <c r="AC7563" s="462"/>
      <c r="AD7563" s="464"/>
      <c r="AE7563" s="465"/>
    </row>
    <row r="7564" spans="27:31" ht="14.4">
      <c r="AA7564" s="463"/>
      <c r="AB7564" s="462"/>
      <c r="AC7564" s="462"/>
      <c r="AD7564" s="464"/>
      <c r="AE7564" s="465"/>
    </row>
    <row r="7565" spans="27:31" ht="14.4">
      <c r="AA7565" s="463"/>
      <c r="AB7565" s="462"/>
      <c r="AC7565" s="462"/>
      <c r="AD7565" s="464"/>
      <c r="AE7565" s="465"/>
    </row>
    <row r="7566" spans="27:31" ht="14.4">
      <c r="AA7566" s="463"/>
      <c r="AB7566" s="462"/>
      <c r="AC7566" s="462"/>
      <c r="AD7566" s="464"/>
      <c r="AE7566" s="465"/>
    </row>
    <row r="7567" spans="27:31" ht="14.4">
      <c r="AA7567" s="463"/>
      <c r="AB7567" s="462"/>
      <c r="AC7567" s="462"/>
      <c r="AD7567" s="464"/>
      <c r="AE7567" s="465"/>
    </row>
    <row r="7568" spans="27:31" ht="14.4">
      <c r="AA7568" s="463"/>
      <c r="AB7568" s="462"/>
      <c r="AC7568" s="462"/>
      <c r="AD7568" s="464"/>
      <c r="AE7568" s="465"/>
    </row>
    <row r="7569" spans="27:31" ht="14.4">
      <c r="AA7569" s="463"/>
      <c r="AB7569" s="462"/>
      <c r="AC7569" s="462"/>
      <c r="AD7569" s="464"/>
      <c r="AE7569" s="465"/>
    </row>
    <row r="7570" spans="27:31" ht="14.4">
      <c r="AA7570" s="463"/>
      <c r="AB7570" s="462"/>
      <c r="AC7570" s="462"/>
      <c r="AD7570" s="464"/>
      <c r="AE7570" s="465"/>
    </row>
    <row r="7571" spans="27:31" ht="14.4">
      <c r="AA7571" s="463"/>
      <c r="AB7571" s="462"/>
      <c r="AC7571" s="462"/>
      <c r="AD7571" s="464"/>
      <c r="AE7571" s="465"/>
    </row>
    <row r="7572" spans="27:31" ht="14.4">
      <c r="AA7572" s="463"/>
      <c r="AB7572" s="462"/>
      <c r="AC7572" s="462"/>
      <c r="AD7572" s="464"/>
      <c r="AE7572" s="465"/>
    </row>
    <row r="7573" spans="27:31" ht="14.4">
      <c r="AA7573" s="463"/>
      <c r="AB7573" s="462"/>
      <c r="AC7573" s="462"/>
      <c r="AD7573" s="464"/>
      <c r="AE7573" s="465"/>
    </row>
    <row r="7574" spans="27:31" ht="14.4">
      <c r="AA7574" s="463"/>
      <c r="AB7574" s="462"/>
      <c r="AC7574" s="462"/>
      <c r="AD7574" s="464"/>
      <c r="AE7574" s="465"/>
    </row>
    <row r="7575" spans="27:31" ht="14.4">
      <c r="AA7575" s="463"/>
      <c r="AB7575" s="462"/>
      <c r="AC7575" s="462"/>
      <c r="AD7575" s="464"/>
      <c r="AE7575" s="465"/>
    </row>
    <row r="7576" spans="27:31" ht="14.4">
      <c r="AA7576" s="463"/>
      <c r="AB7576" s="462"/>
      <c r="AC7576" s="462"/>
      <c r="AD7576" s="464"/>
      <c r="AE7576" s="465"/>
    </row>
    <row r="7577" spans="27:31" ht="14.4">
      <c r="AA7577" s="463"/>
      <c r="AB7577" s="462"/>
      <c r="AC7577" s="462"/>
      <c r="AD7577" s="464"/>
      <c r="AE7577" s="465"/>
    </row>
    <row r="7578" spans="27:31" ht="14.4">
      <c r="AA7578" s="463"/>
      <c r="AB7578" s="462"/>
      <c r="AC7578" s="462"/>
      <c r="AD7578" s="464"/>
      <c r="AE7578" s="465"/>
    </row>
    <row r="7579" spans="27:31" ht="14.4">
      <c r="AA7579" s="463"/>
      <c r="AB7579" s="462"/>
      <c r="AC7579" s="462"/>
      <c r="AD7579" s="464"/>
      <c r="AE7579" s="465"/>
    </row>
    <row r="7580" spans="27:31" ht="14.4">
      <c r="AA7580" s="463"/>
      <c r="AB7580" s="462"/>
      <c r="AC7580" s="462"/>
      <c r="AD7580" s="464"/>
      <c r="AE7580" s="465"/>
    </row>
    <row r="7581" spans="27:31" ht="14.4">
      <c r="AA7581" s="463"/>
      <c r="AB7581" s="462"/>
      <c r="AC7581" s="462"/>
      <c r="AD7581" s="464"/>
      <c r="AE7581" s="465"/>
    </row>
    <row r="7582" spans="27:31" ht="14.4">
      <c r="AA7582" s="463"/>
      <c r="AB7582" s="462"/>
      <c r="AC7582" s="462"/>
      <c r="AD7582" s="464"/>
      <c r="AE7582" s="465"/>
    </row>
    <row r="7583" spans="27:31" ht="14.4">
      <c r="AA7583" s="463"/>
      <c r="AB7583" s="462"/>
      <c r="AC7583" s="462"/>
      <c r="AD7583" s="464"/>
      <c r="AE7583" s="465"/>
    </row>
    <row r="7584" spans="27:31" ht="14.4">
      <c r="AA7584" s="463"/>
      <c r="AB7584" s="462"/>
      <c r="AC7584" s="462"/>
      <c r="AD7584" s="464"/>
      <c r="AE7584" s="465"/>
    </row>
    <row r="7585" spans="27:31" ht="14.4">
      <c r="AA7585" s="463"/>
      <c r="AB7585" s="462"/>
      <c r="AC7585" s="462"/>
      <c r="AD7585" s="464"/>
      <c r="AE7585" s="465"/>
    </row>
    <row r="7586" spans="27:31" ht="14.4">
      <c r="AA7586" s="463"/>
      <c r="AB7586" s="462"/>
      <c r="AC7586" s="462"/>
      <c r="AD7586" s="464"/>
      <c r="AE7586" s="465"/>
    </row>
    <row r="7587" spans="27:31" ht="14.4">
      <c r="AA7587" s="463"/>
      <c r="AB7587" s="462"/>
      <c r="AC7587" s="462"/>
      <c r="AD7587" s="464"/>
      <c r="AE7587" s="465"/>
    </row>
    <row r="7588" spans="27:31" ht="14.4">
      <c r="AA7588" s="463"/>
      <c r="AB7588" s="462"/>
      <c r="AC7588" s="462"/>
      <c r="AD7588" s="464"/>
      <c r="AE7588" s="465"/>
    </row>
    <row r="7589" spans="27:31" ht="14.4">
      <c r="AA7589" s="463"/>
      <c r="AB7589" s="462"/>
      <c r="AC7589" s="462"/>
      <c r="AD7589" s="464"/>
      <c r="AE7589" s="465"/>
    </row>
    <row r="7590" spans="27:31" ht="14.4">
      <c r="AA7590" s="463"/>
      <c r="AB7590" s="462"/>
      <c r="AC7590" s="462"/>
      <c r="AD7590" s="464"/>
      <c r="AE7590" s="465"/>
    </row>
    <row r="7591" spans="27:31" ht="14.4">
      <c r="AA7591" s="463"/>
      <c r="AB7591" s="462"/>
      <c r="AC7591" s="462"/>
      <c r="AD7591" s="464"/>
      <c r="AE7591" s="465"/>
    </row>
    <row r="7592" spans="27:31" ht="14.4">
      <c r="AA7592" s="463"/>
      <c r="AB7592" s="462"/>
      <c r="AC7592" s="462"/>
      <c r="AD7592" s="464"/>
      <c r="AE7592" s="465"/>
    </row>
    <row r="7593" spans="27:31" ht="14.4">
      <c r="AA7593" s="463"/>
      <c r="AB7593" s="462"/>
      <c r="AC7593" s="462"/>
      <c r="AD7593" s="464"/>
      <c r="AE7593" s="465"/>
    </row>
    <row r="7594" spans="27:31" ht="14.4">
      <c r="AA7594" s="463"/>
      <c r="AB7594" s="462"/>
      <c r="AC7594" s="462"/>
      <c r="AD7594" s="464"/>
      <c r="AE7594" s="465"/>
    </row>
    <row r="7595" spans="27:31" ht="14.4">
      <c r="AA7595" s="463"/>
      <c r="AB7595" s="462"/>
      <c r="AC7595" s="462"/>
      <c r="AD7595" s="464"/>
      <c r="AE7595" s="465"/>
    </row>
    <row r="7596" spans="27:31" ht="14.4">
      <c r="AA7596" s="463"/>
      <c r="AB7596" s="462"/>
      <c r="AC7596" s="462"/>
      <c r="AD7596" s="464"/>
      <c r="AE7596" s="465"/>
    </row>
    <row r="7597" spans="27:31" ht="14.4">
      <c r="AA7597" s="463"/>
      <c r="AB7597" s="462"/>
      <c r="AC7597" s="462"/>
      <c r="AD7597" s="464"/>
      <c r="AE7597" s="465"/>
    </row>
    <row r="7598" spans="27:31" ht="14.4">
      <c r="AA7598" s="463"/>
      <c r="AB7598" s="462"/>
      <c r="AC7598" s="462"/>
      <c r="AD7598" s="464"/>
      <c r="AE7598" s="465"/>
    </row>
    <row r="7599" spans="27:31" ht="14.4">
      <c r="AA7599" s="463"/>
      <c r="AB7599" s="462"/>
      <c r="AC7599" s="462"/>
      <c r="AD7599" s="464"/>
      <c r="AE7599" s="465"/>
    </row>
    <row r="7600" spans="27:31" ht="14.4">
      <c r="AA7600" s="463"/>
      <c r="AB7600" s="462"/>
      <c r="AC7600" s="462"/>
      <c r="AD7600" s="464"/>
      <c r="AE7600" s="465"/>
    </row>
    <row r="7601" spans="27:31" ht="14.4">
      <c r="AA7601" s="463"/>
      <c r="AB7601" s="462"/>
      <c r="AC7601" s="462"/>
      <c r="AD7601" s="464"/>
      <c r="AE7601" s="465"/>
    </row>
    <row r="7602" spans="27:31" ht="14.4">
      <c r="AA7602" s="463"/>
      <c r="AB7602" s="462"/>
      <c r="AC7602" s="462"/>
      <c r="AD7602" s="464"/>
      <c r="AE7602" s="465"/>
    </row>
    <row r="7603" spans="27:31" ht="14.4">
      <c r="AA7603" s="463"/>
      <c r="AB7603" s="462"/>
      <c r="AC7603" s="462"/>
      <c r="AD7603" s="464"/>
      <c r="AE7603" s="465"/>
    </row>
    <row r="7604" spans="27:31" ht="14.4">
      <c r="AA7604" s="463"/>
      <c r="AB7604" s="462"/>
      <c r="AC7604" s="462"/>
      <c r="AD7604" s="464"/>
      <c r="AE7604" s="465"/>
    </row>
    <row r="7605" spans="27:31" ht="14.4">
      <c r="AA7605" s="463"/>
      <c r="AB7605" s="462"/>
      <c r="AC7605" s="462"/>
      <c r="AD7605" s="464"/>
      <c r="AE7605" s="465"/>
    </row>
    <row r="7606" spans="27:31" ht="14.4">
      <c r="AA7606" s="463"/>
      <c r="AB7606" s="462"/>
      <c r="AC7606" s="462"/>
      <c r="AD7606" s="464"/>
      <c r="AE7606" s="465"/>
    </row>
    <row r="7607" spans="27:31" ht="14.4">
      <c r="AA7607" s="463"/>
      <c r="AB7607" s="462"/>
      <c r="AC7607" s="462"/>
      <c r="AD7607" s="464"/>
      <c r="AE7607" s="465"/>
    </row>
    <row r="7608" spans="27:31" ht="14.4">
      <c r="AA7608" s="463"/>
      <c r="AB7608" s="462"/>
      <c r="AC7608" s="462"/>
      <c r="AD7608" s="464"/>
      <c r="AE7608" s="465"/>
    </row>
    <row r="7609" spans="27:31" ht="14.4">
      <c r="AA7609" s="463"/>
      <c r="AB7609" s="462"/>
      <c r="AC7609" s="462"/>
      <c r="AD7609" s="464"/>
      <c r="AE7609" s="465"/>
    </row>
    <row r="7610" spans="27:31" ht="14.4">
      <c r="AA7610" s="463"/>
      <c r="AB7610" s="462"/>
      <c r="AC7610" s="462"/>
      <c r="AD7610" s="464"/>
      <c r="AE7610" s="465"/>
    </row>
    <row r="7611" spans="27:31" ht="14.4">
      <c r="AA7611" s="463"/>
      <c r="AB7611" s="462"/>
      <c r="AC7611" s="462"/>
      <c r="AD7611" s="464"/>
      <c r="AE7611" s="465"/>
    </row>
    <row r="7612" spans="27:31" ht="14.4">
      <c r="AA7612" s="463"/>
      <c r="AB7612" s="462"/>
      <c r="AC7612" s="462"/>
      <c r="AD7612" s="464"/>
      <c r="AE7612" s="465"/>
    </row>
    <row r="7613" spans="27:31" ht="14.4">
      <c r="AA7613" s="463"/>
      <c r="AB7613" s="462"/>
      <c r="AC7613" s="462"/>
      <c r="AD7613" s="464"/>
      <c r="AE7613" s="465"/>
    </row>
    <row r="7614" spans="27:31" ht="14.4">
      <c r="AA7614" s="463"/>
      <c r="AB7614" s="462"/>
      <c r="AC7614" s="462"/>
      <c r="AD7614" s="464"/>
      <c r="AE7614" s="465"/>
    </row>
    <row r="7615" spans="27:31" ht="14.4">
      <c r="AA7615" s="463"/>
      <c r="AB7615" s="462"/>
      <c r="AC7615" s="462"/>
      <c r="AD7615" s="464"/>
      <c r="AE7615" s="465"/>
    </row>
    <row r="7616" spans="27:31" ht="14.4">
      <c r="AA7616" s="463"/>
      <c r="AB7616" s="462"/>
      <c r="AC7616" s="462"/>
      <c r="AD7616" s="464"/>
      <c r="AE7616" s="465"/>
    </row>
    <row r="7617" spans="27:31" ht="14.4">
      <c r="AA7617" s="463"/>
      <c r="AB7617" s="462"/>
      <c r="AC7617" s="462"/>
      <c r="AD7617" s="464"/>
      <c r="AE7617" s="465"/>
    </row>
    <row r="7618" spans="27:31" ht="14.4">
      <c r="AA7618" s="463"/>
      <c r="AB7618" s="462"/>
      <c r="AC7618" s="462"/>
      <c r="AD7618" s="464"/>
      <c r="AE7618" s="465"/>
    </row>
    <row r="7619" spans="27:31" ht="14.4">
      <c r="AA7619" s="463"/>
      <c r="AB7619" s="462"/>
      <c r="AC7619" s="462"/>
      <c r="AD7619" s="464"/>
      <c r="AE7619" s="465"/>
    </row>
    <row r="7620" spans="27:31" ht="14.4">
      <c r="AA7620" s="463"/>
      <c r="AB7620" s="462"/>
      <c r="AC7620" s="462"/>
      <c r="AD7620" s="464"/>
      <c r="AE7620" s="465"/>
    </row>
    <row r="7621" spans="27:31" ht="14.4">
      <c r="AA7621" s="463"/>
      <c r="AB7621" s="462"/>
      <c r="AC7621" s="462"/>
      <c r="AD7621" s="464"/>
      <c r="AE7621" s="465"/>
    </row>
    <row r="7622" spans="27:31" ht="14.4">
      <c r="AA7622" s="463"/>
      <c r="AB7622" s="462"/>
      <c r="AC7622" s="462"/>
      <c r="AD7622" s="464"/>
      <c r="AE7622" s="465"/>
    </row>
    <row r="7623" spans="27:31" ht="14.4">
      <c r="AA7623" s="463"/>
      <c r="AB7623" s="462"/>
      <c r="AC7623" s="462"/>
      <c r="AD7623" s="464"/>
      <c r="AE7623" s="465"/>
    </row>
    <row r="7624" spans="27:31" ht="14.4">
      <c r="AA7624" s="463"/>
      <c r="AB7624" s="462"/>
      <c r="AC7624" s="462"/>
      <c r="AD7624" s="464"/>
      <c r="AE7624" s="465"/>
    </row>
    <row r="7625" spans="27:31" ht="14.4">
      <c r="AA7625" s="463"/>
      <c r="AB7625" s="462"/>
      <c r="AC7625" s="462"/>
      <c r="AD7625" s="464"/>
      <c r="AE7625" s="465"/>
    </row>
    <row r="7626" spans="27:31" ht="14.4">
      <c r="AA7626" s="463"/>
      <c r="AB7626" s="462"/>
      <c r="AC7626" s="462"/>
      <c r="AD7626" s="464"/>
      <c r="AE7626" s="465"/>
    </row>
    <row r="7627" spans="27:31" ht="14.4">
      <c r="AA7627" s="463"/>
      <c r="AB7627" s="462"/>
      <c r="AC7627" s="462"/>
      <c r="AD7627" s="464"/>
      <c r="AE7627" s="465"/>
    </row>
    <row r="7628" spans="27:31" ht="14.4">
      <c r="AA7628" s="463"/>
      <c r="AB7628" s="462"/>
      <c r="AC7628" s="462"/>
      <c r="AD7628" s="464"/>
      <c r="AE7628" s="465"/>
    </row>
    <row r="7629" spans="27:31" ht="14.4">
      <c r="AA7629" s="463"/>
      <c r="AB7629" s="462"/>
      <c r="AC7629" s="462"/>
      <c r="AD7629" s="464"/>
      <c r="AE7629" s="465"/>
    </row>
    <row r="7630" spans="27:31" ht="14.4">
      <c r="AA7630" s="463"/>
      <c r="AB7630" s="462"/>
      <c r="AC7630" s="462"/>
      <c r="AD7630" s="464"/>
      <c r="AE7630" s="465"/>
    </row>
    <row r="7631" spans="27:31" ht="14.4">
      <c r="AA7631" s="463"/>
      <c r="AB7631" s="462"/>
      <c r="AC7631" s="462"/>
      <c r="AD7631" s="464"/>
      <c r="AE7631" s="465"/>
    </row>
    <row r="7632" spans="27:31" ht="14.4">
      <c r="AA7632" s="463"/>
      <c r="AB7632" s="462"/>
      <c r="AC7632" s="462"/>
      <c r="AD7632" s="464"/>
      <c r="AE7632" s="465"/>
    </row>
    <row r="7633" spans="27:31" ht="14.4">
      <c r="AA7633" s="463"/>
      <c r="AB7633" s="462"/>
      <c r="AC7633" s="462"/>
      <c r="AD7633" s="464"/>
      <c r="AE7633" s="465"/>
    </row>
    <row r="7634" spans="27:31" ht="14.4">
      <c r="AA7634" s="463"/>
      <c r="AB7634" s="462"/>
      <c r="AC7634" s="462"/>
      <c r="AD7634" s="464"/>
      <c r="AE7634" s="465"/>
    </row>
    <row r="7635" spans="27:31" ht="14.4">
      <c r="AA7635" s="463"/>
      <c r="AB7635" s="462"/>
      <c r="AC7635" s="462"/>
      <c r="AD7635" s="464"/>
      <c r="AE7635" s="465"/>
    </row>
    <row r="7636" spans="27:31" ht="14.4">
      <c r="AA7636" s="463"/>
      <c r="AB7636" s="462"/>
      <c r="AC7636" s="462"/>
      <c r="AD7636" s="464"/>
      <c r="AE7636" s="465"/>
    </row>
    <row r="7637" spans="27:31" ht="14.4">
      <c r="AA7637" s="463"/>
      <c r="AB7637" s="462"/>
      <c r="AC7637" s="462"/>
      <c r="AD7637" s="464"/>
      <c r="AE7637" s="465"/>
    </row>
    <row r="7638" spans="27:31" ht="14.4">
      <c r="AA7638" s="463"/>
      <c r="AB7638" s="462"/>
      <c r="AC7638" s="462"/>
      <c r="AD7638" s="464"/>
      <c r="AE7638" s="465"/>
    </row>
    <row r="7639" spans="27:31" ht="14.4">
      <c r="AA7639" s="463"/>
      <c r="AB7639" s="462"/>
      <c r="AC7639" s="462"/>
      <c r="AD7639" s="464"/>
      <c r="AE7639" s="465"/>
    </row>
    <row r="7640" spans="27:31" ht="14.4">
      <c r="AA7640" s="463"/>
      <c r="AB7640" s="462"/>
      <c r="AC7640" s="462"/>
      <c r="AD7640" s="464"/>
      <c r="AE7640" s="465"/>
    </row>
    <row r="7641" spans="27:31" ht="14.4">
      <c r="AA7641" s="463"/>
      <c r="AB7641" s="462"/>
      <c r="AC7641" s="462"/>
      <c r="AD7641" s="464"/>
      <c r="AE7641" s="465"/>
    </row>
    <row r="7642" spans="27:31" ht="14.4">
      <c r="AA7642" s="463"/>
      <c r="AB7642" s="462"/>
      <c r="AC7642" s="462"/>
      <c r="AD7642" s="464"/>
      <c r="AE7642" s="465"/>
    </row>
    <row r="7643" spans="27:31" ht="14.4">
      <c r="AA7643" s="463"/>
      <c r="AB7643" s="462"/>
      <c r="AC7643" s="462"/>
      <c r="AD7643" s="464"/>
      <c r="AE7643" s="465"/>
    </row>
    <row r="7644" spans="27:31" ht="14.4">
      <c r="AA7644" s="463"/>
      <c r="AB7644" s="462"/>
      <c r="AC7644" s="462"/>
      <c r="AD7644" s="464"/>
      <c r="AE7644" s="465"/>
    </row>
    <row r="7645" spans="27:31" ht="14.4">
      <c r="AA7645" s="463"/>
      <c r="AB7645" s="462"/>
      <c r="AC7645" s="462"/>
      <c r="AD7645" s="464"/>
      <c r="AE7645" s="465"/>
    </row>
    <row r="7646" spans="27:31" ht="14.4">
      <c r="AA7646" s="463"/>
      <c r="AB7646" s="462"/>
      <c r="AC7646" s="462"/>
      <c r="AD7646" s="464"/>
      <c r="AE7646" s="465"/>
    </row>
    <row r="7647" spans="27:31" ht="14.4">
      <c r="AA7647" s="463"/>
      <c r="AB7647" s="462"/>
      <c r="AC7647" s="462"/>
      <c r="AD7647" s="464"/>
      <c r="AE7647" s="465"/>
    </row>
    <row r="7648" spans="27:31" ht="14.4">
      <c r="AA7648" s="463"/>
      <c r="AB7648" s="462"/>
      <c r="AC7648" s="462"/>
      <c r="AD7648" s="464"/>
      <c r="AE7648" s="465"/>
    </row>
    <row r="7649" spans="27:31" ht="14.4">
      <c r="AA7649" s="463"/>
      <c r="AB7649" s="462"/>
      <c r="AC7649" s="462"/>
      <c r="AD7649" s="464"/>
      <c r="AE7649" s="465"/>
    </row>
    <row r="7650" spans="27:31" ht="14.4">
      <c r="AA7650" s="463"/>
      <c r="AB7650" s="462"/>
      <c r="AC7650" s="462"/>
      <c r="AD7650" s="464"/>
      <c r="AE7650" s="465"/>
    </row>
    <row r="7651" spans="27:31" ht="14.4">
      <c r="AA7651" s="463"/>
      <c r="AB7651" s="462"/>
      <c r="AC7651" s="462"/>
      <c r="AD7651" s="464"/>
      <c r="AE7651" s="465"/>
    </row>
    <row r="7652" spans="27:31" ht="14.4">
      <c r="AA7652" s="463"/>
      <c r="AB7652" s="462"/>
      <c r="AC7652" s="462"/>
      <c r="AD7652" s="464"/>
      <c r="AE7652" s="465"/>
    </row>
    <row r="7653" spans="27:31" ht="14.4">
      <c r="AA7653" s="463"/>
      <c r="AB7653" s="462"/>
      <c r="AC7653" s="462"/>
      <c r="AD7653" s="464"/>
      <c r="AE7653" s="465"/>
    </row>
    <row r="7654" spans="27:31" ht="14.4">
      <c r="AA7654" s="463"/>
      <c r="AB7654" s="462"/>
      <c r="AC7654" s="462"/>
      <c r="AD7654" s="464"/>
      <c r="AE7654" s="465"/>
    </row>
    <row r="7655" spans="27:31" ht="14.4">
      <c r="AA7655" s="463"/>
      <c r="AB7655" s="462"/>
      <c r="AC7655" s="462"/>
      <c r="AD7655" s="464"/>
      <c r="AE7655" s="465"/>
    </row>
    <row r="7656" spans="27:31" ht="14.4">
      <c r="AA7656" s="463"/>
      <c r="AB7656" s="462"/>
      <c r="AC7656" s="462"/>
      <c r="AD7656" s="464"/>
      <c r="AE7656" s="465"/>
    </row>
    <row r="7657" spans="27:31" ht="14.4">
      <c r="AA7657" s="463"/>
      <c r="AB7657" s="462"/>
      <c r="AC7657" s="462"/>
      <c r="AD7657" s="464"/>
      <c r="AE7657" s="465"/>
    </row>
    <row r="7658" spans="27:31" ht="14.4">
      <c r="AA7658" s="463"/>
      <c r="AB7658" s="462"/>
      <c r="AC7658" s="462"/>
      <c r="AD7658" s="464"/>
      <c r="AE7658" s="465"/>
    </row>
    <row r="7659" spans="27:31" ht="14.4">
      <c r="AA7659" s="463"/>
      <c r="AB7659" s="462"/>
      <c r="AC7659" s="462"/>
      <c r="AD7659" s="464"/>
      <c r="AE7659" s="465"/>
    </row>
    <row r="7660" spans="27:31" ht="14.4">
      <c r="AA7660" s="463"/>
      <c r="AB7660" s="462"/>
      <c r="AC7660" s="462"/>
      <c r="AD7660" s="464"/>
      <c r="AE7660" s="465"/>
    </row>
    <row r="7661" spans="27:31" ht="14.4">
      <c r="AA7661" s="463"/>
      <c r="AB7661" s="462"/>
      <c r="AC7661" s="462"/>
      <c r="AD7661" s="464"/>
      <c r="AE7661" s="465"/>
    </row>
    <row r="7662" spans="27:31" ht="14.4">
      <c r="AA7662" s="463"/>
      <c r="AB7662" s="462"/>
      <c r="AC7662" s="462"/>
      <c r="AD7662" s="464"/>
      <c r="AE7662" s="465"/>
    </row>
    <row r="7663" spans="27:31" ht="14.4">
      <c r="AA7663" s="463"/>
      <c r="AB7663" s="462"/>
      <c r="AC7663" s="462"/>
      <c r="AD7663" s="464"/>
      <c r="AE7663" s="465"/>
    </row>
    <row r="7664" spans="27:31" ht="14.4">
      <c r="AA7664" s="463"/>
      <c r="AB7664" s="462"/>
      <c r="AC7664" s="462"/>
      <c r="AD7664" s="464"/>
      <c r="AE7664" s="465"/>
    </row>
    <row r="7665" spans="27:31" ht="14.4">
      <c r="AA7665" s="463"/>
      <c r="AB7665" s="462"/>
      <c r="AC7665" s="462"/>
      <c r="AD7665" s="464"/>
      <c r="AE7665" s="465"/>
    </row>
    <row r="7666" spans="27:31" ht="14.4">
      <c r="AA7666" s="463"/>
      <c r="AB7666" s="462"/>
      <c r="AC7666" s="462"/>
      <c r="AD7666" s="464"/>
      <c r="AE7666" s="465"/>
    </row>
    <row r="7667" spans="27:31" ht="14.4">
      <c r="AA7667" s="463"/>
      <c r="AB7667" s="462"/>
      <c r="AC7667" s="462"/>
      <c r="AD7667" s="464"/>
      <c r="AE7667" s="465"/>
    </row>
    <row r="7668" spans="27:31" ht="14.4">
      <c r="AA7668" s="463"/>
      <c r="AB7668" s="462"/>
      <c r="AC7668" s="462"/>
      <c r="AD7668" s="464"/>
      <c r="AE7668" s="465"/>
    </row>
    <row r="7669" spans="27:31" ht="14.4">
      <c r="AA7669" s="463"/>
      <c r="AB7669" s="462"/>
      <c r="AC7669" s="462"/>
      <c r="AD7669" s="464"/>
      <c r="AE7669" s="465"/>
    </row>
    <row r="7670" spans="27:31" ht="14.4">
      <c r="AA7670" s="463"/>
      <c r="AB7670" s="462"/>
      <c r="AC7670" s="462"/>
      <c r="AD7670" s="464"/>
      <c r="AE7670" s="465"/>
    </row>
    <row r="7671" spans="27:31" ht="14.4">
      <c r="AA7671" s="463"/>
      <c r="AB7671" s="462"/>
      <c r="AC7671" s="462"/>
      <c r="AD7671" s="464"/>
      <c r="AE7671" s="465"/>
    </row>
    <row r="7672" spans="27:31" ht="14.4">
      <c r="AA7672" s="463"/>
      <c r="AB7672" s="462"/>
      <c r="AC7672" s="462"/>
      <c r="AD7672" s="464"/>
      <c r="AE7672" s="465"/>
    </row>
    <row r="7673" spans="27:31" ht="14.4">
      <c r="AA7673" s="463"/>
      <c r="AB7673" s="462"/>
      <c r="AC7673" s="462"/>
      <c r="AD7673" s="464"/>
      <c r="AE7673" s="465"/>
    </row>
    <row r="7674" spans="27:31" ht="14.4">
      <c r="AA7674" s="463"/>
      <c r="AB7674" s="462"/>
      <c r="AC7674" s="462"/>
      <c r="AD7674" s="464"/>
      <c r="AE7674" s="465"/>
    </row>
    <row r="7675" spans="27:31" ht="14.4">
      <c r="AA7675" s="463"/>
      <c r="AB7675" s="462"/>
      <c r="AC7675" s="462"/>
      <c r="AD7675" s="464"/>
      <c r="AE7675" s="465"/>
    </row>
    <row r="7676" spans="27:31" ht="14.4">
      <c r="AA7676" s="463"/>
      <c r="AB7676" s="462"/>
      <c r="AC7676" s="462"/>
      <c r="AD7676" s="464"/>
      <c r="AE7676" s="465"/>
    </row>
    <row r="7677" spans="27:31" ht="14.4">
      <c r="AA7677" s="463"/>
      <c r="AB7677" s="462"/>
      <c r="AC7677" s="462"/>
      <c r="AD7677" s="464"/>
      <c r="AE7677" s="465"/>
    </row>
    <row r="7678" spans="27:31" ht="14.4">
      <c r="AA7678" s="463"/>
      <c r="AB7678" s="462"/>
      <c r="AC7678" s="462"/>
      <c r="AD7678" s="464"/>
      <c r="AE7678" s="465"/>
    </row>
    <row r="7679" spans="27:31" ht="14.4">
      <c r="AA7679" s="463"/>
      <c r="AB7679" s="462"/>
      <c r="AC7679" s="462"/>
      <c r="AD7679" s="464"/>
      <c r="AE7679" s="465"/>
    </row>
    <row r="7680" spans="27:31" ht="14.4">
      <c r="AA7680" s="463"/>
      <c r="AB7680" s="462"/>
      <c r="AC7680" s="462"/>
      <c r="AD7680" s="464"/>
      <c r="AE7680" s="465"/>
    </row>
    <row r="7681" spans="27:31" ht="14.4">
      <c r="AA7681" s="463"/>
      <c r="AB7681" s="462"/>
      <c r="AC7681" s="462"/>
      <c r="AD7681" s="464"/>
      <c r="AE7681" s="465"/>
    </row>
    <row r="7682" spans="27:31" ht="14.4">
      <c r="AA7682" s="463"/>
      <c r="AB7682" s="462"/>
      <c r="AC7682" s="462"/>
      <c r="AD7682" s="464"/>
      <c r="AE7682" s="465"/>
    </row>
    <row r="7683" spans="27:31" ht="14.4">
      <c r="AA7683" s="463"/>
      <c r="AB7683" s="462"/>
      <c r="AC7683" s="462"/>
      <c r="AD7683" s="464"/>
      <c r="AE7683" s="465"/>
    </row>
    <row r="7684" spans="27:31" ht="14.4">
      <c r="AA7684" s="463"/>
      <c r="AB7684" s="462"/>
      <c r="AC7684" s="462"/>
      <c r="AD7684" s="464"/>
      <c r="AE7684" s="465"/>
    </row>
    <row r="7685" spans="27:31" ht="14.4">
      <c r="AA7685" s="463"/>
      <c r="AB7685" s="462"/>
      <c r="AC7685" s="462"/>
      <c r="AD7685" s="464"/>
      <c r="AE7685" s="465"/>
    </row>
    <row r="7686" spans="27:31" ht="14.4">
      <c r="AA7686" s="463"/>
      <c r="AB7686" s="462"/>
      <c r="AC7686" s="462"/>
      <c r="AD7686" s="464"/>
      <c r="AE7686" s="465"/>
    </row>
    <row r="7687" spans="27:31" ht="14.4">
      <c r="AA7687" s="463"/>
      <c r="AB7687" s="462"/>
      <c r="AC7687" s="462"/>
      <c r="AD7687" s="464"/>
      <c r="AE7687" s="465"/>
    </row>
    <row r="7688" spans="27:31" ht="14.4">
      <c r="AA7688" s="463"/>
      <c r="AB7688" s="462"/>
      <c r="AC7688" s="462"/>
      <c r="AD7688" s="464"/>
      <c r="AE7688" s="465"/>
    </row>
    <row r="7689" spans="27:31" ht="14.4">
      <c r="AA7689" s="463"/>
      <c r="AB7689" s="462"/>
      <c r="AC7689" s="462"/>
      <c r="AD7689" s="464"/>
      <c r="AE7689" s="465"/>
    </row>
    <row r="7690" spans="27:31" ht="14.4">
      <c r="AA7690" s="463"/>
      <c r="AB7690" s="462"/>
      <c r="AC7690" s="462"/>
      <c r="AD7690" s="464"/>
      <c r="AE7690" s="465"/>
    </row>
    <row r="7691" spans="27:31" ht="14.4">
      <c r="AA7691" s="463"/>
      <c r="AB7691" s="462"/>
      <c r="AC7691" s="462"/>
      <c r="AD7691" s="464"/>
      <c r="AE7691" s="465"/>
    </row>
    <row r="7692" spans="27:31" ht="14.4">
      <c r="AA7692" s="463"/>
      <c r="AB7692" s="462"/>
      <c r="AC7692" s="462"/>
      <c r="AD7692" s="464"/>
      <c r="AE7692" s="465"/>
    </row>
    <row r="7693" spans="27:31" ht="14.4">
      <c r="AA7693" s="463"/>
      <c r="AB7693" s="462"/>
      <c r="AC7693" s="462"/>
      <c r="AD7693" s="464"/>
      <c r="AE7693" s="465"/>
    </row>
    <row r="7694" spans="27:31" ht="14.4">
      <c r="AA7694" s="463"/>
      <c r="AB7694" s="462"/>
      <c r="AC7694" s="462"/>
      <c r="AD7694" s="464"/>
      <c r="AE7694" s="465"/>
    </row>
    <row r="7695" spans="27:31" ht="14.4">
      <c r="AA7695" s="463"/>
      <c r="AB7695" s="462"/>
      <c r="AC7695" s="462"/>
      <c r="AD7695" s="464"/>
      <c r="AE7695" s="465"/>
    </row>
    <row r="7696" spans="27:31" ht="14.4">
      <c r="AA7696" s="463"/>
      <c r="AB7696" s="462"/>
      <c r="AC7696" s="462"/>
      <c r="AD7696" s="464"/>
      <c r="AE7696" s="465"/>
    </row>
    <row r="7697" spans="27:31" ht="14.4">
      <c r="AA7697" s="463"/>
      <c r="AB7697" s="462"/>
      <c r="AC7697" s="462"/>
      <c r="AD7697" s="464"/>
      <c r="AE7697" s="465"/>
    </row>
    <row r="7698" spans="27:31" ht="14.4">
      <c r="AA7698" s="463"/>
      <c r="AB7698" s="462"/>
      <c r="AC7698" s="462"/>
      <c r="AD7698" s="464"/>
      <c r="AE7698" s="465"/>
    </row>
    <row r="7699" spans="27:31" ht="14.4">
      <c r="AA7699" s="463"/>
      <c r="AB7699" s="462"/>
      <c r="AC7699" s="462"/>
      <c r="AD7699" s="464"/>
      <c r="AE7699" s="465"/>
    </row>
    <row r="7700" spans="27:31" ht="14.4">
      <c r="AA7700" s="463"/>
      <c r="AB7700" s="462"/>
      <c r="AC7700" s="462"/>
      <c r="AD7700" s="464"/>
      <c r="AE7700" s="465"/>
    </row>
    <row r="7701" spans="27:31" ht="14.4">
      <c r="AA7701" s="463"/>
      <c r="AB7701" s="462"/>
      <c r="AC7701" s="462"/>
      <c r="AD7701" s="464"/>
      <c r="AE7701" s="465"/>
    </row>
    <row r="7702" spans="27:31" ht="14.4">
      <c r="AA7702" s="463"/>
      <c r="AB7702" s="462"/>
      <c r="AC7702" s="462"/>
      <c r="AD7702" s="464"/>
      <c r="AE7702" s="465"/>
    </row>
    <row r="7703" spans="27:31" ht="14.4">
      <c r="AA7703" s="463"/>
      <c r="AB7703" s="462"/>
      <c r="AC7703" s="462"/>
      <c r="AD7703" s="464"/>
      <c r="AE7703" s="465"/>
    </row>
    <row r="7704" spans="27:31" ht="14.4">
      <c r="AA7704" s="463"/>
      <c r="AB7704" s="462"/>
      <c r="AC7704" s="462"/>
      <c r="AD7704" s="464"/>
      <c r="AE7704" s="465"/>
    </row>
    <row r="7705" spans="27:31" ht="14.4">
      <c r="AA7705" s="463"/>
      <c r="AB7705" s="462"/>
      <c r="AC7705" s="462"/>
      <c r="AD7705" s="464"/>
      <c r="AE7705" s="465"/>
    </row>
    <row r="7706" spans="27:31" ht="14.4">
      <c r="AA7706" s="463"/>
      <c r="AB7706" s="462"/>
      <c r="AC7706" s="462"/>
      <c r="AD7706" s="464"/>
      <c r="AE7706" s="465"/>
    </row>
    <row r="7707" spans="27:31" ht="14.4">
      <c r="AA7707" s="463"/>
      <c r="AB7707" s="462"/>
      <c r="AC7707" s="462"/>
      <c r="AD7707" s="464"/>
      <c r="AE7707" s="465"/>
    </row>
    <row r="7708" spans="27:31" ht="14.4">
      <c r="AA7708" s="463"/>
      <c r="AB7708" s="462"/>
      <c r="AC7708" s="462"/>
      <c r="AD7708" s="464"/>
      <c r="AE7708" s="465"/>
    </row>
    <row r="7709" spans="27:31" ht="14.4">
      <c r="AA7709" s="463"/>
      <c r="AB7709" s="462"/>
      <c r="AC7709" s="462"/>
      <c r="AD7709" s="464"/>
      <c r="AE7709" s="465"/>
    </row>
    <row r="7710" spans="27:31" ht="14.4">
      <c r="AA7710" s="463"/>
      <c r="AB7710" s="462"/>
      <c r="AC7710" s="462"/>
      <c r="AD7710" s="464"/>
      <c r="AE7710" s="465"/>
    </row>
    <row r="7711" spans="27:31" ht="14.4">
      <c r="AA7711" s="463"/>
      <c r="AB7711" s="462"/>
      <c r="AC7711" s="462"/>
      <c r="AD7711" s="464"/>
      <c r="AE7711" s="465"/>
    </row>
    <row r="7712" spans="27:31" ht="14.4">
      <c r="AA7712" s="463"/>
      <c r="AB7712" s="462"/>
      <c r="AC7712" s="462"/>
      <c r="AD7712" s="464"/>
      <c r="AE7712" s="465"/>
    </row>
    <row r="7713" spans="27:31" ht="14.4">
      <c r="AA7713" s="463"/>
      <c r="AB7713" s="462"/>
      <c r="AC7713" s="462"/>
      <c r="AD7713" s="464"/>
      <c r="AE7713" s="465"/>
    </row>
    <row r="7714" spans="27:31" ht="14.4">
      <c r="AA7714" s="463"/>
      <c r="AB7714" s="462"/>
      <c r="AC7714" s="462"/>
      <c r="AD7714" s="464"/>
      <c r="AE7714" s="465"/>
    </row>
    <row r="7715" spans="27:31" ht="14.4">
      <c r="AA7715" s="463"/>
      <c r="AB7715" s="462"/>
      <c r="AC7715" s="462"/>
      <c r="AD7715" s="464"/>
      <c r="AE7715" s="465"/>
    </row>
    <row r="7716" spans="27:31" ht="14.4">
      <c r="AA7716" s="463"/>
      <c r="AB7716" s="462"/>
      <c r="AC7716" s="462"/>
      <c r="AD7716" s="464"/>
      <c r="AE7716" s="465"/>
    </row>
    <row r="7717" spans="27:31" ht="14.4">
      <c r="AA7717" s="463"/>
      <c r="AB7717" s="462"/>
      <c r="AC7717" s="462"/>
      <c r="AD7717" s="464"/>
      <c r="AE7717" s="465"/>
    </row>
    <row r="7718" spans="27:31" ht="14.4">
      <c r="AA7718" s="463"/>
      <c r="AB7718" s="462"/>
      <c r="AC7718" s="462"/>
      <c r="AD7718" s="464"/>
      <c r="AE7718" s="465"/>
    </row>
    <row r="7719" spans="27:31" ht="14.4">
      <c r="AA7719" s="463"/>
      <c r="AB7719" s="462"/>
      <c r="AC7719" s="462"/>
      <c r="AD7719" s="464"/>
      <c r="AE7719" s="465"/>
    </row>
    <row r="7720" spans="27:31" ht="14.4">
      <c r="AA7720" s="463"/>
      <c r="AB7720" s="462"/>
      <c r="AC7720" s="462"/>
      <c r="AD7720" s="464"/>
      <c r="AE7720" s="465"/>
    </row>
    <row r="7721" spans="27:31" ht="14.4">
      <c r="AA7721" s="463"/>
      <c r="AB7721" s="462"/>
      <c r="AC7721" s="462"/>
      <c r="AD7721" s="464"/>
      <c r="AE7721" s="465"/>
    </row>
    <row r="7722" spans="27:31" ht="14.4">
      <c r="AA7722" s="463"/>
      <c r="AB7722" s="462"/>
      <c r="AC7722" s="462"/>
      <c r="AD7722" s="464"/>
      <c r="AE7722" s="465"/>
    </row>
    <row r="7723" spans="27:31" ht="14.4">
      <c r="AA7723" s="463"/>
      <c r="AB7723" s="462"/>
      <c r="AC7723" s="462"/>
      <c r="AD7723" s="464"/>
      <c r="AE7723" s="465"/>
    </row>
    <row r="7724" spans="27:31" ht="14.4">
      <c r="AA7724" s="463"/>
      <c r="AB7724" s="462"/>
      <c r="AC7724" s="462"/>
      <c r="AD7724" s="464"/>
      <c r="AE7724" s="465"/>
    </row>
    <row r="7725" spans="27:31" ht="14.4">
      <c r="AA7725" s="463"/>
      <c r="AB7725" s="462"/>
      <c r="AC7725" s="462"/>
      <c r="AD7725" s="464"/>
      <c r="AE7725" s="465"/>
    </row>
    <row r="7726" spans="27:31" ht="14.4">
      <c r="AA7726" s="463"/>
      <c r="AB7726" s="462"/>
      <c r="AC7726" s="462"/>
      <c r="AD7726" s="464"/>
      <c r="AE7726" s="465"/>
    </row>
    <row r="7727" spans="27:31" ht="14.4">
      <c r="AA7727" s="463"/>
      <c r="AB7727" s="462"/>
      <c r="AC7727" s="462"/>
      <c r="AD7727" s="464"/>
      <c r="AE7727" s="465"/>
    </row>
    <row r="7728" spans="27:31" ht="14.4">
      <c r="AA7728" s="463"/>
      <c r="AB7728" s="462"/>
      <c r="AC7728" s="462"/>
      <c r="AD7728" s="464"/>
      <c r="AE7728" s="465"/>
    </row>
    <row r="7729" spans="27:31" ht="14.4">
      <c r="AA7729" s="463"/>
      <c r="AB7729" s="462"/>
      <c r="AC7729" s="462"/>
      <c r="AD7729" s="464"/>
      <c r="AE7729" s="465"/>
    </row>
    <row r="7730" spans="27:31" ht="14.4">
      <c r="AA7730" s="463"/>
      <c r="AB7730" s="462"/>
      <c r="AC7730" s="462"/>
      <c r="AD7730" s="464"/>
      <c r="AE7730" s="465"/>
    </row>
    <row r="7731" spans="27:31" ht="14.4">
      <c r="AA7731" s="463"/>
      <c r="AB7731" s="462"/>
      <c r="AC7731" s="462"/>
      <c r="AD7731" s="464"/>
      <c r="AE7731" s="465"/>
    </row>
    <row r="7732" spans="27:31" ht="14.4">
      <c r="AA7732" s="463"/>
      <c r="AB7732" s="462"/>
      <c r="AC7732" s="462"/>
      <c r="AD7732" s="464"/>
      <c r="AE7732" s="465"/>
    </row>
    <row r="7733" spans="27:31" ht="14.4">
      <c r="AA7733" s="463"/>
      <c r="AB7733" s="462"/>
      <c r="AC7733" s="462"/>
      <c r="AD7733" s="464"/>
      <c r="AE7733" s="465"/>
    </row>
    <row r="7734" spans="27:31" ht="14.4">
      <c r="AA7734" s="463"/>
      <c r="AB7734" s="462"/>
      <c r="AC7734" s="462"/>
      <c r="AD7734" s="464"/>
      <c r="AE7734" s="465"/>
    </row>
    <row r="7735" spans="27:31" ht="14.4">
      <c r="AA7735" s="463"/>
      <c r="AB7735" s="462"/>
      <c r="AC7735" s="462"/>
      <c r="AD7735" s="464"/>
      <c r="AE7735" s="465"/>
    </row>
    <row r="7736" spans="27:31" ht="14.4">
      <c r="AA7736" s="463"/>
      <c r="AB7736" s="462"/>
      <c r="AC7736" s="462"/>
      <c r="AD7736" s="464"/>
      <c r="AE7736" s="465"/>
    </row>
    <row r="7737" spans="27:31" ht="14.4">
      <c r="AA7737" s="463"/>
      <c r="AB7737" s="462"/>
      <c r="AC7737" s="462"/>
      <c r="AD7737" s="464"/>
      <c r="AE7737" s="465"/>
    </row>
    <row r="7738" spans="27:31" ht="14.4">
      <c r="AA7738" s="463"/>
      <c r="AB7738" s="462"/>
      <c r="AC7738" s="462"/>
      <c r="AD7738" s="464"/>
      <c r="AE7738" s="465"/>
    </row>
    <row r="7739" spans="27:31" ht="14.4">
      <c r="AA7739" s="463"/>
      <c r="AB7739" s="462"/>
      <c r="AC7739" s="462"/>
      <c r="AD7739" s="464"/>
      <c r="AE7739" s="465"/>
    </row>
    <row r="7740" spans="27:31" ht="14.4">
      <c r="AA7740" s="463"/>
      <c r="AB7740" s="462"/>
      <c r="AC7740" s="462"/>
      <c r="AD7740" s="464"/>
      <c r="AE7740" s="465"/>
    </row>
    <row r="7741" spans="27:31" ht="14.4">
      <c r="AA7741" s="463"/>
      <c r="AB7741" s="462"/>
      <c r="AC7741" s="462"/>
      <c r="AD7741" s="464"/>
      <c r="AE7741" s="465"/>
    </row>
    <row r="7742" spans="27:31" ht="14.4">
      <c r="AA7742" s="463"/>
      <c r="AB7742" s="462"/>
      <c r="AC7742" s="462"/>
      <c r="AD7742" s="464"/>
      <c r="AE7742" s="465"/>
    </row>
    <row r="7743" spans="27:31" ht="14.4">
      <c r="AA7743" s="463"/>
      <c r="AB7743" s="462"/>
      <c r="AC7743" s="462"/>
      <c r="AD7743" s="464"/>
      <c r="AE7743" s="465"/>
    </row>
    <row r="7744" spans="27:31" ht="14.4">
      <c r="AA7744" s="463"/>
      <c r="AB7744" s="462"/>
      <c r="AC7744" s="462"/>
      <c r="AD7744" s="464"/>
      <c r="AE7744" s="465"/>
    </row>
    <row r="7745" spans="27:31" ht="14.4">
      <c r="AA7745" s="463"/>
      <c r="AB7745" s="462"/>
      <c r="AC7745" s="462"/>
      <c r="AD7745" s="464"/>
      <c r="AE7745" s="465"/>
    </row>
    <row r="7746" spans="27:31" ht="14.4">
      <c r="AA7746" s="463"/>
      <c r="AB7746" s="462"/>
      <c r="AC7746" s="462"/>
      <c r="AD7746" s="464"/>
      <c r="AE7746" s="465"/>
    </row>
    <row r="7747" spans="27:31" ht="14.4">
      <c r="AA7747" s="463"/>
      <c r="AB7747" s="462"/>
      <c r="AC7747" s="462"/>
      <c r="AD7747" s="464"/>
      <c r="AE7747" s="465"/>
    </row>
    <row r="7748" spans="27:31" ht="14.4">
      <c r="AA7748" s="463"/>
      <c r="AB7748" s="462"/>
      <c r="AC7748" s="462"/>
      <c r="AD7748" s="464"/>
      <c r="AE7748" s="465"/>
    </row>
    <row r="7749" spans="27:31" ht="14.4">
      <c r="AA7749" s="463"/>
      <c r="AB7749" s="462"/>
      <c r="AC7749" s="462"/>
      <c r="AD7749" s="464"/>
      <c r="AE7749" s="465"/>
    </row>
    <row r="7750" spans="27:31" ht="14.4">
      <c r="AA7750" s="463"/>
      <c r="AB7750" s="462"/>
      <c r="AC7750" s="462"/>
      <c r="AD7750" s="464"/>
      <c r="AE7750" s="465"/>
    </row>
    <row r="7751" spans="27:31" ht="14.4">
      <c r="AA7751" s="463"/>
      <c r="AB7751" s="462"/>
      <c r="AC7751" s="462"/>
      <c r="AD7751" s="464"/>
      <c r="AE7751" s="465"/>
    </row>
    <row r="7752" spans="27:31" ht="14.4">
      <c r="AA7752" s="463"/>
      <c r="AB7752" s="462"/>
      <c r="AC7752" s="462"/>
      <c r="AD7752" s="464"/>
      <c r="AE7752" s="465"/>
    </row>
    <row r="7753" spans="27:31" ht="14.4">
      <c r="AA7753" s="463"/>
      <c r="AB7753" s="462"/>
      <c r="AC7753" s="462"/>
      <c r="AD7753" s="464"/>
      <c r="AE7753" s="465"/>
    </row>
    <row r="7754" spans="27:31" ht="14.4">
      <c r="AA7754" s="463"/>
      <c r="AB7754" s="462"/>
      <c r="AC7754" s="462"/>
      <c r="AD7754" s="464"/>
      <c r="AE7754" s="465"/>
    </row>
    <row r="7755" spans="27:31" ht="14.4">
      <c r="AA7755" s="463"/>
      <c r="AB7755" s="462"/>
      <c r="AC7755" s="462"/>
      <c r="AD7755" s="464"/>
      <c r="AE7755" s="465"/>
    </row>
    <row r="7756" spans="27:31" ht="14.4">
      <c r="AA7756" s="463"/>
      <c r="AB7756" s="462"/>
      <c r="AC7756" s="462"/>
      <c r="AD7756" s="464"/>
      <c r="AE7756" s="465"/>
    </row>
    <row r="7757" spans="27:31" ht="14.4">
      <c r="AA7757" s="463"/>
      <c r="AB7757" s="462"/>
      <c r="AC7757" s="462"/>
      <c r="AD7757" s="464"/>
      <c r="AE7757" s="465"/>
    </row>
    <row r="7758" spans="27:31" ht="14.4">
      <c r="AA7758" s="463"/>
      <c r="AB7758" s="462"/>
      <c r="AC7758" s="462"/>
      <c r="AD7758" s="464"/>
      <c r="AE7758" s="465"/>
    </row>
    <row r="7759" spans="27:31" ht="14.4">
      <c r="AA7759" s="463"/>
      <c r="AB7759" s="462"/>
      <c r="AC7759" s="462"/>
      <c r="AD7759" s="464"/>
      <c r="AE7759" s="465"/>
    </row>
    <row r="7760" spans="27:31" ht="14.4">
      <c r="AA7760" s="463"/>
      <c r="AB7760" s="462"/>
      <c r="AC7760" s="462"/>
      <c r="AD7760" s="464"/>
      <c r="AE7760" s="465"/>
    </row>
    <row r="7761" spans="27:31" ht="14.4">
      <c r="AA7761" s="463"/>
      <c r="AB7761" s="462"/>
      <c r="AC7761" s="462"/>
      <c r="AD7761" s="464"/>
      <c r="AE7761" s="465"/>
    </row>
    <row r="7762" spans="27:31" ht="14.4">
      <c r="AA7762" s="463"/>
      <c r="AB7762" s="462"/>
      <c r="AC7762" s="462"/>
      <c r="AD7762" s="464"/>
      <c r="AE7762" s="465"/>
    </row>
    <row r="7763" spans="27:31" ht="14.4">
      <c r="AA7763" s="463"/>
      <c r="AB7763" s="462"/>
      <c r="AC7763" s="462"/>
      <c r="AD7763" s="464"/>
      <c r="AE7763" s="465"/>
    </row>
    <row r="7764" spans="27:31" ht="14.4">
      <c r="AA7764" s="463"/>
      <c r="AB7764" s="462"/>
      <c r="AC7764" s="462"/>
      <c r="AD7764" s="464"/>
      <c r="AE7764" s="465"/>
    </row>
    <row r="7765" spans="27:31" ht="14.4">
      <c r="AA7765" s="463"/>
      <c r="AB7765" s="462"/>
      <c r="AC7765" s="462"/>
      <c r="AD7765" s="464"/>
      <c r="AE7765" s="465"/>
    </row>
    <row r="7766" spans="27:31" ht="14.4">
      <c r="AA7766" s="463"/>
      <c r="AB7766" s="462"/>
      <c r="AC7766" s="462"/>
      <c r="AD7766" s="464"/>
      <c r="AE7766" s="465"/>
    </row>
    <row r="7767" spans="27:31" ht="14.4">
      <c r="AA7767" s="463"/>
      <c r="AB7767" s="462"/>
      <c r="AC7767" s="462"/>
      <c r="AD7767" s="464"/>
      <c r="AE7767" s="465"/>
    </row>
    <row r="7768" spans="27:31" ht="14.4">
      <c r="AA7768" s="463"/>
      <c r="AB7768" s="462"/>
      <c r="AC7768" s="462"/>
      <c r="AD7768" s="464"/>
      <c r="AE7768" s="465"/>
    </row>
    <row r="7769" spans="27:31" ht="14.4">
      <c r="AA7769" s="463"/>
      <c r="AB7769" s="462"/>
      <c r="AC7769" s="462"/>
      <c r="AD7769" s="464"/>
      <c r="AE7769" s="465"/>
    </row>
    <row r="7770" spans="27:31" ht="14.4">
      <c r="AA7770" s="463"/>
      <c r="AB7770" s="462"/>
      <c r="AC7770" s="462"/>
      <c r="AD7770" s="464"/>
      <c r="AE7770" s="465"/>
    </row>
    <row r="7771" spans="27:31" ht="14.4">
      <c r="AA7771" s="463"/>
      <c r="AB7771" s="462"/>
      <c r="AC7771" s="462"/>
      <c r="AD7771" s="464"/>
      <c r="AE7771" s="465"/>
    </row>
    <row r="7772" spans="27:31" ht="14.4">
      <c r="AA7772" s="463"/>
      <c r="AB7772" s="462"/>
      <c r="AC7772" s="462"/>
      <c r="AD7772" s="464"/>
      <c r="AE7772" s="465"/>
    </row>
    <row r="7773" spans="27:31" ht="14.4">
      <c r="AA7773" s="463"/>
      <c r="AB7773" s="462"/>
      <c r="AC7773" s="462"/>
      <c r="AD7773" s="464"/>
      <c r="AE7773" s="465"/>
    </row>
    <row r="7774" spans="27:31" ht="14.4">
      <c r="AA7774" s="463"/>
      <c r="AB7774" s="462"/>
      <c r="AC7774" s="462"/>
      <c r="AD7774" s="464"/>
      <c r="AE7774" s="465"/>
    </row>
    <row r="7775" spans="27:31" ht="14.4">
      <c r="AA7775" s="463"/>
      <c r="AB7775" s="462"/>
      <c r="AC7775" s="462"/>
      <c r="AD7775" s="464"/>
      <c r="AE7775" s="465"/>
    </row>
    <row r="7776" spans="27:31" ht="14.4">
      <c r="AA7776" s="463"/>
      <c r="AB7776" s="462"/>
      <c r="AC7776" s="462"/>
      <c r="AD7776" s="464"/>
      <c r="AE7776" s="465"/>
    </row>
    <row r="7777" spans="27:31" ht="14.4">
      <c r="AA7777" s="463"/>
      <c r="AB7777" s="462"/>
      <c r="AC7777" s="462"/>
      <c r="AD7777" s="464"/>
      <c r="AE7777" s="465"/>
    </row>
    <row r="7778" spans="27:31" ht="14.4">
      <c r="AA7778" s="463"/>
      <c r="AB7778" s="462"/>
      <c r="AC7778" s="462"/>
      <c r="AD7778" s="464"/>
      <c r="AE7778" s="465"/>
    </row>
    <row r="7779" spans="27:31" ht="14.4">
      <c r="AA7779" s="463"/>
      <c r="AB7779" s="462"/>
      <c r="AC7779" s="462"/>
      <c r="AD7779" s="464"/>
      <c r="AE7779" s="465"/>
    </row>
    <row r="7780" spans="27:31" ht="14.4">
      <c r="AA7780" s="463"/>
      <c r="AB7780" s="462"/>
      <c r="AC7780" s="462"/>
      <c r="AD7780" s="464"/>
      <c r="AE7780" s="465"/>
    </row>
    <row r="7781" spans="27:31" ht="14.4">
      <c r="AA7781" s="463"/>
      <c r="AB7781" s="462"/>
      <c r="AC7781" s="462"/>
      <c r="AD7781" s="464"/>
      <c r="AE7781" s="465"/>
    </row>
    <row r="7782" spans="27:31" ht="14.4">
      <c r="AA7782" s="463"/>
      <c r="AB7782" s="462"/>
      <c r="AC7782" s="462"/>
      <c r="AD7782" s="464"/>
      <c r="AE7782" s="465"/>
    </row>
    <row r="7783" spans="27:31" ht="14.4">
      <c r="AA7783" s="463"/>
      <c r="AB7783" s="462"/>
      <c r="AC7783" s="462"/>
      <c r="AD7783" s="464"/>
      <c r="AE7783" s="465"/>
    </row>
    <row r="7784" spans="27:31" ht="14.4">
      <c r="AA7784" s="463"/>
      <c r="AB7784" s="462"/>
      <c r="AC7784" s="462"/>
      <c r="AD7784" s="464"/>
      <c r="AE7784" s="465"/>
    </row>
    <row r="7785" spans="27:31" ht="14.4">
      <c r="AA7785" s="463"/>
      <c r="AB7785" s="462"/>
      <c r="AC7785" s="462"/>
      <c r="AD7785" s="464"/>
      <c r="AE7785" s="465"/>
    </row>
    <row r="7786" spans="27:31" ht="14.4">
      <c r="AA7786" s="463"/>
      <c r="AB7786" s="462"/>
      <c r="AC7786" s="462"/>
      <c r="AD7786" s="464"/>
      <c r="AE7786" s="465"/>
    </row>
    <row r="7787" spans="27:31" ht="14.4">
      <c r="AA7787" s="463"/>
      <c r="AB7787" s="462"/>
      <c r="AC7787" s="462"/>
      <c r="AD7787" s="464"/>
      <c r="AE7787" s="465"/>
    </row>
    <row r="7788" spans="27:31" ht="14.4">
      <c r="AA7788" s="463"/>
      <c r="AB7788" s="462"/>
      <c r="AC7788" s="462"/>
      <c r="AD7788" s="464"/>
      <c r="AE7788" s="465"/>
    </row>
    <row r="7789" spans="27:31" ht="14.4">
      <c r="AA7789" s="463"/>
      <c r="AB7789" s="462"/>
      <c r="AC7789" s="462"/>
      <c r="AD7789" s="464"/>
      <c r="AE7789" s="465"/>
    </row>
    <row r="7790" spans="27:31" ht="14.4">
      <c r="AA7790" s="463"/>
      <c r="AB7790" s="462"/>
      <c r="AC7790" s="462"/>
      <c r="AD7790" s="464"/>
      <c r="AE7790" s="465"/>
    </row>
    <row r="7791" spans="27:31" ht="14.4">
      <c r="AA7791" s="463"/>
      <c r="AB7791" s="462"/>
      <c r="AC7791" s="462"/>
      <c r="AD7791" s="464"/>
      <c r="AE7791" s="465"/>
    </row>
    <row r="7792" spans="27:31" ht="14.4">
      <c r="AA7792" s="463"/>
      <c r="AB7792" s="462"/>
      <c r="AC7792" s="462"/>
      <c r="AD7792" s="464"/>
      <c r="AE7792" s="465"/>
    </row>
    <row r="7793" spans="27:31" ht="14.4">
      <c r="AA7793" s="463"/>
      <c r="AB7793" s="462"/>
      <c r="AC7793" s="462"/>
      <c r="AD7793" s="464"/>
      <c r="AE7793" s="465"/>
    </row>
    <row r="7794" spans="27:31" ht="14.4">
      <c r="AA7794" s="463"/>
      <c r="AB7794" s="462"/>
      <c r="AC7794" s="462"/>
      <c r="AD7794" s="464"/>
      <c r="AE7794" s="465"/>
    </row>
    <row r="7795" spans="27:31" ht="14.4">
      <c r="AA7795" s="463"/>
      <c r="AB7795" s="462"/>
      <c r="AC7795" s="462"/>
      <c r="AD7795" s="464"/>
      <c r="AE7795" s="465"/>
    </row>
    <row r="7796" spans="27:31" ht="14.4">
      <c r="AA7796" s="463"/>
      <c r="AB7796" s="462"/>
      <c r="AC7796" s="462"/>
      <c r="AD7796" s="464"/>
      <c r="AE7796" s="465"/>
    </row>
    <row r="7797" spans="27:31" ht="14.4">
      <c r="AA7797" s="463"/>
      <c r="AB7797" s="462"/>
      <c r="AC7797" s="462"/>
      <c r="AD7797" s="464"/>
      <c r="AE7797" s="465"/>
    </row>
    <row r="7798" spans="27:31" ht="14.4">
      <c r="AA7798" s="463"/>
      <c r="AB7798" s="462"/>
      <c r="AC7798" s="462"/>
      <c r="AD7798" s="464"/>
      <c r="AE7798" s="465"/>
    </row>
    <row r="7799" spans="27:31" ht="14.4">
      <c r="AA7799" s="463"/>
      <c r="AB7799" s="462"/>
      <c r="AC7799" s="462"/>
      <c r="AD7799" s="464"/>
      <c r="AE7799" s="465"/>
    </row>
    <row r="7800" spans="27:31" ht="14.4">
      <c r="AA7800" s="463"/>
      <c r="AB7800" s="462"/>
      <c r="AC7800" s="462"/>
      <c r="AD7800" s="464"/>
      <c r="AE7800" s="465"/>
    </row>
    <row r="7801" spans="27:31" ht="14.4">
      <c r="AA7801" s="463"/>
      <c r="AB7801" s="462"/>
      <c r="AC7801" s="462"/>
      <c r="AD7801" s="464"/>
      <c r="AE7801" s="465"/>
    </row>
    <row r="7802" spans="27:31" ht="14.4">
      <c r="AA7802" s="463"/>
      <c r="AB7802" s="462"/>
      <c r="AC7802" s="462"/>
      <c r="AD7802" s="464"/>
      <c r="AE7802" s="465"/>
    </row>
    <row r="7803" spans="27:31" ht="14.4">
      <c r="AA7803" s="463"/>
      <c r="AB7803" s="462"/>
      <c r="AC7803" s="462"/>
      <c r="AD7803" s="464"/>
      <c r="AE7803" s="465"/>
    </row>
    <row r="7804" spans="27:31" ht="14.4">
      <c r="AA7804" s="463"/>
      <c r="AB7804" s="462"/>
      <c r="AC7804" s="462"/>
      <c r="AD7804" s="464"/>
      <c r="AE7804" s="465"/>
    </row>
    <row r="7805" spans="27:31" ht="14.4">
      <c r="AA7805" s="463"/>
      <c r="AB7805" s="462"/>
      <c r="AC7805" s="462"/>
      <c r="AD7805" s="464"/>
      <c r="AE7805" s="465"/>
    </row>
    <row r="7806" spans="27:31" ht="14.4">
      <c r="AA7806" s="463"/>
      <c r="AB7806" s="462"/>
      <c r="AC7806" s="462"/>
      <c r="AD7806" s="464"/>
      <c r="AE7806" s="465"/>
    </row>
    <row r="7807" spans="27:31" ht="14.4">
      <c r="AA7807" s="463"/>
      <c r="AB7807" s="462"/>
      <c r="AC7807" s="462"/>
      <c r="AD7807" s="464"/>
      <c r="AE7807" s="465"/>
    </row>
    <row r="7808" spans="27:31" ht="14.4">
      <c r="AA7808" s="463"/>
      <c r="AB7808" s="462"/>
      <c r="AC7808" s="462"/>
      <c r="AD7808" s="464"/>
      <c r="AE7808" s="465"/>
    </row>
    <row r="7809" spans="27:31" ht="14.4">
      <c r="AA7809" s="463"/>
      <c r="AB7809" s="462"/>
      <c r="AC7809" s="462"/>
      <c r="AD7809" s="464"/>
      <c r="AE7809" s="465"/>
    </row>
    <row r="7810" spans="27:31" ht="14.4">
      <c r="AA7810" s="463"/>
      <c r="AB7810" s="462"/>
      <c r="AC7810" s="462"/>
      <c r="AD7810" s="464"/>
      <c r="AE7810" s="465"/>
    </row>
    <row r="7811" spans="27:31" ht="14.4">
      <c r="AA7811" s="463"/>
      <c r="AB7811" s="462"/>
      <c r="AC7811" s="462"/>
      <c r="AD7811" s="464"/>
      <c r="AE7811" s="465"/>
    </row>
    <row r="7812" spans="27:31" ht="14.4">
      <c r="AA7812" s="463"/>
      <c r="AB7812" s="462"/>
      <c r="AC7812" s="462"/>
      <c r="AD7812" s="464"/>
      <c r="AE7812" s="465"/>
    </row>
    <row r="7813" spans="27:31" ht="14.4">
      <c r="AA7813" s="463"/>
      <c r="AB7813" s="462"/>
      <c r="AC7813" s="462"/>
      <c r="AD7813" s="464"/>
      <c r="AE7813" s="465"/>
    </row>
    <row r="7814" spans="27:31" ht="14.4">
      <c r="AA7814" s="463"/>
      <c r="AB7814" s="462"/>
      <c r="AC7814" s="462"/>
      <c r="AD7814" s="464"/>
      <c r="AE7814" s="465"/>
    </row>
    <row r="7815" spans="27:31" ht="14.4">
      <c r="AA7815" s="463"/>
      <c r="AB7815" s="462"/>
      <c r="AC7815" s="462"/>
      <c r="AD7815" s="464"/>
      <c r="AE7815" s="465"/>
    </row>
    <row r="7816" spans="27:31" ht="14.4">
      <c r="AA7816" s="463"/>
      <c r="AB7816" s="462"/>
      <c r="AC7816" s="462"/>
      <c r="AD7816" s="464"/>
      <c r="AE7816" s="465"/>
    </row>
    <row r="7817" spans="27:31" ht="14.4">
      <c r="AA7817" s="463"/>
      <c r="AB7817" s="462"/>
      <c r="AC7817" s="462"/>
      <c r="AD7817" s="464"/>
      <c r="AE7817" s="465"/>
    </row>
    <row r="7818" spans="27:31" ht="14.4">
      <c r="AA7818" s="463"/>
      <c r="AB7818" s="462"/>
      <c r="AC7818" s="462"/>
      <c r="AD7818" s="464"/>
      <c r="AE7818" s="465"/>
    </row>
    <row r="7819" spans="27:31" ht="14.4">
      <c r="AA7819" s="463"/>
      <c r="AB7819" s="462"/>
      <c r="AC7819" s="462"/>
      <c r="AD7819" s="464"/>
      <c r="AE7819" s="465"/>
    </row>
    <row r="7820" spans="27:31" ht="14.4">
      <c r="AA7820" s="463"/>
      <c r="AB7820" s="462"/>
      <c r="AC7820" s="462"/>
      <c r="AD7820" s="464"/>
      <c r="AE7820" s="465"/>
    </row>
    <row r="7821" spans="27:31" ht="14.4">
      <c r="AA7821" s="463"/>
      <c r="AB7821" s="462"/>
      <c r="AC7821" s="462"/>
      <c r="AD7821" s="464"/>
      <c r="AE7821" s="465"/>
    </row>
    <row r="7822" spans="27:31" ht="14.4">
      <c r="AA7822" s="463"/>
      <c r="AB7822" s="462"/>
      <c r="AC7822" s="462"/>
      <c r="AD7822" s="464"/>
      <c r="AE7822" s="465"/>
    </row>
    <row r="7823" spans="27:31" ht="14.4">
      <c r="AA7823" s="463"/>
      <c r="AB7823" s="462"/>
      <c r="AC7823" s="462"/>
      <c r="AD7823" s="464"/>
      <c r="AE7823" s="465"/>
    </row>
    <row r="7824" spans="27:31" ht="14.4">
      <c r="AA7824" s="463"/>
      <c r="AB7824" s="462"/>
      <c r="AC7824" s="462"/>
      <c r="AD7824" s="464"/>
      <c r="AE7824" s="465"/>
    </row>
    <row r="7825" spans="27:31" ht="14.4">
      <c r="AA7825" s="463"/>
      <c r="AB7825" s="462"/>
      <c r="AC7825" s="462"/>
      <c r="AD7825" s="464"/>
      <c r="AE7825" s="465"/>
    </row>
    <row r="7826" spans="27:31" ht="14.4">
      <c r="AA7826" s="463"/>
      <c r="AB7826" s="462"/>
      <c r="AC7826" s="462"/>
      <c r="AD7826" s="464"/>
      <c r="AE7826" s="465"/>
    </row>
    <row r="7827" spans="27:31" ht="14.4">
      <c r="AA7827" s="463"/>
      <c r="AB7827" s="462"/>
      <c r="AC7827" s="462"/>
      <c r="AD7827" s="464"/>
      <c r="AE7827" s="465"/>
    </row>
    <row r="7828" spans="27:31" ht="14.4">
      <c r="AA7828" s="463"/>
      <c r="AB7828" s="462"/>
      <c r="AC7828" s="462"/>
      <c r="AD7828" s="464"/>
      <c r="AE7828" s="465"/>
    </row>
    <row r="7829" spans="27:31" ht="14.4">
      <c r="AA7829" s="463"/>
      <c r="AB7829" s="462"/>
      <c r="AC7829" s="462"/>
      <c r="AD7829" s="464"/>
      <c r="AE7829" s="465"/>
    </row>
    <row r="7830" spans="27:31" ht="14.4">
      <c r="AA7830" s="463"/>
      <c r="AB7830" s="462"/>
      <c r="AC7830" s="462"/>
      <c r="AD7830" s="464"/>
      <c r="AE7830" s="465"/>
    </row>
    <row r="7831" spans="27:31" ht="14.4">
      <c r="AA7831" s="463"/>
      <c r="AB7831" s="462"/>
      <c r="AC7831" s="462"/>
      <c r="AD7831" s="464"/>
      <c r="AE7831" s="465"/>
    </row>
    <row r="7832" spans="27:31" ht="14.4">
      <c r="AA7832" s="463"/>
      <c r="AB7832" s="462"/>
      <c r="AC7832" s="462"/>
      <c r="AD7832" s="464"/>
      <c r="AE7832" s="465"/>
    </row>
    <row r="7833" spans="27:31" ht="14.4">
      <c r="AA7833" s="463"/>
      <c r="AB7833" s="462"/>
      <c r="AC7833" s="462"/>
      <c r="AD7833" s="464"/>
      <c r="AE7833" s="465"/>
    </row>
    <row r="7834" spans="27:31" ht="14.4">
      <c r="AA7834" s="463"/>
      <c r="AB7834" s="462"/>
      <c r="AC7834" s="462"/>
      <c r="AD7834" s="464"/>
      <c r="AE7834" s="465"/>
    </row>
    <row r="7835" spans="27:31" ht="14.4">
      <c r="AA7835" s="463"/>
      <c r="AB7835" s="462"/>
      <c r="AC7835" s="462"/>
      <c r="AD7835" s="464"/>
      <c r="AE7835" s="465"/>
    </row>
    <row r="7836" spans="27:31" ht="14.4">
      <c r="AA7836" s="463"/>
      <c r="AB7836" s="462"/>
      <c r="AC7836" s="462"/>
      <c r="AD7836" s="464"/>
      <c r="AE7836" s="465"/>
    </row>
    <row r="7837" spans="27:31" ht="14.4">
      <c r="AA7837" s="463"/>
      <c r="AB7837" s="462"/>
      <c r="AC7837" s="462"/>
      <c r="AD7837" s="464"/>
      <c r="AE7837" s="465"/>
    </row>
    <row r="7838" spans="27:31" ht="14.4">
      <c r="AA7838" s="463"/>
      <c r="AB7838" s="462"/>
      <c r="AC7838" s="462"/>
      <c r="AD7838" s="464"/>
      <c r="AE7838" s="465"/>
    </row>
    <row r="7839" spans="27:31" ht="14.4">
      <c r="AA7839" s="463"/>
      <c r="AB7839" s="462"/>
      <c r="AC7839" s="462"/>
      <c r="AD7839" s="464"/>
      <c r="AE7839" s="465"/>
    </row>
    <row r="7840" spans="27:31" ht="14.4">
      <c r="AA7840" s="463"/>
      <c r="AB7840" s="462"/>
      <c r="AC7840" s="462"/>
      <c r="AD7840" s="464"/>
      <c r="AE7840" s="465"/>
    </row>
    <row r="7841" spans="27:31" ht="14.4">
      <c r="AA7841" s="463"/>
      <c r="AB7841" s="462"/>
      <c r="AC7841" s="462"/>
      <c r="AD7841" s="464"/>
      <c r="AE7841" s="465"/>
    </row>
    <row r="7842" spans="27:31" ht="14.4">
      <c r="AA7842" s="463"/>
      <c r="AB7842" s="462"/>
      <c r="AC7842" s="462"/>
      <c r="AD7842" s="464"/>
      <c r="AE7842" s="465"/>
    </row>
    <row r="7843" spans="27:31" ht="14.4">
      <c r="AA7843" s="463"/>
      <c r="AB7843" s="462"/>
      <c r="AC7843" s="462"/>
      <c r="AD7843" s="464"/>
      <c r="AE7843" s="465"/>
    </row>
    <row r="7844" spans="27:31" ht="14.4">
      <c r="AA7844" s="463"/>
      <c r="AB7844" s="462"/>
      <c r="AC7844" s="462"/>
      <c r="AD7844" s="464"/>
      <c r="AE7844" s="465"/>
    </row>
    <row r="7845" spans="27:31" ht="14.4">
      <c r="AA7845" s="463"/>
      <c r="AB7845" s="462"/>
      <c r="AC7845" s="462"/>
      <c r="AD7845" s="464"/>
      <c r="AE7845" s="465"/>
    </row>
    <row r="7846" spans="27:31" ht="14.4">
      <c r="AA7846" s="463"/>
      <c r="AB7846" s="462"/>
      <c r="AC7846" s="462"/>
      <c r="AD7846" s="464"/>
      <c r="AE7846" s="465"/>
    </row>
    <row r="7847" spans="27:31" ht="14.4">
      <c r="AA7847" s="463"/>
      <c r="AB7847" s="462"/>
      <c r="AC7847" s="462"/>
      <c r="AD7847" s="464"/>
      <c r="AE7847" s="465"/>
    </row>
    <row r="7848" spans="27:31" ht="14.4">
      <c r="AA7848" s="463"/>
      <c r="AB7848" s="462"/>
      <c r="AC7848" s="462"/>
      <c r="AD7848" s="464"/>
      <c r="AE7848" s="465"/>
    </row>
    <row r="7849" spans="27:31" ht="14.4">
      <c r="AA7849" s="463"/>
      <c r="AB7849" s="462"/>
      <c r="AC7849" s="462"/>
      <c r="AD7849" s="464"/>
      <c r="AE7849" s="465"/>
    </row>
    <row r="7850" spans="27:31" ht="14.4">
      <c r="AA7850" s="463"/>
      <c r="AB7850" s="462"/>
      <c r="AC7850" s="462"/>
      <c r="AD7850" s="464"/>
      <c r="AE7850" s="465"/>
    </row>
    <row r="7851" spans="27:31" ht="14.4">
      <c r="AA7851" s="463"/>
      <c r="AB7851" s="462"/>
      <c r="AC7851" s="462"/>
      <c r="AD7851" s="464"/>
      <c r="AE7851" s="465"/>
    </row>
    <row r="7852" spans="27:31" ht="14.4">
      <c r="AA7852" s="463"/>
      <c r="AB7852" s="462"/>
      <c r="AC7852" s="462"/>
      <c r="AD7852" s="464"/>
      <c r="AE7852" s="465"/>
    </row>
    <row r="7853" spans="27:31" ht="14.4">
      <c r="AA7853" s="463"/>
      <c r="AB7853" s="462"/>
      <c r="AC7853" s="462"/>
      <c r="AD7853" s="464"/>
      <c r="AE7853" s="465"/>
    </row>
    <row r="7854" spans="27:31" ht="14.4">
      <c r="AA7854" s="463"/>
      <c r="AB7854" s="462"/>
      <c r="AC7854" s="462"/>
      <c r="AD7854" s="464"/>
      <c r="AE7854" s="465"/>
    </row>
    <row r="7855" spans="27:31" ht="14.4">
      <c r="AA7855" s="463"/>
      <c r="AB7855" s="462"/>
      <c r="AC7855" s="462"/>
      <c r="AD7855" s="464"/>
      <c r="AE7855" s="465"/>
    </row>
    <row r="7856" spans="27:31" ht="14.4">
      <c r="AA7856" s="463"/>
      <c r="AB7856" s="462"/>
      <c r="AC7856" s="462"/>
      <c r="AD7856" s="464"/>
      <c r="AE7856" s="465"/>
    </row>
    <row r="7857" spans="27:31" ht="14.4">
      <c r="AA7857" s="463"/>
      <c r="AB7857" s="462"/>
      <c r="AC7857" s="462"/>
      <c r="AD7857" s="464"/>
      <c r="AE7857" s="465"/>
    </row>
    <row r="7858" spans="27:31" ht="14.4">
      <c r="AA7858" s="463"/>
      <c r="AB7858" s="462"/>
      <c r="AC7858" s="462"/>
      <c r="AD7858" s="464"/>
      <c r="AE7858" s="465"/>
    </row>
    <row r="7859" spans="27:31" ht="14.4">
      <c r="AA7859" s="463"/>
      <c r="AB7859" s="462"/>
      <c r="AC7859" s="462"/>
      <c r="AD7859" s="464"/>
      <c r="AE7859" s="465"/>
    </row>
    <row r="7860" spans="27:31" ht="14.4">
      <c r="AA7860" s="463"/>
      <c r="AB7860" s="462"/>
      <c r="AC7860" s="462"/>
      <c r="AD7860" s="464"/>
      <c r="AE7860" s="465"/>
    </row>
    <row r="7861" spans="27:31" ht="14.4">
      <c r="AA7861" s="463"/>
      <c r="AB7861" s="462"/>
      <c r="AC7861" s="462"/>
      <c r="AD7861" s="464"/>
      <c r="AE7861" s="465"/>
    </row>
    <row r="7862" spans="27:31" ht="14.4">
      <c r="AA7862" s="463"/>
      <c r="AB7862" s="462"/>
      <c r="AC7862" s="462"/>
      <c r="AD7862" s="464"/>
      <c r="AE7862" s="465"/>
    </row>
    <row r="7863" spans="27:31" ht="14.4">
      <c r="AA7863" s="463"/>
      <c r="AB7863" s="462"/>
      <c r="AC7863" s="462"/>
      <c r="AD7863" s="464"/>
      <c r="AE7863" s="465"/>
    </row>
    <row r="7864" spans="27:31" ht="14.4">
      <c r="AA7864" s="463"/>
      <c r="AB7864" s="462"/>
      <c r="AC7864" s="462"/>
      <c r="AD7864" s="464"/>
      <c r="AE7864" s="465"/>
    </row>
    <row r="7865" spans="27:31" ht="14.4">
      <c r="AA7865" s="463"/>
      <c r="AB7865" s="462"/>
      <c r="AC7865" s="462"/>
      <c r="AD7865" s="464"/>
      <c r="AE7865" s="465"/>
    </row>
    <row r="7866" spans="27:31" ht="14.4">
      <c r="AA7866" s="463"/>
      <c r="AB7866" s="462"/>
      <c r="AC7866" s="462"/>
      <c r="AD7866" s="464"/>
      <c r="AE7866" s="465"/>
    </row>
    <row r="7867" spans="27:31" ht="14.4">
      <c r="AA7867" s="463"/>
      <c r="AB7867" s="462"/>
      <c r="AC7867" s="462"/>
      <c r="AD7867" s="464"/>
      <c r="AE7867" s="465"/>
    </row>
    <row r="7868" spans="27:31" ht="14.4">
      <c r="AA7868" s="463"/>
      <c r="AB7868" s="462"/>
      <c r="AC7868" s="462"/>
      <c r="AD7868" s="464"/>
      <c r="AE7868" s="465"/>
    </row>
    <row r="7869" spans="27:31" ht="14.4">
      <c r="AA7869" s="463"/>
      <c r="AB7869" s="462"/>
      <c r="AC7869" s="462"/>
      <c r="AD7869" s="464"/>
      <c r="AE7869" s="465"/>
    </row>
    <row r="7870" spans="27:31" ht="14.4">
      <c r="AA7870" s="463"/>
      <c r="AB7870" s="462"/>
      <c r="AC7870" s="462"/>
      <c r="AD7870" s="464"/>
      <c r="AE7870" s="465"/>
    </row>
    <row r="7871" spans="27:31" ht="14.4">
      <c r="AA7871" s="463"/>
      <c r="AB7871" s="462"/>
      <c r="AC7871" s="462"/>
      <c r="AD7871" s="464"/>
      <c r="AE7871" s="465"/>
    </row>
    <row r="7872" spans="27:31" ht="14.4">
      <c r="AA7872" s="463"/>
      <c r="AB7872" s="462"/>
      <c r="AC7872" s="462"/>
      <c r="AD7872" s="464"/>
      <c r="AE7872" s="465"/>
    </row>
    <row r="7873" spans="27:31" ht="14.4">
      <c r="AA7873" s="463"/>
      <c r="AB7873" s="462"/>
      <c r="AC7873" s="462"/>
      <c r="AD7873" s="464"/>
      <c r="AE7873" s="465"/>
    </row>
    <row r="7874" spans="27:31" ht="14.4">
      <c r="AA7874" s="463"/>
      <c r="AB7874" s="462"/>
      <c r="AC7874" s="462"/>
      <c r="AD7874" s="464"/>
      <c r="AE7874" s="465"/>
    </row>
    <row r="7875" spans="27:31" ht="14.4">
      <c r="AA7875" s="463"/>
      <c r="AB7875" s="462"/>
      <c r="AC7875" s="462"/>
      <c r="AD7875" s="464"/>
      <c r="AE7875" s="465"/>
    </row>
    <row r="7876" spans="27:31" ht="14.4">
      <c r="AA7876" s="463"/>
      <c r="AB7876" s="462"/>
      <c r="AC7876" s="462"/>
      <c r="AD7876" s="464"/>
      <c r="AE7876" s="465"/>
    </row>
    <row r="7877" spans="27:31" ht="14.4">
      <c r="AA7877" s="463"/>
      <c r="AB7877" s="462"/>
      <c r="AC7877" s="462"/>
      <c r="AD7877" s="464"/>
      <c r="AE7877" s="465"/>
    </row>
    <row r="7878" spans="27:31" ht="14.4">
      <c r="AA7878" s="463"/>
      <c r="AB7878" s="462"/>
      <c r="AC7878" s="462"/>
      <c r="AD7878" s="464"/>
      <c r="AE7878" s="465"/>
    </row>
    <row r="7879" spans="27:31" ht="14.4">
      <c r="AA7879" s="463"/>
      <c r="AB7879" s="462"/>
      <c r="AC7879" s="462"/>
      <c r="AD7879" s="464"/>
      <c r="AE7879" s="465"/>
    </row>
    <row r="7880" spans="27:31" ht="14.4">
      <c r="AA7880" s="463"/>
      <c r="AB7880" s="462"/>
      <c r="AC7880" s="462"/>
      <c r="AD7880" s="464"/>
      <c r="AE7880" s="465"/>
    </row>
    <row r="7881" spans="27:31" ht="14.4">
      <c r="AA7881" s="463"/>
      <c r="AB7881" s="462"/>
      <c r="AC7881" s="462"/>
      <c r="AD7881" s="464"/>
      <c r="AE7881" s="465"/>
    </row>
    <row r="7882" spans="27:31" ht="14.4">
      <c r="AA7882" s="463"/>
      <c r="AB7882" s="462"/>
      <c r="AC7882" s="462"/>
      <c r="AD7882" s="464"/>
      <c r="AE7882" s="465"/>
    </row>
    <row r="7883" spans="27:31" ht="14.4">
      <c r="AA7883" s="463"/>
      <c r="AB7883" s="462"/>
      <c r="AC7883" s="462"/>
      <c r="AD7883" s="464"/>
      <c r="AE7883" s="465"/>
    </row>
    <row r="7884" spans="27:31" ht="14.4">
      <c r="AA7884" s="463"/>
      <c r="AB7884" s="462"/>
      <c r="AC7884" s="462"/>
      <c r="AD7884" s="464"/>
      <c r="AE7884" s="465"/>
    </row>
    <row r="7885" spans="27:31" ht="14.4">
      <c r="AA7885" s="463"/>
      <c r="AB7885" s="462"/>
      <c r="AC7885" s="462"/>
      <c r="AD7885" s="464"/>
      <c r="AE7885" s="465"/>
    </row>
    <row r="7886" spans="27:31" ht="14.4">
      <c r="AA7886" s="463"/>
      <c r="AB7886" s="462"/>
      <c r="AC7886" s="462"/>
      <c r="AD7886" s="464"/>
      <c r="AE7886" s="465"/>
    </row>
    <row r="7887" spans="27:31" ht="14.4">
      <c r="AA7887" s="463"/>
      <c r="AB7887" s="462"/>
      <c r="AC7887" s="462"/>
      <c r="AD7887" s="464"/>
      <c r="AE7887" s="465"/>
    </row>
    <row r="7888" spans="27:31" ht="14.4">
      <c r="AA7888" s="463"/>
      <c r="AB7888" s="462"/>
      <c r="AC7888" s="462"/>
      <c r="AD7888" s="464"/>
      <c r="AE7888" s="465"/>
    </row>
    <row r="7889" spans="27:31" ht="14.4">
      <c r="AA7889" s="463"/>
      <c r="AB7889" s="462"/>
      <c r="AC7889" s="462"/>
      <c r="AD7889" s="464"/>
      <c r="AE7889" s="465"/>
    </row>
    <row r="7890" spans="27:31" ht="14.4">
      <c r="AA7890" s="463"/>
      <c r="AB7890" s="462"/>
      <c r="AC7890" s="462"/>
      <c r="AD7890" s="464"/>
      <c r="AE7890" s="465"/>
    </row>
    <row r="7891" spans="27:31" ht="14.4">
      <c r="AA7891" s="463"/>
      <c r="AB7891" s="462"/>
      <c r="AC7891" s="462"/>
      <c r="AD7891" s="464"/>
      <c r="AE7891" s="465"/>
    </row>
    <row r="7892" spans="27:31" ht="14.4">
      <c r="AA7892" s="463"/>
      <c r="AB7892" s="462"/>
      <c r="AC7892" s="462"/>
      <c r="AD7892" s="464"/>
      <c r="AE7892" s="465"/>
    </row>
    <row r="7893" spans="27:31" ht="14.4">
      <c r="AA7893" s="463"/>
      <c r="AB7893" s="462"/>
      <c r="AC7893" s="462"/>
      <c r="AD7893" s="464"/>
      <c r="AE7893" s="465"/>
    </row>
    <row r="7894" spans="27:31" ht="14.4">
      <c r="AA7894" s="463"/>
      <c r="AB7894" s="462"/>
      <c r="AC7894" s="462"/>
      <c r="AD7894" s="464"/>
      <c r="AE7894" s="465"/>
    </row>
    <row r="7895" spans="27:31" ht="14.4">
      <c r="AA7895" s="463"/>
      <c r="AB7895" s="462"/>
      <c r="AC7895" s="462"/>
      <c r="AD7895" s="464"/>
      <c r="AE7895" s="465"/>
    </row>
    <row r="7896" spans="27:31" ht="14.4">
      <c r="AA7896" s="463"/>
      <c r="AB7896" s="462"/>
      <c r="AC7896" s="462"/>
      <c r="AD7896" s="464"/>
      <c r="AE7896" s="465"/>
    </row>
    <row r="7897" spans="27:31" ht="14.4">
      <c r="AA7897" s="463"/>
      <c r="AB7897" s="462"/>
      <c r="AC7897" s="462"/>
      <c r="AD7897" s="464"/>
      <c r="AE7897" s="465"/>
    </row>
    <row r="7898" spans="27:31" ht="14.4">
      <c r="AA7898" s="463"/>
      <c r="AB7898" s="462"/>
      <c r="AC7898" s="462"/>
      <c r="AD7898" s="464"/>
      <c r="AE7898" s="465"/>
    </row>
    <row r="7899" spans="27:31" ht="14.4">
      <c r="AA7899" s="463"/>
      <c r="AB7899" s="462"/>
      <c r="AC7899" s="462"/>
      <c r="AD7899" s="464"/>
      <c r="AE7899" s="465"/>
    </row>
    <row r="7900" spans="27:31" ht="14.4">
      <c r="AA7900" s="463"/>
      <c r="AB7900" s="462"/>
      <c r="AC7900" s="462"/>
      <c r="AD7900" s="464"/>
      <c r="AE7900" s="465"/>
    </row>
    <row r="7901" spans="27:31" ht="14.4">
      <c r="AA7901" s="463"/>
      <c r="AB7901" s="462"/>
      <c r="AC7901" s="462"/>
      <c r="AD7901" s="464"/>
      <c r="AE7901" s="465"/>
    </row>
    <row r="7902" spans="27:31" ht="14.4">
      <c r="AA7902" s="463"/>
      <c r="AB7902" s="462"/>
      <c r="AC7902" s="462"/>
      <c r="AD7902" s="464"/>
      <c r="AE7902" s="465"/>
    </row>
    <row r="7903" spans="27:31" ht="14.4">
      <c r="AA7903" s="463"/>
      <c r="AB7903" s="462"/>
      <c r="AC7903" s="462"/>
      <c r="AD7903" s="464"/>
      <c r="AE7903" s="465"/>
    </row>
    <row r="7904" spans="27:31" ht="14.4">
      <c r="AA7904" s="463"/>
      <c r="AB7904" s="462"/>
      <c r="AC7904" s="462"/>
      <c r="AD7904" s="464"/>
      <c r="AE7904" s="465"/>
    </row>
    <row r="7905" spans="27:31" ht="14.4">
      <c r="AA7905" s="463"/>
      <c r="AB7905" s="462"/>
      <c r="AC7905" s="462"/>
      <c r="AD7905" s="464"/>
      <c r="AE7905" s="465"/>
    </row>
    <row r="7906" spans="27:31" ht="14.4">
      <c r="AA7906" s="463"/>
      <c r="AB7906" s="462"/>
      <c r="AC7906" s="462"/>
      <c r="AD7906" s="464"/>
      <c r="AE7906" s="465"/>
    </row>
    <row r="7907" spans="27:31" ht="14.4">
      <c r="AA7907" s="463"/>
      <c r="AB7907" s="462"/>
      <c r="AC7907" s="462"/>
      <c r="AD7907" s="464"/>
      <c r="AE7907" s="465"/>
    </row>
    <row r="7908" spans="27:31" ht="14.4">
      <c r="AA7908" s="463"/>
      <c r="AB7908" s="462"/>
      <c r="AC7908" s="462"/>
      <c r="AD7908" s="464"/>
      <c r="AE7908" s="465"/>
    </row>
    <row r="7909" spans="27:31" ht="14.4">
      <c r="AA7909" s="463"/>
      <c r="AB7909" s="462"/>
      <c r="AC7909" s="462"/>
      <c r="AD7909" s="464"/>
      <c r="AE7909" s="465"/>
    </row>
    <row r="7910" spans="27:31" ht="14.4">
      <c r="AA7910" s="463"/>
      <c r="AB7910" s="462"/>
      <c r="AC7910" s="462"/>
      <c r="AD7910" s="464"/>
      <c r="AE7910" s="465"/>
    </row>
    <row r="7911" spans="27:31" ht="14.4">
      <c r="AA7911" s="463"/>
      <c r="AB7911" s="462"/>
      <c r="AC7911" s="462"/>
      <c r="AD7911" s="464"/>
      <c r="AE7911" s="465"/>
    </row>
    <row r="7912" spans="27:31" ht="14.4">
      <c r="AA7912" s="463"/>
      <c r="AB7912" s="462"/>
      <c r="AC7912" s="462"/>
      <c r="AD7912" s="464"/>
      <c r="AE7912" s="465"/>
    </row>
    <row r="7913" spans="27:31" ht="14.4">
      <c r="AA7913" s="463"/>
      <c r="AB7913" s="462"/>
      <c r="AC7913" s="462"/>
      <c r="AD7913" s="464"/>
      <c r="AE7913" s="465"/>
    </row>
    <row r="7914" spans="27:31" ht="14.4">
      <c r="AA7914" s="463"/>
      <c r="AB7914" s="462"/>
      <c r="AC7914" s="462"/>
      <c r="AD7914" s="464"/>
      <c r="AE7914" s="465"/>
    </row>
    <row r="7915" spans="27:31" ht="14.4">
      <c r="AA7915" s="463"/>
      <c r="AB7915" s="462"/>
      <c r="AC7915" s="462"/>
      <c r="AD7915" s="464"/>
      <c r="AE7915" s="465"/>
    </row>
    <row r="7916" spans="27:31" ht="14.4">
      <c r="AA7916" s="463"/>
      <c r="AB7916" s="462"/>
      <c r="AC7916" s="462"/>
      <c r="AD7916" s="464"/>
      <c r="AE7916" s="465"/>
    </row>
    <row r="7917" spans="27:31" ht="14.4">
      <c r="AA7917" s="463"/>
      <c r="AB7917" s="462"/>
      <c r="AC7917" s="462"/>
      <c r="AD7917" s="464"/>
      <c r="AE7917" s="465"/>
    </row>
    <row r="7918" spans="27:31" ht="14.4">
      <c r="AA7918" s="463"/>
      <c r="AB7918" s="462"/>
      <c r="AC7918" s="462"/>
      <c r="AD7918" s="464"/>
      <c r="AE7918" s="465"/>
    </row>
    <row r="7919" spans="27:31" ht="14.4">
      <c r="AA7919" s="463"/>
      <c r="AB7919" s="462"/>
      <c r="AC7919" s="462"/>
      <c r="AD7919" s="464"/>
      <c r="AE7919" s="465"/>
    </row>
    <row r="7920" spans="27:31" ht="14.4">
      <c r="AA7920" s="463"/>
      <c r="AB7920" s="462"/>
      <c r="AC7920" s="462"/>
      <c r="AD7920" s="464"/>
      <c r="AE7920" s="465"/>
    </row>
    <row r="7921" spans="27:31" ht="14.4">
      <c r="AA7921" s="463"/>
      <c r="AB7921" s="462"/>
      <c r="AC7921" s="462"/>
      <c r="AD7921" s="464"/>
      <c r="AE7921" s="465"/>
    </row>
    <row r="7922" spans="27:31" ht="14.4">
      <c r="AA7922" s="463"/>
      <c r="AB7922" s="462"/>
      <c r="AC7922" s="462"/>
      <c r="AD7922" s="464"/>
      <c r="AE7922" s="465"/>
    </row>
    <row r="7923" spans="27:31" ht="14.4">
      <c r="AA7923" s="463"/>
      <c r="AB7923" s="462"/>
      <c r="AC7923" s="462"/>
      <c r="AD7923" s="464"/>
      <c r="AE7923" s="465"/>
    </row>
    <row r="7924" spans="27:31" ht="14.4">
      <c r="AA7924" s="463"/>
      <c r="AB7924" s="462"/>
      <c r="AC7924" s="462"/>
      <c r="AD7924" s="464"/>
      <c r="AE7924" s="465"/>
    </row>
    <row r="7925" spans="27:31" ht="14.4">
      <c r="AA7925" s="463"/>
      <c r="AB7925" s="462"/>
      <c r="AC7925" s="462"/>
      <c r="AD7925" s="464"/>
      <c r="AE7925" s="465"/>
    </row>
    <row r="7926" spans="27:31" ht="14.4">
      <c r="AA7926" s="463"/>
      <c r="AB7926" s="462"/>
      <c r="AC7926" s="462"/>
      <c r="AD7926" s="464"/>
      <c r="AE7926" s="465"/>
    </row>
    <row r="7927" spans="27:31" ht="14.4">
      <c r="AA7927" s="463"/>
      <c r="AB7927" s="462"/>
      <c r="AC7927" s="462"/>
      <c r="AD7927" s="464"/>
      <c r="AE7927" s="465"/>
    </row>
    <row r="7928" spans="27:31" ht="14.4">
      <c r="AA7928" s="463"/>
      <c r="AB7928" s="462"/>
      <c r="AC7928" s="462"/>
      <c r="AD7928" s="464"/>
      <c r="AE7928" s="465"/>
    </row>
    <row r="7929" spans="27:31" ht="14.4">
      <c r="AA7929" s="463"/>
      <c r="AB7929" s="462"/>
      <c r="AC7929" s="462"/>
      <c r="AD7929" s="464"/>
      <c r="AE7929" s="465"/>
    </row>
    <row r="7930" spans="27:31" ht="14.4">
      <c r="AA7930" s="463"/>
      <c r="AB7930" s="462"/>
      <c r="AC7930" s="462"/>
      <c r="AD7930" s="464"/>
      <c r="AE7930" s="465"/>
    </row>
    <row r="7931" spans="27:31" ht="14.4">
      <c r="AA7931" s="463"/>
      <c r="AB7931" s="462"/>
      <c r="AC7931" s="462"/>
      <c r="AD7931" s="464"/>
      <c r="AE7931" s="465"/>
    </row>
    <row r="7932" spans="27:31" ht="14.4">
      <c r="AA7932" s="463"/>
      <c r="AB7932" s="462"/>
      <c r="AC7932" s="462"/>
      <c r="AD7932" s="464"/>
      <c r="AE7932" s="465"/>
    </row>
    <row r="7933" spans="27:31" ht="14.4">
      <c r="AA7933" s="463"/>
      <c r="AB7933" s="462"/>
      <c r="AC7933" s="462"/>
      <c r="AD7933" s="464"/>
      <c r="AE7933" s="465"/>
    </row>
    <row r="7934" spans="27:31" ht="14.4">
      <c r="AA7934" s="463"/>
      <c r="AB7934" s="462"/>
      <c r="AC7934" s="462"/>
      <c r="AD7934" s="464"/>
      <c r="AE7934" s="465"/>
    </row>
    <row r="7935" spans="27:31" ht="14.4">
      <c r="AA7935" s="463"/>
      <c r="AB7935" s="462"/>
      <c r="AC7935" s="462"/>
      <c r="AD7935" s="464"/>
      <c r="AE7935" s="465"/>
    </row>
    <row r="7936" spans="27:31" ht="14.4">
      <c r="AA7936" s="463"/>
      <c r="AB7936" s="462"/>
      <c r="AC7936" s="462"/>
      <c r="AD7936" s="464"/>
      <c r="AE7936" s="465"/>
    </row>
    <row r="7937" spans="27:31" ht="14.4">
      <c r="AA7937" s="463"/>
      <c r="AB7937" s="462"/>
      <c r="AC7937" s="462"/>
      <c r="AD7937" s="464"/>
      <c r="AE7937" s="465"/>
    </row>
    <row r="7938" spans="27:31" ht="14.4">
      <c r="AA7938" s="463"/>
      <c r="AB7938" s="462"/>
      <c r="AC7938" s="462"/>
      <c r="AD7938" s="464"/>
      <c r="AE7938" s="465"/>
    </row>
    <row r="7939" spans="27:31" ht="14.4">
      <c r="AA7939" s="463"/>
      <c r="AB7939" s="462"/>
      <c r="AC7939" s="462"/>
      <c r="AD7939" s="464"/>
      <c r="AE7939" s="465"/>
    </row>
    <row r="7940" spans="27:31" ht="14.4">
      <c r="AA7940" s="463"/>
      <c r="AB7940" s="462"/>
      <c r="AC7940" s="462"/>
      <c r="AD7940" s="464"/>
      <c r="AE7940" s="465"/>
    </row>
    <row r="7941" spans="27:31" ht="14.4">
      <c r="AA7941" s="463"/>
      <c r="AB7941" s="462"/>
      <c r="AC7941" s="462"/>
      <c r="AD7941" s="464"/>
      <c r="AE7941" s="465"/>
    </row>
    <row r="7942" spans="27:31" ht="14.4">
      <c r="AA7942" s="463"/>
      <c r="AB7942" s="462"/>
      <c r="AC7942" s="462"/>
      <c r="AD7942" s="464"/>
      <c r="AE7942" s="465"/>
    </row>
    <row r="7943" spans="27:31" ht="14.4">
      <c r="AA7943" s="463"/>
      <c r="AB7943" s="462"/>
      <c r="AC7943" s="462"/>
      <c r="AD7943" s="464"/>
      <c r="AE7943" s="465"/>
    </row>
    <row r="7944" spans="27:31" ht="14.4">
      <c r="AA7944" s="463"/>
      <c r="AB7944" s="462"/>
      <c r="AC7944" s="462"/>
      <c r="AD7944" s="464"/>
      <c r="AE7944" s="465"/>
    </row>
    <row r="7945" spans="27:31" ht="14.4">
      <c r="AA7945" s="463"/>
      <c r="AB7945" s="462"/>
      <c r="AC7945" s="462"/>
      <c r="AD7945" s="464"/>
      <c r="AE7945" s="465"/>
    </row>
    <row r="7946" spans="27:31" ht="14.4">
      <c r="AA7946" s="463"/>
      <c r="AB7946" s="462"/>
      <c r="AC7946" s="462"/>
      <c r="AD7946" s="464"/>
      <c r="AE7946" s="465"/>
    </row>
    <row r="7947" spans="27:31" ht="14.4">
      <c r="AA7947" s="463"/>
      <c r="AB7947" s="462"/>
      <c r="AC7947" s="462"/>
      <c r="AD7947" s="464"/>
      <c r="AE7947" s="465"/>
    </row>
    <row r="7948" spans="27:31" ht="14.4">
      <c r="AA7948" s="463"/>
      <c r="AB7948" s="462"/>
      <c r="AC7948" s="462"/>
      <c r="AD7948" s="464"/>
      <c r="AE7948" s="465"/>
    </row>
    <row r="7949" spans="27:31" ht="14.4">
      <c r="AA7949" s="463"/>
      <c r="AB7949" s="462"/>
      <c r="AC7949" s="462"/>
      <c r="AD7949" s="464"/>
      <c r="AE7949" s="465"/>
    </row>
    <row r="7950" spans="27:31" ht="14.4">
      <c r="AA7950" s="463"/>
      <c r="AB7950" s="462"/>
      <c r="AC7950" s="462"/>
      <c r="AD7950" s="464"/>
      <c r="AE7950" s="465"/>
    </row>
    <row r="7951" spans="27:31" ht="14.4">
      <c r="AA7951" s="463"/>
      <c r="AB7951" s="462"/>
      <c r="AC7951" s="462"/>
      <c r="AD7951" s="464"/>
      <c r="AE7951" s="465"/>
    </row>
    <row r="7952" spans="27:31" ht="14.4">
      <c r="AA7952" s="463"/>
      <c r="AB7952" s="462"/>
      <c r="AC7952" s="462"/>
      <c r="AD7952" s="464"/>
      <c r="AE7952" s="465"/>
    </row>
    <row r="7953" spans="27:31" ht="14.4">
      <c r="AA7953" s="463"/>
      <c r="AB7953" s="462"/>
      <c r="AC7953" s="462"/>
      <c r="AD7953" s="464"/>
      <c r="AE7953" s="465"/>
    </row>
    <row r="7954" spans="27:31" ht="14.4">
      <c r="AA7954" s="463"/>
      <c r="AB7954" s="462"/>
      <c r="AC7954" s="462"/>
      <c r="AD7954" s="464"/>
      <c r="AE7954" s="465"/>
    </row>
    <row r="7955" spans="27:31" ht="14.4">
      <c r="AA7955" s="463"/>
      <c r="AB7955" s="462"/>
      <c r="AC7955" s="462"/>
      <c r="AD7955" s="464"/>
      <c r="AE7955" s="465"/>
    </row>
    <row r="7956" spans="27:31" ht="14.4">
      <c r="AA7956" s="463"/>
      <c r="AB7956" s="462"/>
      <c r="AC7956" s="462"/>
      <c r="AD7956" s="464"/>
      <c r="AE7956" s="465"/>
    </row>
    <row r="7957" spans="27:31" ht="14.4">
      <c r="AA7957" s="463"/>
      <c r="AB7957" s="462"/>
      <c r="AC7957" s="462"/>
      <c r="AD7957" s="464"/>
      <c r="AE7957" s="465"/>
    </row>
    <row r="7958" spans="27:31" ht="14.4">
      <c r="AA7958" s="463"/>
      <c r="AB7958" s="462"/>
      <c r="AC7958" s="462"/>
      <c r="AD7958" s="464"/>
      <c r="AE7958" s="465"/>
    </row>
    <row r="7959" spans="27:31" ht="14.4">
      <c r="AA7959" s="463"/>
      <c r="AB7959" s="462"/>
      <c r="AC7959" s="462"/>
      <c r="AD7959" s="464"/>
      <c r="AE7959" s="465"/>
    </row>
    <row r="7960" spans="27:31" ht="14.4">
      <c r="AA7960" s="463"/>
      <c r="AB7960" s="462"/>
      <c r="AC7960" s="462"/>
      <c r="AD7960" s="464"/>
      <c r="AE7960" s="465"/>
    </row>
    <row r="7961" spans="27:31" ht="14.4">
      <c r="AA7961" s="463"/>
      <c r="AB7961" s="462"/>
      <c r="AC7961" s="462"/>
      <c r="AD7961" s="464"/>
      <c r="AE7961" s="465"/>
    </row>
    <row r="7962" spans="27:31" ht="14.4">
      <c r="AA7962" s="463"/>
      <c r="AB7962" s="462"/>
      <c r="AC7962" s="462"/>
      <c r="AD7962" s="464"/>
      <c r="AE7962" s="465"/>
    </row>
    <row r="7963" spans="27:31" ht="14.4">
      <c r="AA7963" s="463"/>
      <c r="AB7963" s="462"/>
      <c r="AC7963" s="462"/>
      <c r="AD7963" s="464"/>
      <c r="AE7963" s="465"/>
    </row>
    <row r="7964" spans="27:31" ht="14.4">
      <c r="AA7964" s="463"/>
      <c r="AB7964" s="462"/>
      <c r="AC7964" s="462"/>
      <c r="AD7964" s="464"/>
      <c r="AE7964" s="465"/>
    </row>
    <row r="7965" spans="27:31" ht="14.4">
      <c r="AA7965" s="463"/>
      <c r="AB7965" s="462"/>
      <c r="AC7965" s="462"/>
      <c r="AD7965" s="464"/>
      <c r="AE7965" s="465"/>
    </row>
    <row r="7966" spans="27:31" ht="14.4">
      <c r="AA7966" s="463"/>
      <c r="AB7966" s="462"/>
      <c r="AC7966" s="462"/>
      <c r="AD7966" s="464"/>
      <c r="AE7966" s="465"/>
    </row>
    <row r="7967" spans="27:31" ht="14.4">
      <c r="AA7967" s="463"/>
      <c r="AB7967" s="462"/>
      <c r="AC7967" s="462"/>
      <c r="AD7967" s="464"/>
      <c r="AE7967" s="465"/>
    </row>
    <row r="7968" spans="27:31" ht="14.4">
      <c r="AA7968" s="463"/>
      <c r="AB7968" s="462"/>
      <c r="AC7968" s="462"/>
      <c r="AD7968" s="464"/>
      <c r="AE7968" s="465"/>
    </row>
    <row r="7969" spans="27:31" ht="14.4">
      <c r="AA7969" s="463"/>
      <c r="AB7969" s="462"/>
      <c r="AC7969" s="462"/>
      <c r="AD7969" s="464"/>
      <c r="AE7969" s="465"/>
    </row>
    <row r="7970" spans="27:31" ht="14.4">
      <c r="AA7970" s="463"/>
      <c r="AB7970" s="462"/>
      <c r="AC7970" s="462"/>
      <c r="AD7970" s="464"/>
      <c r="AE7970" s="465"/>
    </row>
    <row r="7971" spans="27:31" ht="14.4">
      <c r="AA7971" s="463"/>
      <c r="AB7971" s="462"/>
      <c r="AC7971" s="462"/>
      <c r="AD7971" s="464"/>
      <c r="AE7971" s="465"/>
    </row>
    <row r="7972" spans="27:31" ht="14.4">
      <c r="AA7972" s="463"/>
      <c r="AB7972" s="462"/>
      <c r="AC7972" s="462"/>
      <c r="AD7972" s="464"/>
      <c r="AE7972" s="465"/>
    </row>
    <row r="7973" spans="27:31" ht="14.4">
      <c r="AA7973" s="463"/>
      <c r="AB7973" s="462"/>
      <c r="AC7973" s="462"/>
      <c r="AD7973" s="464"/>
      <c r="AE7973" s="465"/>
    </row>
    <row r="7974" spans="27:31" ht="14.4">
      <c r="AA7974" s="463"/>
      <c r="AB7974" s="462"/>
      <c r="AC7974" s="462"/>
      <c r="AD7974" s="464"/>
      <c r="AE7974" s="465"/>
    </row>
    <row r="7975" spans="27:31" ht="14.4">
      <c r="AA7975" s="463"/>
      <c r="AB7975" s="462"/>
      <c r="AC7975" s="462"/>
      <c r="AD7975" s="464"/>
      <c r="AE7975" s="465"/>
    </row>
    <row r="7976" spans="27:31" ht="14.4">
      <c r="AA7976" s="463"/>
      <c r="AB7976" s="462"/>
      <c r="AC7976" s="462"/>
      <c r="AD7976" s="464"/>
      <c r="AE7976" s="465"/>
    </row>
    <row r="7977" spans="27:31" ht="14.4">
      <c r="AA7977" s="463"/>
      <c r="AB7977" s="462"/>
      <c r="AC7977" s="462"/>
      <c r="AD7977" s="464"/>
      <c r="AE7977" s="465"/>
    </row>
    <row r="7978" spans="27:31" ht="14.4">
      <c r="AA7978" s="463"/>
      <c r="AB7978" s="462"/>
      <c r="AC7978" s="462"/>
      <c r="AD7978" s="464"/>
      <c r="AE7978" s="465"/>
    </row>
    <row r="7979" spans="27:31" ht="14.4">
      <c r="AA7979" s="463"/>
      <c r="AB7979" s="462"/>
      <c r="AC7979" s="462"/>
      <c r="AD7979" s="464"/>
      <c r="AE7979" s="465"/>
    </row>
    <row r="7980" spans="27:31" ht="14.4">
      <c r="AA7980" s="463"/>
      <c r="AB7980" s="462"/>
      <c r="AC7980" s="462"/>
      <c r="AD7980" s="464"/>
      <c r="AE7980" s="465"/>
    </row>
    <row r="7981" spans="27:31" ht="14.4">
      <c r="AA7981" s="463"/>
      <c r="AB7981" s="462"/>
      <c r="AC7981" s="462"/>
      <c r="AD7981" s="464"/>
      <c r="AE7981" s="465"/>
    </row>
    <row r="7982" spans="27:31" ht="14.4">
      <c r="AA7982" s="463"/>
      <c r="AB7982" s="462"/>
      <c r="AC7982" s="462"/>
      <c r="AD7982" s="464"/>
      <c r="AE7982" s="465"/>
    </row>
    <row r="7983" spans="27:31" ht="14.4">
      <c r="AA7983" s="463"/>
      <c r="AB7983" s="462"/>
      <c r="AC7983" s="462"/>
      <c r="AD7983" s="464"/>
      <c r="AE7983" s="465"/>
    </row>
    <row r="7984" spans="27:31" ht="14.4">
      <c r="AA7984" s="463"/>
      <c r="AB7984" s="462"/>
      <c r="AC7984" s="462"/>
      <c r="AD7984" s="464"/>
      <c r="AE7984" s="465"/>
    </row>
    <row r="7985" spans="27:31" ht="14.4">
      <c r="AA7985" s="463"/>
      <c r="AB7985" s="462"/>
      <c r="AC7985" s="462"/>
      <c r="AD7985" s="464"/>
      <c r="AE7985" s="465"/>
    </row>
    <row r="7986" spans="27:31" ht="14.4">
      <c r="AA7986" s="463"/>
      <c r="AB7986" s="462"/>
      <c r="AC7986" s="462"/>
      <c r="AD7986" s="464"/>
      <c r="AE7986" s="465"/>
    </row>
    <row r="7987" spans="27:31" ht="14.4">
      <c r="AA7987" s="463"/>
      <c r="AB7987" s="462"/>
      <c r="AC7987" s="462"/>
      <c r="AD7987" s="464"/>
      <c r="AE7987" s="465"/>
    </row>
    <row r="7988" spans="27:31" ht="14.4">
      <c r="AA7988" s="463"/>
      <c r="AB7988" s="462"/>
      <c r="AC7988" s="462"/>
      <c r="AD7988" s="464"/>
      <c r="AE7988" s="465"/>
    </row>
    <row r="7989" spans="27:31" ht="14.4">
      <c r="AA7989" s="463"/>
      <c r="AB7989" s="462"/>
      <c r="AC7989" s="462"/>
      <c r="AD7989" s="464"/>
      <c r="AE7989" s="465"/>
    </row>
    <row r="7990" spans="27:31" ht="14.4">
      <c r="AA7990" s="463"/>
      <c r="AB7990" s="462"/>
      <c r="AC7990" s="462"/>
      <c r="AD7990" s="464"/>
      <c r="AE7990" s="465"/>
    </row>
    <row r="7991" spans="27:31" ht="14.4">
      <c r="AA7991" s="463"/>
      <c r="AB7991" s="462"/>
      <c r="AC7991" s="462"/>
      <c r="AD7991" s="464"/>
      <c r="AE7991" s="465"/>
    </row>
    <row r="7992" spans="27:31" ht="14.4">
      <c r="AA7992" s="463"/>
      <c r="AB7992" s="462"/>
      <c r="AC7992" s="462"/>
      <c r="AD7992" s="464"/>
      <c r="AE7992" s="465"/>
    </row>
    <row r="7993" spans="27:31" ht="14.4">
      <c r="AA7993" s="463"/>
      <c r="AB7993" s="462"/>
      <c r="AC7993" s="462"/>
      <c r="AD7993" s="464"/>
      <c r="AE7993" s="465"/>
    </row>
    <row r="7994" spans="27:31" ht="14.4">
      <c r="AA7994" s="463"/>
      <c r="AB7994" s="462"/>
      <c r="AC7994" s="462"/>
      <c r="AD7994" s="464"/>
      <c r="AE7994" s="465"/>
    </row>
    <row r="7995" spans="27:31" ht="14.4">
      <c r="AA7995" s="463"/>
      <c r="AB7995" s="462"/>
      <c r="AC7995" s="462"/>
      <c r="AD7995" s="464"/>
      <c r="AE7995" s="465"/>
    </row>
    <row r="7996" spans="27:31" ht="14.4">
      <c r="AA7996" s="463"/>
      <c r="AB7996" s="462"/>
      <c r="AC7996" s="462"/>
      <c r="AD7996" s="464"/>
      <c r="AE7996" s="465"/>
    </row>
    <row r="7997" spans="27:31" ht="14.4">
      <c r="AA7997" s="463"/>
      <c r="AB7997" s="462"/>
      <c r="AC7997" s="462"/>
      <c r="AD7997" s="464"/>
      <c r="AE7997" s="465"/>
    </row>
    <row r="7998" spans="27:31" ht="14.4">
      <c r="AA7998" s="463"/>
      <c r="AB7998" s="462"/>
      <c r="AC7998" s="462"/>
      <c r="AD7998" s="464"/>
      <c r="AE7998" s="465"/>
    </row>
    <row r="7999" spans="27:31" ht="14.4">
      <c r="AA7999" s="463"/>
      <c r="AB7999" s="462"/>
      <c r="AC7999" s="462"/>
      <c r="AD7999" s="464"/>
      <c r="AE7999" s="465"/>
    </row>
    <row r="8000" spans="27:31" ht="14.4">
      <c r="AA8000" s="463"/>
      <c r="AB8000" s="462"/>
      <c r="AC8000" s="462"/>
      <c r="AD8000" s="464"/>
      <c r="AE8000" s="465"/>
    </row>
    <row r="8001" spans="27:31" ht="14.4">
      <c r="AA8001" s="463"/>
      <c r="AB8001" s="462"/>
      <c r="AC8001" s="462"/>
      <c r="AD8001" s="464"/>
      <c r="AE8001" s="465"/>
    </row>
    <row r="8002" spans="27:31" ht="14.4">
      <c r="AA8002" s="463"/>
      <c r="AB8002" s="462"/>
      <c r="AC8002" s="462"/>
      <c r="AD8002" s="464"/>
      <c r="AE8002" s="465"/>
    </row>
    <row r="8003" spans="27:31" ht="14.4">
      <c r="AA8003" s="463"/>
      <c r="AB8003" s="462"/>
      <c r="AC8003" s="462"/>
      <c r="AD8003" s="464"/>
      <c r="AE8003" s="465"/>
    </row>
    <row r="8004" spans="27:31" ht="14.4">
      <c r="AA8004" s="463"/>
      <c r="AB8004" s="462"/>
      <c r="AC8004" s="462"/>
      <c r="AD8004" s="464"/>
      <c r="AE8004" s="465"/>
    </row>
    <row r="8005" spans="27:31" ht="14.4">
      <c r="AA8005" s="463"/>
      <c r="AB8005" s="462"/>
      <c r="AC8005" s="462"/>
      <c r="AD8005" s="464"/>
      <c r="AE8005" s="465"/>
    </row>
    <row r="8006" spans="27:31" ht="14.4">
      <c r="AA8006" s="463"/>
      <c r="AB8006" s="462"/>
      <c r="AC8006" s="462"/>
      <c r="AD8006" s="464"/>
      <c r="AE8006" s="465"/>
    </row>
    <row r="8007" spans="27:31" ht="14.4">
      <c r="AA8007" s="463"/>
      <c r="AB8007" s="462"/>
      <c r="AC8007" s="462"/>
      <c r="AD8007" s="464"/>
      <c r="AE8007" s="465"/>
    </row>
    <row r="8008" spans="27:31" ht="14.4">
      <c r="AA8008" s="463"/>
      <c r="AB8008" s="462"/>
      <c r="AC8008" s="462"/>
      <c r="AD8008" s="464"/>
      <c r="AE8008" s="465"/>
    </row>
    <row r="8009" spans="27:31" ht="14.4">
      <c r="AA8009" s="463"/>
      <c r="AB8009" s="462"/>
      <c r="AC8009" s="462"/>
      <c r="AD8009" s="464"/>
      <c r="AE8009" s="465"/>
    </row>
    <row r="8010" spans="27:31" ht="14.4">
      <c r="AA8010" s="463"/>
      <c r="AB8010" s="462"/>
      <c r="AC8010" s="462"/>
      <c r="AD8010" s="464"/>
      <c r="AE8010" s="465"/>
    </row>
    <row r="8011" spans="27:31" ht="14.4">
      <c r="AA8011" s="463"/>
      <c r="AB8011" s="462"/>
      <c r="AC8011" s="462"/>
      <c r="AD8011" s="464"/>
      <c r="AE8011" s="465"/>
    </row>
    <row r="8012" spans="27:31" ht="14.4">
      <c r="AA8012" s="463"/>
      <c r="AB8012" s="462"/>
      <c r="AC8012" s="462"/>
      <c r="AD8012" s="464"/>
      <c r="AE8012" s="465"/>
    </row>
    <row r="8013" spans="27:31" ht="14.4">
      <c r="AA8013" s="463"/>
      <c r="AB8013" s="462"/>
      <c r="AC8013" s="462"/>
      <c r="AD8013" s="464"/>
      <c r="AE8013" s="465"/>
    </row>
    <row r="8014" spans="27:31" ht="14.4">
      <c r="AA8014" s="463"/>
      <c r="AB8014" s="462"/>
      <c r="AC8014" s="462"/>
      <c r="AD8014" s="464"/>
      <c r="AE8014" s="465"/>
    </row>
    <row r="8015" spans="27:31" ht="14.4">
      <c r="AA8015" s="463"/>
      <c r="AB8015" s="462"/>
      <c r="AC8015" s="462"/>
      <c r="AD8015" s="464"/>
      <c r="AE8015" s="465"/>
    </row>
    <row r="8016" spans="27:31" ht="14.4">
      <c r="AA8016" s="463"/>
      <c r="AB8016" s="462"/>
      <c r="AC8016" s="462"/>
      <c r="AD8016" s="464"/>
      <c r="AE8016" s="465"/>
    </row>
    <row r="8017" spans="27:31" ht="14.4">
      <c r="AA8017" s="463"/>
      <c r="AB8017" s="462"/>
      <c r="AC8017" s="462"/>
      <c r="AD8017" s="464"/>
      <c r="AE8017" s="465"/>
    </row>
    <row r="8018" spans="27:31" ht="14.4">
      <c r="AA8018" s="463"/>
      <c r="AB8018" s="462"/>
      <c r="AC8018" s="462"/>
      <c r="AD8018" s="464"/>
      <c r="AE8018" s="465"/>
    </row>
    <row r="8019" spans="27:31" ht="14.4">
      <c r="AA8019" s="463"/>
      <c r="AB8019" s="462"/>
      <c r="AC8019" s="462"/>
      <c r="AD8019" s="464"/>
      <c r="AE8019" s="465"/>
    </row>
    <row r="8020" spans="27:31" ht="14.4">
      <c r="AA8020" s="463"/>
      <c r="AB8020" s="462"/>
      <c r="AC8020" s="462"/>
      <c r="AD8020" s="464"/>
      <c r="AE8020" s="465"/>
    </row>
    <row r="8021" spans="27:31" ht="14.4">
      <c r="AA8021" s="463"/>
      <c r="AB8021" s="462"/>
      <c r="AC8021" s="462"/>
      <c r="AD8021" s="464"/>
      <c r="AE8021" s="465"/>
    </row>
    <row r="8022" spans="27:31" ht="14.4">
      <c r="AA8022" s="463"/>
      <c r="AB8022" s="462"/>
      <c r="AC8022" s="462"/>
      <c r="AD8022" s="464"/>
      <c r="AE8022" s="465"/>
    </row>
    <row r="8023" spans="27:31" ht="14.4">
      <c r="AA8023" s="463"/>
      <c r="AB8023" s="462"/>
      <c r="AC8023" s="462"/>
      <c r="AD8023" s="464"/>
      <c r="AE8023" s="465"/>
    </row>
    <row r="8024" spans="27:31" ht="14.4">
      <c r="AA8024" s="463"/>
      <c r="AB8024" s="462"/>
      <c r="AC8024" s="462"/>
      <c r="AD8024" s="464"/>
      <c r="AE8024" s="465"/>
    </row>
    <row r="8025" spans="27:31" ht="14.4">
      <c r="AA8025" s="463"/>
      <c r="AB8025" s="462"/>
      <c r="AC8025" s="462"/>
      <c r="AD8025" s="464"/>
      <c r="AE8025" s="465"/>
    </row>
    <row r="8026" spans="27:31" ht="14.4">
      <c r="AA8026" s="463"/>
      <c r="AB8026" s="462"/>
      <c r="AC8026" s="462"/>
      <c r="AD8026" s="464"/>
      <c r="AE8026" s="465"/>
    </row>
    <row r="8027" spans="27:31" ht="14.4">
      <c r="AA8027" s="463"/>
      <c r="AB8027" s="462"/>
      <c r="AC8027" s="462"/>
      <c r="AD8027" s="464"/>
      <c r="AE8027" s="465"/>
    </row>
    <row r="8028" spans="27:31" ht="14.4">
      <c r="AA8028" s="463"/>
      <c r="AB8028" s="462"/>
      <c r="AC8028" s="462"/>
      <c r="AD8028" s="464"/>
      <c r="AE8028" s="465"/>
    </row>
    <row r="8029" spans="27:31" ht="14.4">
      <c r="AA8029" s="463"/>
      <c r="AB8029" s="462"/>
      <c r="AC8029" s="462"/>
      <c r="AD8029" s="464"/>
      <c r="AE8029" s="465"/>
    </row>
    <row r="8030" spans="27:31" ht="14.4">
      <c r="AA8030" s="463"/>
      <c r="AB8030" s="462"/>
      <c r="AC8030" s="462"/>
      <c r="AD8030" s="464"/>
      <c r="AE8030" s="465"/>
    </row>
    <row r="8031" spans="27:31" ht="14.4">
      <c r="AA8031" s="463"/>
      <c r="AB8031" s="462"/>
      <c r="AC8031" s="462"/>
      <c r="AD8031" s="464"/>
      <c r="AE8031" s="465"/>
    </row>
    <row r="8032" spans="27:31" ht="14.4">
      <c r="AA8032" s="463"/>
      <c r="AB8032" s="462"/>
      <c r="AC8032" s="462"/>
      <c r="AD8032" s="464"/>
      <c r="AE8032" s="465"/>
    </row>
    <row r="8033" spans="27:31" ht="14.4">
      <c r="AA8033" s="463"/>
      <c r="AB8033" s="462"/>
      <c r="AC8033" s="462"/>
      <c r="AD8033" s="464"/>
      <c r="AE8033" s="465"/>
    </row>
    <row r="8034" spans="27:31" ht="14.4">
      <c r="AA8034" s="463"/>
      <c r="AB8034" s="462"/>
      <c r="AC8034" s="462"/>
      <c r="AD8034" s="464"/>
      <c r="AE8034" s="465"/>
    </row>
    <row r="8035" spans="27:31" ht="14.4">
      <c r="AA8035" s="463"/>
      <c r="AB8035" s="462"/>
      <c r="AC8035" s="462"/>
      <c r="AD8035" s="464"/>
      <c r="AE8035" s="465"/>
    </row>
    <row r="8036" spans="27:31" ht="14.4">
      <c r="AA8036" s="463"/>
      <c r="AB8036" s="462"/>
      <c r="AC8036" s="462"/>
      <c r="AD8036" s="464"/>
      <c r="AE8036" s="465"/>
    </row>
    <row r="8037" spans="27:31" ht="14.4">
      <c r="AA8037" s="463"/>
      <c r="AB8037" s="462"/>
      <c r="AC8037" s="462"/>
      <c r="AD8037" s="464"/>
      <c r="AE8037" s="465"/>
    </row>
    <row r="8038" spans="27:31" ht="14.4">
      <c r="AA8038" s="463"/>
      <c r="AB8038" s="462"/>
      <c r="AC8038" s="462"/>
      <c r="AD8038" s="464"/>
      <c r="AE8038" s="465"/>
    </row>
    <row r="8039" spans="27:31" ht="14.4">
      <c r="AA8039" s="463"/>
      <c r="AB8039" s="462"/>
      <c r="AC8039" s="462"/>
      <c r="AD8039" s="464"/>
      <c r="AE8039" s="465"/>
    </row>
    <row r="8040" spans="27:31" ht="14.4">
      <c r="AA8040" s="463"/>
      <c r="AB8040" s="462"/>
      <c r="AC8040" s="462"/>
      <c r="AD8040" s="464"/>
      <c r="AE8040" s="465"/>
    </row>
    <row r="8041" spans="27:31" ht="14.4">
      <c r="AA8041" s="463"/>
      <c r="AB8041" s="462"/>
      <c r="AC8041" s="462"/>
      <c r="AD8041" s="464"/>
      <c r="AE8041" s="465"/>
    </row>
    <row r="8042" spans="27:31" ht="14.4">
      <c r="AA8042" s="463"/>
      <c r="AB8042" s="462"/>
      <c r="AC8042" s="462"/>
      <c r="AD8042" s="464"/>
      <c r="AE8042" s="465"/>
    </row>
    <row r="8043" spans="27:31" ht="14.4">
      <c r="AA8043" s="463"/>
      <c r="AB8043" s="462"/>
      <c r="AC8043" s="462"/>
      <c r="AD8043" s="464"/>
      <c r="AE8043" s="465"/>
    </row>
    <row r="8044" spans="27:31" ht="14.4">
      <c r="AA8044" s="463"/>
      <c r="AB8044" s="462"/>
      <c r="AC8044" s="462"/>
      <c r="AD8044" s="464"/>
      <c r="AE8044" s="465"/>
    </row>
    <row r="8045" spans="27:31" ht="14.4">
      <c r="AA8045" s="463"/>
      <c r="AB8045" s="462"/>
      <c r="AC8045" s="462"/>
      <c r="AD8045" s="464"/>
      <c r="AE8045" s="465"/>
    </row>
    <row r="8046" spans="27:31" ht="14.4">
      <c r="AA8046" s="463"/>
      <c r="AB8046" s="462"/>
      <c r="AC8046" s="462"/>
      <c r="AD8046" s="464"/>
      <c r="AE8046" s="465"/>
    </row>
    <row r="8047" spans="27:31" ht="14.4">
      <c r="AA8047" s="463"/>
      <c r="AB8047" s="462"/>
      <c r="AC8047" s="462"/>
      <c r="AD8047" s="464"/>
      <c r="AE8047" s="465"/>
    </row>
    <row r="8048" spans="27:31" ht="14.4">
      <c r="AA8048" s="463"/>
      <c r="AB8048" s="462"/>
      <c r="AC8048" s="462"/>
      <c r="AD8048" s="464"/>
      <c r="AE8048" s="465"/>
    </row>
    <row r="8049" spans="27:31" ht="14.4">
      <c r="AA8049" s="463"/>
      <c r="AB8049" s="462"/>
      <c r="AC8049" s="462"/>
      <c r="AD8049" s="464"/>
      <c r="AE8049" s="465"/>
    </row>
    <row r="8050" spans="27:31" ht="14.4">
      <c r="AA8050" s="463"/>
      <c r="AB8050" s="462"/>
      <c r="AC8050" s="462"/>
      <c r="AD8050" s="464"/>
      <c r="AE8050" s="465"/>
    </row>
    <row r="8051" spans="27:31" ht="14.4">
      <c r="AA8051" s="463"/>
      <c r="AB8051" s="462"/>
      <c r="AC8051" s="462"/>
      <c r="AD8051" s="464"/>
      <c r="AE8051" s="465"/>
    </row>
    <row r="8052" spans="27:31" ht="14.4">
      <c r="AA8052" s="463"/>
      <c r="AB8052" s="462"/>
      <c r="AC8052" s="462"/>
      <c r="AD8052" s="464"/>
      <c r="AE8052" s="465"/>
    </row>
    <row r="8053" spans="27:31" ht="14.4">
      <c r="AA8053" s="463"/>
      <c r="AB8053" s="462"/>
      <c r="AC8053" s="462"/>
      <c r="AD8053" s="464"/>
      <c r="AE8053" s="465"/>
    </row>
    <row r="8054" spans="27:31" ht="14.4">
      <c r="AA8054" s="463"/>
      <c r="AB8054" s="462"/>
      <c r="AC8054" s="462"/>
      <c r="AD8054" s="464"/>
      <c r="AE8054" s="465"/>
    </row>
    <row r="8055" spans="27:31" ht="14.4">
      <c r="AA8055" s="463"/>
      <c r="AB8055" s="462"/>
      <c r="AC8055" s="462"/>
      <c r="AD8055" s="464"/>
      <c r="AE8055" s="465"/>
    </row>
    <row r="8056" spans="27:31" ht="14.4">
      <c r="AA8056" s="463"/>
      <c r="AB8056" s="462"/>
      <c r="AC8056" s="462"/>
      <c r="AD8056" s="464"/>
      <c r="AE8056" s="465"/>
    </row>
    <row r="8057" spans="27:31" ht="14.4">
      <c r="AA8057" s="463"/>
      <c r="AB8057" s="462"/>
      <c r="AC8057" s="462"/>
      <c r="AD8057" s="464"/>
      <c r="AE8057" s="465"/>
    </row>
    <row r="8058" spans="27:31" ht="14.4">
      <c r="AA8058" s="463"/>
      <c r="AB8058" s="462"/>
      <c r="AC8058" s="462"/>
      <c r="AD8058" s="464"/>
      <c r="AE8058" s="465"/>
    </row>
    <row r="8059" spans="27:31" ht="14.4">
      <c r="AA8059" s="463"/>
      <c r="AB8059" s="462"/>
      <c r="AC8059" s="462"/>
      <c r="AD8059" s="464"/>
      <c r="AE8059" s="465"/>
    </row>
    <row r="8060" spans="27:31" ht="14.4">
      <c r="AA8060" s="463"/>
      <c r="AB8060" s="462"/>
      <c r="AC8060" s="462"/>
      <c r="AD8060" s="464"/>
      <c r="AE8060" s="465"/>
    </row>
    <row r="8061" spans="27:31" ht="14.4">
      <c r="AA8061" s="463"/>
      <c r="AB8061" s="462"/>
      <c r="AC8061" s="462"/>
      <c r="AD8061" s="464"/>
      <c r="AE8061" s="465"/>
    </row>
    <row r="8062" spans="27:31" ht="14.4">
      <c r="AA8062" s="463"/>
      <c r="AB8062" s="462"/>
      <c r="AC8062" s="462"/>
      <c r="AD8062" s="464"/>
      <c r="AE8062" s="465"/>
    </row>
    <row r="8063" spans="27:31" ht="14.4">
      <c r="AA8063" s="463"/>
      <c r="AB8063" s="462"/>
      <c r="AC8063" s="462"/>
      <c r="AD8063" s="464"/>
      <c r="AE8063" s="465"/>
    </row>
    <row r="8064" spans="27:31" ht="14.4">
      <c r="AA8064" s="463"/>
      <c r="AB8064" s="462"/>
      <c r="AC8064" s="462"/>
      <c r="AD8064" s="464"/>
      <c r="AE8064" s="465"/>
    </row>
    <row r="8065" spans="27:31" ht="14.4">
      <c r="AA8065" s="463"/>
      <c r="AB8065" s="462"/>
      <c r="AC8065" s="462"/>
      <c r="AD8065" s="464"/>
      <c r="AE8065" s="465"/>
    </row>
    <row r="8066" spans="27:31" ht="14.4">
      <c r="AA8066" s="463"/>
      <c r="AB8066" s="462"/>
      <c r="AC8066" s="462"/>
      <c r="AD8066" s="464"/>
      <c r="AE8066" s="465"/>
    </row>
    <row r="8067" spans="27:31" ht="14.4">
      <c r="AA8067" s="463"/>
      <c r="AB8067" s="462"/>
      <c r="AC8067" s="462"/>
      <c r="AD8067" s="464"/>
      <c r="AE8067" s="465"/>
    </row>
    <row r="8068" spans="27:31" ht="14.4">
      <c r="AA8068" s="463"/>
      <c r="AB8068" s="462"/>
      <c r="AC8068" s="462"/>
      <c r="AD8068" s="464"/>
      <c r="AE8068" s="465"/>
    </row>
    <row r="8069" spans="27:31" ht="14.4">
      <c r="AA8069" s="463"/>
      <c r="AB8069" s="462"/>
      <c r="AC8069" s="462"/>
      <c r="AD8069" s="464"/>
      <c r="AE8069" s="465"/>
    </row>
    <row r="8070" spans="27:31" ht="14.4">
      <c r="AA8070" s="463"/>
      <c r="AB8070" s="462"/>
      <c r="AC8070" s="462"/>
      <c r="AD8070" s="464"/>
      <c r="AE8070" s="465"/>
    </row>
    <row r="8071" spans="27:31" ht="14.4">
      <c r="AA8071" s="463"/>
      <c r="AB8071" s="462"/>
      <c r="AC8071" s="462"/>
      <c r="AD8071" s="464"/>
      <c r="AE8071" s="465"/>
    </row>
    <row r="8072" spans="27:31" ht="14.4">
      <c r="AA8072" s="463"/>
      <c r="AB8072" s="462"/>
      <c r="AC8072" s="462"/>
      <c r="AD8072" s="464"/>
      <c r="AE8072" s="465"/>
    </row>
    <row r="8073" spans="27:31" ht="14.4">
      <c r="AA8073" s="463"/>
      <c r="AB8073" s="462"/>
      <c r="AC8073" s="462"/>
      <c r="AD8073" s="464"/>
      <c r="AE8073" s="465"/>
    </row>
    <row r="8074" spans="27:31" ht="14.4">
      <c r="AA8074" s="463"/>
      <c r="AB8074" s="462"/>
      <c r="AC8074" s="462"/>
      <c r="AD8074" s="464"/>
      <c r="AE8074" s="465"/>
    </row>
    <row r="8075" spans="27:31" ht="14.4">
      <c r="AA8075" s="463"/>
      <c r="AB8075" s="462"/>
      <c r="AC8075" s="462"/>
      <c r="AD8075" s="464"/>
      <c r="AE8075" s="465"/>
    </row>
    <row r="8076" spans="27:31" ht="14.4">
      <c r="AA8076" s="463"/>
      <c r="AB8076" s="462"/>
      <c r="AC8076" s="462"/>
      <c r="AD8076" s="464"/>
      <c r="AE8076" s="465"/>
    </row>
    <row r="8077" spans="27:31" ht="14.4">
      <c r="AA8077" s="463"/>
      <c r="AB8077" s="462"/>
      <c r="AC8077" s="462"/>
      <c r="AD8077" s="464"/>
      <c r="AE8077" s="465"/>
    </row>
    <row r="8078" spans="27:31" ht="14.4">
      <c r="AA8078" s="463"/>
      <c r="AB8078" s="462"/>
      <c r="AC8078" s="462"/>
      <c r="AD8078" s="464"/>
      <c r="AE8078" s="465"/>
    </row>
    <row r="8079" spans="27:31" ht="14.4">
      <c r="AA8079" s="463"/>
      <c r="AB8079" s="462"/>
      <c r="AC8079" s="462"/>
      <c r="AD8079" s="464"/>
      <c r="AE8079" s="465"/>
    </row>
    <row r="8080" spans="27:31" ht="14.4">
      <c r="AA8080" s="463"/>
      <c r="AB8080" s="462"/>
      <c r="AC8080" s="462"/>
      <c r="AD8080" s="464"/>
      <c r="AE8080" s="465"/>
    </row>
    <row r="8081" spans="27:31" ht="14.4">
      <c r="AA8081" s="463"/>
      <c r="AB8081" s="462"/>
      <c r="AC8081" s="462"/>
      <c r="AD8081" s="464"/>
      <c r="AE8081" s="465"/>
    </row>
    <row r="8082" spans="27:31" ht="14.4">
      <c r="AA8082" s="463"/>
      <c r="AB8082" s="462"/>
      <c r="AC8082" s="462"/>
      <c r="AD8082" s="464"/>
      <c r="AE8082" s="465"/>
    </row>
    <row r="8083" spans="27:31" ht="14.4">
      <c r="AA8083" s="463"/>
      <c r="AB8083" s="462"/>
      <c r="AC8083" s="462"/>
      <c r="AD8083" s="464"/>
      <c r="AE8083" s="465"/>
    </row>
    <row r="8084" spans="27:31" ht="14.4">
      <c r="AA8084" s="463"/>
      <c r="AB8084" s="462"/>
      <c r="AC8084" s="462"/>
      <c r="AD8084" s="464"/>
      <c r="AE8084" s="465"/>
    </row>
    <row r="8085" spans="27:31" ht="14.4">
      <c r="AA8085" s="463"/>
      <c r="AB8085" s="462"/>
      <c r="AC8085" s="462"/>
      <c r="AD8085" s="464"/>
      <c r="AE8085" s="465"/>
    </row>
    <row r="8086" spans="27:31" ht="14.4">
      <c r="AA8086" s="463"/>
      <c r="AB8086" s="462"/>
      <c r="AC8086" s="462"/>
      <c r="AD8086" s="464"/>
      <c r="AE8086" s="465"/>
    </row>
    <row r="8087" spans="27:31" ht="14.4">
      <c r="AA8087" s="463"/>
      <c r="AB8087" s="462"/>
      <c r="AC8087" s="462"/>
      <c r="AD8087" s="464"/>
      <c r="AE8087" s="465"/>
    </row>
    <row r="8088" spans="27:31" ht="14.4">
      <c r="AA8088" s="463"/>
      <c r="AB8088" s="462"/>
      <c r="AC8088" s="462"/>
      <c r="AD8088" s="464"/>
      <c r="AE8088" s="465"/>
    </row>
    <row r="8089" spans="27:31" ht="14.4">
      <c r="AA8089" s="463"/>
      <c r="AB8089" s="462"/>
      <c r="AC8089" s="462"/>
      <c r="AD8089" s="464"/>
      <c r="AE8089" s="465"/>
    </row>
    <row r="8090" spans="27:31" ht="14.4">
      <c r="AA8090" s="463"/>
      <c r="AB8090" s="462"/>
      <c r="AC8090" s="462"/>
      <c r="AD8090" s="464"/>
      <c r="AE8090" s="465"/>
    </row>
    <row r="8091" spans="27:31" ht="14.4">
      <c r="AA8091" s="463"/>
      <c r="AB8091" s="462"/>
      <c r="AC8091" s="462"/>
      <c r="AD8091" s="464"/>
      <c r="AE8091" s="465"/>
    </row>
    <row r="8092" spans="27:31" ht="14.4">
      <c r="AA8092" s="463"/>
      <c r="AB8092" s="462"/>
      <c r="AC8092" s="462"/>
      <c r="AD8092" s="464"/>
      <c r="AE8092" s="465"/>
    </row>
    <row r="8093" spans="27:31" ht="14.4">
      <c r="AA8093" s="463"/>
      <c r="AB8093" s="462"/>
      <c r="AC8093" s="462"/>
      <c r="AD8093" s="464"/>
      <c r="AE8093" s="465"/>
    </row>
    <row r="8094" spans="27:31" ht="14.4">
      <c r="AA8094" s="463"/>
      <c r="AB8094" s="462"/>
      <c r="AC8094" s="462"/>
      <c r="AD8094" s="464"/>
      <c r="AE8094" s="465"/>
    </row>
    <row r="8095" spans="27:31" ht="14.4">
      <c r="AA8095" s="463"/>
      <c r="AB8095" s="462"/>
      <c r="AC8095" s="462"/>
      <c r="AD8095" s="464"/>
      <c r="AE8095" s="465"/>
    </row>
    <row r="8096" spans="27:31" ht="14.4">
      <c r="AA8096" s="463"/>
      <c r="AB8096" s="462"/>
      <c r="AC8096" s="462"/>
      <c r="AD8096" s="464"/>
      <c r="AE8096" s="465"/>
    </row>
    <row r="8097" spans="27:31" ht="14.4">
      <c r="AA8097" s="463"/>
      <c r="AB8097" s="462"/>
      <c r="AC8097" s="462"/>
      <c r="AD8097" s="464"/>
      <c r="AE8097" s="465"/>
    </row>
    <row r="8098" spans="27:31" ht="14.4">
      <c r="AA8098" s="463"/>
      <c r="AB8098" s="462"/>
      <c r="AC8098" s="462"/>
      <c r="AD8098" s="464"/>
      <c r="AE8098" s="465"/>
    </row>
    <row r="8099" spans="27:31" ht="14.4">
      <c r="AA8099" s="463"/>
      <c r="AB8099" s="462"/>
      <c r="AC8099" s="462"/>
      <c r="AD8099" s="464"/>
      <c r="AE8099" s="465"/>
    </row>
    <row r="8100" spans="27:31" ht="14.4">
      <c r="AA8100" s="463"/>
      <c r="AB8100" s="462"/>
      <c r="AC8100" s="462"/>
      <c r="AD8100" s="464"/>
      <c r="AE8100" s="465"/>
    </row>
    <row r="8101" spans="27:31" ht="14.4">
      <c r="AA8101" s="463"/>
      <c r="AB8101" s="462"/>
      <c r="AC8101" s="462"/>
      <c r="AD8101" s="464"/>
      <c r="AE8101" s="465"/>
    </row>
    <row r="8102" spans="27:31" ht="14.4">
      <c r="AA8102" s="463"/>
      <c r="AB8102" s="462"/>
      <c r="AC8102" s="462"/>
      <c r="AD8102" s="464"/>
      <c r="AE8102" s="465"/>
    </row>
    <row r="8103" spans="27:31" ht="14.4">
      <c r="AA8103" s="463"/>
      <c r="AB8103" s="462"/>
      <c r="AC8103" s="462"/>
      <c r="AD8103" s="464"/>
      <c r="AE8103" s="465"/>
    </row>
    <row r="8104" spans="27:31" ht="14.4">
      <c r="AA8104" s="463"/>
      <c r="AB8104" s="462"/>
      <c r="AC8104" s="462"/>
      <c r="AD8104" s="464"/>
      <c r="AE8104" s="465"/>
    </row>
    <row r="8105" spans="27:31" ht="14.4">
      <c r="AA8105" s="463"/>
      <c r="AB8105" s="462"/>
      <c r="AC8105" s="462"/>
      <c r="AD8105" s="464"/>
      <c r="AE8105" s="465"/>
    </row>
    <row r="8106" spans="27:31" ht="14.4">
      <c r="AA8106" s="463"/>
      <c r="AB8106" s="462"/>
      <c r="AC8106" s="462"/>
      <c r="AD8106" s="464"/>
      <c r="AE8106" s="465"/>
    </row>
    <row r="8107" spans="27:31" ht="14.4">
      <c r="AA8107" s="463"/>
      <c r="AB8107" s="462"/>
      <c r="AC8107" s="462"/>
      <c r="AD8107" s="464"/>
      <c r="AE8107" s="465"/>
    </row>
    <row r="8108" spans="27:31" ht="14.4">
      <c r="AA8108" s="463"/>
      <c r="AB8108" s="462"/>
      <c r="AC8108" s="462"/>
      <c r="AD8108" s="464"/>
      <c r="AE8108" s="465"/>
    </row>
    <row r="8109" spans="27:31" ht="14.4">
      <c r="AA8109" s="463"/>
      <c r="AB8109" s="462"/>
      <c r="AC8109" s="462"/>
      <c r="AD8109" s="464"/>
      <c r="AE8109" s="465"/>
    </row>
    <row r="8110" spans="27:31" ht="14.4">
      <c r="AA8110" s="463"/>
      <c r="AB8110" s="462"/>
      <c r="AC8110" s="462"/>
      <c r="AD8110" s="464"/>
      <c r="AE8110" s="465"/>
    </row>
    <row r="8111" spans="27:31" ht="14.4">
      <c r="AA8111" s="463"/>
      <c r="AB8111" s="462"/>
      <c r="AC8111" s="462"/>
      <c r="AD8111" s="464"/>
      <c r="AE8111" s="465"/>
    </row>
    <row r="8112" spans="27:31" ht="14.4">
      <c r="AA8112" s="463"/>
      <c r="AB8112" s="462"/>
      <c r="AC8112" s="462"/>
      <c r="AD8112" s="464"/>
      <c r="AE8112" s="465"/>
    </row>
    <row r="8113" spans="27:31" ht="14.4">
      <c r="AA8113" s="463"/>
      <c r="AB8113" s="462"/>
      <c r="AC8113" s="462"/>
      <c r="AD8113" s="464"/>
      <c r="AE8113" s="465"/>
    </row>
    <row r="8114" spans="27:31" ht="14.4">
      <c r="AA8114" s="463"/>
      <c r="AB8114" s="462"/>
      <c r="AC8114" s="462"/>
      <c r="AD8114" s="464"/>
      <c r="AE8114" s="465"/>
    </row>
    <row r="8115" spans="27:31" ht="14.4">
      <c r="AA8115" s="463"/>
      <c r="AB8115" s="462"/>
      <c r="AC8115" s="462"/>
      <c r="AD8115" s="464"/>
      <c r="AE8115" s="465"/>
    </row>
    <row r="8116" spans="27:31" ht="14.4">
      <c r="AA8116" s="463"/>
      <c r="AB8116" s="462"/>
      <c r="AC8116" s="462"/>
      <c r="AD8116" s="464"/>
      <c r="AE8116" s="465"/>
    </row>
    <row r="8117" spans="27:31" ht="14.4">
      <c r="AA8117" s="463"/>
      <c r="AB8117" s="462"/>
      <c r="AC8117" s="462"/>
      <c r="AD8117" s="464"/>
      <c r="AE8117" s="465"/>
    </row>
    <row r="8118" spans="27:31" ht="14.4">
      <c r="AA8118" s="463"/>
      <c r="AB8118" s="462"/>
      <c r="AC8118" s="462"/>
      <c r="AD8118" s="464"/>
      <c r="AE8118" s="465"/>
    </row>
    <row r="8119" spans="27:31" ht="14.4">
      <c r="AA8119" s="463"/>
      <c r="AB8119" s="462"/>
      <c r="AC8119" s="462"/>
      <c r="AD8119" s="464"/>
      <c r="AE8119" s="465"/>
    </row>
    <row r="8120" spans="27:31" ht="14.4">
      <c r="AA8120" s="463"/>
      <c r="AB8120" s="462"/>
      <c r="AC8120" s="462"/>
      <c r="AD8120" s="464"/>
      <c r="AE8120" s="465"/>
    </row>
    <row r="8121" spans="27:31" ht="14.4">
      <c r="AA8121" s="463"/>
      <c r="AB8121" s="462"/>
      <c r="AC8121" s="462"/>
      <c r="AD8121" s="464"/>
      <c r="AE8121" s="465"/>
    </row>
    <row r="8122" spans="27:31" ht="14.4">
      <c r="AA8122" s="463"/>
      <c r="AB8122" s="462"/>
      <c r="AC8122" s="462"/>
      <c r="AD8122" s="464"/>
      <c r="AE8122" s="465"/>
    </row>
    <row r="8123" spans="27:31" ht="14.4">
      <c r="AA8123" s="463"/>
      <c r="AB8123" s="462"/>
      <c r="AC8123" s="462"/>
      <c r="AD8123" s="464"/>
      <c r="AE8123" s="465"/>
    </row>
    <row r="8124" spans="27:31" ht="14.4">
      <c r="AA8124" s="463"/>
      <c r="AB8124" s="462"/>
      <c r="AC8124" s="462"/>
      <c r="AD8124" s="464"/>
      <c r="AE8124" s="465"/>
    </row>
    <row r="8125" spans="27:31" ht="14.4">
      <c r="AA8125" s="463"/>
      <c r="AB8125" s="462"/>
      <c r="AC8125" s="462"/>
      <c r="AD8125" s="464"/>
      <c r="AE8125" s="465"/>
    </row>
    <row r="8126" spans="27:31" ht="14.4">
      <c r="AA8126" s="463"/>
      <c r="AB8126" s="462"/>
      <c r="AC8126" s="462"/>
      <c r="AD8126" s="464"/>
      <c r="AE8126" s="465"/>
    </row>
    <row r="8127" spans="27:31" ht="14.4">
      <c r="AA8127" s="463"/>
      <c r="AB8127" s="462"/>
      <c r="AC8127" s="462"/>
      <c r="AD8127" s="464"/>
      <c r="AE8127" s="465"/>
    </row>
    <row r="8128" spans="27:31" ht="14.4">
      <c r="AA8128" s="463"/>
      <c r="AB8128" s="462"/>
      <c r="AC8128" s="462"/>
      <c r="AD8128" s="464"/>
      <c r="AE8128" s="465"/>
    </row>
    <row r="8129" spans="27:31" ht="14.4">
      <c r="AA8129" s="463"/>
      <c r="AB8129" s="462"/>
      <c r="AC8129" s="462"/>
      <c r="AD8129" s="464"/>
      <c r="AE8129" s="465"/>
    </row>
    <row r="8130" spans="27:31" ht="14.4">
      <c r="AA8130" s="463"/>
      <c r="AB8130" s="462"/>
      <c r="AC8130" s="462"/>
      <c r="AD8130" s="464"/>
      <c r="AE8130" s="465"/>
    </row>
    <row r="8131" spans="27:31" ht="14.4">
      <c r="AA8131" s="463"/>
      <c r="AB8131" s="462"/>
      <c r="AC8131" s="462"/>
      <c r="AD8131" s="464"/>
      <c r="AE8131" s="465"/>
    </row>
    <row r="8132" spans="27:31" ht="14.4">
      <c r="AA8132" s="463"/>
      <c r="AB8132" s="462"/>
      <c r="AC8132" s="462"/>
      <c r="AD8132" s="464"/>
      <c r="AE8132" s="465"/>
    </row>
    <row r="8133" spans="27:31" ht="14.4">
      <c r="AA8133" s="463"/>
      <c r="AB8133" s="462"/>
      <c r="AC8133" s="462"/>
      <c r="AD8133" s="464"/>
      <c r="AE8133" s="465"/>
    </row>
    <row r="8134" spans="27:31" ht="14.4">
      <c r="AA8134" s="463"/>
      <c r="AB8134" s="462"/>
      <c r="AC8134" s="462"/>
      <c r="AD8134" s="464"/>
      <c r="AE8134" s="465"/>
    </row>
    <row r="8135" spans="27:31" ht="14.4">
      <c r="AA8135" s="463"/>
      <c r="AB8135" s="462"/>
      <c r="AC8135" s="462"/>
      <c r="AD8135" s="464"/>
      <c r="AE8135" s="465"/>
    </row>
    <row r="8136" spans="27:31" ht="14.4">
      <c r="AA8136" s="463"/>
      <c r="AB8136" s="462"/>
      <c r="AC8136" s="462"/>
      <c r="AD8136" s="464"/>
      <c r="AE8136" s="465"/>
    </row>
    <row r="8137" spans="27:31" ht="14.4">
      <c r="AA8137" s="463"/>
      <c r="AB8137" s="462"/>
      <c r="AC8137" s="462"/>
      <c r="AD8137" s="464"/>
      <c r="AE8137" s="465"/>
    </row>
    <row r="8138" spans="27:31" ht="14.4">
      <c r="AA8138" s="463"/>
      <c r="AB8138" s="462"/>
      <c r="AC8138" s="462"/>
      <c r="AD8138" s="464"/>
      <c r="AE8138" s="465"/>
    </row>
    <row r="8139" spans="27:31" ht="14.4">
      <c r="AA8139" s="463"/>
      <c r="AB8139" s="462"/>
      <c r="AC8139" s="462"/>
      <c r="AD8139" s="464"/>
      <c r="AE8139" s="465"/>
    </row>
    <row r="8140" spans="27:31" ht="14.4">
      <c r="AA8140" s="463"/>
      <c r="AB8140" s="462"/>
      <c r="AC8140" s="462"/>
      <c r="AD8140" s="464"/>
      <c r="AE8140" s="465"/>
    </row>
    <row r="8141" spans="27:31" ht="14.4">
      <c r="AA8141" s="463"/>
      <c r="AB8141" s="462"/>
      <c r="AC8141" s="462"/>
      <c r="AD8141" s="464"/>
      <c r="AE8141" s="465"/>
    </row>
    <row r="8142" spans="27:31" ht="14.4">
      <c r="AA8142" s="463"/>
      <c r="AB8142" s="462"/>
      <c r="AC8142" s="462"/>
      <c r="AD8142" s="464"/>
      <c r="AE8142" s="465"/>
    </row>
    <row r="8143" spans="27:31" ht="14.4">
      <c r="AA8143" s="463"/>
      <c r="AB8143" s="462"/>
      <c r="AC8143" s="462"/>
      <c r="AD8143" s="464"/>
      <c r="AE8143" s="465"/>
    </row>
    <row r="8144" spans="27:31" ht="14.4">
      <c r="AA8144" s="463"/>
      <c r="AB8144" s="462"/>
      <c r="AC8144" s="462"/>
      <c r="AD8144" s="464"/>
      <c r="AE8144" s="465"/>
    </row>
    <row r="8145" spans="27:31" ht="14.4">
      <c r="AA8145" s="463"/>
      <c r="AB8145" s="462"/>
      <c r="AC8145" s="462"/>
      <c r="AD8145" s="464"/>
      <c r="AE8145" s="465"/>
    </row>
    <row r="8146" spans="27:31" ht="14.4">
      <c r="AA8146" s="463"/>
      <c r="AB8146" s="462"/>
      <c r="AC8146" s="462"/>
      <c r="AD8146" s="464"/>
      <c r="AE8146" s="465"/>
    </row>
    <row r="8147" spans="27:31" ht="14.4">
      <c r="AA8147" s="463"/>
      <c r="AB8147" s="462"/>
      <c r="AC8147" s="462"/>
      <c r="AD8147" s="464"/>
      <c r="AE8147" s="465"/>
    </row>
    <row r="8148" spans="27:31" ht="14.4">
      <c r="AA8148" s="463"/>
      <c r="AB8148" s="462"/>
      <c r="AC8148" s="462"/>
      <c r="AD8148" s="464"/>
      <c r="AE8148" s="465"/>
    </row>
    <row r="8149" spans="27:31" ht="14.4">
      <c r="AA8149" s="463"/>
      <c r="AB8149" s="462"/>
      <c r="AC8149" s="462"/>
      <c r="AD8149" s="464"/>
      <c r="AE8149" s="465"/>
    </row>
    <row r="8150" spans="27:31" ht="14.4">
      <c r="AA8150" s="463"/>
      <c r="AB8150" s="462"/>
      <c r="AC8150" s="462"/>
      <c r="AD8150" s="464"/>
      <c r="AE8150" s="465"/>
    </row>
    <row r="8151" spans="27:31" ht="14.4">
      <c r="AA8151" s="463"/>
      <c r="AB8151" s="462"/>
      <c r="AC8151" s="462"/>
      <c r="AD8151" s="464"/>
      <c r="AE8151" s="465"/>
    </row>
    <row r="8152" spans="27:31" ht="14.4">
      <c r="AA8152" s="463"/>
      <c r="AB8152" s="462"/>
      <c r="AC8152" s="462"/>
      <c r="AD8152" s="464"/>
      <c r="AE8152" s="465"/>
    </row>
    <row r="8153" spans="27:31" ht="14.4">
      <c r="AA8153" s="463"/>
      <c r="AB8153" s="462"/>
      <c r="AC8153" s="462"/>
      <c r="AD8153" s="464"/>
      <c r="AE8153" s="465"/>
    </row>
    <row r="8154" spans="27:31" ht="14.4">
      <c r="AA8154" s="463"/>
      <c r="AB8154" s="462"/>
      <c r="AC8154" s="462"/>
      <c r="AD8154" s="464"/>
      <c r="AE8154" s="465"/>
    </row>
    <row r="8155" spans="27:31" ht="14.4">
      <c r="AA8155" s="463"/>
      <c r="AB8155" s="462"/>
      <c r="AC8155" s="462"/>
      <c r="AD8155" s="464"/>
      <c r="AE8155" s="465"/>
    </row>
    <row r="8156" spans="27:31" ht="14.4">
      <c r="AA8156" s="463"/>
      <c r="AB8156" s="462"/>
      <c r="AC8156" s="462"/>
      <c r="AD8156" s="464"/>
      <c r="AE8156" s="465"/>
    </row>
    <row r="8157" spans="27:31" ht="14.4">
      <c r="AA8157" s="463"/>
      <c r="AB8157" s="462"/>
      <c r="AC8157" s="462"/>
      <c r="AD8157" s="464"/>
      <c r="AE8157" s="465"/>
    </row>
    <row r="8158" spans="27:31" ht="14.4">
      <c r="AA8158" s="463"/>
      <c r="AB8158" s="462"/>
      <c r="AC8158" s="462"/>
      <c r="AD8158" s="464"/>
      <c r="AE8158" s="465"/>
    </row>
    <row r="8159" spans="27:31" ht="14.4">
      <c r="AA8159" s="463"/>
      <c r="AB8159" s="462"/>
      <c r="AC8159" s="462"/>
      <c r="AD8159" s="464"/>
      <c r="AE8159" s="465"/>
    </row>
    <row r="8160" spans="27:31" ht="14.4">
      <c r="AA8160" s="463"/>
      <c r="AB8160" s="462"/>
      <c r="AC8160" s="462"/>
      <c r="AD8160" s="464"/>
      <c r="AE8160" s="465"/>
    </row>
    <row r="8161" spans="27:31" ht="14.4">
      <c r="AA8161" s="463"/>
      <c r="AB8161" s="462"/>
      <c r="AC8161" s="462"/>
      <c r="AD8161" s="464"/>
      <c r="AE8161" s="465"/>
    </row>
    <row r="8162" spans="27:31" ht="14.4">
      <c r="AA8162" s="463"/>
      <c r="AB8162" s="462"/>
      <c r="AC8162" s="462"/>
      <c r="AD8162" s="464"/>
      <c r="AE8162" s="465"/>
    </row>
    <row r="8163" spans="27:31" ht="14.4">
      <c r="AA8163" s="463"/>
      <c r="AB8163" s="462"/>
      <c r="AC8163" s="462"/>
      <c r="AD8163" s="464"/>
      <c r="AE8163" s="465"/>
    </row>
    <row r="8164" spans="27:31" ht="14.4">
      <c r="AA8164" s="463"/>
      <c r="AB8164" s="462"/>
      <c r="AC8164" s="462"/>
      <c r="AD8164" s="464"/>
      <c r="AE8164" s="465"/>
    </row>
    <row r="8165" spans="27:31" ht="14.4">
      <c r="AA8165" s="463"/>
      <c r="AB8165" s="462"/>
      <c r="AC8165" s="462"/>
      <c r="AD8165" s="464"/>
      <c r="AE8165" s="465"/>
    </row>
    <row r="8166" spans="27:31" ht="14.4">
      <c r="AA8166" s="463"/>
      <c r="AB8166" s="462"/>
      <c r="AC8166" s="462"/>
      <c r="AD8166" s="464"/>
      <c r="AE8166" s="465"/>
    </row>
    <row r="8167" spans="27:31" ht="14.4">
      <c r="AA8167" s="463"/>
      <c r="AB8167" s="462"/>
      <c r="AC8167" s="462"/>
      <c r="AD8167" s="464"/>
      <c r="AE8167" s="465"/>
    </row>
    <row r="8168" spans="27:31" ht="14.4">
      <c r="AA8168" s="463"/>
      <c r="AB8168" s="462"/>
      <c r="AC8168" s="462"/>
      <c r="AD8168" s="464"/>
      <c r="AE8168" s="465"/>
    </row>
    <row r="8169" spans="27:31" ht="14.4">
      <c r="AA8169" s="463"/>
      <c r="AB8169" s="462"/>
      <c r="AC8169" s="462"/>
      <c r="AD8169" s="464"/>
      <c r="AE8169" s="465"/>
    </row>
    <row r="8170" spans="27:31" ht="14.4">
      <c r="AA8170" s="463"/>
      <c r="AB8170" s="462"/>
      <c r="AC8170" s="462"/>
      <c r="AD8170" s="464"/>
      <c r="AE8170" s="465"/>
    </row>
    <row r="8171" spans="27:31" ht="14.4">
      <c r="AA8171" s="463"/>
      <c r="AB8171" s="462"/>
      <c r="AC8171" s="462"/>
      <c r="AD8171" s="464"/>
      <c r="AE8171" s="465"/>
    </row>
    <row r="8172" spans="27:31" ht="14.4">
      <c r="AA8172" s="463"/>
      <c r="AB8172" s="462"/>
      <c r="AC8172" s="462"/>
      <c r="AD8172" s="464"/>
      <c r="AE8172" s="465"/>
    </row>
    <row r="8173" spans="27:31" ht="14.4">
      <c r="AA8173" s="463"/>
      <c r="AB8173" s="462"/>
      <c r="AC8173" s="462"/>
      <c r="AD8173" s="464"/>
      <c r="AE8173" s="465"/>
    </row>
    <row r="8174" spans="27:31" ht="14.4">
      <c r="AA8174" s="463"/>
      <c r="AB8174" s="462"/>
      <c r="AC8174" s="462"/>
      <c r="AD8174" s="464"/>
      <c r="AE8174" s="465"/>
    </row>
    <row r="8175" spans="27:31" ht="14.4">
      <c r="AA8175" s="463"/>
      <c r="AB8175" s="462"/>
      <c r="AC8175" s="462"/>
      <c r="AD8175" s="464"/>
      <c r="AE8175" s="465"/>
    </row>
    <row r="8176" spans="27:31" ht="14.4">
      <c r="AA8176" s="463"/>
      <c r="AB8176" s="462"/>
      <c r="AC8176" s="462"/>
      <c r="AD8176" s="464"/>
      <c r="AE8176" s="465"/>
    </row>
    <row r="8177" spans="27:31" ht="14.4">
      <c r="AA8177" s="463"/>
      <c r="AB8177" s="462"/>
      <c r="AC8177" s="462"/>
      <c r="AD8177" s="464"/>
      <c r="AE8177" s="465"/>
    </row>
    <row r="8178" spans="27:31" ht="14.4">
      <c r="AA8178" s="463"/>
      <c r="AB8178" s="462"/>
      <c r="AC8178" s="462"/>
      <c r="AD8178" s="464"/>
      <c r="AE8178" s="465"/>
    </row>
    <row r="8179" spans="27:31" ht="14.4">
      <c r="AA8179" s="463"/>
      <c r="AB8179" s="462"/>
      <c r="AC8179" s="462"/>
      <c r="AD8179" s="464"/>
      <c r="AE8179" s="465"/>
    </row>
    <row r="8180" spans="27:31" ht="14.4">
      <c r="AA8180" s="463"/>
      <c r="AB8180" s="462"/>
      <c r="AC8180" s="462"/>
      <c r="AD8180" s="464"/>
      <c r="AE8180" s="465"/>
    </row>
    <row r="8181" spans="27:31" ht="14.4">
      <c r="AA8181" s="463"/>
      <c r="AB8181" s="462"/>
      <c r="AC8181" s="462"/>
      <c r="AD8181" s="464"/>
      <c r="AE8181" s="465"/>
    </row>
    <row r="8182" spans="27:31" ht="14.4">
      <c r="AA8182" s="463"/>
      <c r="AB8182" s="462"/>
      <c r="AC8182" s="462"/>
      <c r="AD8182" s="464"/>
      <c r="AE8182" s="465"/>
    </row>
    <row r="8183" spans="27:31" ht="14.4">
      <c r="AA8183" s="463"/>
      <c r="AB8183" s="462"/>
      <c r="AC8183" s="462"/>
      <c r="AD8183" s="464"/>
      <c r="AE8183" s="465"/>
    </row>
    <row r="8184" spans="27:31" ht="14.4">
      <c r="AA8184" s="463"/>
      <c r="AB8184" s="462"/>
      <c r="AC8184" s="462"/>
      <c r="AD8184" s="464"/>
      <c r="AE8184" s="465"/>
    </row>
    <row r="8185" spans="27:31" ht="14.4">
      <c r="AA8185" s="463"/>
      <c r="AB8185" s="462"/>
      <c r="AC8185" s="462"/>
      <c r="AD8185" s="464"/>
      <c r="AE8185" s="465"/>
    </row>
    <row r="8186" spans="27:31" ht="14.4">
      <c r="AA8186" s="463"/>
      <c r="AB8186" s="462"/>
      <c r="AC8186" s="462"/>
      <c r="AD8186" s="464"/>
      <c r="AE8186" s="465"/>
    </row>
    <row r="8187" spans="27:31" ht="14.4">
      <c r="AA8187" s="463"/>
      <c r="AB8187" s="462"/>
      <c r="AC8187" s="462"/>
      <c r="AD8187" s="464"/>
      <c r="AE8187" s="465"/>
    </row>
    <row r="8188" spans="27:31" ht="14.4">
      <c r="AA8188" s="463"/>
      <c r="AB8188" s="462"/>
      <c r="AC8188" s="462"/>
      <c r="AD8188" s="464"/>
      <c r="AE8188" s="465"/>
    </row>
    <row r="8189" spans="27:31" ht="14.4">
      <c r="AA8189" s="463"/>
      <c r="AB8189" s="462"/>
      <c r="AC8189" s="462"/>
      <c r="AD8189" s="464"/>
      <c r="AE8189" s="465"/>
    </row>
    <row r="8190" spans="27:31" ht="14.4">
      <c r="AA8190" s="463"/>
      <c r="AB8190" s="462"/>
      <c r="AC8190" s="462"/>
      <c r="AD8190" s="464"/>
      <c r="AE8190" s="465"/>
    </row>
    <row r="8191" spans="27:31" ht="14.4">
      <c r="AA8191" s="463"/>
      <c r="AB8191" s="462"/>
      <c r="AC8191" s="462"/>
      <c r="AD8191" s="464"/>
      <c r="AE8191" s="465"/>
    </row>
    <row r="8192" spans="27:31" ht="14.4">
      <c r="AA8192" s="463"/>
      <c r="AB8192" s="462"/>
      <c r="AC8192" s="462"/>
      <c r="AD8192" s="464"/>
      <c r="AE8192" s="465"/>
    </row>
    <row r="8193" spans="27:31" ht="14.4">
      <c r="AA8193" s="463"/>
      <c r="AB8193" s="462"/>
      <c r="AC8193" s="462"/>
      <c r="AD8193" s="464"/>
      <c r="AE8193" s="465"/>
    </row>
    <row r="8194" spans="27:31" ht="14.4">
      <c r="AA8194" s="463"/>
      <c r="AB8194" s="462"/>
      <c r="AC8194" s="462"/>
      <c r="AD8194" s="464"/>
      <c r="AE8194" s="465"/>
    </row>
    <row r="8195" spans="27:31" ht="14.4">
      <c r="AA8195" s="463"/>
      <c r="AB8195" s="462"/>
      <c r="AC8195" s="462"/>
      <c r="AD8195" s="464"/>
      <c r="AE8195" s="465"/>
    </row>
    <row r="8196" spans="27:31" ht="14.4">
      <c r="AA8196" s="463"/>
      <c r="AB8196" s="462"/>
      <c r="AC8196" s="462"/>
      <c r="AD8196" s="464"/>
      <c r="AE8196" s="465"/>
    </row>
    <row r="8197" spans="27:31" ht="14.4">
      <c r="AA8197" s="463"/>
      <c r="AB8197" s="462"/>
      <c r="AC8197" s="462"/>
      <c r="AD8197" s="464"/>
      <c r="AE8197" s="465"/>
    </row>
    <row r="8198" spans="27:31" ht="14.4">
      <c r="AA8198" s="463"/>
      <c r="AB8198" s="462"/>
      <c r="AC8198" s="462"/>
      <c r="AD8198" s="464"/>
      <c r="AE8198" s="465"/>
    </row>
    <row r="8199" spans="27:31" ht="14.4">
      <c r="AA8199" s="463"/>
      <c r="AB8199" s="462"/>
      <c r="AC8199" s="462"/>
      <c r="AD8199" s="464"/>
      <c r="AE8199" s="465"/>
    </row>
    <row r="8200" spans="27:31" ht="14.4">
      <c r="AA8200" s="463"/>
      <c r="AB8200" s="462"/>
      <c r="AC8200" s="462"/>
      <c r="AD8200" s="464"/>
      <c r="AE8200" s="465"/>
    </row>
    <row r="8201" spans="27:31" ht="14.4">
      <c r="AA8201" s="463"/>
      <c r="AB8201" s="462"/>
      <c r="AC8201" s="462"/>
      <c r="AD8201" s="464"/>
      <c r="AE8201" s="465"/>
    </row>
    <row r="8202" spans="27:31" ht="14.4">
      <c r="AA8202" s="463"/>
      <c r="AB8202" s="462"/>
      <c r="AC8202" s="462"/>
      <c r="AD8202" s="464"/>
      <c r="AE8202" s="465"/>
    </row>
    <row r="8203" spans="27:31" ht="14.4">
      <c r="AA8203" s="463"/>
      <c r="AB8203" s="462"/>
      <c r="AC8203" s="462"/>
      <c r="AD8203" s="464"/>
      <c r="AE8203" s="465"/>
    </row>
    <row r="8204" spans="27:31" ht="14.4">
      <c r="AA8204" s="463"/>
      <c r="AB8204" s="462"/>
      <c r="AC8204" s="462"/>
      <c r="AD8204" s="464"/>
      <c r="AE8204" s="465"/>
    </row>
    <row r="8205" spans="27:31" ht="14.4">
      <c r="AA8205" s="463"/>
      <c r="AB8205" s="462"/>
      <c r="AC8205" s="462"/>
      <c r="AD8205" s="464"/>
      <c r="AE8205" s="465"/>
    </row>
    <row r="8206" spans="27:31" ht="14.4">
      <c r="AA8206" s="463"/>
      <c r="AB8206" s="462"/>
      <c r="AC8206" s="462"/>
      <c r="AD8206" s="464"/>
      <c r="AE8206" s="465"/>
    </row>
    <row r="8207" spans="27:31" ht="14.4">
      <c r="AA8207" s="463"/>
      <c r="AB8207" s="462"/>
      <c r="AC8207" s="462"/>
      <c r="AD8207" s="464"/>
      <c r="AE8207" s="465"/>
    </row>
    <row r="8208" spans="27:31" ht="14.4">
      <c r="AA8208" s="463"/>
      <c r="AB8208" s="462"/>
      <c r="AC8208" s="462"/>
      <c r="AD8208" s="464"/>
      <c r="AE8208" s="465"/>
    </row>
    <row r="8209" spans="27:31" ht="14.4">
      <c r="AA8209" s="463"/>
      <c r="AB8209" s="462"/>
      <c r="AC8209" s="462"/>
      <c r="AD8209" s="464"/>
      <c r="AE8209" s="465"/>
    </row>
    <row r="8210" spans="27:31" ht="14.4">
      <c r="AA8210" s="463"/>
      <c r="AB8210" s="462"/>
      <c r="AC8210" s="462"/>
      <c r="AD8210" s="464"/>
      <c r="AE8210" s="465"/>
    </row>
    <row r="8211" spans="27:31" ht="14.4">
      <c r="AA8211" s="463"/>
      <c r="AB8211" s="462"/>
      <c r="AC8211" s="462"/>
      <c r="AD8211" s="464"/>
      <c r="AE8211" s="465"/>
    </row>
    <row r="8212" spans="27:31" ht="14.4">
      <c r="AA8212" s="463"/>
      <c r="AB8212" s="462"/>
      <c r="AC8212" s="462"/>
      <c r="AD8212" s="464"/>
      <c r="AE8212" s="465"/>
    </row>
    <row r="8213" spans="27:31" ht="14.4">
      <c r="AA8213" s="463"/>
      <c r="AB8213" s="462"/>
      <c r="AC8213" s="462"/>
      <c r="AD8213" s="464"/>
      <c r="AE8213" s="465"/>
    </row>
    <row r="8214" spans="27:31" ht="14.4">
      <c r="AA8214" s="463"/>
      <c r="AB8214" s="462"/>
      <c r="AC8214" s="462"/>
      <c r="AD8214" s="464"/>
      <c r="AE8214" s="465"/>
    </row>
    <row r="8215" spans="27:31" ht="14.4">
      <c r="AA8215" s="463"/>
      <c r="AB8215" s="462"/>
      <c r="AC8215" s="462"/>
      <c r="AD8215" s="464"/>
      <c r="AE8215" s="465"/>
    </row>
    <row r="8216" spans="27:31" ht="14.4">
      <c r="AA8216" s="463"/>
      <c r="AB8216" s="462"/>
      <c r="AC8216" s="462"/>
      <c r="AD8216" s="464"/>
      <c r="AE8216" s="465"/>
    </row>
    <row r="8217" spans="27:31" ht="14.4">
      <c r="AA8217" s="463"/>
      <c r="AB8217" s="462"/>
      <c r="AC8217" s="462"/>
      <c r="AD8217" s="464"/>
      <c r="AE8217" s="465"/>
    </row>
    <row r="8218" spans="27:31" ht="14.4">
      <c r="AA8218" s="463"/>
      <c r="AB8218" s="462"/>
      <c r="AC8218" s="462"/>
      <c r="AD8218" s="464"/>
      <c r="AE8218" s="465"/>
    </row>
    <row r="8219" spans="27:31" ht="14.4">
      <c r="AA8219" s="463"/>
      <c r="AB8219" s="462"/>
      <c r="AC8219" s="462"/>
      <c r="AD8219" s="464"/>
      <c r="AE8219" s="465"/>
    </row>
    <row r="8220" spans="27:31" ht="14.4">
      <c r="AA8220" s="463"/>
      <c r="AB8220" s="462"/>
      <c r="AC8220" s="462"/>
      <c r="AD8220" s="464"/>
      <c r="AE8220" s="465"/>
    </row>
    <row r="8221" spans="27:31" ht="14.4">
      <c r="AA8221" s="463"/>
      <c r="AB8221" s="462"/>
      <c r="AC8221" s="462"/>
      <c r="AD8221" s="464"/>
      <c r="AE8221" s="465"/>
    </row>
    <row r="8222" spans="27:31" ht="14.4">
      <c r="AA8222" s="463"/>
      <c r="AB8222" s="462"/>
      <c r="AC8222" s="462"/>
      <c r="AD8222" s="464"/>
      <c r="AE8222" s="465"/>
    </row>
    <row r="8223" spans="27:31" ht="14.4">
      <c r="AA8223" s="463"/>
      <c r="AB8223" s="462"/>
      <c r="AC8223" s="462"/>
      <c r="AD8223" s="464"/>
      <c r="AE8223" s="465"/>
    </row>
    <row r="8224" spans="27:31" ht="14.4">
      <c r="AA8224" s="463"/>
      <c r="AB8224" s="462"/>
      <c r="AC8224" s="462"/>
      <c r="AD8224" s="464"/>
      <c r="AE8224" s="465"/>
    </row>
    <row r="8225" spans="27:31" ht="14.4">
      <c r="AA8225" s="463"/>
      <c r="AB8225" s="462"/>
      <c r="AC8225" s="462"/>
      <c r="AD8225" s="464"/>
      <c r="AE8225" s="465"/>
    </row>
    <row r="8226" spans="27:31" ht="14.4">
      <c r="AA8226" s="463"/>
      <c r="AB8226" s="462"/>
      <c r="AC8226" s="462"/>
      <c r="AD8226" s="464"/>
      <c r="AE8226" s="465"/>
    </row>
    <row r="8227" spans="27:31" ht="14.4">
      <c r="AA8227" s="463"/>
      <c r="AB8227" s="462"/>
      <c r="AC8227" s="462"/>
      <c r="AD8227" s="464"/>
      <c r="AE8227" s="465"/>
    </row>
    <row r="8228" spans="27:31" ht="14.4">
      <c r="AA8228" s="463"/>
      <c r="AB8228" s="462"/>
      <c r="AC8228" s="462"/>
      <c r="AD8228" s="464"/>
      <c r="AE8228" s="465"/>
    </row>
    <row r="8229" spans="27:31" ht="14.4">
      <c r="AA8229" s="463"/>
      <c r="AB8229" s="462"/>
      <c r="AC8229" s="462"/>
      <c r="AD8229" s="464"/>
      <c r="AE8229" s="465"/>
    </row>
    <row r="8230" spans="27:31" ht="14.4">
      <c r="AA8230" s="463"/>
      <c r="AB8230" s="462"/>
      <c r="AC8230" s="462"/>
      <c r="AD8230" s="464"/>
      <c r="AE8230" s="465"/>
    </row>
    <row r="8231" spans="27:31" ht="14.4">
      <c r="AA8231" s="463"/>
      <c r="AB8231" s="462"/>
      <c r="AC8231" s="462"/>
      <c r="AD8231" s="464"/>
      <c r="AE8231" s="465"/>
    </row>
    <row r="8232" spans="27:31" ht="14.4">
      <c r="AA8232" s="463"/>
      <c r="AB8232" s="462"/>
      <c r="AC8232" s="462"/>
      <c r="AD8232" s="464"/>
      <c r="AE8232" s="465"/>
    </row>
    <row r="8233" spans="27:31" ht="14.4">
      <c r="AA8233" s="463"/>
      <c r="AB8233" s="462"/>
      <c r="AC8233" s="462"/>
      <c r="AD8233" s="464"/>
      <c r="AE8233" s="465"/>
    </row>
    <row r="8234" spans="27:31" ht="14.4">
      <c r="AA8234" s="463"/>
      <c r="AB8234" s="462"/>
      <c r="AC8234" s="462"/>
      <c r="AD8234" s="464"/>
      <c r="AE8234" s="465"/>
    </row>
    <row r="8235" spans="27:31" ht="14.4">
      <c r="AA8235" s="463"/>
      <c r="AB8235" s="462"/>
      <c r="AC8235" s="462"/>
      <c r="AD8235" s="464"/>
      <c r="AE8235" s="465"/>
    </row>
    <row r="8236" spans="27:31" ht="14.4">
      <c r="AA8236" s="463"/>
      <c r="AB8236" s="462"/>
      <c r="AC8236" s="462"/>
      <c r="AD8236" s="464"/>
      <c r="AE8236" s="465"/>
    </row>
    <row r="8237" spans="27:31" ht="14.4">
      <c r="AA8237" s="463"/>
      <c r="AB8237" s="462"/>
      <c r="AC8237" s="462"/>
      <c r="AD8237" s="464"/>
      <c r="AE8237" s="465"/>
    </row>
    <row r="8238" spans="27:31" ht="14.4">
      <c r="AA8238" s="463"/>
      <c r="AB8238" s="462"/>
      <c r="AC8238" s="462"/>
      <c r="AD8238" s="464"/>
      <c r="AE8238" s="465"/>
    </row>
    <row r="8239" spans="27:31" ht="14.4">
      <c r="AA8239" s="463"/>
      <c r="AB8239" s="462"/>
      <c r="AC8239" s="462"/>
      <c r="AD8239" s="464"/>
      <c r="AE8239" s="465"/>
    </row>
    <row r="8240" spans="27:31" ht="14.4">
      <c r="AA8240" s="463"/>
      <c r="AB8240" s="462"/>
      <c r="AC8240" s="462"/>
      <c r="AD8240" s="464"/>
      <c r="AE8240" s="465"/>
    </row>
    <row r="8241" spans="27:31" ht="14.4">
      <c r="AA8241" s="463"/>
      <c r="AB8241" s="462"/>
      <c r="AC8241" s="462"/>
      <c r="AD8241" s="464"/>
      <c r="AE8241" s="465"/>
    </row>
    <row r="8242" spans="27:31" ht="14.4">
      <c r="AA8242" s="463"/>
      <c r="AB8242" s="462"/>
      <c r="AC8242" s="462"/>
      <c r="AD8242" s="464"/>
      <c r="AE8242" s="465"/>
    </row>
    <row r="8243" spans="27:31" ht="14.4">
      <c r="AA8243" s="463"/>
      <c r="AB8243" s="462"/>
      <c r="AC8243" s="462"/>
      <c r="AD8243" s="464"/>
      <c r="AE8243" s="465"/>
    </row>
    <row r="8244" spans="27:31" ht="14.4">
      <c r="AA8244" s="463"/>
      <c r="AB8244" s="462"/>
      <c r="AC8244" s="462"/>
      <c r="AD8244" s="464"/>
      <c r="AE8244" s="465"/>
    </row>
    <row r="8245" spans="27:31" ht="14.4">
      <c r="AA8245" s="463"/>
      <c r="AB8245" s="462"/>
      <c r="AC8245" s="462"/>
      <c r="AD8245" s="464"/>
      <c r="AE8245" s="465"/>
    </row>
    <row r="8246" spans="27:31" ht="14.4">
      <c r="AA8246" s="463"/>
      <c r="AB8246" s="462"/>
      <c r="AC8246" s="462"/>
      <c r="AD8246" s="464"/>
      <c r="AE8246" s="465"/>
    </row>
    <row r="8247" spans="27:31" ht="14.4">
      <c r="AA8247" s="463"/>
      <c r="AB8247" s="462"/>
      <c r="AC8247" s="462"/>
      <c r="AD8247" s="464"/>
      <c r="AE8247" s="465"/>
    </row>
    <row r="8248" spans="27:31" ht="14.4">
      <c r="AA8248" s="463"/>
      <c r="AB8248" s="462"/>
      <c r="AC8248" s="462"/>
      <c r="AD8248" s="464"/>
      <c r="AE8248" s="465"/>
    </row>
    <row r="8249" spans="27:31" ht="14.4">
      <c r="AA8249" s="463"/>
      <c r="AB8249" s="462"/>
      <c r="AC8249" s="462"/>
      <c r="AD8249" s="464"/>
      <c r="AE8249" s="465"/>
    </row>
    <row r="8250" spans="27:31" ht="14.4">
      <c r="AA8250" s="463"/>
      <c r="AB8250" s="462"/>
      <c r="AC8250" s="462"/>
      <c r="AD8250" s="464"/>
      <c r="AE8250" s="465"/>
    </row>
    <row r="8251" spans="27:31" ht="14.4">
      <c r="AA8251" s="463"/>
      <c r="AB8251" s="462"/>
      <c r="AC8251" s="462"/>
      <c r="AD8251" s="464"/>
      <c r="AE8251" s="465"/>
    </row>
    <row r="8252" spans="27:31" ht="14.4">
      <c r="AA8252" s="463"/>
      <c r="AB8252" s="462"/>
      <c r="AC8252" s="462"/>
      <c r="AD8252" s="464"/>
      <c r="AE8252" s="465"/>
    </row>
    <row r="8253" spans="27:31" ht="14.4">
      <c r="AA8253" s="463"/>
      <c r="AB8253" s="462"/>
      <c r="AC8253" s="462"/>
      <c r="AD8253" s="464"/>
      <c r="AE8253" s="465"/>
    </row>
    <row r="8254" spans="27:31" ht="14.4">
      <c r="AA8254" s="463"/>
      <c r="AB8254" s="462"/>
      <c r="AC8254" s="462"/>
      <c r="AD8254" s="464"/>
      <c r="AE8254" s="465"/>
    </row>
    <row r="8255" spans="27:31" ht="14.4">
      <c r="AA8255" s="463"/>
      <c r="AB8255" s="462"/>
      <c r="AC8255" s="462"/>
      <c r="AD8255" s="464"/>
      <c r="AE8255" s="465"/>
    </row>
    <row r="8256" spans="27:31" ht="14.4">
      <c r="AA8256" s="463"/>
      <c r="AB8256" s="462"/>
      <c r="AC8256" s="462"/>
      <c r="AD8256" s="464"/>
      <c r="AE8256" s="465"/>
    </row>
    <row r="8257" spans="27:31" ht="14.4">
      <c r="AA8257" s="463"/>
      <c r="AB8257" s="462"/>
      <c r="AC8257" s="462"/>
      <c r="AD8257" s="464"/>
      <c r="AE8257" s="465"/>
    </row>
    <row r="8258" spans="27:31" ht="14.4">
      <c r="AA8258" s="463"/>
      <c r="AB8258" s="462"/>
      <c r="AC8258" s="462"/>
      <c r="AD8258" s="464"/>
      <c r="AE8258" s="465"/>
    </row>
    <row r="8259" spans="27:31" ht="14.4">
      <c r="AA8259" s="463"/>
      <c r="AB8259" s="462"/>
      <c r="AC8259" s="462"/>
      <c r="AD8259" s="464"/>
      <c r="AE8259" s="465"/>
    </row>
    <row r="8260" spans="27:31" ht="14.4">
      <c r="AA8260" s="463"/>
      <c r="AB8260" s="462"/>
      <c r="AC8260" s="462"/>
      <c r="AD8260" s="464"/>
      <c r="AE8260" s="465"/>
    </row>
    <row r="8261" spans="27:31" ht="14.4">
      <c r="AA8261" s="463"/>
      <c r="AB8261" s="462"/>
      <c r="AC8261" s="462"/>
      <c r="AD8261" s="464"/>
      <c r="AE8261" s="465"/>
    </row>
    <row r="8262" spans="27:31" ht="14.4">
      <c r="AA8262" s="463"/>
      <c r="AB8262" s="462"/>
      <c r="AC8262" s="462"/>
      <c r="AD8262" s="464"/>
      <c r="AE8262" s="465"/>
    </row>
    <row r="8263" spans="27:31" ht="14.4">
      <c r="AA8263" s="463"/>
      <c r="AB8263" s="462"/>
      <c r="AC8263" s="462"/>
      <c r="AD8263" s="464"/>
      <c r="AE8263" s="465"/>
    </row>
    <row r="8264" spans="27:31" ht="14.4">
      <c r="AA8264" s="463"/>
      <c r="AB8264" s="462"/>
      <c r="AC8264" s="462"/>
      <c r="AD8264" s="464"/>
      <c r="AE8264" s="465"/>
    </row>
    <row r="8265" spans="27:31" ht="14.4">
      <c r="AA8265" s="463"/>
      <c r="AB8265" s="462"/>
      <c r="AC8265" s="462"/>
      <c r="AD8265" s="464"/>
      <c r="AE8265" s="465"/>
    </row>
    <row r="8266" spans="27:31" ht="14.4">
      <c r="AA8266" s="463"/>
      <c r="AB8266" s="462"/>
      <c r="AC8266" s="462"/>
      <c r="AD8266" s="464"/>
      <c r="AE8266" s="465"/>
    </row>
    <row r="8267" spans="27:31" ht="14.4">
      <c r="AA8267" s="463"/>
      <c r="AB8267" s="462"/>
      <c r="AC8267" s="462"/>
      <c r="AD8267" s="464"/>
      <c r="AE8267" s="465"/>
    </row>
    <row r="8268" spans="27:31" ht="14.4">
      <c r="AA8268" s="463"/>
      <c r="AB8268" s="462"/>
      <c r="AC8268" s="462"/>
      <c r="AD8268" s="464"/>
      <c r="AE8268" s="465"/>
    </row>
    <row r="8269" spans="27:31" ht="14.4">
      <c r="AA8269" s="463"/>
      <c r="AB8269" s="462"/>
      <c r="AC8269" s="462"/>
      <c r="AD8269" s="464"/>
      <c r="AE8269" s="465"/>
    </row>
    <row r="8270" spans="27:31" ht="14.4">
      <c r="AA8270" s="463"/>
      <c r="AB8270" s="462"/>
      <c r="AC8270" s="462"/>
      <c r="AD8270" s="464"/>
      <c r="AE8270" s="465"/>
    </row>
    <row r="8271" spans="27:31" ht="14.4">
      <c r="AA8271" s="463"/>
      <c r="AB8271" s="462"/>
      <c r="AC8271" s="462"/>
      <c r="AD8271" s="464"/>
      <c r="AE8271" s="465"/>
    </row>
    <row r="8272" spans="27:31" ht="14.4">
      <c r="AA8272" s="463"/>
      <c r="AB8272" s="462"/>
      <c r="AC8272" s="462"/>
      <c r="AD8272" s="464"/>
      <c r="AE8272" s="465"/>
    </row>
    <row r="8273" spans="27:31" ht="14.4">
      <c r="AA8273" s="463"/>
      <c r="AB8273" s="462"/>
      <c r="AC8273" s="462"/>
      <c r="AD8273" s="464"/>
      <c r="AE8273" s="465"/>
    </row>
    <row r="8274" spans="27:31" ht="14.4">
      <c r="AA8274" s="463"/>
      <c r="AB8274" s="462"/>
      <c r="AC8274" s="462"/>
      <c r="AD8274" s="464"/>
      <c r="AE8274" s="465"/>
    </row>
    <row r="8275" spans="27:31" ht="14.4">
      <c r="AA8275" s="463"/>
      <c r="AB8275" s="462"/>
      <c r="AC8275" s="462"/>
      <c r="AD8275" s="464"/>
      <c r="AE8275" s="465"/>
    </row>
    <row r="8276" spans="27:31" ht="14.4">
      <c r="AA8276" s="463"/>
      <c r="AB8276" s="462"/>
      <c r="AC8276" s="462"/>
      <c r="AD8276" s="464"/>
      <c r="AE8276" s="465"/>
    </row>
    <row r="8277" spans="27:31" ht="14.4">
      <c r="AA8277" s="463"/>
      <c r="AB8277" s="462"/>
      <c r="AC8277" s="462"/>
      <c r="AD8277" s="464"/>
      <c r="AE8277" s="465"/>
    </row>
    <row r="8278" spans="27:31" ht="14.4">
      <c r="AA8278" s="463"/>
      <c r="AB8278" s="462"/>
      <c r="AC8278" s="462"/>
      <c r="AD8278" s="464"/>
      <c r="AE8278" s="465"/>
    </row>
    <row r="8279" spans="27:31" ht="14.4">
      <c r="AA8279" s="463"/>
      <c r="AB8279" s="462"/>
      <c r="AC8279" s="462"/>
      <c r="AD8279" s="464"/>
      <c r="AE8279" s="465"/>
    </row>
    <row r="8280" spans="27:31" ht="14.4">
      <c r="AA8280" s="463"/>
      <c r="AB8280" s="462"/>
      <c r="AC8280" s="462"/>
      <c r="AD8280" s="464"/>
      <c r="AE8280" s="465"/>
    </row>
    <row r="8281" spans="27:31" ht="14.4">
      <c r="AA8281" s="463"/>
      <c r="AB8281" s="462"/>
      <c r="AC8281" s="462"/>
      <c r="AD8281" s="464"/>
      <c r="AE8281" s="465"/>
    </row>
    <row r="8282" spans="27:31" ht="14.4">
      <c r="AA8282" s="463"/>
      <c r="AB8282" s="462"/>
      <c r="AC8282" s="462"/>
      <c r="AD8282" s="464"/>
      <c r="AE8282" s="465"/>
    </row>
    <row r="8283" spans="27:31" ht="14.4">
      <c r="AA8283" s="463"/>
      <c r="AB8283" s="462"/>
      <c r="AC8283" s="462"/>
      <c r="AD8283" s="464"/>
      <c r="AE8283" s="465"/>
    </row>
    <row r="8284" spans="27:31" ht="14.4">
      <c r="AA8284" s="463"/>
      <c r="AB8284" s="462"/>
      <c r="AC8284" s="462"/>
      <c r="AD8284" s="464"/>
      <c r="AE8284" s="465"/>
    </row>
    <row r="8285" spans="27:31" ht="14.4">
      <c r="AA8285" s="463"/>
      <c r="AB8285" s="462"/>
      <c r="AC8285" s="462"/>
      <c r="AD8285" s="464"/>
      <c r="AE8285" s="465"/>
    </row>
    <row r="8286" spans="27:31" ht="14.4">
      <c r="AA8286" s="463"/>
      <c r="AB8286" s="462"/>
      <c r="AC8286" s="462"/>
      <c r="AD8286" s="464"/>
      <c r="AE8286" s="465"/>
    </row>
    <row r="8287" spans="27:31" ht="14.4">
      <c r="AA8287" s="463"/>
      <c r="AB8287" s="462"/>
      <c r="AC8287" s="462"/>
      <c r="AD8287" s="464"/>
      <c r="AE8287" s="465"/>
    </row>
    <row r="8288" spans="27:31" ht="14.4">
      <c r="AA8288" s="463"/>
      <c r="AB8288" s="462"/>
      <c r="AC8288" s="462"/>
      <c r="AD8288" s="464"/>
      <c r="AE8288" s="465"/>
    </row>
    <row r="8289" spans="27:31" ht="14.4">
      <c r="AA8289" s="463"/>
      <c r="AB8289" s="462"/>
      <c r="AC8289" s="462"/>
      <c r="AD8289" s="464"/>
      <c r="AE8289" s="465"/>
    </row>
    <row r="8290" spans="27:31" ht="14.4">
      <c r="AA8290" s="463"/>
      <c r="AB8290" s="462"/>
      <c r="AC8290" s="462"/>
      <c r="AD8290" s="464"/>
      <c r="AE8290" s="465"/>
    </row>
    <row r="8291" spans="27:31" ht="14.4">
      <c r="AA8291" s="463"/>
      <c r="AB8291" s="462"/>
      <c r="AC8291" s="462"/>
      <c r="AD8291" s="464"/>
      <c r="AE8291" s="465"/>
    </row>
    <row r="8292" spans="27:31" ht="14.4">
      <c r="AA8292" s="463"/>
      <c r="AB8292" s="462"/>
      <c r="AC8292" s="462"/>
      <c r="AD8292" s="464"/>
      <c r="AE8292" s="465"/>
    </row>
    <row r="8293" spans="27:31" ht="14.4">
      <c r="AA8293" s="463"/>
      <c r="AB8293" s="462"/>
      <c r="AC8293" s="462"/>
      <c r="AD8293" s="464"/>
      <c r="AE8293" s="465"/>
    </row>
    <row r="8294" spans="27:31" ht="14.4">
      <c r="AA8294" s="463"/>
      <c r="AB8294" s="462"/>
      <c r="AC8294" s="462"/>
      <c r="AD8294" s="464"/>
      <c r="AE8294" s="465"/>
    </row>
    <row r="8295" spans="27:31" ht="14.4">
      <c r="AA8295" s="463"/>
      <c r="AB8295" s="462"/>
      <c r="AC8295" s="462"/>
      <c r="AD8295" s="464"/>
      <c r="AE8295" s="465"/>
    </row>
    <row r="8296" spans="27:31" ht="14.4">
      <c r="AA8296" s="463"/>
      <c r="AB8296" s="462"/>
      <c r="AC8296" s="462"/>
      <c r="AD8296" s="464"/>
      <c r="AE8296" s="465"/>
    </row>
    <row r="8297" spans="27:31" ht="14.4">
      <c r="AA8297" s="463"/>
      <c r="AB8297" s="462"/>
      <c r="AC8297" s="462"/>
      <c r="AD8297" s="464"/>
      <c r="AE8297" s="465"/>
    </row>
    <row r="8298" spans="27:31" ht="14.4">
      <c r="AA8298" s="463"/>
      <c r="AB8298" s="462"/>
      <c r="AC8298" s="462"/>
      <c r="AD8298" s="464"/>
      <c r="AE8298" s="465"/>
    </row>
    <row r="8299" spans="27:31" ht="14.4">
      <c r="AA8299" s="463"/>
      <c r="AB8299" s="462"/>
      <c r="AC8299" s="462"/>
      <c r="AD8299" s="464"/>
      <c r="AE8299" s="465"/>
    </row>
    <row r="8300" spans="27:31" ht="14.4">
      <c r="AA8300" s="463"/>
      <c r="AB8300" s="462"/>
      <c r="AC8300" s="462"/>
      <c r="AD8300" s="464"/>
      <c r="AE8300" s="465"/>
    </row>
    <row r="8301" spans="27:31" ht="14.4">
      <c r="AA8301" s="463"/>
      <c r="AB8301" s="462"/>
      <c r="AC8301" s="462"/>
      <c r="AD8301" s="464"/>
      <c r="AE8301" s="465"/>
    </row>
    <row r="8302" spans="27:31" ht="14.4">
      <c r="AA8302" s="463"/>
      <c r="AB8302" s="462"/>
      <c r="AC8302" s="462"/>
      <c r="AD8302" s="464"/>
      <c r="AE8302" s="465"/>
    </row>
    <row r="8303" spans="27:31" ht="14.4">
      <c r="AA8303" s="463"/>
      <c r="AB8303" s="462"/>
      <c r="AC8303" s="462"/>
      <c r="AD8303" s="464"/>
      <c r="AE8303" s="465"/>
    </row>
    <row r="8304" spans="27:31" ht="14.4">
      <c r="AA8304" s="463"/>
      <c r="AB8304" s="462"/>
      <c r="AC8304" s="462"/>
      <c r="AD8304" s="464"/>
      <c r="AE8304" s="465"/>
    </row>
    <row r="8305" spans="27:31" ht="14.4">
      <c r="AA8305" s="463"/>
      <c r="AB8305" s="462"/>
      <c r="AC8305" s="462"/>
      <c r="AD8305" s="464"/>
      <c r="AE8305" s="465"/>
    </row>
    <row r="8306" spans="27:31" ht="14.4">
      <c r="AA8306" s="463"/>
      <c r="AB8306" s="462"/>
      <c r="AC8306" s="462"/>
      <c r="AD8306" s="464"/>
      <c r="AE8306" s="465"/>
    </row>
    <row r="8307" spans="27:31" ht="14.4">
      <c r="AA8307" s="463"/>
      <c r="AB8307" s="462"/>
      <c r="AC8307" s="462"/>
      <c r="AD8307" s="464"/>
      <c r="AE8307" s="465"/>
    </row>
    <row r="8308" spans="27:31" ht="14.4">
      <c r="AA8308" s="463"/>
      <c r="AB8308" s="462"/>
      <c r="AC8308" s="462"/>
      <c r="AD8308" s="464"/>
      <c r="AE8308" s="465"/>
    </row>
    <row r="8309" spans="27:31" ht="14.4">
      <c r="AA8309" s="463"/>
      <c r="AB8309" s="462"/>
      <c r="AC8309" s="462"/>
      <c r="AD8309" s="464"/>
      <c r="AE8309" s="465"/>
    </row>
    <row r="8310" spans="27:31" ht="14.4">
      <c r="AA8310" s="463"/>
      <c r="AB8310" s="462"/>
      <c r="AC8310" s="462"/>
      <c r="AD8310" s="464"/>
      <c r="AE8310" s="465"/>
    </row>
    <row r="8311" spans="27:31" ht="14.4">
      <c r="AA8311" s="463"/>
      <c r="AB8311" s="462"/>
      <c r="AC8311" s="462"/>
      <c r="AD8311" s="464"/>
      <c r="AE8311" s="465"/>
    </row>
    <row r="8312" spans="27:31" ht="14.4">
      <c r="AA8312" s="463"/>
      <c r="AB8312" s="462"/>
      <c r="AC8312" s="462"/>
      <c r="AD8312" s="464"/>
      <c r="AE8312" s="465"/>
    </row>
    <row r="8313" spans="27:31" ht="14.4">
      <c r="AA8313" s="463"/>
      <c r="AB8313" s="462"/>
      <c r="AC8313" s="462"/>
      <c r="AD8313" s="464"/>
      <c r="AE8313" s="465"/>
    </row>
    <row r="8314" spans="27:31" ht="14.4">
      <c r="AA8314" s="463"/>
      <c r="AB8314" s="462"/>
      <c r="AC8314" s="462"/>
      <c r="AD8314" s="464"/>
      <c r="AE8314" s="465"/>
    </row>
    <row r="8315" spans="27:31" ht="14.4">
      <c r="AA8315" s="463"/>
      <c r="AB8315" s="462"/>
      <c r="AC8315" s="462"/>
      <c r="AD8315" s="464"/>
      <c r="AE8315" s="465"/>
    </row>
    <row r="8316" spans="27:31" ht="14.4">
      <c r="AA8316" s="463"/>
      <c r="AB8316" s="462"/>
      <c r="AC8316" s="462"/>
      <c r="AD8316" s="464"/>
      <c r="AE8316" s="465"/>
    </row>
    <row r="8317" spans="27:31" ht="14.4">
      <c r="AA8317" s="463"/>
      <c r="AB8317" s="462"/>
      <c r="AC8317" s="462"/>
      <c r="AD8317" s="464"/>
      <c r="AE8317" s="465"/>
    </row>
    <row r="8318" spans="27:31" ht="14.4">
      <c r="AA8318" s="463"/>
      <c r="AB8318" s="462"/>
      <c r="AC8318" s="462"/>
      <c r="AD8318" s="464"/>
      <c r="AE8318" s="465"/>
    </row>
    <row r="8319" spans="27:31" ht="14.4">
      <c r="AA8319" s="463"/>
      <c r="AB8319" s="462"/>
      <c r="AC8319" s="462"/>
      <c r="AD8319" s="464"/>
      <c r="AE8319" s="465"/>
    </row>
    <row r="8320" spans="27:31" ht="14.4">
      <c r="AA8320" s="463"/>
      <c r="AB8320" s="462"/>
      <c r="AC8320" s="462"/>
      <c r="AD8320" s="464"/>
      <c r="AE8320" s="465"/>
    </row>
    <row r="8321" spans="27:31" ht="14.4">
      <c r="AA8321" s="463"/>
      <c r="AB8321" s="462"/>
      <c r="AC8321" s="462"/>
      <c r="AD8321" s="464"/>
      <c r="AE8321" s="465"/>
    </row>
    <row r="8322" spans="27:31" ht="14.4">
      <c r="AA8322" s="463"/>
      <c r="AB8322" s="462"/>
      <c r="AC8322" s="462"/>
      <c r="AD8322" s="464"/>
      <c r="AE8322" s="465"/>
    </row>
    <row r="8323" spans="27:31" ht="14.4">
      <c r="AA8323" s="463"/>
      <c r="AB8323" s="462"/>
      <c r="AC8323" s="462"/>
      <c r="AD8323" s="464"/>
      <c r="AE8323" s="465"/>
    </row>
    <row r="8324" spans="27:31" ht="14.4">
      <c r="AA8324" s="463"/>
      <c r="AB8324" s="462"/>
      <c r="AC8324" s="462"/>
      <c r="AD8324" s="464"/>
      <c r="AE8324" s="465"/>
    </row>
    <row r="8325" spans="27:31" ht="14.4">
      <c r="AA8325" s="463"/>
      <c r="AB8325" s="462"/>
      <c r="AC8325" s="462"/>
      <c r="AD8325" s="464"/>
      <c r="AE8325" s="465"/>
    </row>
    <row r="8326" spans="27:31" ht="14.4">
      <c r="AA8326" s="463"/>
      <c r="AB8326" s="462"/>
      <c r="AC8326" s="462"/>
      <c r="AD8326" s="464"/>
      <c r="AE8326" s="465"/>
    </row>
    <row r="8327" spans="27:31" ht="14.4">
      <c r="AA8327" s="463"/>
      <c r="AB8327" s="462"/>
      <c r="AC8327" s="462"/>
      <c r="AD8327" s="464"/>
      <c r="AE8327" s="465"/>
    </row>
    <row r="8328" spans="27:31" ht="14.4">
      <c r="AA8328" s="463"/>
      <c r="AB8328" s="462"/>
      <c r="AC8328" s="462"/>
      <c r="AD8328" s="464"/>
      <c r="AE8328" s="465"/>
    </row>
    <row r="8329" spans="27:31" ht="14.4">
      <c r="AA8329" s="463"/>
      <c r="AB8329" s="462"/>
      <c r="AC8329" s="462"/>
      <c r="AD8329" s="464"/>
      <c r="AE8329" s="465"/>
    </row>
    <row r="8330" spans="27:31" ht="14.4">
      <c r="AA8330" s="463"/>
      <c r="AB8330" s="462"/>
      <c r="AC8330" s="462"/>
      <c r="AD8330" s="464"/>
      <c r="AE8330" s="465"/>
    </row>
    <row r="8331" spans="27:31" ht="14.4">
      <c r="AA8331" s="463"/>
      <c r="AB8331" s="462"/>
      <c r="AC8331" s="462"/>
      <c r="AD8331" s="464"/>
      <c r="AE8331" s="465"/>
    </row>
    <row r="8332" spans="27:31" ht="14.4">
      <c r="AA8332" s="463"/>
      <c r="AB8332" s="462"/>
      <c r="AC8332" s="462"/>
      <c r="AD8332" s="464"/>
      <c r="AE8332" s="465"/>
    </row>
    <row r="8333" spans="27:31" ht="14.4">
      <c r="AA8333" s="463"/>
      <c r="AB8333" s="462"/>
      <c r="AC8333" s="462"/>
      <c r="AD8333" s="464"/>
      <c r="AE8333" s="465"/>
    </row>
    <row r="8334" spans="27:31" ht="14.4">
      <c r="AA8334" s="463"/>
      <c r="AB8334" s="462"/>
      <c r="AC8334" s="462"/>
      <c r="AD8334" s="464"/>
      <c r="AE8334" s="465"/>
    </row>
    <row r="8335" spans="27:31" ht="14.4">
      <c r="AA8335" s="463"/>
      <c r="AB8335" s="462"/>
      <c r="AC8335" s="462"/>
      <c r="AD8335" s="464"/>
      <c r="AE8335" s="465"/>
    </row>
    <row r="8336" spans="27:31" ht="14.4">
      <c r="AA8336" s="463"/>
      <c r="AB8336" s="462"/>
      <c r="AC8336" s="462"/>
      <c r="AD8336" s="464"/>
      <c r="AE8336" s="465"/>
    </row>
    <row r="8337" spans="27:31" ht="14.4">
      <c r="AA8337" s="463"/>
      <c r="AB8337" s="462"/>
      <c r="AC8337" s="462"/>
      <c r="AD8337" s="464"/>
      <c r="AE8337" s="465"/>
    </row>
    <row r="8338" spans="27:31" ht="14.4">
      <c r="AA8338" s="463"/>
      <c r="AB8338" s="462"/>
      <c r="AC8338" s="462"/>
      <c r="AD8338" s="464"/>
      <c r="AE8338" s="465"/>
    </row>
    <row r="8339" spans="27:31" ht="14.4">
      <c r="AA8339" s="463"/>
      <c r="AB8339" s="462"/>
      <c r="AC8339" s="462"/>
      <c r="AD8339" s="464"/>
      <c r="AE8339" s="465"/>
    </row>
    <row r="8340" spans="27:31" ht="14.4">
      <c r="AA8340" s="463"/>
      <c r="AB8340" s="462"/>
      <c r="AC8340" s="462"/>
      <c r="AD8340" s="464"/>
      <c r="AE8340" s="465"/>
    </row>
    <row r="8341" spans="27:31" ht="14.4">
      <c r="AA8341" s="463"/>
      <c r="AB8341" s="462"/>
      <c r="AC8341" s="462"/>
      <c r="AD8341" s="464"/>
      <c r="AE8341" s="465"/>
    </row>
    <row r="8342" spans="27:31" ht="14.4">
      <c r="AA8342" s="463"/>
      <c r="AB8342" s="462"/>
      <c r="AC8342" s="462"/>
      <c r="AD8342" s="464"/>
      <c r="AE8342" s="465"/>
    </row>
    <row r="8343" spans="27:31" ht="14.4">
      <c r="AA8343" s="463"/>
      <c r="AB8343" s="462"/>
      <c r="AC8343" s="462"/>
      <c r="AD8343" s="464"/>
      <c r="AE8343" s="465"/>
    </row>
    <row r="8344" spans="27:31" ht="14.4">
      <c r="AA8344" s="463"/>
      <c r="AB8344" s="462"/>
      <c r="AC8344" s="462"/>
      <c r="AD8344" s="464"/>
      <c r="AE8344" s="465"/>
    </row>
    <row r="8345" spans="27:31" ht="14.4">
      <c r="AA8345" s="463"/>
      <c r="AB8345" s="462"/>
      <c r="AC8345" s="462"/>
      <c r="AD8345" s="464"/>
      <c r="AE8345" s="465"/>
    </row>
    <row r="8346" spans="27:31" ht="14.4">
      <c r="AA8346" s="463"/>
      <c r="AB8346" s="462"/>
      <c r="AC8346" s="462"/>
      <c r="AD8346" s="464"/>
      <c r="AE8346" s="465"/>
    </row>
    <row r="8347" spans="27:31" ht="14.4">
      <c r="AA8347" s="463"/>
      <c r="AB8347" s="462"/>
      <c r="AC8347" s="462"/>
      <c r="AD8347" s="464"/>
      <c r="AE8347" s="465"/>
    </row>
    <row r="8348" spans="27:31" ht="14.4">
      <c r="AA8348" s="463"/>
      <c r="AB8348" s="462"/>
      <c r="AC8348" s="462"/>
      <c r="AD8348" s="464"/>
      <c r="AE8348" s="465"/>
    </row>
    <row r="8349" spans="27:31" ht="14.4">
      <c r="AA8349" s="463"/>
      <c r="AB8349" s="462"/>
      <c r="AC8349" s="462"/>
      <c r="AD8349" s="464"/>
      <c r="AE8349" s="465"/>
    </row>
    <row r="8350" spans="27:31" ht="14.4">
      <c r="AA8350" s="463"/>
      <c r="AB8350" s="462"/>
      <c r="AC8350" s="462"/>
      <c r="AD8350" s="464"/>
      <c r="AE8350" s="465"/>
    </row>
    <row r="8351" spans="27:31" ht="14.4">
      <c r="AA8351" s="463"/>
      <c r="AB8351" s="462"/>
      <c r="AC8351" s="462"/>
      <c r="AD8351" s="464"/>
      <c r="AE8351" s="465"/>
    </row>
    <row r="8352" spans="27:31" ht="14.4">
      <c r="AA8352" s="463"/>
      <c r="AB8352" s="462"/>
      <c r="AC8352" s="462"/>
      <c r="AD8352" s="464"/>
      <c r="AE8352" s="465"/>
    </row>
    <row r="8353" spans="27:31" ht="14.4">
      <c r="AA8353" s="463"/>
      <c r="AB8353" s="462"/>
      <c r="AC8353" s="462"/>
      <c r="AD8353" s="464"/>
      <c r="AE8353" s="465"/>
    </row>
    <row r="8354" spans="27:31" ht="14.4">
      <c r="AA8354" s="463"/>
      <c r="AB8354" s="462"/>
      <c r="AC8354" s="462"/>
      <c r="AD8354" s="464"/>
      <c r="AE8354" s="465"/>
    </row>
    <row r="8355" spans="27:31" ht="14.4">
      <c r="AA8355" s="463"/>
      <c r="AB8355" s="462"/>
      <c r="AC8355" s="462"/>
      <c r="AD8355" s="464"/>
      <c r="AE8355" s="465"/>
    </row>
    <row r="8356" spans="27:31" ht="14.4">
      <c r="AA8356" s="463"/>
      <c r="AB8356" s="462"/>
      <c r="AC8356" s="462"/>
      <c r="AD8356" s="464"/>
      <c r="AE8356" s="465"/>
    </row>
    <row r="8357" spans="27:31" ht="14.4">
      <c r="AA8357" s="463"/>
      <c r="AB8357" s="462"/>
      <c r="AC8357" s="462"/>
      <c r="AD8357" s="464"/>
      <c r="AE8357" s="465"/>
    </row>
    <row r="8358" spans="27:31" ht="14.4">
      <c r="AA8358" s="463"/>
      <c r="AB8358" s="462"/>
      <c r="AC8358" s="462"/>
      <c r="AD8358" s="464"/>
      <c r="AE8358" s="465"/>
    </row>
    <row r="8359" spans="27:31" ht="14.4">
      <c r="AA8359" s="463"/>
      <c r="AB8359" s="462"/>
      <c r="AC8359" s="462"/>
      <c r="AD8359" s="464"/>
      <c r="AE8359" s="465"/>
    </row>
    <row r="8360" spans="27:31" ht="14.4">
      <c r="AA8360" s="463"/>
      <c r="AB8360" s="462"/>
      <c r="AC8360" s="462"/>
      <c r="AD8360" s="464"/>
      <c r="AE8360" s="465"/>
    </row>
    <row r="8361" spans="27:31" ht="14.4">
      <c r="AA8361" s="463"/>
      <c r="AB8361" s="462"/>
      <c r="AC8361" s="462"/>
      <c r="AD8361" s="464"/>
      <c r="AE8361" s="465"/>
    </row>
    <row r="8362" spans="27:31" ht="14.4">
      <c r="AA8362" s="463"/>
      <c r="AB8362" s="462"/>
      <c r="AC8362" s="462"/>
      <c r="AD8362" s="464"/>
      <c r="AE8362" s="465"/>
    </row>
    <row r="8363" spans="27:31" ht="14.4">
      <c r="AA8363" s="463"/>
      <c r="AB8363" s="462"/>
      <c r="AC8363" s="462"/>
      <c r="AD8363" s="464"/>
      <c r="AE8363" s="465"/>
    </row>
    <row r="8364" spans="27:31" ht="14.4">
      <c r="AA8364" s="463"/>
      <c r="AB8364" s="462"/>
      <c r="AC8364" s="462"/>
      <c r="AD8364" s="464"/>
      <c r="AE8364" s="465"/>
    </row>
    <row r="8365" spans="27:31" ht="14.4">
      <c r="AA8365" s="463"/>
      <c r="AB8365" s="462"/>
      <c r="AC8365" s="462"/>
      <c r="AD8365" s="464"/>
      <c r="AE8365" s="465"/>
    </row>
    <row r="8366" spans="27:31" ht="14.4">
      <c r="AA8366" s="463"/>
      <c r="AB8366" s="462"/>
      <c r="AC8366" s="462"/>
      <c r="AD8366" s="464"/>
      <c r="AE8366" s="465"/>
    </row>
    <row r="8367" spans="27:31" ht="14.4">
      <c r="AA8367" s="463"/>
      <c r="AB8367" s="462"/>
      <c r="AC8367" s="462"/>
      <c r="AD8367" s="464"/>
      <c r="AE8367" s="465"/>
    </row>
    <row r="8368" spans="27:31" ht="14.4">
      <c r="AA8368" s="463"/>
      <c r="AB8368" s="462"/>
      <c r="AC8368" s="462"/>
      <c r="AD8368" s="464"/>
      <c r="AE8368" s="465"/>
    </row>
    <row r="8369" spans="27:31" ht="14.4">
      <c r="AA8369" s="463"/>
      <c r="AB8369" s="462"/>
      <c r="AC8369" s="462"/>
      <c r="AD8369" s="464"/>
      <c r="AE8369" s="465"/>
    </row>
    <row r="8370" spans="27:31" ht="14.4">
      <c r="AA8370" s="463"/>
      <c r="AB8370" s="462"/>
      <c r="AC8370" s="462"/>
      <c r="AD8370" s="464"/>
      <c r="AE8370" s="465"/>
    </row>
    <row r="8371" spans="27:31" ht="14.4">
      <c r="AA8371" s="463"/>
      <c r="AB8371" s="462"/>
      <c r="AC8371" s="462"/>
      <c r="AD8371" s="464"/>
      <c r="AE8371" s="465"/>
    </row>
    <row r="8372" spans="27:31" ht="14.4">
      <c r="AA8372" s="463"/>
      <c r="AB8372" s="462"/>
      <c r="AC8372" s="462"/>
      <c r="AD8372" s="464"/>
      <c r="AE8372" s="465"/>
    </row>
    <row r="8373" spans="27:31" ht="14.4">
      <c r="AA8373" s="463"/>
      <c r="AB8373" s="462"/>
      <c r="AC8373" s="462"/>
      <c r="AD8373" s="464"/>
      <c r="AE8373" s="465"/>
    </row>
    <row r="8374" spans="27:31" ht="14.4">
      <c r="AA8374" s="463"/>
      <c r="AB8374" s="462"/>
      <c r="AC8374" s="462"/>
      <c r="AD8374" s="464"/>
      <c r="AE8374" s="465"/>
    </row>
    <row r="8375" spans="27:31" ht="14.4">
      <c r="AA8375" s="463"/>
      <c r="AB8375" s="462"/>
      <c r="AC8375" s="462"/>
      <c r="AD8375" s="464"/>
      <c r="AE8375" s="465"/>
    </row>
    <row r="8376" spans="27:31" ht="14.4">
      <c r="AA8376" s="463"/>
      <c r="AB8376" s="462"/>
      <c r="AC8376" s="462"/>
      <c r="AD8376" s="464"/>
      <c r="AE8376" s="465"/>
    </row>
    <row r="8377" spans="27:31" ht="14.4">
      <c r="AA8377" s="463"/>
      <c r="AB8377" s="462"/>
      <c r="AC8377" s="462"/>
      <c r="AD8377" s="464"/>
      <c r="AE8377" s="465"/>
    </row>
    <row r="8378" spans="27:31" ht="14.4">
      <c r="AA8378" s="463"/>
      <c r="AB8378" s="462"/>
      <c r="AC8378" s="462"/>
      <c r="AD8378" s="464"/>
      <c r="AE8378" s="465"/>
    </row>
    <row r="8379" spans="27:31" ht="14.4">
      <c r="AA8379" s="463"/>
      <c r="AB8379" s="462"/>
      <c r="AC8379" s="462"/>
      <c r="AD8379" s="464"/>
      <c r="AE8379" s="465"/>
    </row>
    <row r="8380" spans="27:31" ht="14.4">
      <c r="AA8380" s="463"/>
      <c r="AB8380" s="462"/>
      <c r="AC8380" s="462"/>
      <c r="AD8380" s="464"/>
      <c r="AE8380" s="465"/>
    </row>
    <row r="8381" spans="27:31" ht="14.4">
      <c r="AA8381" s="463"/>
      <c r="AB8381" s="462"/>
      <c r="AC8381" s="462"/>
      <c r="AD8381" s="464"/>
      <c r="AE8381" s="465"/>
    </row>
    <row r="8382" spans="27:31" ht="14.4">
      <c r="AA8382" s="463"/>
      <c r="AB8382" s="462"/>
      <c r="AC8382" s="462"/>
      <c r="AD8382" s="464"/>
      <c r="AE8382" s="465"/>
    </row>
    <row r="8383" spans="27:31" ht="14.4">
      <c r="AA8383" s="463"/>
      <c r="AB8383" s="462"/>
      <c r="AC8383" s="462"/>
      <c r="AD8383" s="464"/>
      <c r="AE8383" s="465"/>
    </row>
    <row r="8384" spans="27:31" ht="14.4">
      <c r="AA8384" s="463"/>
      <c r="AB8384" s="462"/>
      <c r="AC8384" s="462"/>
      <c r="AD8384" s="464"/>
      <c r="AE8384" s="465"/>
    </row>
    <row r="8385" spans="27:31" ht="14.4">
      <c r="AA8385" s="463"/>
      <c r="AB8385" s="462"/>
      <c r="AC8385" s="462"/>
      <c r="AD8385" s="464"/>
      <c r="AE8385" s="465"/>
    </row>
    <row r="8386" spans="27:31" ht="14.4">
      <c r="AA8386" s="463"/>
      <c r="AB8386" s="462"/>
      <c r="AC8386" s="462"/>
      <c r="AD8386" s="464"/>
      <c r="AE8386" s="465"/>
    </row>
    <row r="8387" spans="27:31" ht="14.4">
      <c r="AA8387" s="463"/>
      <c r="AB8387" s="462"/>
      <c r="AC8387" s="462"/>
      <c r="AD8387" s="464"/>
      <c r="AE8387" s="465"/>
    </row>
    <row r="8388" spans="27:31" ht="14.4">
      <c r="AA8388" s="463"/>
      <c r="AB8388" s="462"/>
      <c r="AC8388" s="462"/>
      <c r="AD8388" s="464"/>
      <c r="AE8388" s="465"/>
    </row>
    <row r="8389" spans="27:31" ht="14.4">
      <c r="AA8389" s="463"/>
      <c r="AB8389" s="462"/>
      <c r="AC8389" s="462"/>
      <c r="AD8389" s="464"/>
      <c r="AE8389" s="465"/>
    </row>
    <row r="8390" spans="27:31" ht="14.4">
      <c r="AA8390" s="463"/>
      <c r="AB8390" s="462"/>
      <c r="AC8390" s="462"/>
      <c r="AD8390" s="464"/>
      <c r="AE8390" s="465"/>
    </row>
    <row r="8391" spans="27:31" ht="14.4">
      <c r="AA8391" s="463"/>
      <c r="AB8391" s="462"/>
      <c r="AC8391" s="462"/>
      <c r="AD8391" s="464"/>
      <c r="AE8391" s="465"/>
    </row>
    <row r="8392" spans="27:31" ht="14.4">
      <c r="AA8392" s="463"/>
      <c r="AB8392" s="462"/>
      <c r="AC8392" s="462"/>
      <c r="AD8392" s="464"/>
      <c r="AE8392" s="465"/>
    </row>
    <row r="8393" spans="27:31" ht="14.4">
      <c r="AA8393" s="463"/>
      <c r="AB8393" s="462"/>
      <c r="AC8393" s="462"/>
      <c r="AD8393" s="464"/>
      <c r="AE8393" s="465"/>
    </row>
    <row r="8394" spans="27:31" ht="14.4">
      <c r="AA8394" s="463"/>
      <c r="AB8394" s="462"/>
      <c r="AC8394" s="462"/>
      <c r="AD8394" s="464"/>
      <c r="AE8394" s="465"/>
    </row>
    <row r="8395" spans="27:31" ht="14.4">
      <c r="AA8395" s="463"/>
      <c r="AB8395" s="462"/>
      <c r="AC8395" s="462"/>
      <c r="AD8395" s="464"/>
      <c r="AE8395" s="465"/>
    </row>
    <row r="8396" spans="27:31" ht="14.4">
      <c r="AA8396" s="463"/>
      <c r="AB8396" s="462"/>
      <c r="AC8396" s="462"/>
      <c r="AD8396" s="464"/>
      <c r="AE8396" s="465"/>
    </row>
    <row r="8397" spans="27:31" ht="14.4">
      <c r="AA8397" s="463"/>
      <c r="AB8397" s="462"/>
      <c r="AC8397" s="462"/>
      <c r="AD8397" s="464"/>
      <c r="AE8397" s="465"/>
    </row>
    <row r="8398" spans="27:31" ht="14.4">
      <c r="AA8398" s="463"/>
      <c r="AB8398" s="462"/>
      <c r="AC8398" s="462"/>
      <c r="AD8398" s="464"/>
      <c r="AE8398" s="465"/>
    </row>
    <row r="8399" spans="27:31" ht="14.4">
      <c r="AA8399" s="463"/>
      <c r="AB8399" s="462"/>
      <c r="AC8399" s="462"/>
      <c r="AD8399" s="464"/>
      <c r="AE8399" s="465"/>
    </row>
    <row r="8400" spans="27:31" ht="14.4">
      <c r="AA8400" s="463"/>
      <c r="AB8400" s="462"/>
      <c r="AC8400" s="462"/>
      <c r="AD8400" s="464"/>
      <c r="AE8400" s="465"/>
    </row>
    <row r="8401" spans="27:31" ht="14.4">
      <c r="AA8401" s="463"/>
      <c r="AB8401" s="462"/>
      <c r="AC8401" s="462"/>
      <c r="AD8401" s="464"/>
      <c r="AE8401" s="465"/>
    </row>
    <row r="8402" spans="27:31" ht="14.4">
      <c r="AA8402" s="463"/>
      <c r="AB8402" s="462"/>
      <c r="AC8402" s="462"/>
      <c r="AD8402" s="464"/>
      <c r="AE8402" s="465"/>
    </row>
    <row r="8403" spans="27:31" ht="14.4">
      <c r="AA8403" s="463"/>
      <c r="AB8403" s="462"/>
      <c r="AC8403" s="462"/>
      <c r="AD8403" s="464"/>
      <c r="AE8403" s="465"/>
    </row>
    <row r="8404" spans="27:31" ht="14.4">
      <c r="AA8404" s="463"/>
      <c r="AB8404" s="462"/>
      <c r="AC8404" s="462"/>
      <c r="AD8404" s="464"/>
      <c r="AE8404" s="465"/>
    </row>
    <row r="8405" spans="27:31" ht="14.4">
      <c r="AA8405" s="463"/>
      <c r="AB8405" s="462"/>
      <c r="AC8405" s="462"/>
      <c r="AD8405" s="464"/>
      <c r="AE8405" s="465"/>
    </row>
    <row r="8406" spans="27:31" ht="14.4">
      <c r="AA8406" s="463"/>
      <c r="AB8406" s="462"/>
      <c r="AC8406" s="462"/>
      <c r="AD8406" s="464"/>
      <c r="AE8406" s="465"/>
    </row>
    <row r="8407" spans="27:31" ht="14.4">
      <c r="AA8407" s="463"/>
      <c r="AB8407" s="462"/>
      <c r="AC8407" s="462"/>
      <c r="AD8407" s="464"/>
      <c r="AE8407" s="465"/>
    </row>
    <row r="8408" spans="27:31" ht="14.4">
      <c r="AA8408" s="463"/>
      <c r="AB8408" s="462"/>
      <c r="AC8408" s="462"/>
      <c r="AD8408" s="464"/>
      <c r="AE8408" s="465"/>
    </row>
    <row r="8409" spans="27:31" ht="14.4">
      <c r="AA8409" s="463"/>
      <c r="AB8409" s="462"/>
      <c r="AC8409" s="462"/>
      <c r="AD8409" s="464"/>
      <c r="AE8409" s="465"/>
    </row>
    <row r="8410" spans="27:31" ht="14.4">
      <c r="AA8410" s="463"/>
      <c r="AB8410" s="462"/>
      <c r="AC8410" s="462"/>
      <c r="AD8410" s="464"/>
      <c r="AE8410" s="465"/>
    </row>
    <row r="8411" spans="27:31" ht="14.4">
      <c r="AA8411" s="463"/>
      <c r="AB8411" s="462"/>
      <c r="AC8411" s="462"/>
      <c r="AD8411" s="464"/>
      <c r="AE8411" s="465"/>
    </row>
    <row r="8412" spans="27:31" ht="14.4">
      <c r="AA8412" s="463"/>
      <c r="AB8412" s="462"/>
      <c r="AC8412" s="462"/>
      <c r="AD8412" s="464"/>
      <c r="AE8412" s="465"/>
    </row>
    <row r="8413" spans="27:31" ht="14.4">
      <c r="AA8413" s="463"/>
      <c r="AB8413" s="462"/>
      <c r="AC8413" s="462"/>
      <c r="AD8413" s="464"/>
      <c r="AE8413" s="465"/>
    </row>
    <row r="8414" spans="27:31" ht="14.4">
      <c r="AA8414" s="463"/>
      <c r="AB8414" s="462"/>
      <c r="AC8414" s="462"/>
      <c r="AD8414" s="464"/>
      <c r="AE8414" s="465"/>
    </row>
    <row r="8415" spans="27:31" ht="14.4">
      <c r="AA8415" s="463"/>
      <c r="AB8415" s="462"/>
      <c r="AC8415" s="462"/>
      <c r="AD8415" s="464"/>
      <c r="AE8415" s="465"/>
    </row>
    <row r="8416" spans="27:31" ht="14.4">
      <c r="AA8416" s="463"/>
      <c r="AB8416" s="462"/>
      <c r="AC8416" s="462"/>
      <c r="AD8416" s="464"/>
      <c r="AE8416" s="465"/>
    </row>
    <row r="8417" spans="27:31" ht="14.4">
      <c r="AA8417" s="463"/>
      <c r="AB8417" s="462"/>
      <c r="AC8417" s="462"/>
      <c r="AD8417" s="464"/>
      <c r="AE8417" s="465"/>
    </row>
    <row r="8418" spans="27:31" ht="14.4">
      <c r="AA8418" s="463"/>
      <c r="AB8418" s="462"/>
      <c r="AC8418" s="462"/>
      <c r="AD8418" s="464"/>
      <c r="AE8418" s="465"/>
    </row>
    <row r="8419" spans="27:31" ht="14.4">
      <c r="AA8419" s="463"/>
      <c r="AB8419" s="462"/>
      <c r="AC8419" s="462"/>
      <c r="AD8419" s="464"/>
      <c r="AE8419" s="465"/>
    </row>
    <row r="8420" spans="27:31" ht="14.4">
      <c r="AA8420" s="463"/>
      <c r="AB8420" s="462"/>
      <c r="AC8420" s="462"/>
      <c r="AD8420" s="464"/>
      <c r="AE8420" s="465"/>
    </row>
    <row r="8421" spans="27:31" ht="14.4">
      <c r="AA8421" s="463"/>
      <c r="AB8421" s="462"/>
      <c r="AC8421" s="462"/>
      <c r="AD8421" s="464"/>
      <c r="AE8421" s="465"/>
    </row>
    <row r="8422" spans="27:31" ht="14.4">
      <c r="AA8422" s="463"/>
      <c r="AB8422" s="462"/>
      <c r="AC8422" s="462"/>
      <c r="AD8422" s="464"/>
      <c r="AE8422" s="465"/>
    </row>
    <row r="8423" spans="27:31" ht="14.4">
      <c r="AA8423" s="463"/>
      <c r="AB8423" s="462"/>
      <c r="AC8423" s="462"/>
      <c r="AD8423" s="464"/>
      <c r="AE8423" s="465"/>
    </row>
    <row r="8424" spans="27:31" ht="14.4">
      <c r="AA8424" s="463"/>
      <c r="AB8424" s="462"/>
      <c r="AC8424" s="462"/>
      <c r="AD8424" s="464"/>
      <c r="AE8424" s="465"/>
    </row>
    <row r="8425" spans="27:31" ht="14.4">
      <c r="AA8425" s="463"/>
      <c r="AB8425" s="462"/>
      <c r="AC8425" s="462"/>
      <c r="AD8425" s="464"/>
      <c r="AE8425" s="465"/>
    </row>
    <row r="8426" spans="27:31" ht="14.4">
      <c r="AA8426" s="463"/>
      <c r="AB8426" s="462"/>
      <c r="AC8426" s="462"/>
      <c r="AD8426" s="464"/>
      <c r="AE8426" s="465"/>
    </row>
    <row r="8427" spans="27:31" ht="14.4">
      <c r="AA8427" s="463"/>
      <c r="AB8427" s="462"/>
      <c r="AC8427" s="462"/>
      <c r="AD8427" s="464"/>
      <c r="AE8427" s="465"/>
    </row>
    <row r="8428" spans="27:31" ht="14.4">
      <c r="AA8428" s="463"/>
      <c r="AB8428" s="462"/>
      <c r="AC8428" s="462"/>
      <c r="AD8428" s="464"/>
      <c r="AE8428" s="465"/>
    </row>
    <row r="8429" spans="27:31" ht="14.4">
      <c r="AA8429" s="463"/>
      <c r="AB8429" s="462"/>
      <c r="AC8429" s="462"/>
      <c r="AD8429" s="464"/>
      <c r="AE8429" s="465"/>
    </row>
    <row r="8430" spans="27:31" ht="14.4">
      <c r="AA8430" s="463"/>
      <c r="AB8430" s="462"/>
      <c r="AC8430" s="462"/>
      <c r="AD8430" s="464"/>
      <c r="AE8430" s="465"/>
    </row>
    <row r="8431" spans="27:31" ht="14.4">
      <c r="AA8431" s="463"/>
      <c r="AB8431" s="462"/>
      <c r="AC8431" s="462"/>
      <c r="AD8431" s="464"/>
      <c r="AE8431" s="465"/>
    </row>
    <row r="8432" spans="27:31" ht="14.4">
      <c r="AA8432" s="463"/>
      <c r="AB8432" s="462"/>
      <c r="AC8432" s="462"/>
      <c r="AD8432" s="464"/>
      <c r="AE8432" s="465"/>
    </row>
    <row r="8433" spans="27:31" ht="14.4">
      <c r="AA8433" s="463"/>
      <c r="AB8433" s="462"/>
      <c r="AC8433" s="462"/>
      <c r="AD8433" s="464"/>
      <c r="AE8433" s="465"/>
    </row>
    <row r="8434" spans="27:31" ht="14.4">
      <c r="AA8434" s="463"/>
      <c r="AB8434" s="462"/>
      <c r="AC8434" s="462"/>
      <c r="AD8434" s="464"/>
      <c r="AE8434" s="465"/>
    </row>
    <row r="8435" spans="27:31" ht="14.4">
      <c r="AA8435" s="463"/>
      <c r="AB8435" s="462"/>
      <c r="AC8435" s="462"/>
      <c r="AD8435" s="464"/>
      <c r="AE8435" s="465"/>
    </row>
    <row r="8436" spans="27:31" ht="14.4">
      <c r="AA8436" s="463"/>
      <c r="AB8436" s="462"/>
      <c r="AC8436" s="462"/>
      <c r="AD8436" s="464"/>
      <c r="AE8436" s="465"/>
    </row>
    <row r="8437" spans="27:31" ht="14.4">
      <c r="AA8437" s="463"/>
      <c r="AB8437" s="462"/>
      <c r="AC8437" s="462"/>
      <c r="AD8437" s="464"/>
      <c r="AE8437" s="465"/>
    </row>
    <row r="8438" spans="27:31" ht="14.4">
      <c r="AA8438" s="463"/>
      <c r="AB8438" s="462"/>
      <c r="AC8438" s="462"/>
      <c r="AD8438" s="464"/>
      <c r="AE8438" s="465"/>
    </row>
    <row r="8439" spans="27:31" ht="14.4">
      <c r="AA8439" s="463"/>
      <c r="AB8439" s="462"/>
      <c r="AC8439" s="462"/>
      <c r="AD8439" s="464"/>
      <c r="AE8439" s="465"/>
    </row>
    <row r="8440" spans="27:31" ht="14.4">
      <c r="AA8440" s="463"/>
      <c r="AB8440" s="462"/>
      <c r="AC8440" s="462"/>
      <c r="AD8440" s="464"/>
      <c r="AE8440" s="465"/>
    </row>
    <row r="8441" spans="27:31" ht="14.4">
      <c r="AA8441" s="463"/>
      <c r="AB8441" s="462"/>
      <c r="AC8441" s="462"/>
      <c r="AD8441" s="464"/>
      <c r="AE8441" s="465"/>
    </row>
    <row r="8442" spans="27:31" ht="14.4">
      <c r="AA8442" s="463"/>
      <c r="AB8442" s="462"/>
      <c r="AC8442" s="462"/>
      <c r="AD8442" s="464"/>
      <c r="AE8442" s="465"/>
    </row>
    <row r="8443" spans="27:31" ht="14.4">
      <c r="AA8443" s="463"/>
      <c r="AB8443" s="462"/>
      <c r="AC8443" s="462"/>
      <c r="AD8443" s="464"/>
      <c r="AE8443" s="465"/>
    </row>
    <row r="8444" spans="27:31" ht="14.4">
      <c r="AA8444" s="463"/>
      <c r="AB8444" s="462"/>
      <c r="AC8444" s="462"/>
      <c r="AD8444" s="464"/>
      <c r="AE8444" s="465"/>
    </row>
    <row r="8445" spans="27:31" ht="14.4">
      <c r="AA8445" s="463"/>
      <c r="AB8445" s="462"/>
      <c r="AC8445" s="462"/>
      <c r="AD8445" s="464"/>
      <c r="AE8445" s="465"/>
    </row>
    <row r="8446" spans="27:31" ht="14.4">
      <c r="AA8446" s="463"/>
      <c r="AB8446" s="462"/>
      <c r="AC8446" s="462"/>
      <c r="AD8446" s="464"/>
      <c r="AE8446" s="465"/>
    </row>
    <row r="8447" spans="27:31" ht="14.4">
      <c r="AA8447" s="463"/>
      <c r="AB8447" s="462"/>
      <c r="AC8447" s="462"/>
      <c r="AD8447" s="464"/>
      <c r="AE8447" s="465"/>
    </row>
    <row r="8448" spans="27:31" ht="14.4">
      <c r="AA8448" s="463"/>
      <c r="AB8448" s="462"/>
      <c r="AC8448" s="462"/>
      <c r="AD8448" s="464"/>
      <c r="AE8448" s="465"/>
    </row>
    <row r="8449" spans="27:31" ht="14.4">
      <c r="AA8449" s="463"/>
      <c r="AB8449" s="462"/>
      <c r="AC8449" s="462"/>
      <c r="AD8449" s="464"/>
      <c r="AE8449" s="465"/>
    </row>
    <row r="8450" spans="27:31" ht="14.4">
      <c r="AA8450" s="463"/>
      <c r="AB8450" s="462"/>
      <c r="AC8450" s="462"/>
      <c r="AD8450" s="464"/>
      <c r="AE8450" s="465"/>
    </row>
    <row r="8451" spans="27:31" ht="14.4">
      <c r="AA8451" s="463"/>
      <c r="AB8451" s="462"/>
      <c r="AC8451" s="462"/>
      <c r="AD8451" s="464"/>
      <c r="AE8451" s="465"/>
    </row>
    <row r="8452" spans="27:31" ht="14.4">
      <c r="AA8452" s="463"/>
      <c r="AB8452" s="462"/>
      <c r="AC8452" s="462"/>
      <c r="AD8452" s="464"/>
      <c r="AE8452" s="465"/>
    </row>
    <row r="8453" spans="27:31" ht="14.4">
      <c r="AA8453" s="463"/>
      <c r="AB8453" s="462"/>
      <c r="AC8453" s="462"/>
      <c r="AD8453" s="464"/>
      <c r="AE8453" s="465"/>
    </row>
    <row r="8454" spans="27:31" ht="14.4">
      <c r="AA8454" s="463"/>
      <c r="AB8454" s="462"/>
      <c r="AC8454" s="462"/>
      <c r="AD8454" s="464"/>
      <c r="AE8454" s="465"/>
    </row>
    <row r="8455" spans="27:31" ht="14.4">
      <c r="AA8455" s="463"/>
      <c r="AB8455" s="462"/>
      <c r="AC8455" s="462"/>
      <c r="AD8455" s="464"/>
      <c r="AE8455" s="465"/>
    </row>
    <row r="8456" spans="27:31" ht="14.4">
      <c r="AA8456" s="463"/>
      <c r="AB8456" s="462"/>
      <c r="AC8456" s="462"/>
      <c r="AD8456" s="464"/>
      <c r="AE8456" s="465"/>
    </row>
    <row r="8457" spans="27:31" ht="14.4">
      <c r="AA8457" s="463"/>
      <c r="AB8457" s="462"/>
      <c r="AC8457" s="462"/>
      <c r="AD8457" s="464"/>
      <c r="AE8457" s="465"/>
    </row>
    <row r="8458" spans="27:31" ht="14.4">
      <c r="AA8458" s="463"/>
      <c r="AB8458" s="462"/>
      <c r="AC8458" s="462"/>
      <c r="AD8458" s="464"/>
      <c r="AE8458" s="465"/>
    </row>
    <row r="8459" spans="27:31" ht="14.4">
      <c r="AA8459" s="463"/>
      <c r="AB8459" s="462"/>
      <c r="AC8459" s="462"/>
      <c r="AD8459" s="464"/>
      <c r="AE8459" s="465"/>
    </row>
    <row r="8460" spans="27:31" ht="14.4">
      <c r="AA8460" s="463"/>
      <c r="AB8460" s="462"/>
      <c r="AC8460" s="462"/>
      <c r="AD8460" s="464"/>
      <c r="AE8460" s="465"/>
    </row>
    <row r="8461" spans="27:31" ht="14.4">
      <c r="AA8461" s="463"/>
      <c r="AB8461" s="462"/>
      <c r="AC8461" s="462"/>
      <c r="AD8461" s="464"/>
      <c r="AE8461" s="465"/>
    </row>
    <row r="8462" spans="27:31" ht="14.4">
      <c r="AA8462" s="463"/>
      <c r="AB8462" s="462"/>
      <c r="AC8462" s="462"/>
      <c r="AD8462" s="464"/>
      <c r="AE8462" s="465"/>
    </row>
    <row r="8463" spans="27:31" ht="14.4">
      <c r="AA8463" s="463"/>
      <c r="AB8463" s="462"/>
      <c r="AC8463" s="462"/>
      <c r="AD8463" s="464"/>
      <c r="AE8463" s="465"/>
    </row>
    <row r="8464" spans="27:31" ht="14.4">
      <c r="AA8464" s="463"/>
      <c r="AB8464" s="462"/>
      <c r="AC8464" s="462"/>
      <c r="AD8464" s="464"/>
      <c r="AE8464" s="465"/>
    </row>
    <row r="8465" spans="27:31" ht="14.4">
      <c r="AA8465" s="463"/>
      <c r="AB8465" s="462"/>
      <c r="AC8465" s="462"/>
      <c r="AD8465" s="464"/>
      <c r="AE8465" s="465"/>
    </row>
    <row r="8466" spans="27:31" ht="14.4">
      <c r="AA8466" s="463"/>
      <c r="AB8466" s="462"/>
      <c r="AC8466" s="462"/>
      <c r="AD8466" s="464"/>
      <c r="AE8466" s="465"/>
    </row>
    <row r="8467" spans="27:31" ht="14.4">
      <c r="AA8467" s="463"/>
      <c r="AB8467" s="462"/>
      <c r="AC8467" s="462"/>
      <c r="AD8467" s="464"/>
      <c r="AE8467" s="465"/>
    </row>
    <row r="8468" spans="27:31" ht="14.4">
      <c r="AA8468" s="463"/>
      <c r="AB8468" s="462"/>
      <c r="AC8468" s="462"/>
      <c r="AD8468" s="464"/>
      <c r="AE8468" s="465"/>
    </row>
    <row r="8469" spans="27:31" ht="14.4">
      <c r="AA8469" s="463"/>
      <c r="AB8469" s="462"/>
      <c r="AC8469" s="462"/>
      <c r="AD8469" s="464"/>
      <c r="AE8469" s="465"/>
    </row>
    <row r="8470" spans="27:31" ht="14.4">
      <c r="AA8470" s="463"/>
      <c r="AB8470" s="462"/>
      <c r="AC8470" s="462"/>
      <c r="AD8470" s="464"/>
      <c r="AE8470" s="465"/>
    </row>
    <row r="8471" spans="27:31" ht="14.4">
      <c r="AA8471" s="463"/>
      <c r="AB8471" s="462"/>
      <c r="AC8471" s="462"/>
      <c r="AD8471" s="464"/>
      <c r="AE8471" s="465"/>
    </row>
    <row r="8472" spans="27:31" ht="14.4">
      <c r="AA8472" s="463"/>
      <c r="AB8472" s="462"/>
      <c r="AC8472" s="462"/>
      <c r="AD8472" s="464"/>
      <c r="AE8472" s="465"/>
    </row>
    <row r="8473" spans="27:31" ht="14.4">
      <c r="AA8473" s="463"/>
      <c r="AB8473" s="462"/>
      <c r="AC8473" s="462"/>
      <c r="AD8473" s="464"/>
      <c r="AE8473" s="465"/>
    </row>
    <row r="8474" spans="27:31" ht="14.4">
      <c r="AA8474" s="463"/>
      <c r="AB8474" s="462"/>
      <c r="AC8474" s="462"/>
      <c r="AD8474" s="464"/>
      <c r="AE8474" s="465"/>
    </row>
    <row r="8475" spans="27:31" ht="14.4">
      <c r="AA8475" s="463"/>
      <c r="AB8475" s="462"/>
      <c r="AC8475" s="462"/>
      <c r="AD8475" s="464"/>
      <c r="AE8475" s="465"/>
    </row>
    <row r="8476" spans="27:31" ht="14.4">
      <c r="AA8476" s="463"/>
      <c r="AB8476" s="462"/>
      <c r="AC8476" s="462"/>
      <c r="AD8476" s="464"/>
      <c r="AE8476" s="465"/>
    </row>
    <row r="8477" spans="27:31" ht="14.4">
      <c r="AA8477" s="463"/>
      <c r="AB8477" s="462"/>
      <c r="AC8477" s="462"/>
      <c r="AD8477" s="464"/>
      <c r="AE8477" s="465"/>
    </row>
    <row r="8478" spans="27:31" ht="14.4">
      <c r="AA8478" s="463"/>
      <c r="AB8478" s="462"/>
      <c r="AC8478" s="462"/>
      <c r="AD8478" s="464"/>
      <c r="AE8478" s="465"/>
    </row>
    <row r="8479" spans="27:31" ht="14.4">
      <c r="AA8479" s="463"/>
      <c r="AB8479" s="462"/>
      <c r="AC8479" s="462"/>
      <c r="AD8479" s="464"/>
      <c r="AE8479" s="465"/>
    </row>
    <row r="8480" spans="27:31" ht="14.4">
      <c r="AA8480" s="463"/>
      <c r="AB8480" s="462"/>
      <c r="AC8480" s="462"/>
      <c r="AD8480" s="464"/>
      <c r="AE8480" s="465"/>
    </row>
    <row r="8481" spans="27:31" ht="14.4">
      <c r="AA8481" s="463"/>
      <c r="AB8481" s="462"/>
      <c r="AC8481" s="462"/>
      <c r="AD8481" s="464"/>
      <c r="AE8481" s="465"/>
    </row>
    <row r="8482" spans="27:31" ht="14.4">
      <c r="AA8482" s="463"/>
      <c r="AB8482" s="462"/>
      <c r="AC8482" s="462"/>
      <c r="AD8482" s="464"/>
      <c r="AE8482" s="465"/>
    </row>
    <row r="8483" spans="27:31" ht="14.4">
      <c r="AA8483" s="463"/>
      <c r="AB8483" s="462"/>
      <c r="AC8483" s="462"/>
      <c r="AD8483" s="464"/>
      <c r="AE8483" s="465"/>
    </row>
    <row r="8484" spans="27:31" ht="14.4">
      <c r="AA8484" s="463"/>
      <c r="AB8484" s="462"/>
      <c r="AC8484" s="462"/>
      <c r="AD8484" s="464"/>
      <c r="AE8484" s="465"/>
    </row>
    <row r="8485" spans="27:31" ht="14.4">
      <c r="AA8485" s="463"/>
      <c r="AB8485" s="462"/>
      <c r="AC8485" s="462"/>
      <c r="AD8485" s="464"/>
      <c r="AE8485" s="465"/>
    </row>
    <row r="8486" spans="27:31" ht="14.4">
      <c r="AA8486" s="463"/>
      <c r="AB8486" s="462"/>
      <c r="AC8486" s="462"/>
      <c r="AD8486" s="464"/>
      <c r="AE8486" s="465"/>
    </row>
    <row r="8487" spans="27:31" ht="14.4">
      <c r="AA8487" s="463"/>
      <c r="AB8487" s="462"/>
      <c r="AC8487" s="462"/>
      <c r="AD8487" s="464"/>
      <c r="AE8487" s="465"/>
    </row>
    <row r="8488" spans="27:31" ht="14.4">
      <c r="AA8488" s="463"/>
      <c r="AB8488" s="462"/>
      <c r="AC8488" s="462"/>
      <c r="AD8488" s="464"/>
      <c r="AE8488" s="465"/>
    </row>
    <row r="8489" spans="27:31" ht="14.4">
      <c r="AA8489" s="463"/>
      <c r="AB8489" s="462"/>
      <c r="AC8489" s="462"/>
      <c r="AD8489" s="464"/>
      <c r="AE8489" s="465"/>
    </row>
    <row r="8490" spans="27:31" ht="14.4">
      <c r="AA8490" s="463"/>
      <c r="AB8490" s="462"/>
      <c r="AC8490" s="462"/>
      <c r="AD8490" s="464"/>
      <c r="AE8490" s="465"/>
    </row>
    <row r="8491" spans="27:31" ht="14.4">
      <c r="AA8491" s="463"/>
      <c r="AB8491" s="462"/>
      <c r="AC8491" s="462"/>
      <c r="AD8491" s="464"/>
      <c r="AE8491" s="465"/>
    </row>
    <row r="8492" spans="27:31" ht="14.4">
      <c r="AA8492" s="463"/>
      <c r="AB8492" s="462"/>
      <c r="AC8492" s="462"/>
      <c r="AD8492" s="464"/>
      <c r="AE8492" s="465"/>
    </row>
    <row r="8493" spans="27:31" ht="14.4">
      <c r="AA8493" s="463"/>
      <c r="AB8493" s="462"/>
      <c r="AC8493" s="462"/>
      <c r="AD8493" s="464"/>
      <c r="AE8493" s="465"/>
    </row>
    <row r="8494" spans="27:31" ht="14.4">
      <c r="AA8494" s="463"/>
      <c r="AB8494" s="462"/>
      <c r="AC8494" s="462"/>
      <c r="AD8494" s="464"/>
      <c r="AE8494" s="465"/>
    </row>
    <row r="8495" spans="27:31" ht="14.4">
      <c r="AA8495" s="463"/>
      <c r="AB8495" s="462"/>
      <c r="AC8495" s="462"/>
      <c r="AD8495" s="464"/>
      <c r="AE8495" s="465"/>
    </row>
    <row r="8496" spans="27:31" ht="14.4">
      <c r="AA8496" s="463"/>
      <c r="AB8496" s="462"/>
      <c r="AC8496" s="462"/>
      <c r="AD8496" s="464"/>
      <c r="AE8496" s="465"/>
    </row>
    <row r="8497" spans="27:31" ht="14.4">
      <c r="AA8497" s="463"/>
      <c r="AB8497" s="462"/>
      <c r="AC8497" s="462"/>
      <c r="AD8497" s="464"/>
      <c r="AE8497" s="465"/>
    </row>
    <row r="8498" spans="27:31" ht="14.4">
      <c r="AA8498" s="463"/>
      <c r="AB8498" s="462"/>
      <c r="AC8498" s="462"/>
      <c r="AD8498" s="464"/>
      <c r="AE8498" s="465"/>
    </row>
    <row r="8499" spans="27:31" ht="14.4">
      <c r="AA8499" s="463"/>
      <c r="AB8499" s="462"/>
      <c r="AC8499" s="462"/>
      <c r="AD8499" s="464"/>
      <c r="AE8499" s="465"/>
    </row>
    <row r="8500" spans="27:31" ht="14.4">
      <c r="AA8500" s="463"/>
      <c r="AB8500" s="462"/>
      <c r="AC8500" s="462"/>
      <c r="AD8500" s="464"/>
      <c r="AE8500" s="465"/>
    </row>
    <row r="8501" spans="27:31" ht="14.4">
      <c r="AA8501" s="463"/>
      <c r="AB8501" s="462"/>
      <c r="AC8501" s="462"/>
      <c r="AD8501" s="464"/>
      <c r="AE8501" s="465"/>
    </row>
    <row r="8502" spans="27:31" ht="14.4">
      <c r="AA8502" s="463"/>
      <c r="AB8502" s="462"/>
      <c r="AC8502" s="462"/>
      <c r="AD8502" s="464"/>
      <c r="AE8502" s="465"/>
    </row>
    <row r="8503" spans="27:31" ht="14.4">
      <c r="AA8503" s="463"/>
      <c r="AB8503" s="462"/>
      <c r="AC8503" s="462"/>
      <c r="AD8503" s="464"/>
      <c r="AE8503" s="465"/>
    </row>
    <row r="8504" spans="27:31" ht="14.4">
      <c r="AA8504" s="463"/>
      <c r="AB8504" s="462"/>
      <c r="AC8504" s="462"/>
      <c r="AD8504" s="464"/>
      <c r="AE8504" s="465"/>
    </row>
    <row r="8505" spans="27:31" ht="14.4">
      <c r="AA8505" s="463"/>
      <c r="AB8505" s="462"/>
      <c r="AC8505" s="462"/>
      <c r="AD8505" s="464"/>
      <c r="AE8505" s="465"/>
    </row>
    <row r="8506" spans="27:31" ht="14.4">
      <c r="AA8506" s="463"/>
      <c r="AB8506" s="462"/>
      <c r="AC8506" s="462"/>
      <c r="AD8506" s="464"/>
      <c r="AE8506" s="465"/>
    </row>
    <row r="8507" spans="27:31" ht="14.4">
      <c r="AA8507" s="463"/>
      <c r="AB8507" s="462"/>
      <c r="AC8507" s="462"/>
      <c r="AD8507" s="464"/>
      <c r="AE8507" s="465"/>
    </row>
    <row r="8508" spans="27:31" ht="14.4">
      <c r="AA8508" s="463"/>
      <c r="AB8508" s="462"/>
      <c r="AC8508" s="462"/>
      <c r="AD8508" s="464"/>
      <c r="AE8508" s="465"/>
    </row>
    <row r="8509" spans="27:31" ht="14.4">
      <c r="AA8509" s="463"/>
      <c r="AB8509" s="462"/>
      <c r="AC8509" s="462"/>
      <c r="AD8509" s="464"/>
      <c r="AE8509" s="465"/>
    </row>
    <row r="8510" spans="27:31" ht="14.4">
      <c r="AA8510" s="463"/>
      <c r="AB8510" s="462"/>
      <c r="AC8510" s="462"/>
      <c r="AD8510" s="464"/>
      <c r="AE8510" s="465"/>
    </row>
    <row r="8511" spans="27:31" ht="14.4">
      <c r="AA8511" s="463"/>
      <c r="AB8511" s="462"/>
      <c r="AC8511" s="462"/>
      <c r="AD8511" s="464"/>
      <c r="AE8511" s="465"/>
    </row>
    <row r="8512" spans="27:31" ht="14.4">
      <c r="AA8512" s="463"/>
      <c r="AB8512" s="462"/>
      <c r="AC8512" s="462"/>
      <c r="AD8512" s="464"/>
      <c r="AE8512" s="465"/>
    </row>
    <row r="8513" spans="27:31" ht="14.4">
      <c r="AA8513" s="463"/>
      <c r="AB8513" s="462"/>
      <c r="AC8513" s="462"/>
      <c r="AD8513" s="464"/>
      <c r="AE8513" s="465"/>
    </row>
    <row r="8514" spans="27:31" ht="14.4">
      <c r="AA8514" s="463"/>
      <c r="AB8514" s="462"/>
      <c r="AC8514" s="462"/>
      <c r="AD8514" s="464"/>
      <c r="AE8514" s="465"/>
    </row>
    <row r="8515" spans="27:31" ht="14.4">
      <c r="AA8515" s="463"/>
      <c r="AB8515" s="462"/>
      <c r="AC8515" s="462"/>
      <c r="AD8515" s="464"/>
      <c r="AE8515" s="465"/>
    </row>
    <row r="8516" spans="27:31" ht="14.4">
      <c r="AA8516" s="463"/>
      <c r="AB8516" s="462"/>
      <c r="AC8516" s="462"/>
      <c r="AD8516" s="464"/>
      <c r="AE8516" s="465"/>
    </row>
    <row r="8517" spans="27:31" ht="14.4">
      <c r="AA8517" s="463"/>
      <c r="AB8517" s="462"/>
      <c r="AC8517" s="462"/>
      <c r="AD8517" s="464"/>
      <c r="AE8517" s="465"/>
    </row>
    <row r="8518" spans="27:31" ht="14.4">
      <c r="AA8518" s="463"/>
      <c r="AB8518" s="462"/>
      <c r="AC8518" s="462"/>
      <c r="AD8518" s="464"/>
      <c r="AE8518" s="465"/>
    </row>
    <row r="8519" spans="27:31" ht="14.4">
      <c r="AA8519" s="463"/>
      <c r="AB8519" s="462"/>
      <c r="AC8519" s="462"/>
      <c r="AD8519" s="464"/>
      <c r="AE8519" s="465"/>
    </row>
    <row r="8520" spans="27:31" ht="14.4">
      <c r="AA8520" s="463"/>
      <c r="AB8520" s="462"/>
      <c r="AC8520" s="462"/>
      <c r="AD8520" s="464"/>
      <c r="AE8520" s="465"/>
    </row>
    <row r="8521" spans="27:31" ht="14.4">
      <c r="AA8521" s="463"/>
      <c r="AB8521" s="462"/>
      <c r="AC8521" s="462"/>
      <c r="AD8521" s="464"/>
      <c r="AE8521" s="465"/>
    </row>
    <row r="8522" spans="27:31" ht="14.4">
      <c r="AA8522" s="463"/>
      <c r="AB8522" s="462"/>
      <c r="AC8522" s="462"/>
      <c r="AD8522" s="464"/>
      <c r="AE8522" s="465"/>
    </row>
    <row r="8523" spans="27:31" ht="14.4">
      <c r="AA8523" s="463"/>
      <c r="AB8523" s="462"/>
      <c r="AC8523" s="462"/>
      <c r="AD8523" s="464"/>
      <c r="AE8523" s="465"/>
    </row>
    <row r="8524" spans="27:31" ht="14.4">
      <c r="AA8524" s="463"/>
      <c r="AB8524" s="462"/>
      <c r="AC8524" s="462"/>
      <c r="AD8524" s="464"/>
      <c r="AE8524" s="465"/>
    </row>
    <row r="8525" spans="27:31" ht="14.4">
      <c r="AA8525" s="463"/>
      <c r="AB8525" s="462"/>
      <c r="AC8525" s="462"/>
      <c r="AD8525" s="464"/>
      <c r="AE8525" s="465"/>
    </row>
    <row r="8526" spans="27:31" ht="14.4">
      <c r="AA8526" s="463"/>
      <c r="AB8526" s="462"/>
      <c r="AC8526" s="462"/>
      <c r="AD8526" s="464"/>
      <c r="AE8526" s="465"/>
    </row>
    <row r="8527" spans="27:31" ht="14.4">
      <c r="AA8527" s="463"/>
      <c r="AB8527" s="462"/>
      <c r="AC8527" s="462"/>
      <c r="AD8527" s="464"/>
      <c r="AE8527" s="465"/>
    </row>
    <row r="8528" spans="27:31" ht="14.4">
      <c r="AA8528" s="463"/>
      <c r="AB8528" s="462"/>
      <c r="AC8528" s="462"/>
      <c r="AD8528" s="464"/>
      <c r="AE8528" s="465"/>
    </row>
    <row r="8529" spans="27:31" ht="14.4">
      <c r="AA8529" s="463"/>
      <c r="AB8529" s="462"/>
      <c r="AC8529" s="462"/>
      <c r="AD8529" s="464"/>
      <c r="AE8529" s="465"/>
    </row>
    <row r="8530" spans="27:31" ht="14.4">
      <c r="AA8530" s="463"/>
      <c r="AB8530" s="462"/>
      <c r="AC8530" s="462"/>
      <c r="AD8530" s="464"/>
      <c r="AE8530" s="465"/>
    </row>
    <row r="8531" spans="27:31" ht="14.4">
      <c r="AA8531" s="463"/>
      <c r="AB8531" s="462"/>
      <c r="AC8531" s="462"/>
      <c r="AD8531" s="464"/>
      <c r="AE8531" s="465"/>
    </row>
    <row r="8532" spans="27:31" ht="14.4">
      <c r="AA8532" s="463"/>
      <c r="AB8532" s="462"/>
      <c r="AC8532" s="462"/>
      <c r="AD8532" s="464"/>
      <c r="AE8532" s="465"/>
    </row>
    <row r="8533" spans="27:31" ht="14.4">
      <c r="AA8533" s="463"/>
      <c r="AB8533" s="462"/>
      <c r="AC8533" s="462"/>
      <c r="AD8533" s="464"/>
      <c r="AE8533" s="465"/>
    </row>
    <row r="8534" spans="27:31" ht="14.4">
      <c r="AA8534" s="463"/>
      <c r="AB8534" s="462"/>
      <c r="AC8534" s="462"/>
      <c r="AD8534" s="464"/>
      <c r="AE8534" s="465"/>
    </row>
    <row r="8535" spans="27:31" ht="14.4">
      <c r="AA8535" s="463"/>
      <c r="AB8535" s="462"/>
      <c r="AC8535" s="462"/>
      <c r="AD8535" s="464"/>
      <c r="AE8535" s="465"/>
    </row>
    <row r="8536" spans="27:31" ht="14.4">
      <c r="AA8536" s="463"/>
      <c r="AB8536" s="462"/>
      <c r="AC8536" s="462"/>
      <c r="AD8536" s="464"/>
      <c r="AE8536" s="465"/>
    </row>
    <row r="8537" spans="27:31" ht="14.4">
      <c r="AA8537" s="463"/>
      <c r="AB8537" s="462"/>
      <c r="AC8537" s="462"/>
      <c r="AD8537" s="464"/>
      <c r="AE8537" s="465"/>
    </row>
    <row r="8538" spans="27:31" ht="14.4">
      <c r="AA8538" s="463"/>
      <c r="AB8538" s="462"/>
      <c r="AC8538" s="462"/>
      <c r="AD8538" s="464"/>
      <c r="AE8538" s="465"/>
    </row>
    <row r="8539" spans="27:31" ht="14.4">
      <c r="AA8539" s="463"/>
      <c r="AB8539" s="462"/>
      <c r="AC8539" s="462"/>
      <c r="AD8539" s="464"/>
      <c r="AE8539" s="465"/>
    </row>
    <row r="8540" spans="27:31" ht="14.4">
      <c r="AA8540" s="463"/>
      <c r="AB8540" s="462"/>
      <c r="AC8540" s="462"/>
      <c r="AD8540" s="464"/>
      <c r="AE8540" s="465"/>
    </row>
    <row r="8541" spans="27:31" ht="14.4">
      <c r="AA8541" s="463"/>
      <c r="AB8541" s="462"/>
      <c r="AC8541" s="462"/>
      <c r="AD8541" s="464"/>
      <c r="AE8541" s="465"/>
    </row>
    <row r="8542" spans="27:31" ht="14.4">
      <c r="AA8542" s="463"/>
      <c r="AB8542" s="462"/>
      <c r="AC8542" s="462"/>
      <c r="AD8542" s="464"/>
      <c r="AE8542" s="465"/>
    </row>
    <row r="8543" spans="27:31" ht="14.4">
      <c r="AA8543" s="463"/>
      <c r="AB8543" s="462"/>
      <c r="AC8543" s="462"/>
      <c r="AD8543" s="464"/>
      <c r="AE8543" s="465"/>
    </row>
    <row r="8544" spans="27:31" ht="14.4">
      <c r="AA8544" s="463"/>
      <c r="AB8544" s="462"/>
      <c r="AC8544" s="462"/>
      <c r="AD8544" s="464"/>
      <c r="AE8544" s="465"/>
    </row>
    <row r="8545" spans="27:31" ht="14.4">
      <c r="AA8545" s="463"/>
      <c r="AB8545" s="462"/>
      <c r="AC8545" s="462"/>
      <c r="AD8545" s="464"/>
      <c r="AE8545" s="465"/>
    </row>
    <row r="8546" spans="27:31" ht="14.4">
      <c r="AA8546" s="463"/>
      <c r="AB8546" s="462"/>
      <c r="AC8546" s="462"/>
      <c r="AD8546" s="464"/>
      <c r="AE8546" s="465"/>
    </row>
    <row r="8547" spans="27:31" ht="14.4">
      <c r="AA8547" s="463"/>
      <c r="AB8547" s="462"/>
      <c r="AC8547" s="462"/>
      <c r="AD8547" s="464"/>
      <c r="AE8547" s="465"/>
    </row>
    <row r="8548" spans="27:31" ht="14.4">
      <c r="AA8548" s="463"/>
      <c r="AB8548" s="462"/>
      <c r="AC8548" s="462"/>
      <c r="AD8548" s="464"/>
      <c r="AE8548" s="465"/>
    </row>
    <row r="8549" spans="27:31" ht="14.4">
      <c r="AA8549" s="463"/>
      <c r="AB8549" s="462"/>
      <c r="AC8549" s="462"/>
      <c r="AD8549" s="464"/>
      <c r="AE8549" s="465"/>
    </row>
    <row r="8550" spans="27:31" ht="14.4">
      <c r="AA8550" s="463"/>
      <c r="AB8550" s="462"/>
      <c r="AC8550" s="462"/>
      <c r="AD8550" s="464"/>
      <c r="AE8550" s="465"/>
    </row>
    <row r="8551" spans="27:31" ht="14.4">
      <c r="AA8551" s="463"/>
      <c r="AB8551" s="462"/>
      <c r="AC8551" s="462"/>
      <c r="AD8551" s="464"/>
      <c r="AE8551" s="465"/>
    </row>
    <row r="8552" spans="27:31" ht="14.4">
      <c r="AA8552" s="463"/>
      <c r="AB8552" s="462"/>
      <c r="AC8552" s="462"/>
      <c r="AD8552" s="464"/>
      <c r="AE8552" s="465"/>
    </row>
    <row r="8553" spans="27:31" ht="14.4">
      <c r="AA8553" s="463"/>
      <c r="AB8553" s="462"/>
      <c r="AC8553" s="462"/>
      <c r="AD8553" s="464"/>
      <c r="AE8553" s="465"/>
    </row>
    <row r="8554" spans="27:31" ht="14.4">
      <c r="AA8554" s="463"/>
      <c r="AB8554" s="462"/>
      <c r="AC8554" s="462"/>
      <c r="AD8554" s="464"/>
      <c r="AE8554" s="465"/>
    </row>
    <row r="8555" spans="27:31" ht="14.4">
      <c r="AA8555" s="463"/>
      <c r="AB8555" s="462"/>
      <c r="AC8555" s="462"/>
      <c r="AD8555" s="464"/>
      <c r="AE8555" s="465"/>
    </row>
    <row r="8556" spans="27:31" ht="14.4">
      <c r="AA8556" s="463"/>
      <c r="AB8556" s="462"/>
      <c r="AC8556" s="462"/>
      <c r="AD8556" s="464"/>
      <c r="AE8556" s="465"/>
    </row>
    <row r="8557" spans="27:31" ht="14.4">
      <c r="AA8557" s="463"/>
      <c r="AB8557" s="462"/>
      <c r="AC8557" s="462"/>
      <c r="AD8557" s="464"/>
      <c r="AE8557" s="465"/>
    </row>
    <row r="8558" spans="27:31" ht="14.4">
      <c r="AA8558" s="463"/>
      <c r="AB8558" s="462"/>
      <c r="AC8558" s="462"/>
      <c r="AD8558" s="464"/>
      <c r="AE8558" s="465"/>
    </row>
    <row r="8559" spans="27:31" ht="14.4">
      <c r="AA8559" s="463"/>
      <c r="AB8559" s="462"/>
      <c r="AC8559" s="462"/>
      <c r="AD8559" s="464"/>
      <c r="AE8559" s="465"/>
    </row>
    <row r="8560" spans="27:31" ht="14.4">
      <c r="AA8560" s="463"/>
      <c r="AB8560" s="462"/>
      <c r="AC8560" s="462"/>
      <c r="AD8560" s="464"/>
      <c r="AE8560" s="465"/>
    </row>
    <row r="8561" spans="27:31" ht="14.4">
      <c r="AA8561" s="463"/>
      <c r="AB8561" s="462"/>
      <c r="AC8561" s="462"/>
      <c r="AD8561" s="464"/>
      <c r="AE8561" s="465"/>
    </row>
    <row r="8562" spans="27:31" ht="14.4">
      <c r="AA8562" s="463"/>
      <c r="AB8562" s="462"/>
      <c r="AC8562" s="462"/>
      <c r="AD8562" s="464"/>
      <c r="AE8562" s="465"/>
    </row>
    <row r="8563" spans="27:31" ht="14.4">
      <c r="AA8563" s="463"/>
      <c r="AB8563" s="462"/>
      <c r="AC8563" s="462"/>
      <c r="AD8563" s="464"/>
      <c r="AE8563" s="465"/>
    </row>
    <row r="8564" spans="27:31" ht="14.4">
      <c r="AA8564" s="463"/>
      <c r="AB8564" s="462"/>
      <c r="AC8564" s="462"/>
      <c r="AD8564" s="464"/>
      <c r="AE8564" s="465"/>
    </row>
    <row r="8565" spans="27:31" ht="14.4">
      <c r="AA8565" s="463"/>
      <c r="AB8565" s="462"/>
      <c r="AC8565" s="462"/>
      <c r="AD8565" s="464"/>
      <c r="AE8565" s="465"/>
    </row>
    <row r="8566" spans="27:31" ht="14.4">
      <c r="AA8566" s="463"/>
      <c r="AB8566" s="462"/>
      <c r="AC8566" s="462"/>
      <c r="AD8566" s="464"/>
      <c r="AE8566" s="465"/>
    </row>
    <row r="8567" spans="27:31" ht="14.4">
      <c r="AA8567" s="463"/>
      <c r="AB8567" s="462"/>
      <c r="AC8567" s="462"/>
      <c r="AD8567" s="464"/>
      <c r="AE8567" s="465"/>
    </row>
    <row r="8568" spans="27:31" ht="14.4">
      <c r="AA8568" s="463"/>
      <c r="AB8568" s="462"/>
      <c r="AC8568" s="462"/>
      <c r="AD8568" s="464"/>
      <c r="AE8568" s="465"/>
    </row>
    <row r="8569" spans="27:31" ht="14.4">
      <c r="AA8569" s="463"/>
      <c r="AB8569" s="462"/>
      <c r="AC8569" s="462"/>
      <c r="AD8569" s="464"/>
      <c r="AE8569" s="465"/>
    </row>
    <row r="8570" spans="27:31" ht="14.4">
      <c r="AA8570" s="463"/>
      <c r="AB8570" s="462"/>
      <c r="AC8570" s="462"/>
      <c r="AD8570" s="464"/>
      <c r="AE8570" s="465"/>
    </row>
    <row r="8571" spans="27:31" ht="14.4">
      <c r="AA8571" s="463"/>
      <c r="AB8571" s="462"/>
      <c r="AC8571" s="462"/>
      <c r="AD8571" s="464"/>
      <c r="AE8571" s="465"/>
    </row>
    <row r="8572" spans="27:31" ht="14.4">
      <c r="AA8572" s="463"/>
      <c r="AB8572" s="462"/>
      <c r="AC8572" s="462"/>
      <c r="AD8572" s="464"/>
      <c r="AE8572" s="465"/>
    </row>
    <row r="8573" spans="27:31" ht="14.4">
      <c r="AA8573" s="463"/>
      <c r="AB8573" s="462"/>
      <c r="AC8573" s="462"/>
      <c r="AD8573" s="464"/>
      <c r="AE8573" s="465"/>
    </row>
    <row r="8574" spans="27:31" ht="14.4">
      <c r="AA8574" s="463"/>
      <c r="AB8574" s="462"/>
      <c r="AC8574" s="462"/>
      <c r="AD8574" s="464"/>
      <c r="AE8574" s="465"/>
    </row>
    <row r="8575" spans="27:31" ht="14.4">
      <c r="AA8575" s="463"/>
      <c r="AB8575" s="462"/>
      <c r="AC8575" s="462"/>
      <c r="AD8575" s="464"/>
      <c r="AE8575" s="465"/>
    </row>
    <row r="8576" spans="27:31" ht="14.4">
      <c r="AA8576" s="463"/>
      <c r="AB8576" s="462"/>
      <c r="AC8576" s="462"/>
      <c r="AD8576" s="464"/>
      <c r="AE8576" s="465"/>
    </row>
    <row r="8577" spans="27:31" ht="14.4">
      <c r="AA8577" s="463"/>
      <c r="AB8577" s="462"/>
      <c r="AC8577" s="462"/>
      <c r="AD8577" s="464"/>
      <c r="AE8577" s="465"/>
    </row>
    <row r="8578" spans="27:31" ht="14.4">
      <c r="AA8578" s="463"/>
      <c r="AB8578" s="462"/>
      <c r="AC8578" s="462"/>
      <c r="AD8578" s="464"/>
      <c r="AE8578" s="465"/>
    </row>
    <row r="8579" spans="27:31" ht="14.4">
      <c r="AA8579" s="463"/>
      <c r="AB8579" s="462"/>
      <c r="AC8579" s="462"/>
      <c r="AD8579" s="464"/>
      <c r="AE8579" s="465"/>
    </row>
    <row r="8580" spans="27:31" ht="14.4">
      <c r="AA8580" s="463"/>
      <c r="AB8580" s="462"/>
      <c r="AC8580" s="462"/>
      <c r="AD8580" s="464"/>
      <c r="AE8580" s="465"/>
    </row>
    <row r="8581" spans="27:31" ht="14.4">
      <c r="AA8581" s="463"/>
      <c r="AB8581" s="462"/>
      <c r="AC8581" s="462"/>
      <c r="AD8581" s="464"/>
      <c r="AE8581" s="465"/>
    </row>
    <row r="8582" spans="27:31" ht="14.4">
      <c r="AA8582" s="463"/>
      <c r="AB8582" s="462"/>
      <c r="AC8582" s="462"/>
      <c r="AD8582" s="464"/>
      <c r="AE8582" s="465"/>
    </row>
    <row r="8583" spans="27:31" ht="14.4">
      <c r="AA8583" s="463"/>
      <c r="AB8583" s="462"/>
      <c r="AC8583" s="462"/>
      <c r="AD8583" s="464"/>
      <c r="AE8583" s="465"/>
    </row>
    <row r="8584" spans="27:31" ht="14.4">
      <c r="AA8584" s="463"/>
      <c r="AB8584" s="462"/>
      <c r="AC8584" s="462"/>
      <c r="AD8584" s="464"/>
      <c r="AE8584" s="465"/>
    </row>
    <row r="8585" spans="27:31" ht="14.4">
      <c r="AA8585" s="463"/>
      <c r="AB8585" s="462"/>
      <c r="AC8585" s="462"/>
      <c r="AD8585" s="464"/>
      <c r="AE8585" s="465"/>
    </row>
    <row r="8586" spans="27:31" ht="14.4">
      <c r="AA8586" s="463"/>
      <c r="AB8586" s="462"/>
      <c r="AC8586" s="462"/>
      <c r="AD8586" s="464"/>
      <c r="AE8586" s="465"/>
    </row>
    <row r="8587" spans="27:31" ht="14.4">
      <c r="AA8587" s="463"/>
      <c r="AB8587" s="462"/>
      <c r="AC8587" s="462"/>
      <c r="AD8587" s="464"/>
      <c r="AE8587" s="465"/>
    </row>
    <row r="8588" spans="27:31" ht="14.4">
      <c r="AA8588" s="463"/>
      <c r="AB8588" s="462"/>
      <c r="AC8588" s="462"/>
      <c r="AD8588" s="464"/>
      <c r="AE8588" s="465"/>
    </row>
    <row r="8589" spans="27:31" ht="14.4">
      <c r="AA8589" s="463"/>
      <c r="AB8589" s="462"/>
      <c r="AC8589" s="462"/>
      <c r="AD8589" s="464"/>
      <c r="AE8589" s="465"/>
    </row>
    <row r="8590" spans="27:31" ht="14.4">
      <c r="AA8590" s="463"/>
      <c r="AB8590" s="462"/>
      <c r="AC8590" s="462"/>
      <c r="AD8590" s="464"/>
      <c r="AE8590" s="465"/>
    </row>
    <row r="8591" spans="27:31" ht="14.4">
      <c r="AA8591" s="463"/>
      <c r="AB8591" s="462"/>
      <c r="AC8591" s="462"/>
      <c r="AD8591" s="464"/>
      <c r="AE8591" s="465"/>
    </row>
    <row r="8592" spans="27:31" ht="14.4">
      <c r="AA8592" s="463"/>
      <c r="AB8592" s="462"/>
      <c r="AC8592" s="462"/>
      <c r="AD8592" s="464"/>
      <c r="AE8592" s="465"/>
    </row>
    <row r="8593" spans="27:31" ht="14.4">
      <c r="AA8593" s="463"/>
      <c r="AB8593" s="462"/>
      <c r="AC8593" s="462"/>
      <c r="AD8593" s="464"/>
      <c r="AE8593" s="465"/>
    </row>
    <row r="8594" spans="27:31" ht="14.4">
      <c r="AA8594" s="463"/>
      <c r="AB8594" s="462"/>
      <c r="AC8594" s="462"/>
      <c r="AD8594" s="464"/>
      <c r="AE8594" s="465"/>
    </row>
    <row r="8595" spans="27:31" ht="14.4">
      <c r="AA8595" s="463"/>
      <c r="AB8595" s="462"/>
      <c r="AC8595" s="462"/>
      <c r="AD8595" s="464"/>
      <c r="AE8595" s="465"/>
    </row>
    <row r="8596" spans="27:31" ht="14.4">
      <c r="AA8596" s="463"/>
      <c r="AB8596" s="462"/>
      <c r="AC8596" s="462"/>
      <c r="AD8596" s="464"/>
      <c r="AE8596" s="465"/>
    </row>
    <row r="8597" spans="27:31" ht="14.4">
      <c r="AA8597" s="463"/>
      <c r="AB8597" s="462"/>
      <c r="AC8597" s="462"/>
      <c r="AD8597" s="464"/>
      <c r="AE8597" s="465"/>
    </row>
    <row r="8598" spans="27:31" ht="14.4">
      <c r="AA8598" s="463"/>
      <c r="AB8598" s="462"/>
      <c r="AC8598" s="462"/>
      <c r="AD8598" s="464"/>
      <c r="AE8598" s="465"/>
    </row>
    <row r="8599" spans="27:31" ht="14.4">
      <c r="AA8599" s="463"/>
      <c r="AB8599" s="462"/>
      <c r="AC8599" s="462"/>
      <c r="AD8599" s="464"/>
      <c r="AE8599" s="465"/>
    </row>
    <row r="8600" spans="27:31" ht="14.4">
      <c r="AA8600" s="463"/>
      <c r="AB8600" s="462"/>
      <c r="AC8600" s="462"/>
      <c r="AD8600" s="464"/>
      <c r="AE8600" s="465"/>
    </row>
    <row r="8601" spans="27:31" ht="14.4">
      <c r="AA8601" s="463"/>
      <c r="AB8601" s="462"/>
      <c r="AC8601" s="462"/>
      <c r="AD8601" s="464"/>
      <c r="AE8601" s="465"/>
    </row>
    <row r="8602" spans="27:31" ht="14.4">
      <c r="AA8602" s="463"/>
      <c r="AB8602" s="462"/>
      <c r="AC8602" s="462"/>
      <c r="AD8602" s="464"/>
      <c r="AE8602" s="465"/>
    </row>
    <row r="8603" spans="27:31" ht="14.4">
      <c r="AA8603" s="463"/>
      <c r="AB8603" s="462"/>
      <c r="AC8603" s="462"/>
      <c r="AD8603" s="464"/>
      <c r="AE8603" s="465"/>
    </row>
    <row r="8604" spans="27:31" ht="14.4">
      <c r="AA8604" s="463"/>
      <c r="AB8604" s="462"/>
      <c r="AC8604" s="462"/>
      <c r="AD8604" s="464"/>
      <c r="AE8604" s="465"/>
    </row>
    <row r="8605" spans="27:31" ht="14.4">
      <c r="AA8605" s="463"/>
      <c r="AB8605" s="462"/>
      <c r="AC8605" s="462"/>
      <c r="AD8605" s="464"/>
      <c r="AE8605" s="465"/>
    </row>
    <row r="8606" spans="27:31" ht="14.4">
      <c r="AA8606" s="463"/>
      <c r="AB8606" s="462"/>
      <c r="AC8606" s="462"/>
      <c r="AD8606" s="464"/>
      <c r="AE8606" s="465"/>
    </row>
    <row r="8607" spans="27:31" ht="14.4">
      <c r="AA8607" s="463"/>
      <c r="AB8607" s="462"/>
      <c r="AC8607" s="462"/>
      <c r="AD8607" s="464"/>
      <c r="AE8607" s="465"/>
    </row>
    <row r="8608" spans="27:31" ht="14.4">
      <c r="AA8608" s="463"/>
      <c r="AB8608" s="462"/>
      <c r="AC8608" s="462"/>
      <c r="AD8608" s="464"/>
      <c r="AE8608" s="465"/>
    </row>
    <row r="8609" spans="27:31" ht="14.4">
      <c r="AA8609" s="463"/>
      <c r="AB8609" s="462"/>
      <c r="AC8609" s="462"/>
      <c r="AD8609" s="464"/>
      <c r="AE8609" s="465"/>
    </row>
    <row r="8610" spans="27:31" ht="14.4">
      <c r="AA8610" s="463"/>
      <c r="AB8610" s="462"/>
      <c r="AC8610" s="462"/>
      <c r="AD8610" s="464"/>
      <c r="AE8610" s="465"/>
    </row>
    <row r="8611" spans="27:31" ht="14.4">
      <c r="AA8611" s="463"/>
      <c r="AB8611" s="462"/>
      <c r="AC8611" s="462"/>
      <c r="AD8611" s="464"/>
      <c r="AE8611" s="465"/>
    </row>
    <row r="8612" spans="27:31" ht="14.4">
      <c r="AA8612" s="463"/>
      <c r="AB8612" s="462"/>
      <c r="AC8612" s="462"/>
      <c r="AD8612" s="464"/>
      <c r="AE8612" s="465"/>
    </row>
    <row r="8613" spans="27:31" ht="14.4">
      <c r="AA8613" s="463"/>
      <c r="AB8613" s="462"/>
      <c r="AC8613" s="462"/>
      <c r="AD8613" s="464"/>
      <c r="AE8613" s="465"/>
    </row>
    <row r="8614" spans="27:31" ht="14.4">
      <c r="AA8614" s="463"/>
      <c r="AB8614" s="462"/>
      <c r="AC8614" s="462"/>
      <c r="AD8614" s="464"/>
      <c r="AE8614" s="465"/>
    </row>
    <row r="8615" spans="27:31" ht="14.4">
      <c r="AA8615" s="463"/>
      <c r="AB8615" s="462"/>
      <c r="AC8615" s="462"/>
      <c r="AD8615" s="464"/>
      <c r="AE8615" s="465"/>
    </row>
    <row r="8616" spans="27:31" ht="14.4">
      <c r="AA8616" s="463"/>
      <c r="AB8616" s="462"/>
      <c r="AC8616" s="462"/>
      <c r="AD8616" s="464"/>
      <c r="AE8616" s="465"/>
    </row>
    <row r="8617" spans="27:31" ht="14.4">
      <c r="AA8617" s="463"/>
      <c r="AB8617" s="462"/>
      <c r="AC8617" s="462"/>
      <c r="AD8617" s="464"/>
      <c r="AE8617" s="465"/>
    </row>
    <row r="8618" spans="27:31" ht="14.4">
      <c r="AA8618" s="463"/>
      <c r="AB8618" s="462"/>
      <c r="AC8618" s="462"/>
      <c r="AD8618" s="464"/>
      <c r="AE8618" s="465"/>
    </row>
    <row r="8619" spans="27:31" ht="14.4">
      <c r="AA8619" s="463"/>
      <c r="AB8619" s="462"/>
      <c r="AC8619" s="462"/>
      <c r="AD8619" s="464"/>
      <c r="AE8619" s="465"/>
    </row>
    <row r="8620" spans="27:31" ht="14.4">
      <c r="AA8620" s="463"/>
      <c r="AB8620" s="462"/>
      <c r="AC8620" s="462"/>
      <c r="AD8620" s="464"/>
      <c r="AE8620" s="465"/>
    </row>
    <row r="8621" spans="27:31" ht="14.4">
      <c r="AA8621" s="463"/>
      <c r="AB8621" s="462"/>
      <c r="AC8621" s="462"/>
      <c r="AD8621" s="464"/>
      <c r="AE8621" s="465"/>
    </row>
    <row r="8622" spans="27:31" ht="14.4">
      <c r="AA8622" s="463"/>
      <c r="AB8622" s="462"/>
      <c r="AC8622" s="462"/>
      <c r="AD8622" s="464"/>
      <c r="AE8622" s="465"/>
    </row>
    <row r="8623" spans="27:31" ht="14.4">
      <c r="AA8623" s="463"/>
      <c r="AB8623" s="462"/>
      <c r="AC8623" s="462"/>
      <c r="AD8623" s="464"/>
      <c r="AE8623" s="465"/>
    </row>
    <row r="8624" spans="27:31" ht="14.4">
      <c r="AA8624" s="463"/>
      <c r="AB8624" s="462"/>
      <c r="AC8624" s="462"/>
      <c r="AD8624" s="464"/>
      <c r="AE8624" s="465"/>
    </row>
    <row r="8625" spans="27:31" ht="14.4">
      <c r="AA8625" s="463"/>
      <c r="AB8625" s="462"/>
      <c r="AC8625" s="462"/>
      <c r="AD8625" s="464"/>
      <c r="AE8625" s="465"/>
    </row>
    <row r="8626" spans="27:31" ht="14.4">
      <c r="AA8626" s="463"/>
      <c r="AB8626" s="462"/>
      <c r="AC8626" s="462"/>
      <c r="AD8626" s="464"/>
      <c r="AE8626" s="465"/>
    </row>
    <row r="8627" spans="27:31" ht="14.4">
      <c r="AA8627" s="463"/>
      <c r="AB8627" s="462"/>
      <c r="AC8627" s="462"/>
      <c r="AD8627" s="464"/>
      <c r="AE8627" s="465"/>
    </row>
    <row r="8628" spans="27:31" ht="14.4">
      <c r="AA8628" s="463"/>
      <c r="AB8628" s="462"/>
      <c r="AC8628" s="462"/>
      <c r="AD8628" s="464"/>
      <c r="AE8628" s="465"/>
    </row>
    <row r="8629" spans="27:31" ht="14.4">
      <c r="AA8629" s="463"/>
      <c r="AB8629" s="462"/>
      <c r="AC8629" s="462"/>
      <c r="AD8629" s="464"/>
      <c r="AE8629" s="465"/>
    </row>
    <row r="8630" spans="27:31" ht="14.4">
      <c r="AA8630" s="463"/>
      <c r="AB8630" s="462"/>
      <c r="AC8630" s="462"/>
      <c r="AD8630" s="464"/>
      <c r="AE8630" s="465"/>
    </row>
    <row r="8631" spans="27:31" ht="14.4">
      <c r="AA8631" s="463"/>
      <c r="AB8631" s="462"/>
      <c r="AC8631" s="462"/>
      <c r="AD8631" s="464"/>
      <c r="AE8631" s="465"/>
    </row>
    <row r="8632" spans="27:31" ht="14.4">
      <c r="AA8632" s="463"/>
      <c r="AB8632" s="462"/>
      <c r="AC8632" s="462"/>
      <c r="AD8632" s="464"/>
      <c r="AE8632" s="465"/>
    </row>
    <row r="8633" spans="27:31" ht="14.4">
      <c r="AA8633" s="463"/>
      <c r="AB8633" s="462"/>
      <c r="AC8633" s="462"/>
      <c r="AD8633" s="464"/>
      <c r="AE8633" s="465"/>
    </row>
    <row r="8634" spans="27:31" ht="14.4">
      <c r="AA8634" s="463"/>
      <c r="AB8634" s="462"/>
      <c r="AC8634" s="462"/>
      <c r="AD8634" s="464"/>
      <c r="AE8634" s="465"/>
    </row>
    <row r="8635" spans="27:31" ht="14.4">
      <c r="AA8635" s="463"/>
      <c r="AB8635" s="462"/>
      <c r="AC8635" s="462"/>
      <c r="AD8635" s="464"/>
      <c r="AE8635" s="465"/>
    </row>
    <row r="8636" spans="27:31" ht="14.4">
      <c r="AA8636" s="463"/>
      <c r="AB8636" s="462"/>
      <c r="AC8636" s="462"/>
      <c r="AD8636" s="464"/>
      <c r="AE8636" s="465"/>
    </row>
    <row r="8637" spans="27:31" ht="14.4">
      <c r="AA8637" s="463"/>
      <c r="AB8637" s="462"/>
      <c r="AC8637" s="462"/>
      <c r="AD8637" s="464"/>
      <c r="AE8637" s="465"/>
    </row>
    <row r="8638" spans="27:31" ht="14.4">
      <c r="AA8638" s="463"/>
      <c r="AB8638" s="462"/>
      <c r="AC8638" s="462"/>
      <c r="AD8638" s="464"/>
      <c r="AE8638" s="465"/>
    </row>
    <row r="8639" spans="27:31" ht="14.4">
      <c r="AA8639" s="463"/>
      <c r="AB8639" s="462"/>
      <c r="AC8639" s="462"/>
      <c r="AD8639" s="464"/>
      <c r="AE8639" s="465"/>
    </row>
    <row r="8640" spans="27:31" ht="14.4">
      <c r="AA8640" s="463"/>
      <c r="AB8640" s="462"/>
      <c r="AC8640" s="462"/>
      <c r="AD8640" s="464"/>
      <c r="AE8640" s="465"/>
    </row>
    <row r="8641" spans="27:31" ht="14.4">
      <c r="AA8641" s="463"/>
      <c r="AB8641" s="462"/>
      <c r="AC8641" s="462"/>
      <c r="AD8641" s="464"/>
      <c r="AE8641" s="465"/>
    </row>
    <row r="8642" spans="27:31" ht="14.4">
      <c r="AA8642" s="463"/>
      <c r="AB8642" s="462"/>
      <c r="AC8642" s="462"/>
      <c r="AD8642" s="464"/>
      <c r="AE8642" s="465"/>
    </row>
    <row r="8643" spans="27:31" ht="14.4">
      <c r="AA8643" s="463"/>
      <c r="AB8643" s="462"/>
      <c r="AC8643" s="462"/>
      <c r="AD8643" s="464"/>
      <c r="AE8643" s="465"/>
    </row>
    <row r="8644" spans="27:31" ht="14.4">
      <c r="AA8644" s="463"/>
      <c r="AB8644" s="462"/>
      <c r="AC8644" s="462"/>
      <c r="AD8644" s="464"/>
      <c r="AE8644" s="465"/>
    </row>
    <row r="8645" spans="27:31" ht="14.4">
      <c r="AA8645" s="463"/>
      <c r="AB8645" s="462"/>
      <c r="AC8645" s="462"/>
      <c r="AD8645" s="464"/>
      <c r="AE8645" s="465"/>
    </row>
    <row r="8646" spans="27:31" ht="14.4">
      <c r="AA8646" s="463"/>
      <c r="AB8646" s="462"/>
      <c r="AC8646" s="462"/>
      <c r="AD8646" s="464"/>
      <c r="AE8646" s="465"/>
    </row>
    <row r="8647" spans="27:31" ht="14.4">
      <c r="AA8647" s="463"/>
      <c r="AB8647" s="462"/>
      <c r="AC8647" s="462"/>
      <c r="AD8647" s="464"/>
      <c r="AE8647" s="465"/>
    </row>
    <row r="8648" spans="27:31" ht="14.4">
      <c r="AA8648" s="463"/>
      <c r="AB8648" s="462"/>
      <c r="AC8648" s="462"/>
      <c r="AD8648" s="464"/>
      <c r="AE8648" s="465"/>
    </row>
    <row r="8649" spans="27:31" ht="14.4">
      <c r="AA8649" s="463"/>
      <c r="AB8649" s="462"/>
      <c r="AC8649" s="462"/>
      <c r="AD8649" s="464"/>
      <c r="AE8649" s="465"/>
    </row>
    <row r="8650" spans="27:31" ht="14.4">
      <c r="AA8650" s="463"/>
      <c r="AB8650" s="462"/>
      <c r="AC8650" s="462"/>
      <c r="AD8650" s="464"/>
      <c r="AE8650" s="465"/>
    </row>
    <row r="8651" spans="27:31" ht="14.4">
      <c r="AA8651" s="463"/>
      <c r="AB8651" s="462"/>
      <c r="AC8651" s="462"/>
      <c r="AD8651" s="464"/>
      <c r="AE8651" s="465"/>
    </row>
    <row r="8652" spans="27:31" ht="14.4">
      <c r="AA8652" s="463"/>
      <c r="AB8652" s="462"/>
      <c r="AC8652" s="462"/>
      <c r="AD8652" s="464"/>
      <c r="AE8652" s="465"/>
    </row>
    <row r="8653" spans="27:31" ht="14.4">
      <c r="AA8653" s="463"/>
      <c r="AB8653" s="462"/>
      <c r="AC8653" s="462"/>
      <c r="AD8653" s="464"/>
      <c r="AE8653" s="465"/>
    </row>
    <row r="8654" spans="27:31" ht="14.4">
      <c r="AA8654" s="463"/>
      <c r="AB8654" s="462"/>
      <c r="AC8654" s="462"/>
      <c r="AD8654" s="464"/>
      <c r="AE8654" s="465"/>
    </row>
    <row r="8655" spans="27:31" ht="14.4">
      <c r="AA8655" s="463"/>
      <c r="AB8655" s="462"/>
      <c r="AC8655" s="462"/>
      <c r="AD8655" s="464"/>
      <c r="AE8655" s="465"/>
    </row>
    <row r="8656" spans="27:31" ht="14.4">
      <c r="AA8656" s="463"/>
      <c r="AB8656" s="462"/>
      <c r="AC8656" s="462"/>
      <c r="AD8656" s="464"/>
      <c r="AE8656" s="465"/>
    </row>
    <row r="8657" spans="27:31" ht="14.4">
      <c r="AA8657" s="463"/>
      <c r="AB8657" s="462"/>
      <c r="AC8657" s="462"/>
      <c r="AD8657" s="464"/>
      <c r="AE8657" s="465"/>
    </row>
    <row r="8658" spans="27:31" ht="14.4">
      <c r="AA8658" s="463"/>
      <c r="AB8658" s="462"/>
      <c r="AC8658" s="462"/>
      <c r="AD8658" s="464"/>
      <c r="AE8658" s="465"/>
    </row>
    <row r="8659" spans="27:31" ht="14.4">
      <c r="AA8659" s="463"/>
      <c r="AB8659" s="462"/>
      <c r="AC8659" s="462"/>
      <c r="AD8659" s="464"/>
      <c r="AE8659" s="465"/>
    </row>
    <row r="8660" spans="27:31" ht="14.4">
      <c r="AA8660" s="463"/>
      <c r="AB8660" s="462"/>
      <c r="AC8660" s="462"/>
      <c r="AD8660" s="464"/>
      <c r="AE8660" s="465"/>
    </row>
    <row r="8661" spans="27:31" ht="14.4">
      <c r="AA8661" s="463"/>
      <c r="AB8661" s="462"/>
      <c r="AC8661" s="462"/>
      <c r="AD8661" s="464"/>
      <c r="AE8661" s="465"/>
    </row>
    <row r="8662" spans="27:31" ht="14.4">
      <c r="AA8662" s="463"/>
      <c r="AB8662" s="462"/>
      <c r="AC8662" s="462"/>
      <c r="AD8662" s="464"/>
      <c r="AE8662" s="465"/>
    </row>
    <row r="8663" spans="27:31" ht="14.4">
      <c r="AA8663" s="463"/>
      <c r="AB8663" s="462"/>
      <c r="AC8663" s="462"/>
      <c r="AD8663" s="464"/>
      <c r="AE8663" s="465"/>
    </row>
    <row r="8664" spans="27:31" ht="14.4">
      <c r="AA8664" s="463"/>
      <c r="AB8664" s="462"/>
      <c r="AC8664" s="462"/>
      <c r="AD8664" s="464"/>
      <c r="AE8664" s="465"/>
    </row>
    <row r="8665" spans="27:31" ht="14.4">
      <c r="AA8665" s="463"/>
      <c r="AB8665" s="462"/>
      <c r="AC8665" s="462"/>
      <c r="AD8665" s="464"/>
      <c r="AE8665" s="465"/>
    </row>
    <row r="8666" spans="27:31" ht="14.4">
      <c r="AA8666" s="463"/>
      <c r="AB8666" s="462"/>
      <c r="AC8666" s="462"/>
      <c r="AD8666" s="464"/>
      <c r="AE8666" s="465"/>
    </row>
    <row r="8667" spans="27:31" ht="14.4">
      <c r="AA8667" s="463"/>
      <c r="AB8667" s="462"/>
      <c r="AC8667" s="462"/>
      <c r="AD8667" s="464"/>
      <c r="AE8667" s="465"/>
    </row>
    <row r="8668" spans="27:31" ht="14.4">
      <c r="AA8668" s="463"/>
      <c r="AB8668" s="462"/>
      <c r="AC8668" s="462"/>
      <c r="AD8668" s="464"/>
      <c r="AE8668" s="465"/>
    </row>
    <row r="8669" spans="27:31" ht="14.4">
      <c r="AA8669" s="463"/>
      <c r="AB8669" s="462"/>
      <c r="AC8669" s="462"/>
      <c r="AD8669" s="464"/>
      <c r="AE8669" s="465"/>
    </row>
    <row r="8670" spans="27:31" ht="14.4">
      <c r="AA8670" s="463"/>
      <c r="AB8670" s="462"/>
      <c r="AC8670" s="462"/>
      <c r="AD8670" s="464"/>
      <c r="AE8670" s="465"/>
    </row>
    <row r="8671" spans="27:31" ht="14.4">
      <c r="AA8671" s="463"/>
      <c r="AB8671" s="462"/>
      <c r="AC8671" s="462"/>
      <c r="AD8671" s="464"/>
      <c r="AE8671" s="465"/>
    </row>
    <row r="8672" spans="27:31" ht="14.4">
      <c r="AA8672" s="463"/>
      <c r="AB8672" s="462"/>
      <c r="AC8672" s="462"/>
      <c r="AD8672" s="464"/>
      <c r="AE8672" s="465"/>
    </row>
    <row r="8673" spans="27:31" ht="14.4">
      <c r="AA8673" s="463"/>
      <c r="AB8673" s="462"/>
      <c r="AC8673" s="462"/>
      <c r="AD8673" s="464"/>
      <c r="AE8673" s="465"/>
    </row>
    <row r="8674" spans="27:31" ht="14.4">
      <c r="AA8674" s="463"/>
      <c r="AB8674" s="462"/>
      <c r="AC8674" s="462"/>
      <c r="AD8674" s="464"/>
      <c r="AE8674" s="465"/>
    </row>
    <row r="8675" spans="27:31" ht="14.4">
      <c r="AA8675" s="463"/>
      <c r="AB8675" s="462"/>
      <c r="AC8675" s="462"/>
      <c r="AD8675" s="464"/>
      <c r="AE8675" s="465"/>
    </row>
    <row r="8676" spans="27:31" ht="14.4">
      <c r="AA8676" s="463"/>
      <c r="AB8676" s="462"/>
      <c r="AC8676" s="462"/>
      <c r="AD8676" s="464"/>
      <c r="AE8676" s="465"/>
    </row>
    <row r="8677" spans="27:31" ht="14.4">
      <c r="AA8677" s="463"/>
      <c r="AB8677" s="462"/>
      <c r="AC8677" s="462"/>
      <c r="AD8677" s="464"/>
      <c r="AE8677" s="465"/>
    </row>
    <row r="8678" spans="27:31" ht="14.4">
      <c r="AA8678" s="463"/>
      <c r="AB8678" s="462"/>
      <c r="AC8678" s="462"/>
      <c r="AD8678" s="464"/>
      <c r="AE8678" s="465"/>
    </row>
    <row r="8679" spans="27:31" ht="14.4">
      <c r="AA8679" s="463"/>
      <c r="AB8679" s="462"/>
      <c r="AC8679" s="462"/>
      <c r="AD8679" s="464"/>
      <c r="AE8679" s="465"/>
    </row>
    <row r="8680" spans="27:31" ht="14.4">
      <c r="AA8680" s="463"/>
      <c r="AB8680" s="462"/>
      <c r="AC8680" s="462"/>
      <c r="AD8680" s="464"/>
      <c r="AE8680" s="465"/>
    </row>
    <row r="8681" spans="27:31" ht="14.4">
      <c r="AA8681" s="463"/>
      <c r="AB8681" s="462"/>
      <c r="AC8681" s="462"/>
      <c r="AD8681" s="464"/>
      <c r="AE8681" s="465"/>
    </row>
    <row r="8682" spans="27:31" ht="14.4">
      <c r="AA8682" s="463"/>
      <c r="AB8682" s="462"/>
      <c r="AC8682" s="462"/>
      <c r="AD8682" s="464"/>
      <c r="AE8682" s="465"/>
    </row>
    <row r="8683" spans="27:31" ht="14.4">
      <c r="AA8683" s="463"/>
      <c r="AB8683" s="462"/>
      <c r="AC8683" s="462"/>
      <c r="AD8683" s="464"/>
      <c r="AE8683" s="465"/>
    </row>
    <row r="8684" spans="27:31" ht="14.4">
      <c r="AA8684" s="463"/>
      <c r="AB8684" s="462"/>
      <c r="AC8684" s="462"/>
      <c r="AD8684" s="464"/>
      <c r="AE8684" s="465"/>
    </row>
    <row r="8685" spans="27:31" ht="14.4">
      <c r="AA8685" s="463"/>
      <c r="AB8685" s="462"/>
      <c r="AC8685" s="462"/>
      <c r="AD8685" s="464"/>
      <c r="AE8685" s="465"/>
    </row>
    <row r="8686" spans="27:31" ht="14.4">
      <c r="AA8686" s="463"/>
      <c r="AB8686" s="462"/>
      <c r="AC8686" s="462"/>
      <c r="AD8686" s="464"/>
      <c r="AE8686" s="465"/>
    </row>
    <row r="8687" spans="27:31" ht="14.4">
      <c r="AA8687" s="463"/>
      <c r="AB8687" s="462"/>
      <c r="AC8687" s="462"/>
      <c r="AD8687" s="464"/>
      <c r="AE8687" s="465"/>
    </row>
    <row r="8688" spans="27:31" ht="14.4">
      <c r="AA8688" s="463"/>
      <c r="AB8688" s="462"/>
      <c r="AC8688" s="462"/>
      <c r="AD8688" s="464"/>
      <c r="AE8688" s="465"/>
    </row>
    <row r="8689" spans="27:31" ht="14.4">
      <c r="AA8689" s="463"/>
      <c r="AB8689" s="462"/>
      <c r="AC8689" s="462"/>
      <c r="AD8689" s="464"/>
      <c r="AE8689" s="465"/>
    </row>
    <row r="8690" spans="27:31" ht="14.4">
      <c r="AA8690" s="463"/>
      <c r="AB8690" s="462"/>
      <c r="AC8690" s="462"/>
      <c r="AD8690" s="464"/>
      <c r="AE8690" s="465"/>
    </row>
    <row r="8691" spans="27:31" ht="14.4">
      <c r="AA8691" s="463"/>
      <c r="AB8691" s="462"/>
      <c r="AC8691" s="462"/>
      <c r="AD8691" s="464"/>
      <c r="AE8691" s="465"/>
    </row>
    <row r="8692" spans="27:31" ht="14.4">
      <c r="AA8692" s="463"/>
      <c r="AB8692" s="462"/>
      <c r="AC8692" s="462"/>
      <c r="AD8692" s="464"/>
      <c r="AE8692" s="465"/>
    </row>
    <row r="8693" spans="27:31" ht="14.4">
      <c r="AA8693" s="463"/>
      <c r="AB8693" s="462"/>
      <c r="AC8693" s="462"/>
      <c r="AD8693" s="464"/>
      <c r="AE8693" s="465"/>
    </row>
    <row r="8694" spans="27:31" ht="14.4">
      <c r="AA8694" s="463"/>
      <c r="AB8694" s="462"/>
      <c r="AC8694" s="462"/>
      <c r="AD8694" s="464"/>
      <c r="AE8694" s="465"/>
    </row>
    <row r="8695" spans="27:31" ht="14.4">
      <c r="AA8695" s="463"/>
      <c r="AB8695" s="462"/>
      <c r="AC8695" s="462"/>
      <c r="AD8695" s="464"/>
      <c r="AE8695" s="465"/>
    </row>
    <row r="8696" spans="27:31" ht="14.4">
      <c r="AA8696" s="463"/>
      <c r="AB8696" s="462"/>
      <c r="AC8696" s="462"/>
      <c r="AD8696" s="464"/>
      <c r="AE8696" s="465"/>
    </row>
    <row r="8697" spans="27:31" ht="14.4">
      <c r="AA8697" s="463"/>
      <c r="AB8697" s="462"/>
      <c r="AC8697" s="462"/>
      <c r="AD8697" s="464"/>
      <c r="AE8697" s="465"/>
    </row>
    <row r="8698" spans="27:31" ht="14.4">
      <c r="AA8698" s="463"/>
      <c r="AB8698" s="462"/>
      <c r="AC8698" s="462"/>
      <c r="AD8698" s="464"/>
      <c r="AE8698" s="465"/>
    </row>
    <row r="8699" spans="27:31" ht="14.4">
      <c r="AA8699" s="463"/>
      <c r="AB8699" s="462"/>
      <c r="AC8699" s="462"/>
      <c r="AD8699" s="464"/>
      <c r="AE8699" s="465"/>
    </row>
    <row r="8700" spans="27:31" ht="14.4">
      <c r="AA8700" s="463"/>
      <c r="AB8700" s="462"/>
      <c r="AC8700" s="462"/>
      <c r="AD8700" s="464"/>
      <c r="AE8700" s="465"/>
    </row>
    <row r="8701" spans="27:31" ht="14.4">
      <c r="AA8701" s="463"/>
      <c r="AB8701" s="462"/>
      <c r="AC8701" s="462"/>
      <c r="AD8701" s="464"/>
      <c r="AE8701" s="465"/>
    </row>
    <row r="8702" spans="27:31" ht="14.4">
      <c r="AA8702" s="463"/>
      <c r="AB8702" s="462"/>
      <c r="AC8702" s="462"/>
      <c r="AD8702" s="464"/>
      <c r="AE8702" s="465"/>
    </row>
    <row r="8703" spans="27:31" ht="14.4">
      <c r="AA8703" s="463"/>
      <c r="AB8703" s="462"/>
      <c r="AC8703" s="462"/>
      <c r="AD8703" s="464"/>
      <c r="AE8703" s="465"/>
    </row>
    <row r="8704" spans="27:31" ht="14.4">
      <c r="AA8704" s="463"/>
      <c r="AB8704" s="462"/>
      <c r="AC8704" s="462"/>
      <c r="AD8704" s="464"/>
      <c r="AE8704" s="465"/>
    </row>
    <row r="8705" spans="27:31" ht="14.4">
      <c r="AA8705" s="463"/>
      <c r="AB8705" s="462"/>
      <c r="AC8705" s="462"/>
      <c r="AD8705" s="464"/>
      <c r="AE8705" s="465"/>
    </row>
    <row r="8706" spans="27:31" ht="14.4">
      <c r="AA8706" s="463"/>
      <c r="AB8706" s="462"/>
      <c r="AC8706" s="462"/>
      <c r="AD8706" s="464"/>
      <c r="AE8706" s="465"/>
    </row>
    <row r="8707" spans="27:31" ht="14.4">
      <c r="AA8707" s="463"/>
      <c r="AB8707" s="462"/>
      <c r="AC8707" s="462"/>
      <c r="AD8707" s="464"/>
      <c r="AE8707" s="465"/>
    </row>
    <row r="8708" spans="27:31" ht="14.4">
      <c r="AA8708" s="463"/>
      <c r="AB8708" s="462"/>
      <c r="AC8708" s="462"/>
      <c r="AD8708" s="464"/>
      <c r="AE8708" s="465"/>
    </row>
    <row r="8709" spans="27:31" ht="14.4">
      <c r="AA8709" s="463"/>
      <c r="AB8709" s="462"/>
      <c r="AC8709" s="462"/>
      <c r="AD8709" s="464"/>
      <c r="AE8709" s="465"/>
    </row>
    <row r="8710" spans="27:31" ht="14.4">
      <c r="AA8710" s="463"/>
      <c r="AB8710" s="462"/>
      <c r="AC8710" s="462"/>
      <c r="AD8710" s="464"/>
      <c r="AE8710" s="465"/>
    </row>
    <row r="8711" spans="27:31" ht="14.4">
      <c r="AA8711" s="463"/>
      <c r="AB8711" s="462"/>
      <c r="AC8711" s="462"/>
      <c r="AD8711" s="464"/>
      <c r="AE8711" s="465"/>
    </row>
    <row r="8712" spans="27:31" ht="14.4">
      <c r="AA8712" s="463"/>
      <c r="AB8712" s="462"/>
      <c r="AC8712" s="462"/>
      <c r="AD8712" s="464"/>
      <c r="AE8712" s="465"/>
    </row>
    <row r="8713" spans="27:31" ht="14.4">
      <c r="AA8713" s="463"/>
      <c r="AB8713" s="462"/>
      <c r="AC8713" s="462"/>
      <c r="AD8713" s="464"/>
      <c r="AE8713" s="465"/>
    </row>
    <row r="8714" spans="27:31" ht="14.4">
      <c r="AA8714" s="463"/>
      <c r="AB8714" s="462"/>
      <c r="AC8714" s="462"/>
      <c r="AD8714" s="464"/>
      <c r="AE8714" s="465"/>
    </row>
    <row r="8715" spans="27:31" ht="14.4">
      <c r="AA8715" s="463"/>
      <c r="AB8715" s="462"/>
      <c r="AC8715" s="462"/>
      <c r="AD8715" s="464"/>
      <c r="AE8715" s="465"/>
    </row>
    <row r="8716" spans="27:31" ht="14.4">
      <c r="AA8716" s="463"/>
      <c r="AB8716" s="462"/>
      <c r="AC8716" s="462"/>
      <c r="AD8716" s="464"/>
      <c r="AE8716" s="465"/>
    </row>
    <row r="8717" spans="27:31" ht="14.4">
      <c r="AA8717" s="463"/>
      <c r="AB8717" s="462"/>
      <c r="AC8717" s="462"/>
      <c r="AD8717" s="464"/>
      <c r="AE8717" s="465"/>
    </row>
    <row r="8718" spans="27:31" ht="14.4">
      <c r="AA8718" s="463"/>
      <c r="AB8718" s="462"/>
      <c r="AC8718" s="462"/>
      <c r="AD8718" s="464"/>
      <c r="AE8718" s="465"/>
    </row>
    <row r="8719" spans="27:31" ht="14.4">
      <c r="AA8719" s="463"/>
      <c r="AB8719" s="462"/>
      <c r="AC8719" s="462"/>
      <c r="AD8719" s="464"/>
      <c r="AE8719" s="465"/>
    </row>
    <row r="8720" spans="27:31" ht="14.4">
      <c r="AA8720" s="463"/>
      <c r="AB8720" s="462"/>
      <c r="AC8720" s="462"/>
      <c r="AD8720" s="464"/>
      <c r="AE8720" s="465"/>
    </row>
    <row r="8721" spans="27:31" ht="14.4">
      <c r="AA8721" s="463"/>
      <c r="AB8721" s="462"/>
      <c r="AC8721" s="462"/>
      <c r="AD8721" s="464"/>
      <c r="AE8721" s="465"/>
    </row>
    <row r="8722" spans="27:31" ht="14.4">
      <c r="AA8722" s="463"/>
      <c r="AB8722" s="462"/>
      <c r="AC8722" s="462"/>
      <c r="AD8722" s="464"/>
      <c r="AE8722" s="465"/>
    </row>
    <row r="8723" spans="27:31" ht="14.4">
      <c r="AA8723" s="463"/>
      <c r="AB8723" s="462"/>
      <c r="AC8723" s="462"/>
      <c r="AD8723" s="464"/>
      <c r="AE8723" s="465"/>
    </row>
    <row r="8724" spans="27:31" ht="14.4">
      <c r="AA8724" s="463"/>
      <c r="AB8724" s="462"/>
      <c r="AC8724" s="462"/>
      <c r="AD8724" s="464"/>
      <c r="AE8724" s="465"/>
    </row>
    <row r="8725" spans="27:31" ht="14.4">
      <c r="AA8725" s="463"/>
      <c r="AB8725" s="462"/>
      <c r="AC8725" s="462"/>
      <c r="AD8725" s="464"/>
      <c r="AE8725" s="465"/>
    </row>
    <row r="8726" spans="27:31" ht="14.4">
      <c r="AA8726" s="463"/>
      <c r="AB8726" s="462"/>
      <c r="AC8726" s="462"/>
      <c r="AD8726" s="464"/>
      <c r="AE8726" s="465"/>
    </row>
    <row r="8727" spans="27:31" ht="14.4">
      <c r="AA8727" s="463"/>
      <c r="AB8727" s="462"/>
      <c r="AC8727" s="462"/>
      <c r="AD8727" s="464"/>
      <c r="AE8727" s="465"/>
    </row>
    <row r="8728" spans="27:31" ht="14.4">
      <c r="AA8728" s="463"/>
      <c r="AB8728" s="462"/>
      <c r="AC8728" s="462"/>
      <c r="AD8728" s="464"/>
      <c r="AE8728" s="465"/>
    </row>
    <row r="8729" spans="27:31" ht="14.4">
      <c r="AA8729" s="463"/>
      <c r="AB8729" s="462"/>
      <c r="AC8729" s="462"/>
      <c r="AD8729" s="464"/>
      <c r="AE8729" s="465"/>
    </row>
    <row r="8730" spans="27:31" ht="14.4">
      <c r="AA8730" s="463"/>
      <c r="AB8730" s="462"/>
      <c r="AC8730" s="462"/>
      <c r="AD8730" s="464"/>
      <c r="AE8730" s="465"/>
    </row>
    <row r="8731" spans="27:31" ht="14.4">
      <c r="AA8731" s="463"/>
      <c r="AB8731" s="462"/>
      <c r="AC8731" s="462"/>
      <c r="AD8731" s="464"/>
      <c r="AE8731" s="465"/>
    </row>
    <row r="8732" spans="27:31" ht="14.4">
      <c r="AA8732" s="463"/>
      <c r="AB8732" s="462"/>
      <c r="AC8732" s="462"/>
      <c r="AD8732" s="464"/>
      <c r="AE8732" s="465"/>
    </row>
    <row r="8733" spans="27:31" ht="14.4">
      <c r="AA8733" s="463"/>
      <c r="AB8733" s="462"/>
      <c r="AC8733" s="462"/>
      <c r="AD8733" s="464"/>
      <c r="AE8733" s="465"/>
    </row>
    <row r="8734" spans="27:31" ht="14.4">
      <c r="AA8734" s="463"/>
      <c r="AB8734" s="462"/>
      <c r="AC8734" s="462"/>
      <c r="AD8734" s="464"/>
      <c r="AE8734" s="465"/>
    </row>
    <row r="8735" spans="27:31" ht="14.4">
      <c r="AA8735" s="463"/>
      <c r="AB8735" s="462"/>
      <c r="AC8735" s="462"/>
      <c r="AD8735" s="464"/>
      <c r="AE8735" s="465"/>
    </row>
    <row r="8736" spans="27:31" ht="14.4">
      <c r="AA8736" s="463"/>
      <c r="AB8736" s="462"/>
      <c r="AC8736" s="462"/>
      <c r="AD8736" s="464"/>
      <c r="AE8736" s="465"/>
    </row>
    <row r="8737" spans="27:31" ht="14.4">
      <c r="AA8737" s="463"/>
      <c r="AB8737" s="462"/>
      <c r="AC8737" s="462"/>
      <c r="AD8737" s="464"/>
      <c r="AE8737" s="465"/>
    </row>
    <row r="8738" spans="27:31" ht="14.4">
      <c r="AA8738" s="463"/>
      <c r="AB8738" s="462"/>
      <c r="AC8738" s="462"/>
      <c r="AD8738" s="464"/>
      <c r="AE8738" s="465"/>
    </row>
    <row r="8739" spans="27:31" ht="14.4">
      <c r="AA8739" s="463"/>
      <c r="AB8739" s="462"/>
      <c r="AC8739" s="462"/>
      <c r="AD8739" s="464"/>
      <c r="AE8739" s="465"/>
    </row>
    <row r="8740" spans="27:31" ht="14.4">
      <c r="AA8740" s="463"/>
      <c r="AB8740" s="462"/>
      <c r="AC8740" s="462"/>
      <c r="AD8740" s="464"/>
      <c r="AE8740" s="465"/>
    </row>
    <row r="8741" spans="27:31" ht="14.4">
      <c r="AA8741" s="463"/>
      <c r="AB8741" s="462"/>
      <c r="AC8741" s="462"/>
      <c r="AD8741" s="464"/>
      <c r="AE8741" s="465"/>
    </row>
    <row r="8742" spans="27:31" ht="14.4">
      <c r="AA8742" s="463"/>
      <c r="AB8742" s="462"/>
      <c r="AC8742" s="462"/>
      <c r="AD8742" s="464"/>
      <c r="AE8742" s="465"/>
    </row>
    <row r="8743" spans="27:31" ht="14.4">
      <c r="AA8743" s="463"/>
      <c r="AB8743" s="462"/>
      <c r="AC8743" s="462"/>
      <c r="AD8743" s="464"/>
      <c r="AE8743" s="465"/>
    </row>
    <row r="8744" spans="27:31" ht="14.4">
      <c r="AA8744" s="463"/>
      <c r="AB8744" s="462"/>
      <c r="AC8744" s="462"/>
      <c r="AD8744" s="464"/>
      <c r="AE8744" s="465"/>
    </row>
    <row r="8745" spans="27:31" ht="14.4">
      <c r="AA8745" s="463"/>
      <c r="AB8745" s="462"/>
      <c r="AC8745" s="462"/>
      <c r="AD8745" s="464"/>
      <c r="AE8745" s="465"/>
    </row>
    <row r="8746" spans="27:31" ht="14.4">
      <c r="AA8746" s="463"/>
      <c r="AB8746" s="462"/>
      <c r="AC8746" s="462"/>
      <c r="AD8746" s="464"/>
      <c r="AE8746" s="465"/>
    </row>
    <row r="8747" spans="27:31" ht="14.4">
      <c r="AA8747" s="463"/>
      <c r="AB8747" s="462"/>
      <c r="AC8747" s="462"/>
      <c r="AD8747" s="464"/>
      <c r="AE8747" s="465"/>
    </row>
    <row r="8748" spans="27:31" ht="14.4">
      <c r="AA8748" s="463"/>
      <c r="AB8748" s="462"/>
      <c r="AC8748" s="462"/>
      <c r="AD8748" s="464"/>
      <c r="AE8748" s="465"/>
    </row>
    <row r="8749" spans="27:31" ht="14.4">
      <c r="AA8749" s="463"/>
      <c r="AB8749" s="462"/>
      <c r="AC8749" s="462"/>
      <c r="AD8749" s="464"/>
      <c r="AE8749" s="465"/>
    </row>
    <row r="8750" spans="27:31" ht="14.4">
      <c r="AA8750" s="463"/>
      <c r="AB8750" s="462"/>
      <c r="AC8750" s="462"/>
      <c r="AD8750" s="464"/>
      <c r="AE8750" s="465"/>
    </row>
    <row r="8751" spans="27:31" ht="14.4">
      <c r="AA8751" s="463"/>
      <c r="AB8751" s="462"/>
      <c r="AC8751" s="462"/>
      <c r="AD8751" s="464"/>
      <c r="AE8751" s="465"/>
    </row>
    <row r="8752" spans="27:31" ht="14.4">
      <c r="AA8752" s="463"/>
      <c r="AB8752" s="462"/>
      <c r="AC8752" s="462"/>
      <c r="AD8752" s="464"/>
      <c r="AE8752" s="465"/>
    </row>
    <row r="8753" spans="27:31" ht="14.4">
      <c r="AA8753" s="463"/>
      <c r="AB8753" s="462"/>
      <c r="AC8753" s="462"/>
      <c r="AD8753" s="464"/>
      <c r="AE8753" s="465"/>
    </row>
    <row r="8754" spans="27:31" ht="14.4">
      <c r="AA8754" s="463"/>
      <c r="AB8754" s="462"/>
      <c r="AC8754" s="462"/>
      <c r="AD8754" s="464"/>
      <c r="AE8754" s="465"/>
    </row>
    <row r="8755" spans="27:31" ht="14.4">
      <c r="AA8755" s="463"/>
      <c r="AB8755" s="462"/>
      <c r="AC8755" s="462"/>
      <c r="AD8755" s="464"/>
      <c r="AE8755" s="465"/>
    </row>
    <row r="8756" spans="27:31" ht="14.4">
      <c r="AA8756" s="463"/>
      <c r="AB8756" s="462"/>
      <c r="AC8756" s="462"/>
      <c r="AD8756" s="464"/>
      <c r="AE8756" s="465"/>
    </row>
    <row r="8757" spans="27:31" ht="14.4">
      <c r="AA8757" s="463"/>
      <c r="AB8757" s="462"/>
      <c r="AC8757" s="462"/>
      <c r="AD8757" s="464"/>
      <c r="AE8757" s="465"/>
    </row>
    <row r="8758" spans="27:31" ht="14.4">
      <c r="AA8758" s="463"/>
      <c r="AB8758" s="462"/>
      <c r="AC8758" s="462"/>
      <c r="AD8758" s="464"/>
      <c r="AE8758" s="465"/>
    </row>
    <row r="8759" spans="27:31" ht="14.4">
      <c r="AA8759" s="463"/>
      <c r="AB8759" s="462"/>
      <c r="AC8759" s="462"/>
      <c r="AD8759" s="464"/>
      <c r="AE8759" s="465"/>
    </row>
    <row r="8760" spans="27:31" ht="14.4">
      <c r="AA8760" s="463"/>
      <c r="AB8760" s="462"/>
      <c r="AC8760" s="462"/>
      <c r="AD8760" s="464"/>
      <c r="AE8760" s="465"/>
    </row>
    <row r="8761" spans="27:31" ht="14.4">
      <c r="AA8761" s="463"/>
      <c r="AB8761" s="462"/>
      <c r="AC8761" s="462"/>
      <c r="AD8761" s="464"/>
      <c r="AE8761" s="465"/>
    </row>
    <row r="8762" spans="27:31" ht="14.4">
      <c r="AA8762" s="463"/>
      <c r="AB8762" s="462"/>
      <c r="AC8762" s="462"/>
      <c r="AD8762" s="464"/>
      <c r="AE8762" s="465"/>
    </row>
    <row r="8763" spans="27:31" ht="14.4">
      <c r="AA8763" s="463"/>
      <c r="AB8763" s="462"/>
      <c r="AC8763" s="462"/>
      <c r="AD8763" s="464"/>
      <c r="AE8763" s="465"/>
    </row>
    <row r="8764" spans="27:31" ht="14.4">
      <c r="AA8764" s="463"/>
      <c r="AB8764" s="462"/>
      <c r="AC8764" s="462"/>
      <c r="AD8764" s="464"/>
      <c r="AE8764" s="465"/>
    </row>
    <row r="8765" spans="27:31" ht="14.4">
      <c r="AA8765" s="463"/>
      <c r="AB8765" s="462"/>
      <c r="AC8765" s="462"/>
      <c r="AD8765" s="464"/>
      <c r="AE8765" s="465"/>
    </row>
    <row r="8766" spans="27:31" ht="14.4">
      <c r="AA8766" s="463"/>
      <c r="AB8766" s="462"/>
      <c r="AC8766" s="462"/>
      <c r="AD8766" s="464"/>
      <c r="AE8766" s="465"/>
    </row>
    <row r="8767" spans="27:31" ht="14.4">
      <c r="AA8767" s="463"/>
      <c r="AB8767" s="462"/>
      <c r="AC8767" s="462"/>
      <c r="AD8767" s="464"/>
      <c r="AE8767" s="465"/>
    </row>
    <row r="8768" spans="27:31" ht="14.4">
      <c r="AA8768" s="463"/>
      <c r="AB8768" s="462"/>
      <c r="AC8768" s="462"/>
      <c r="AD8768" s="464"/>
      <c r="AE8768" s="465"/>
    </row>
    <row r="8769" spans="27:31" ht="14.4">
      <c r="AA8769" s="463"/>
      <c r="AB8769" s="462"/>
      <c r="AC8769" s="462"/>
      <c r="AD8769" s="464"/>
      <c r="AE8769" s="465"/>
    </row>
    <row r="8770" spans="27:31" ht="14.4">
      <c r="AA8770" s="463"/>
      <c r="AB8770" s="462"/>
      <c r="AC8770" s="462"/>
      <c r="AD8770" s="464"/>
      <c r="AE8770" s="465"/>
    </row>
    <row r="8771" spans="27:31" ht="14.4">
      <c r="AA8771" s="463"/>
      <c r="AB8771" s="462"/>
      <c r="AC8771" s="462"/>
      <c r="AD8771" s="464"/>
      <c r="AE8771" s="465"/>
    </row>
    <row r="8772" spans="27:31" ht="14.4">
      <c r="AA8772" s="463"/>
      <c r="AB8772" s="462"/>
      <c r="AC8772" s="462"/>
      <c r="AD8772" s="464"/>
      <c r="AE8772" s="465"/>
    </row>
    <row r="8773" spans="27:31" ht="14.4">
      <c r="AA8773" s="463"/>
      <c r="AB8773" s="462"/>
      <c r="AC8773" s="462"/>
      <c r="AD8773" s="464"/>
      <c r="AE8773" s="465"/>
    </row>
    <row r="8774" spans="27:31" ht="14.4">
      <c r="AA8774" s="463"/>
      <c r="AB8774" s="462"/>
      <c r="AC8774" s="462"/>
      <c r="AD8774" s="464"/>
      <c r="AE8774" s="465"/>
    </row>
    <row r="8775" spans="27:31" ht="14.4">
      <c r="AA8775" s="463"/>
      <c r="AB8775" s="462"/>
      <c r="AC8775" s="462"/>
      <c r="AD8775" s="464"/>
      <c r="AE8775" s="465"/>
    </row>
    <row r="8776" spans="27:31" ht="14.4">
      <c r="AA8776" s="463"/>
      <c r="AB8776" s="462"/>
      <c r="AC8776" s="462"/>
      <c r="AD8776" s="464"/>
      <c r="AE8776" s="465"/>
    </row>
    <row r="8777" spans="27:31" ht="14.4">
      <c r="AA8777" s="463"/>
      <c r="AB8777" s="462"/>
      <c r="AC8777" s="462"/>
      <c r="AD8777" s="464"/>
      <c r="AE8777" s="465"/>
    </row>
    <row r="8778" spans="27:31" ht="14.4">
      <c r="AA8778" s="463"/>
      <c r="AB8778" s="462"/>
      <c r="AC8778" s="462"/>
      <c r="AD8778" s="464"/>
      <c r="AE8778" s="465"/>
    </row>
    <row r="8779" spans="27:31" ht="14.4">
      <c r="AA8779" s="463"/>
      <c r="AB8779" s="462"/>
      <c r="AC8779" s="462"/>
      <c r="AD8779" s="464"/>
      <c r="AE8779" s="465"/>
    </row>
    <row r="8780" spans="27:31" ht="14.4">
      <c r="AA8780" s="463"/>
      <c r="AB8780" s="462"/>
      <c r="AC8780" s="462"/>
      <c r="AD8780" s="464"/>
      <c r="AE8780" s="465"/>
    </row>
    <row r="8781" spans="27:31" ht="14.4">
      <c r="AA8781" s="463"/>
      <c r="AB8781" s="462"/>
      <c r="AC8781" s="462"/>
      <c r="AD8781" s="464"/>
      <c r="AE8781" s="465"/>
    </row>
    <row r="8782" spans="27:31" ht="14.4">
      <c r="AA8782" s="463"/>
      <c r="AB8782" s="462"/>
      <c r="AC8782" s="462"/>
      <c r="AD8782" s="464"/>
      <c r="AE8782" s="465"/>
    </row>
    <row r="8783" spans="27:31" ht="14.4">
      <c r="AA8783" s="463"/>
      <c r="AB8783" s="462"/>
      <c r="AC8783" s="462"/>
      <c r="AD8783" s="464"/>
      <c r="AE8783" s="465"/>
    </row>
    <row r="8784" spans="27:31" ht="14.4">
      <c r="AA8784" s="463"/>
      <c r="AB8784" s="462"/>
      <c r="AC8784" s="462"/>
      <c r="AD8784" s="464"/>
      <c r="AE8784" s="465"/>
    </row>
    <row r="8785" spans="27:31" ht="14.4">
      <c r="AA8785" s="463"/>
      <c r="AB8785" s="462"/>
      <c r="AC8785" s="462"/>
      <c r="AD8785" s="464"/>
      <c r="AE8785" s="465"/>
    </row>
    <row r="8786" spans="27:31" ht="14.4">
      <c r="AA8786" s="463"/>
      <c r="AB8786" s="462"/>
      <c r="AC8786" s="462"/>
      <c r="AD8786" s="464"/>
      <c r="AE8786" s="465"/>
    </row>
    <row r="8787" spans="27:31" ht="14.4">
      <c r="AA8787" s="463"/>
      <c r="AB8787" s="462"/>
      <c r="AC8787" s="462"/>
      <c r="AD8787" s="464"/>
      <c r="AE8787" s="465"/>
    </row>
    <row r="8788" spans="27:31" ht="14.4">
      <c r="AA8788" s="463"/>
      <c r="AB8788" s="462"/>
      <c r="AC8788" s="462"/>
      <c r="AD8788" s="464"/>
      <c r="AE8788" s="465"/>
    </row>
    <row r="8789" spans="27:31" ht="14.4">
      <c r="AA8789" s="463"/>
      <c r="AB8789" s="462"/>
      <c r="AC8789" s="462"/>
      <c r="AD8789" s="464"/>
      <c r="AE8789" s="465"/>
    </row>
    <row r="8790" spans="27:31" ht="14.4">
      <c r="AA8790" s="463"/>
      <c r="AB8790" s="462"/>
      <c r="AC8790" s="462"/>
      <c r="AD8790" s="464"/>
      <c r="AE8790" s="465"/>
    </row>
    <row r="8791" spans="27:31" ht="14.4">
      <c r="AA8791" s="463"/>
      <c r="AB8791" s="462"/>
      <c r="AC8791" s="462"/>
      <c r="AD8791" s="464"/>
      <c r="AE8791" s="465"/>
    </row>
    <row r="8792" spans="27:31" ht="14.4">
      <c r="AA8792" s="463"/>
      <c r="AB8792" s="462"/>
      <c r="AC8792" s="462"/>
      <c r="AD8792" s="464"/>
      <c r="AE8792" s="465"/>
    </row>
    <row r="8793" spans="27:31" ht="14.4">
      <c r="AA8793" s="463"/>
      <c r="AB8793" s="462"/>
      <c r="AC8793" s="462"/>
      <c r="AD8793" s="464"/>
      <c r="AE8793" s="465"/>
    </row>
    <row r="8794" spans="27:31" ht="14.4">
      <c r="AA8794" s="463"/>
      <c r="AB8794" s="462"/>
      <c r="AC8794" s="462"/>
      <c r="AD8794" s="464"/>
      <c r="AE8794" s="465"/>
    </row>
    <row r="8795" spans="27:31" ht="14.4">
      <c r="AA8795" s="463"/>
      <c r="AB8795" s="462"/>
      <c r="AC8795" s="462"/>
      <c r="AD8795" s="464"/>
      <c r="AE8795" s="465"/>
    </row>
    <row r="8796" spans="27:31" ht="14.4">
      <c r="AA8796" s="463"/>
      <c r="AB8796" s="462"/>
      <c r="AC8796" s="462"/>
      <c r="AD8796" s="464"/>
      <c r="AE8796" s="465"/>
    </row>
    <row r="8797" spans="27:31" ht="14.4">
      <c r="AA8797" s="463"/>
      <c r="AB8797" s="462"/>
      <c r="AC8797" s="462"/>
      <c r="AD8797" s="464"/>
      <c r="AE8797" s="465"/>
    </row>
    <row r="8798" spans="27:31" ht="14.4">
      <c r="AA8798" s="463"/>
      <c r="AB8798" s="462"/>
      <c r="AC8798" s="462"/>
      <c r="AD8798" s="464"/>
      <c r="AE8798" s="465"/>
    </row>
    <row r="8799" spans="27:31" ht="14.4">
      <c r="AA8799" s="463"/>
      <c r="AB8799" s="462"/>
      <c r="AC8799" s="462"/>
      <c r="AD8799" s="464"/>
      <c r="AE8799" s="465"/>
    </row>
    <row r="8800" spans="27:31" ht="14.4">
      <c r="AA8800" s="463"/>
      <c r="AB8800" s="462"/>
      <c r="AC8800" s="462"/>
      <c r="AD8800" s="464"/>
      <c r="AE8800" s="465"/>
    </row>
    <row r="8801" spans="27:31" ht="14.4">
      <c r="AA8801" s="463"/>
      <c r="AB8801" s="462"/>
      <c r="AC8801" s="462"/>
      <c r="AD8801" s="464"/>
      <c r="AE8801" s="465"/>
    </row>
    <row r="8802" spans="27:31" ht="14.4">
      <c r="AA8802" s="463"/>
      <c r="AB8802" s="462"/>
      <c r="AC8802" s="462"/>
      <c r="AD8802" s="464"/>
      <c r="AE8802" s="465"/>
    </row>
    <row r="8803" spans="27:31" ht="14.4">
      <c r="AA8803" s="463"/>
      <c r="AB8803" s="462"/>
      <c r="AC8803" s="462"/>
      <c r="AD8803" s="464"/>
      <c r="AE8803" s="465"/>
    </row>
    <row r="8804" spans="27:31" ht="14.4">
      <c r="AA8804" s="463"/>
      <c r="AB8804" s="462"/>
      <c r="AC8804" s="462"/>
      <c r="AD8804" s="464"/>
      <c r="AE8804" s="465"/>
    </row>
    <row r="8805" spans="27:31" ht="14.4">
      <c r="AA8805" s="463"/>
      <c r="AB8805" s="462"/>
      <c r="AC8805" s="462"/>
      <c r="AD8805" s="464"/>
      <c r="AE8805" s="465"/>
    </row>
    <row r="8806" spans="27:31" ht="14.4">
      <c r="AA8806" s="463"/>
      <c r="AB8806" s="462"/>
      <c r="AC8806" s="462"/>
      <c r="AD8806" s="464"/>
      <c r="AE8806" s="465"/>
    </row>
    <row r="8807" spans="27:31" ht="14.4">
      <c r="AA8807" s="463"/>
      <c r="AB8807" s="462"/>
      <c r="AC8807" s="462"/>
      <c r="AD8807" s="464"/>
      <c r="AE8807" s="465"/>
    </row>
    <row r="8808" spans="27:31" ht="14.4">
      <c r="AA8808" s="463"/>
      <c r="AB8808" s="462"/>
      <c r="AC8808" s="462"/>
      <c r="AD8808" s="464"/>
      <c r="AE8808" s="465"/>
    </row>
    <row r="8809" spans="27:31" ht="14.4">
      <c r="AA8809" s="463"/>
      <c r="AB8809" s="462"/>
      <c r="AC8809" s="462"/>
      <c r="AD8809" s="464"/>
      <c r="AE8809" s="465"/>
    </row>
    <row r="8810" spans="27:31" ht="14.4">
      <c r="AA8810" s="463"/>
      <c r="AB8810" s="462"/>
      <c r="AC8810" s="462"/>
      <c r="AD8810" s="464"/>
      <c r="AE8810" s="465"/>
    </row>
    <row r="8811" spans="27:31" ht="14.4">
      <c r="AA8811" s="463"/>
      <c r="AB8811" s="462"/>
      <c r="AC8811" s="462"/>
      <c r="AD8811" s="464"/>
      <c r="AE8811" s="465"/>
    </row>
    <row r="8812" spans="27:31" ht="14.4">
      <c r="AA8812" s="463"/>
      <c r="AB8812" s="462"/>
      <c r="AC8812" s="462"/>
      <c r="AD8812" s="464"/>
      <c r="AE8812" s="465"/>
    </row>
    <row r="8813" spans="27:31" ht="14.4">
      <c r="AA8813" s="463"/>
      <c r="AB8813" s="462"/>
      <c r="AC8813" s="462"/>
      <c r="AD8813" s="464"/>
      <c r="AE8813" s="465"/>
    </row>
    <row r="8814" spans="27:31" ht="14.4">
      <c r="AA8814" s="463"/>
      <c r="AB8814" s="462"/>
      <c r="AC8814" s="462"/>
      <c r="AD8814" s="464"/>
      <c r="AE8814" s="465"/>
    </row>
    <row r="8815" spans="27:31" ht="14.4">
      <c r="AA8815" s="463"/>
      <c r="AB8815" s="462"/>
      <c r="AC8815" s="462"/>
      <c r="AD8815" s="464"/>
      <c r="AE8815" s="465"/>
    </row>
    <row r="8816" spans="27:31" ht="14.4">
      <c r="AA8816" s="463"/>
      <c r="AB8816" s="462"/>
      <c r="AC8816" s="462"/>
      <c r="AD8816" s="464"/>
      <c r="AE8816" s="465"/>
    </row>
    <row r="8817" spans="27:31" ht="14.4">
      <c r="AA8817" s="463"/>
      <c r="AB8817" s="462"/>
      <c r="AC8817" s="462"/>
      <c r="AD8817" s="464"/>
      <c r="AE8817" s="465"/>
    </row>
    <row r="8818" spans="27:31" ht="14.4">
      <c r="AA8818" s="463"/>
      <c r="AB8818" s="462"/>
      <c r="AC8818" s="462"/>
      <c r="AD8818" s="464"/>
      <c r="AE8818" s="465"/>
    </row>
    <row r="8819" spans="27:31" ht="14.4">
      <c r="AA8819" s="463"/>
      <c r="AB8819" s="462"/>
      <c r="AC8819" s="462"/>
      <c r="AD8819" s="464"/>
      <c r="AE8819" s="465"/>
    </row>
    <row r="8820" spans="27:31" ht="14.4">
      <c r="AA8820" s="463"/>
      <c r="AB8820" s="462"/>
      <c r="AC8820" s="462"/>
      <c r="AD8820" s="464"/>
      <c r="AE8820" s="465"/>
    </row>
    <row r="8821" spans="27:31" ht="14.4">
      <c r="AA8821" s="463"/>
      <c r="AB8821" s="462"/>
      <c r="AC8821" s="462"/>
      <c r="AD8821" s="464"/>
      <c r="AE8821" s="465"/>
    </row>
    <row r="8822" spans="27:31" ht="14.4">
      <c r="AA8822" s="463"/>
      <c r="AB8822" s="462"/>
      <c r="AC8822" s="462"/>
      <c r="AD8822" s="464"/>
      <c r="AE8822" s="465"/>
    </row>
    <row r="8823" spans="27:31" ht="14.4">
      <c r="AA8823" s="463"/>
      <c r="AB8823" s="462"/>
      <c r="AC8823" s="462"/>
      <c r="AD8823" s="464"/>
      <c r="AE8823" s="465"/>
    </row>
    <row r="8824" spans="27:31" ht="14.4">
      <c r="AA8824" s="463"/>
      <c r="AB8824" s="462"/>
      <c r="AC8824" s="462"/>
      <c r="AD8824" s="464"/>
      <c r="AE8824" s="465"/>
    </row>
    <row r="8825" spans="27:31" ht="14.4">
      <c r="AA8825" s="463"/>
      <c r="AB8825" s="462"/>
      <c r="AC8825" s="462"/>
      <c r="AD8825" s="464"/>
      <c r="AE8825" s="465"/>
    </row>
    <row r="8826" spans="27:31" ht="14.4">
      <c r="AA8826" s="463"/>
      <c r="AB8826" s="462"/>
      <c r="AC8826" s="462"/>
      <c r="AD8826" s="464"/>
      <c r="AE8826" s="465"/>
    </row>
    <row r="8827" spans="27:31" ht="14.4">
      <c r="AA8827" s="463"/>
      <c r="AB8827" s="462"/>
      <c r="AC8827" s="462"/>
      <c r="AD8827" s="464"/>
      <c r="AE8827" s="465"/>
    </row>
    <row r="8828" spans="27:31" ht="14.4">
      <c r="AA8828" s="463"/>
      <c r="AB8828" s="462"/>
      <c r="AC8828" s="462"/>
      <c r="AD8828" s="464"/>
      <c r="AE8828" s="465"/>
    </row>
    <row r="8829" spans="27:31" ht="14.4">
      <c r="AA8829" s="463"/>
      <c r="AB8829" s="462"/>
      <c r="AC8829" s="462"/>
      <c r="AD8829" s="464"/>
      <c r="AE8829" s="465"/>
    </row>
    <row r="8830" spans="27:31" ht="14.4">
      <c r="AA8830" s="463"/>
      <c r="AB8830" s="462"/>
      <c r="AC8830" s="462"/>
      <c r="AD8830" s="464"/>
      <c r="AE8830" s="465"/>
    </row>
    <row r="8831" spans="27:31" ht="14.4">
      <c r="AA8831" s="463"/>
      <c r="AB8831" s="462"/>
      <c r="AC8831" s="462"/>
      <c r="AD8831" s="464"/>
      <c r="AE8831" s="465"/>
    </row>
    <row r="8832" spans="27:31" ht="14.4">
      <c r="AA8832" s="463"/>
      <c r="AB8832" s="462"/>
      <c r="AC8832" s="462"/>
      <c r="AD8832" s="464"/>
      <c r="AE8832" s="465"/>
    </row>
    <row r="8833" spans="27:31" ht="14.4">
      <c r="AA8833" s="463"/>
      <c r="AB8833" s="462"/>
      <c r="AC8833" s="462"/>
      <c r="AD8833" s="464"/>
      <c r="AE8833" s="465"/>
    </row>
    <row r="8834" spans="27:31" ht="14.4">
      <c r="AA8834" s="463"/>
      <c r="AB8834" s="462"/>
      <c r="AC8834" s="462"/>
      <c r="AD8834" s="464"/>
      <c r="AE8834" s="465"/>
    </row>
    <row r="8835" spans="27:31" ht="14.4">
      <c r="AA8835" s="463"/>
      <c r="AB8835" s="462"/>
      <c r="AC8835" s="462"/>
      <c r="AD8835" s="464"/>
      <c r="AE8835" s="465"/>
    </row>
    <row r="8836" spans="27:31" ht="14.4">
      <c r="AA8836" s="463"/>
      <c r="AB8836" s="462"/>
      <c r="AC8836" s="462"/>
      <c r="AD8836" s="464"/>
      <c r="AE8836" s="465"/>
    </row>
    <row r="8837" spans="27:31" ht="14.4">
      <c r="AA8837" s="463"/>
      <c r="AB8837" s="462"/>
      <c r="AC8837" s="462"/>
      <c r="AD8837" s="464"/>
      <c r="AE8837" s="465"/>
    </row>
    <row r="8838" spans="27:31" ht="14.4">
      <c r="AA8838" s="463"/>
      <c r="AB8838" s="462"/>
      <c r="AC8838" s="462"/>
      <c r="AD8838" s="464"/>
      <c r="AE8838" s="465"/>
    </row>
    <row r="8839" spans="27:31" ht="14.4">
      <c r="AA8839" s="463"/>
      <c r="AB8839" s="462"/>
      <c r="AC8839" s="462"/>
      <c r="AD8839" s="464"/>
      <c r="AE8839" s="465"/>
    </row>
    <row r="8840" spans="27:31" ht="14.4">
      <c r="AA8840" s="463"/>
      <c r="AB8840" s="462"/>
      <c r="AC8840" s="462"/>
      <c r="AD8840" s="464"/>
      <c r="AE8840" s="465"/>
    </row>
    <row r="8841" spans="27:31" ht="14.4">
      <c r="AA8841" s="463"/>
      <c r="AB8841" s="462"/>
      <c r="AC8841" s="462"/>
      <c r="AD8841" s="464"/>
      <c r="AE8841" s="465"/>
    </row>
    <row r="8842" spans="27:31" ht="14.4">
      <c r="AA8842" s="463"/>
      <c r="AB8842" s="462"/>
      <c r="AC8842" s="462"/>
      <c r="AD8842" s="464"/>
      <c r="AE8842" s="465"/>
    </row>
    <row r="8843" spans="27:31" ht="14.4">
      <c r="AA8843" s="463"/>
      <c r="AB8843" s="462"/>
      <c r="AC8843" s="462"/>
      <c r="AD8843" s="464"/>
      <c r="AE8843" s="465"/>
    </row>
    <row r="8844" spans="27:31" ht="14.4">
      <c r="AA8844" s="463"/>
      <c r="AB8844" s="462"/>
      <c r="AC8844" s="462"/>
      <c r="AD8844" s="464"/>
      <c r="AE8844" s="465"/>
    </row>
    <row r="8845" spans="27:31" ht="14.4">
      <c r="AA8845" s="463"/>
      <c r="AB8845" s="462"/>
      <c r="AC8845" s="462"/>
      <c r="AD8845" s="464"/>
      <c r="AE8845" s="465"/>
    </row>
    <row r="8846" spans="27:31" ht="14.4">
      <c r="AA8846" s="463"/>
      <c r="AB8846" s="462"/>
      <c r="AC8846" s="462"/>
      <c r="AD8846" s="464"/>
      <c r="AE8846" s="465"/>
    </row>
    <row r="8847" spans="27:31" ht="14.4">
      <c r="AA8847" s="463"/>
      <c r="AB8847" s="462"/>
      <c r="AC8847" s="462"/>
      <c r="AD8847" s="464"/>
      <c r="AE8847" s="465"/>
    </row>
    <row r="8848" spans="27:31" ht="14.4">
      <c r="AA8848" s="463"/>
      <c r="AB8848" s="462"/>
      <c r="AC8848" s="462"/>
      <c r="AD8848" s="464"/>
      <c r="AE8848" s="465"/>
    </row>
    <row r="8849" spans="27:31" ht="14.4">
      <c r="AA8849" s="463"/>
      <c r="AB8849" s="462"/>
      <c r="AC8849" s="462"/>
      <c r="AD8849" s="464"/>
      <c r="AE8849" s="465"/>
    </row>
    <row r="8850" spans="27:31" ht="14.4">
      <c r="AA8850" s="463"/>
      <c r="AB8850" s="462"/>
      <c r="AC8850" s="462"/>
      <c r="AD8850" s="464"/>
      <c r="AE8850" s="465"/>
    </row>
    <row r="8851" spans="27:31" ht="14.4">
      <c r="AA8851" s="463"/>
      <c r="AB8851" s="462"/>
      <c r="AC8851" s="462"/>
      <c r="AD8851" s="464"/>
      <c r="AE8851" s="465"/>
    </row>
    <row r="8852" spans="27:31" ht="14.4">
      <c r="AA8852" s="463"/>
      <c r="AB8852" s="462"/>
      <c r="AC8852" s="462"/>
      <c r="AD8852" s="464"/>
      <c r="AE8852" s="465"/>
    </row>
    <row r="8853" spans="27:31" ht="14.4">
      <c r="AA8853" s="463"/>
      <c r="AB8853" s="462"/>
      <c r="AC8853" s="462"/>
      <c r="AD8853" s="464"/>
      <c r="AE8853" s="465"/>
    </row>
    <row r="8854" spans="27:31" ht="14.4">
      <c r="AA8854" s="463"/>
      <c r="AB8854" s="462"/>
      <c r="AC8854" s="462"/>
      <c r="AD8854" s="464"/>
      <c r="AE8854" s="465"/>
    </row>
    <row r="8855" spans="27:31" ht="14.4">
      <c r="AA8855" s="463"/>
      <c r="AB8855" s="462"/>
      <c r="AC8855" s="462"/>
      <c r="AD8855" s="464"/>
      <c r="AE8855" s="465"/>
    </row>
    <row r="8856" spans="27:31" ht="14.4">
      <c r="AA8856" s="463"/>
      <c r="AB8856" s="462"/>
      <c r="AC8856" s="462"/>
      <c r="AD8856" s="464"/>
      <c r="AE8856" s="465"/>
    </row>
    <row r="8857" spans="27:31" ht="14.4">
      <c r="AA8857" s="463"/>
      <c r="AB8857" s="462"/>
      <c r="AC8857" s="462"/>
      <c r="AD8857" s="464"/>
      <c r="AE8857" s="465"/>
    </row>
    <row r="8858" spans="27:31" ht="14.4">
      <c r="AA8858" s="463"/>
      <c r="AB8858" s="462"/>
      <c r="AC8858" s="462"/>
      <c r="AD8858" s="464"/>
      <c r="AE8858" s="465"/>
    </row>
    <row r="8859" spans="27:31" ht="14.4">
      <c r="AA8859" s="463"/>
      <c r="AB8859" s="462"/>
      <c r="AC8859" s="462"/>
      <c r="AD8859" s="464"/>
      <c r="AE8859" s="465"/>
    </row>
    <row r="8860" spans="27:31" ht="14.4">
      <c r="AA8860" s="463"/>
      <c r="AB8860" s="462"/>
      <c r="AC8860" s="462"/>
      <c r="AD8860" s="464"/>
      <c r="AE8860" s="465"/>
    </row>
    <row r="8861" spans="27:31" ht="14.4">
      <c r="AA8861" s="463"/>
      <c r="AB8861" s="462"/>
      <c r="AC8861" s="462"/>
      <c r="AD8861" s="464"/>
      <c r="AE8861" s="465"/>
    </row>
    <row r="8862" spans="27:31" ht="14.4">
      <c r="AA8862" s="463"/>
      <c r="AB8862" s="462"/>
      <c r="AC8862" s="462"/>
      <c r="AD8862" s="464"/>
      <c r="AE8862" s="465"/>
    </row>
    <row r="8863" spans="27:31" ht="14.4">
      <c r="AA8863" s="463"/>
      <c r="AB8863" s="462"/>
      <c r="AC8863" s="462"/>
      <c r="AD8863" s="464"/>
      <c r="AE8863" s="465"/>
    </row>
    <row r="8864" spans="27:31" ht="14.4">
      <c r="AA8864" s="463"/>
      <c r="AB8864" s="462"/>
      <c r="AC8864" s="462"/>
      <c r="AD8864" s="464"/>
      <c r="AE8864" s="465"/>
    </row>
    <row r="8865" spans="27:31" ht="14.4">
      <c r="AA8865" s="463"/>
      <c r="AB8865" s="462"/>
      <c r="AC8865" s="462"/>
      <c r="AD8865" s="464"/>
      <c r="AE8865" s="465"/>
    </row>
    <row r="8866" spans="27:31" ht="14.4">
      <c r="AA8866" s="463"/>
      <c r="AB8866" s="462"/>
      <c r="AC8866" s="462"/>
      <c r="AD8866" s="464"/>
      <c r="AE8866" s="465"/>
    </row>
    <row r="8867" spans="27:31" ht="14.4">
      <c r="AA8867" s="463"/>
      <c r="AB8867" s="462"/>
      <c r="AC8867" s="462"/>
      <c r="AD8867" s="464"/>
      <c r="AE8867" s="465"/>
    </row>
    <row r="8868" spans="27:31" ht="14.4">
      <c r="AA8868" s="463"/>
      <c r="AB8868" s="462"/>
      <c r="AC8868" s="462"/>
      <c r="AD8868" s="464"/>
      <c r="AE8868" s="465"/>
    </row>
    <row r="8869" spans="27:31" ht="14.4">
      <c r="AA8869" s="463"/>
      <c r="AB8869" s="462"/>
      <c r="AC8869" s="462"/>
      <c r="AD8869" s="464"/>
      <c r="AE8869" s="465"/>
    </row>
    <row r="8870" spans="27:31" ht="14.4">
      <c r="AA8870" s="463"/>
      <c r="AB8870" s="462"/>
      <c r="AC8870" s="462"/>
      <c r="AD8870" s="464"/>
      <c r="AE8870" s="465"/>
    </row>
    <row r="8871" spans="27:31" ht="14.4">
      <c r="AA8871" s="463"/>
      <c r="AB8871" s="462"/>
      <c r="AC8871" s="462"/>
      <c r="AD8871" s="464"/>
      <c r="AE8871" s="465"/>
    </row>
    <row r="8872" spans="27:31" ht="14.4">
      <c r="AA8872" s="463"/>
      <c r="AB8872" s="462"/>
      <c r="AC8872" s="462"/>
      <c r="AD8872" s="464"/>
      <c r="AE8872" s="465"/>
    </row>
    <row r="8873" spans="27:31" ht="14.4">
      <c r="AA8873" s="463"/>
      <c r="AB8873" s="462"/>
      <c r="AC8873" s="462"/>
      <c r="AD8873" s="464"/>
      <c r="AE8873" s="465"/>
    </row>
    <row r="8874" spans="27:31" ht="14.4">
      <c r="AA8874" s="463"/>
      <c r="AB8874" s="462"/>
      <c r="AC8874" s="462"/>
      <c r="AD8874" s="464"/>
      <c r="AE8874" s="465"/>
    </row>
    <row r="8875" spans="27:31" ht="14.4">
      <c r="AA8875" s="463"/>
      <c r="AB8875" s="462"/>
      <c r="AC8875" s="462"/>
      <c r="AD8875" s="464"/>
      <c r="AE8875" s="465"/>
    </row>
    <row r="8876" spans="27:31" ht="14.4">
      <c r="AA8876" s="463"/>
      <c r="AB8876" s="462"/>
      <c r="AC8876" s="462"/>
      <c r="AD8876" s="464"/>
      <c r="AE8876" s="465"/>
    </row>
    <row r="8877" spans="27:31" ht="14.4">
      <c r="AA8877" s="463"/>
      <c r="AB8877" s="462"/>
      <c r="AC8877" s="462"/>
      <c r="AD8877" s="464"/>
      <c r="AE8877" s="465"/>
    </row>
    <row r="8878" spans="27:31" ht="14.4">
      <c r="AA8878" s="463"/>
      <c r="AB8878" s="462"/>
      <c r="AC8878" s="462"/>
      <c r="AD8878" s="464"/>
      <c r="AE8878" s="465"/>
    </row>
    <row r="8879" spans="27:31" ht="14.4">
      <c r="AA8879" s="463"/>
      <c r="AB8879" s="462"/>
      <c r="AC8879" s="462"/>
      <c r="AD8879" s="464"/>
      <c r="AE8879" s="465"/>
    </row>
    <row r="8880" spans="27:31" ht="14.4">
      <c r="AA8880" s="463"/>
      <c r="AB8880" s="462"/>
      <c r="AC8880" s="462"/>
      <c r="AD8880" s="464"/>
      <c r="AE8880" s="465"/>
    </row>
    <row r="8881" spans="27:31" ht="14.4">
      <c r="AA8881" s="463"/>
      <c r="AB8881" s="462"/>
      <c r="AC8881" s="462"/>
      <c r="AD8881" s="464"/>
      <c r="AE8881" s="465"/>
    </row>
    <row r="8882" spans="27:31" ht="14.4">
      <c r="AA8882" s="463"/>
      <c r="AB8882" s="462"/>
      <c r="AC8882" s="462"/>
      <c r="AD8882" s="464"/>
      <c r="AE8882" s="465"/>
    </row>
    <row r="8883" spans="27:31" ht="14.4">
      <c r="AA8883" s="463"/>
      <c r="AB8883" s="462"/>
      <c r="AC8883" s="462"/>
      <c r="AD8883" s="464"/>
      <c r="AE8883" s="465"/>
    </row>
    <row r="8884" spans="27:31" ht="14.4">
      <c r="AA8884" s="463"/>
      <c r="AB8884" s="462"/>
      <c r="AC8884" s="462"/>
      <c r="AD8884" s="464"/>
      <c r="AE8884" s="465"/>
    </row>
    <row r="8885" spans="27:31" ht="14.4">
      <c r="AA8885" s="463"/>
      <c r="AB8885" s="462"/>
      <c r="AC8885" s="462"/>
      <c r="AD8885" s="464"/>
      <c r="AE8885" s="465"/>
    </row>
    <row r="8886" spans="27:31" ht="14.4">
      <c r="AA8886" s="463"/>
      <c r="AB8886" s="462"/>
      <c r="AC8886" s="462"/>
      <c r="AD8886" s="464"/>
      <c r="AE8886" s="465"/>
    </row>
    <row r="8887" spans="27:31" ht="14.4">
      <c r="AA8887" s="463"/>
      <c r="AB8887" s="462"/>
      <c r="AC8887" s="462"/>
      <c r="AD8887" s="464"/>
      <c r="AE8887" s="465"/>
    </row>
    <row r="8888" spans="27:31" ht="14.4">
      <c r="AA8888" s="463"/>
      <c r="AB8888" s="462"/>
      <c r="AC8888" s="462"/>
      <c r="AD8888" s="464"/>
      <c r="AE8888" s="465"/>
    </row>
    <row r="8889" spans="27:31" ht="14.4">
      <c r="AA8889" s="463"/>
      <c r="AB8889" s="462"/>
      <c r="AC8889" s="462"/>
      <c r="AD8889" s="464"/>
      <c r="AE8889" s="465"/>
    </row>
    <row r="8890" spans="27:31" ht="14.4">
      <c r="AA8890" s="463"/>
      <c r="AB8890" s="462"/>
      <c r="AC8890" s="462"/>
      <c r="AD8890" s="464"/>
      <c r="AE8890" s="465"/>
    </row>
    <row r="8891" spans="27:31" ht="14.4">
      <c r="AA8891" s="463"/>
      <c r="AB8891" s="462"/>
      <c r="AC8891" s="462"/>
      <c r="AD8891" s="464"/>
      <c r="AE8891" s="465"/>
    </row>
    <row r="8892" spans="27:31" ht="14.4">
      <c r="AA8892" s="463"/>
      <c r="AB8892" s="462"/>
      <c r="AC8892" s="462"/>
      <c r="AD8892" s="464"/>
      <c r="AE8892" s="465"/>
    </row>
    <row r="8893" spans="27:31" ht="14.4">
      <c r="AA8893" s="463"/>
      <c r="AB8893" s="462"/>
      <c r="AC8893" s="462"/>
      <c r="AD8893" s="464"/>
      <c r="AE8893" s="465"/>
    </row>
    <row r="8894" spans="27:31" ht="14.4">
      <c r="AA8894" s="463"/>
      <c r="AB8894" s="462"/>
      <c r="AC8894" s="462"/>
      <c r="AD8894" s="464"/>
      <c r="AE8894" s="465"/>
    </row>
    <row r="8895" spans="27:31" ht="14.4">
      <c r="AA8895" s="463"/>
      <c r="AB8895" s="462"/>
      <c r="AC8895" s="462"/>
      <c r="AD8895" s="464"/>
      <c r="AE8895" s="465"/>
    </row>
    <row r="8896" spans="27:31" ht="14.4">
      <c r="AA8896" s="463"/>
      <c r="AB8896" s="462"/>
      <c r="AC8896" s="462"/>
      <c r="AD8896" s="464"/>
      <c r="AE8896" s="465"/>
    </row>
    <row r="8897" spans="27:31" ht="14.4">
      <c r="AA8897" s="463"/>
      <c r="AB8897" s="462"/>
      <c r="AC8897" s="462"/>
      <c r="AD8897" s="464"/>
      <c r="AE8897" s="465"/>
    </row>
    <row r="8898" spans="27:31" ht="14.4">
      <c r="AA8898" s="463"/>
      <c r="AB8898" s="462"/>
      <c r="AC8898" s="462"/>
      <c r="AD8898" s="464"/>
      <c r="AE8898" s="465"/>
    </row>
    <row r="8899" spans="27:31" ht="14.4">
      <c r="AA8899" s="463"/>
      <c r="AB8899" s="462"/>
      <c r="AC8899" s="462"/>
      <c r="AD8899" s="464"/>
      <c r="AE8899" s="465"/>
    </row>
    <row r="8900" spans="27:31" ht="14.4">
      <c r="AA8900" s="463"/>
      <c r="AB8900" s="462"/>
      <c r="AC8900" s="462"/>
      <c r="AD8900" s="464"/>
      <c r="AE8900" s="465"/>
    </row>
    <row r="8901" spans="27:31" ht="14.4">
      <c r="AA8901" s="463"/>
      <c r="AB8901" s="462"/>
      <c r="AC8901" s="462"/>
      <c r="AD8901" s="464"/>
      <c r="AE8901" s="465"/>
    </row>
    <row r="8902" spans="27:31" ht="14.4">
      <c r="AA8902" s="463"/>
      <c r="AB8902" s="462"/>
      <c r="AC8902" s="462"/>
      <c r="AD8902" s="464"/>
      <c r="AE8902" s="465"/>
    </row>
    <row r="8903" spans="27:31" ht="14.4">
      <c r="AA8903" s="463"/>
      <c r="AB8903" s="462"/>
      <c r="AC8903" s="462"/>
      <c r="AD8903" s="464"/>
      <c r="AE8903" s="465"/>
    </row>
    <row r="8904" spans="27:31" ht="14.4">
      <c r="AA8904" s="463"/>
      <c r="AB8904" s="462"/>
      <c r="AC8904" s="462"/>
      <c r="AD8904" s="464"/>
      <c r="AE8904" s="465"/>
    </row>
    <row r="8905" spans="27:31" ht="14.4">
      <c r="AA8905" s="463"/>
      <c r="AB8905" s="462"/>
      <c r="AC8905" s="462"/>
      <c r="AD8905" s="464"/>
      <c r="AE8905" s="465"/>
    </row>
    <row r="8906" spans="27:31" ht="14.4">
      <c r="AA8906" s="463"/>
      <c r="AB8906" s="462"/>
      <c r="AC8906" s="462"/>
      <c r="AD8906" s="464"/>
      <c r="AE8906" s="465"/>
    </row>
    <row r="8907" spans="27:31" ht="14.4">
      <c r="AA8907" s="463"/>
      <c r="AB8907" s="462"/>
      <c r="AC8907" s="462"/>
      <c r="AD8907" s="464"/>
      <c r="AE8907" s="465"/>
    </row>
    <row r="8908" spans="27:31" ht="14.4">
      <c r="AA8908" s="463"/>
      <c r="AB8908" s="462"/>
      <c r="AC8908" s="462"/>
      <c r="AD8908" s="464"/>
      <c r="AE8908" s="465"/>
    </row>
    <row r="8909" spans="27:31" ht="14.4">
      <c r="AA8909" s="463"/>
      <c r="AB8909" s="462"/>
      <c r="AC8909" s="462"/>
      <c r="AD8909" s="464"/>
      <c r="AE8909" s="465"/>
    </row>
    <row r="8910" spans="27:31" ht="14.4">
      <c r="AA8910" s="463"/>
      <c r="AB8910" s="462"/>
      <c r="AC8910" s="462"/>
      <c r="AD8910" s="464"/>
      <c r="AE8910" s="465"/>
    </row>
    <row r="8911" spans="27:31" ht="14.4">
      <c r="AA8911" s="463"/>
      <c r="AB8911" s="462"/>
      <c r="AC8911" s="462"/>
      <c r="AD8911" s="464"/>
      <c r="AE8911" s="465"/>
    </row>
    <row r="8912" spans="27:31" ht="14.4">
      <c r="AA8912" s="463"/>
      <c r="AB8912" s="462"/>
      <c r="AC8912" s="462"/>
      <c r="AD8912" s="464"/>
      <c r="AE8912" s="465"/>
    </row>
    <row r="8913" spans="27:31" ht="14.4">
      <c r="AA8913" s="463"/>
      <c r="AB8913" s="462"/>
      <c r="AC8913" s="462"/>
      <c r="AD8913" s="464"/>
      <c r="AE8913" s="465"/>
    </row>
    <row r="8914" spans="27:31" ht="14.4">
      <c r="AA8914" s="463"/>
      <c r="AB8914" s="462"/>
      <c r="AC8914" s="462"/>
      <c r="AD8914" s="464"/>
      <c r="AE8914" s="465"/>
    </row>
    <row r="8915" spans="27:31" ht="14.4">
      <c r="AA8915" s="463"/>
      <c r="AB8915" s="462"/>
      <c r="AC8915" s="462"/>
      <c r="AD8915" s="464"/>
      <c r="AE8915" s="465"/>
    </row>
    <row r="8916" spans="27:31" ht="14.4">
      <c r="AA8916" s="463"/>
      <c r="AB8916" s="462"/>
      <c r="AC8916" s="462"/>
      <c r="AD8916" s="464"/>
      <c r="AE8916" s="465"/>
    </row>
    <row r="8917" spans="27:31" ht="14.4">
      <c r="AA8917" s="463"/>
      <c r="AB8917" s="462"/>
      <c r="AC8917" s="462"/>
      <c r="AD8917" s="464"/>
      <c r="AE8917" s="465"/>
    </row>
    <row r="8918" spans="27:31" ht="14.4">
      <c r="AA8918" s="463"/>
      <c r="AB8918" s="462"/>
      <c r="AC8918" s="462"/>
      <c r="AD8918" s="464"/>
      <c r="AE8918" s="465"/>
    </row>
    <row r="8919" spans="27:31" ht="14.4">
      <c r="AA8919" s="463"/>
      <c r="AB8919" s="462"/>
      <c r="AC8919" s="462"/>
      <c r="AD8919" s="464"/>
      <c r="AE8919" s="465"/>
    </row>
    <row r="8920" spans="27:31" ht="14.4">
      <c r="AA8920" s="463"/>
      <c r="AB8920" s="462"/>
      <c r="AC8920" s="462"/>
      <c r="AD8920" s="464"/>
      <c r="AE8920" s="465"/>
    </row>
    <row r="8921" spans="27:31" ht="14.4">
      <c r="AA8921" s="463"/>
      <c r="AB8921" s="462"/>
      <c r="AC8921" s="462"/>
      <c r="AD8921" s="464"/>
      <c r="AE8921" s="465"/>
    </row>
    <row r="8922" spans="27:31" ht="14.4">
      <c r="AA8922" s="463"/>
      <c r="AB8922" s="462"/>
      <c r="AC8922" s="462"/>
      <c r="AD8922" s="464"/>
      <c r="AE8922" s="465"/>
    </row>
    <row r="8923" spans="27:31" ht="14.4">
      <c r="AA8923" s="463"/>
      <c r="AB8923" s="462"/>
      <c r="AC8923" s="462"/>
      <c r="AD8923" s="464"/>
      <c r="AE8923" s="465"/>
    </row>
    <row r="8924" spans="27:31" ht="14.4">
      <c r="AA8924" s="463"/>
      <c r="AB8924" s="462"/>
      <c r="AC8924" s="462"/>
      <c r="AD8924" s="464"/>
      <c r="AE8924" s="465"/>
    </row>
    <row r="8925" spans="27:31" ht="14.4">
      <c r="AA8925" s="463"/>
      <c r="AB8925" s="462"/>
      <c r="AC8925" s="462"/>
      <c r="AD8925" s="464"/>
      <c r="AE8925" s="465"/>
    </row>
    <row r="8926" spans="27:31" ht="14.4">
      <c r="AA8926" s="463"/>
      <c r="AB8926" s="462"/>
      <c r="AC8926" s="462"/>
      <c r="AD8926" s="464"/>
      <c r="AE8926" s="465"/>
    </row>
    <row r="8927" spans="27:31" ht="14.4">
      <c r="AA8927" s="463"/>
      <c r="AB8927" s="462"/>
      <c r="AC8927" s="462"/>
      <c r="AD8927" s="464"/>
      <c r="AE8927" s="465"/>
    </row>
    <row r="8928" spans="27:31" ht="14.4">
      <c r="AA8928" s="463"/>
      <c r="AB8928" s="462"/>
      <c r="AC8928" s="462"/>
      <c r="AD8928" s="464"/>
      <c r="AE8928" s="465"/>
    </row>
    <row r="8929" spans="27:31" ht="14.4">
      <c r="AA8929" s="463"/>
      <c r="AB8929" s="462"/>
      <c r="AC8929" s="462"/>
      <c r="AD8929" s="464"/>
      <c r="AE8929" s="465"/>
    </row>
    <row r="8930" spans="27:31" ht="14.4">
      <c r="AA8930" s="463"/>
      <c r="AB8930" s="462"/>
      <c r="AC8930" s="462"/>
      <c r="AD8930" s="464"/>
      <c r="AE8930" s="465"/>
    </row>
    <row r="8931" spans="27:31" ht="14.4">
      <c r="AA8931" s="463"/>
      <c r="AB8931" s="462"/>
      <c r="AC8931" s="462"/>
      <c r="AD8931" s="464"/>
      <c r="AE8931" s="465"/>
    </row>
    <row r="8932" spans="27:31" ht="14.4">
      <c r="AA8932" s="463"/>
      <c r="AB8932" s="462"/>
      <c r="AC8932" s="462"/>
      <c r="AD8932" s="464"/>
      <c r="AE8932" s="465"/>
    </row>
    <row r="8933" spans="27:31" ht="14.4">
      <c r="AA8933" s="463"/>
      <c r="AB8933" s="462"/>
      <c r="AC8933" s="462"/>
      <c r="AD8933" s="464"/>
      <c r="AE8933" s="465"/>
    </row>
    <row r="8934" spans="27:31" ht="14.4">
      <c r="AA8934" s="463"/>
      <c r="AB8934" s="462"/>
      <c r="AC8934" s="462"/>
      <c r="AD8934" s="464"/>
      <c r="AE8934" s="465"/>
    </row>
    <row r="8935" spans="27:31" ht="14.4">
      <c r="AA8935" s="463"/>
      <c r="AB8935" s="462"/>
      <c r="AC8935" s="462"/>
      <c r="AD8935" s="464"/>
      <c r="AE8935" s="465"/>
    </row>
    <row r="8936" spans="27:31" ht="14.4">
      <c r="AA8936" s="463"/>
      <c r="AB8936" s="462"/>
      <c r="AC8936" s="462"/>
      <c r="AD8936" s="464"/>
      <c r="AE8936" s="465"/>
    </row>
    <row r="8937" spans="27:31" ht="14.4">
      <c r="AA8937" s="463"/>
      <c r="AB8937" s="462"/>
      <c r="AC8937" s="462"/>
      <c r="AD8937" s="464"/>
      <c r="AE8937" s="465"/>
    </row>
    <row r="8938" spans="27:31" ht="14.4">
      <c r="AA8938" s="463"/>
      <c r="AB8938" s="462"/>
      <c r="AC8938" s="462"/>
      <c r="AD8938" s="464"/>
      <c r="AE8938" s="465"/>
    </row>
    <row r="8939" spans="27:31" ht="14.4">
      <c r="AA8939" s="463"/>
      <c r="AB8939" s="462"/>
      <c r="AC8939" s="462"/>
      <c r="AD8939" s="464"/>
      <c r="AE8939" s="465"/>
    </row>
    <row r="8940" spans="27:31" ht="14.4">
      <c r="AA8940" s="463"/>
      <c r="AB8940" s="462"/>
      <c r="AC8940" s="462"/>
      <c r="AD8940" s="464"/>
      <c r="AE8940" s="465"/>
    </row>
    <row r="8941" spans="27:31" ht="14.4">
      <c r="AA8941" s="463"/>
      <c r="AB8941" s="462"/>
      <c r="AC8941" s="462"/>
      <c r="AD8941" s="464"/>
      <c r="AE8941" s="465"/>
    </row>
    <row r="8942" spans="27:31" ht="14.4">
      <c r="AA8942" s="463"/>
      <c r="AB8942" s="462"/>
      <c r="AC8942" s="462"/>
      <c r="AD8942" s="464"/>
      <c r="AE8942" s="465"/>
    </row>
    <row r="8943" spans="27:31" ht="14.4">
      <c r="AA8943" s="463"/>
      <c r="AB8943" s="462"/>
      <c r="AC8943" s="462"/>
      <c r="AD8943" s="464"/>
      <c r="AE8943" s="465"/>
    </row>
    <row r="8944" spans="27:31" ht="14.4">
      <c r="AA8944" s="463"/>
      <c r="AB8944" s="462"/>
      <c r="AC8944" s="462"/>
      <c r="AD8944" s="464"/>
      <c r="AE8944" s="465"/>
    </row>
    <row r="8945" spans="27:31" ht="14.4">
      <c r="AA8945" s="463"/>
      <c r="AB8945" s="462"/>
      <c r="AC8945" s="462"/>
      <c r="AD8945" s="464"/>
      <c r="AE8945" s="465"/>
    </row>
    <row r="8946" spans="27:31" ht="14.4">
      <c r="AA8946" s="463"/>
      <c r="AB8946" s="462"/>
      <c r="AC8946" s="462"/>
      <c r="AD8946" s="464"/>
      <c r="AE8946" s="465"/>
    </row>
    <row r="8947" spans="27:31" ht="14.4">
      <c r="AA8947" s="463"/>
      <c r="AB8947" s="462"/>
      <c r="AC8947" s="462"/>
      <c r="AD8947" s="464"/>
      <c r="AE8947" s="465"/>
    </row>
    <row r="8948" spans="27:31" ht="14.4">
      <c r="AA8948" s="463"/>
      <c r="AB8948" s="462"/>
      <c r="AC8948" s="462"/>
      <c r="AD8948" s="464"/>
      <c r="AE8948" s="465"/>
    </row>
    <row r="8949" spans="27:31" ht="14.4">
      <c r="AA8949" s="463"/>
      <c r="AB8949" s="462"/>
      <c r="AC8949" s="462"/>
      <c r="AD8949" s="464"/>
      <c r="AE8949" s="465"/>
    </row>
    <row r="8950" spans="27:31" ht="14.4">
      <c r="AA8950" s="463"/>
      <c r="AB8950" s="462"/>
      <c r="AC8950" s="462"/>
      <c r="AD8950" s="464"/>
      <c r="AE8950" s="465"/>
    </row>
    <row r="8951" spans="27:31" ht="14.4">
      <c r="AA8951" s="463"/>
      <c r="AB8951" s="462"/>
      <c r="AC8951" s="462"/>
      <c r="AD8951" s="464"/>
      <c r="AE8951" s="465"/>
    </row>
    <row r="8952" spans="27:31" ht="14.4">
      <c r="AA8952" s="463"/>
      <c r="AB8952" s="462"/>
      <c r="AC8952" s="462"/>
      <c r="AD8952" s="464"/>
      <c r="AE8952" s="465"/>
    </row>
    <row r="8953" spans="27:31" ht="14.4">
      <c r="AA8953" s="463"/>
      <c r="AB8953" s="462"/>
      <c r="AC8953" s="462"/>
      <c r="AD8953" s="464"/>
      <c r="AE8953" s="465"/>
    </row>
    <row r="8954" spans="27:31" ht="14.4">
      <c r="AA8954" s="463"/>
      <c r="AB8954" s="462"/>
      <c r="AC8954" s="462"/>
      <c r="AD8954" s="464"/>
      <c r="AE8954" s="465"/>
    </row>
    <row r="8955" spans="27:31" ht="14.4">
      <c r="AA8955" s="463"/>
      <c r="AB8955" s="462"/>
      <c r="AC8955" s="462"/>
      <c r="AD8955" s="464"/>
      <c r="AE8955" s="465"/>
    </row>
    <row r="8956" spans="27:31" ht="14.4">
      <c r="AA8956" s="463"/>
      <c r="AB8956" s="462"/>
      <c r="AC8956" s="462"/>
      <c r="AD8956" s="464"/>
      <c r="AE8956" s="465"/>
    </row>
    <row r="8957" spans="27:31" ht="14.4">
      <c r="AA8957" s="463"/>
      <c r="AB8957" s="462"/>
      <c r="AC8957" s="462"/>
      <c r="AD8957" s="464"/>
      <c r="AE8957" s="465"/>
    </row>
    <row r="8958" spans="27:31" ht="14.4">
      <c r="AA8958" s="463"/>
      <c r="AB8958" s="462"/>
      <c r="AC8958" s="462"/>
      <c r="AD8958" s="464"/>
      <c r="AE8958" s="465"/>
    </row>
    <row r="8959" spans="27:31" ht="14.4">
      <c r="AA8959" s="463"/>
      <c r="AB8959" s="462"/>
      <c r="AC8959" s="462"/>
      <c r="AD8959" s="464"/>
      <c r="AE8959" s="465"/>
    </row>
    <row r="8960" spans="27:31" ht="14.4">
      <c r="AA8960" s="463"/>
      <c r="AB8960" s="462"/>
      <c r="AC8960" s="462"/>
      <c r="AD8960" s="464"/>
      <c r="AE8960" s="465"/>
    </row>
    <row r="8961" spans="27:31" ht="14.4">
      <c r="AA8961" s="463"/>
      <c r="AB8961" s="462"/>
      <c r="AC8961" s="462"/>
      <c r="AD8961" s="464"/>
      <c r="AE8961" s="465"/>
    </row>
    <row r="8962" spans="27:31" ht="14.4">
      <c r="AA8962" s="463"/>
      <c r="AB8962" s="462"/>
      <c r="AC8962" s="462"/>
      <c r="AD8962" s="464"/>
      <c r="AE8962" s="465"/>
    </row>
    <row r="8963" spans="27:31" ht="14.4">
      <c r="AA8963" s="463"/>
      <c r="AB8963" s="462"/>
      <c r="AC8963" s="462"/>
      <c r="AD8963" s="464"/>
      <c r="AE8963" s="465"/>
    </row>
    <row r="8964" spans="27:31" ht="14.4">
      <c r="AA8964" s="463"/>
      <c r="AB8964" s="462"/>
      <c r="AC8964" s="462"/>
      <c r="AD8964" s="464"/>
      <c r="AE8964" s="465"/>
    </row>
    <row r="8965" spans="27:31" ht="14.4">
      <c r="AA8965" s="463"/>
      <c r="AB8965" s="462"/>
      <c r="AC8965" s="462"/>
      <c r="AD8965" s="464"/>
      <c r="AE8965" s="465"/>
    </row>
    <row r="8966" spans="27:31" ht="14.4">
      <c r="AA8966" s="463"/>
      <c r="AB8966" s="462"/>
      <c r="AC8966" s="462"/>
      <c r="AD8966" s="464"/>
      <c r="AE8966" s="465"/>
    </row>
    <row r="8967" spans="27:31" ht="14.4">
      <c r="AA8967" s="463"/>
      <c r="AB8967" s="462"/>
      <c r="AC8967" s="462"/>
      <c r="AD8967" s="464"/>
      <c r="AE8967" s="465"/>
    </row>
    <row r="8968" spans="27:31" ht="14.4">
      <c r="AA8968" s="463"/>
      <c r="AB8968" s="462"/>
      <c r="AC8968" s="462"/>
      <c r="AD8968" s="464"/>
      <c r="AE8968" s="465"/>
    </row>
    <row r="8969" spans="27:31" ht="14.4">
      <c r="AA8969" s="463"/>
      <c r="AB8969" s="462"/>
      <c r="AC8969" s="462"/>
      <c r="AD8969" s="464"/>
      <c r="AE8969" s="465"/>
    </row>
    <row r="8970" spans="27:31" ht="14.4">
      <c r="AA8970" s="463"/>
      <c r="AB8970" s="462"/>
      <c r="AC8970" s="462"/>
      <c r="AD8970" s="464"/>
      <c r="AE8970" s="465"/>
    </row>
    <row r="8971" spans="27:31" ht="14.4">
      <c r="AA8971" s="463"/>
      <c r="AB8971" s="462"/>
      <c r="AC8971" s="462"/>
      <c r="AD8971" s="464"/>
      <c r="AE8971" s="465"/>
    </row>
    <row r="8972" spans="27:31" ht="14.4">
      <c r="AA8972" s="463"/>
      <c r="AB8972" s="462"/>
      <c r="AC8972" s="462"/>
      <c r="AD8972" s="464"/>
      <c r="AE8972" s="465"/>
    </row>
    <row r="8973" spans="27:31" ht="14.4">
      <c r="AA8973" s="463"/>
      <c r="AB8973" s="462"/>
      <c r="AC8973" s="462"/>
      <c r="AD8973" s="464"/>
      <c r="AE8973" s="465"/>
    </row>
    <row r="8974" spans="27:31" ht="14.4">
      <c r="AA8974" s="463"/>
      <c r="AB8974" s="462"/>
      <c r="AC8974" s="462"/>
      <c r="AD8974" s="464"/>
      <c r="AE8974" s="465"/>
    </row>
    <row r="8975" spans="27:31" ht="14.4">
      <c r="AA8975" s="463"/>
      <c r="AB8975" s="462"/>
      <c r="AC8975" s="462"/>
      <c r="AD8975" s="464"/>
      <c r="AE8975" s="465"/>
    </row>
    <row r="8976" spans="27:31" ht="14.4">
      <c r="AA8976" s="463"/>
      <c r="AB8976" s="462"/>
      <c r="AC8976" s="462"/>
      <c r="AD8976" s="464"/>
      <c r="AE8976" s="465"/>
    </row>
    <row r="8977" spans="27:31" ht="14.4">
      <c r="AA8977" s="463"/>
      <c r="AB8977" s="462"/>
      <c r="AC8977" s="462"/>
      <c r="AD8977" s="464"/>
      <c r="AE8977" s="465"/>
    </row>
    <row r="8978" spans="27:31" ht="14.4">
      <c r="AA8978" s="463"/>
      <c r="AB8978" s="462"/>
      <c r="AC8978" s="462"/>
      <c r="AD8978" s="464"/>
      <c r="AE8978" s="465"/>
    </row>
    <row r="8979" spans="27:31" ht="14.4">
      <c r="AA8979" s="463"/>
      <c r="AB8979" s="462"/>
      <c r="AC8979" s="462"/>
      <c r="AD8979" s="464"/>
      <c r="AE8979" s="465"/>
    </row>
    <row r="8980" spans="27:31" ht="14.4">
      <c r="AA8980" s="463"/>
      <c r="AB8980" s="462"/>
      <c r="AC8980" s="462"/>
      <c r="AD8980" s="464"/>
      <c r="AE8980" s="465"/>
    </row>
    <row r="8981" spans="27:31" ht="14.4">
      <c r="AA8981" s="463"/>
      <c r="AB8981" s="462"/>
      <c r="AC8981" s="462"/>
      <c r="AD8981" s="464"/>
      <c r="AE8981" s="465"/>
    </row>
    <row r="8982" spans="27:31" ht="14.4">
      <c r="AA8982" s="463"/>
      <c r="AB8982" s="462"/>
      <c r="AC8982" s="462"/>
      <c r="AD8982" s="464"/>
      <c r="AE8982" s="465"/>
    </row>
    <row r="8983" spans="27:31" ht="14.4">
      <c r="AA8983" s="463"/>
      <c r="AB8983" s="462"/>
      <c r="AC8983" s="462"/>
      <c r="AD8983" s="464"/>
      <c r="AE8983" s="465"/>
    </row>
    <row r="8984" spans="27:31" ht="14.4">
      <c r="AA8984" s="463"/>
      <c r="AB8984" s="462"/>
      <c r="AC8984" s="462"/>
      <c r="AD8984" s="464"/>
      <c r="AE8984" s="465"/>
    </row>
    <row r="8985" spans="27:31" ht="14.4">
      <c r="AA8985" s="463"/>
      <c r="AB8985" s="462"/>
      <c r="AC8985" s="462"/>
      <c r="AD8985" s="464"/>
      <c r="AE8985" s="465"/>
    </row>
    <row r="8986" spans="27:31" ht="14.4">
      <c r="AA8986" s="463"/>
      <c r="AB8986" s="462"/>
      <c r="AC8986" s="462"/>
      <c r="AD8986" s="464"/>
      <c r="AE8986" s="465"/>
    </row>
    <row r="8987" spans="27:31" ht="14.4">
      <c r="AA8987" s="463"/>
      <c r="AB8987" s="462"/>
      <c r="AC8987" s="462"/>
      <c r="AD8987" s="464"/>
      <c r="AE8987" s="465"/>
    </row>
    <row r="8988" spans="27:31" ht="14.4">
      <c r="AA8988" s="463"/>
      <c r="AB8988" s="462"/>
      <c r="AC8988" s="462"/>
      <c r="AD8988" s="464"/>
      <c r="AE8988" s="465"/>
    </row>
    <row r="8989" spans="27:31" ht="14.4">
      <c r="AA8989" s="463"/>
      <c r="AB8989" s="462"/>
      <c r="AC8989" s="462"/>
      <c r="AD8989" s="464"/>
      <c r="AE8989" s="465"/>
    </row>
    <row r="8990" spans="27:31" ht="14.4">
      <c r="AA8990" s="463"/>
      <c r="AB8990" s="462"/>
      <c r="AC8990" s="462"/>
      <c r="AD8990" s="464"/>
      <c r="AE8990" s="465"/>
    </row>
    <row r="8991" spans="27:31" ht="14.4">
      <c r="AA8991" s="463"/>
      <c r="AB8991" s="462"/>
      <c r="AC8991" s="462"/>
      <c r="AD8991" s="464"/>
      <c r="AE8991" s="465"/>
    </row>
    <row r="8992" spans="27:31" ht="14.4">
      <c r="AA8992" s="463"/>
      <c r="AB8992" s="462"/>
      <c r="AC8992" s="462"/>
      <c r="AD8992" s="464"/>
      <c r="AE8992" s="465"/>
    </row>
    <row r="8993" spans="27:31" ht="14.4">
      <c r="AA8993" s="463"/>
      <c r="AB8993" s="462"/>
      <c r="AC8993" s="462"/>
      <c r="AD8993" s="464"/>
      <c r="AE8993" s="465"/>
    </row>
    <row r="8994" spans="27:31" ht="14.4">
      <c r="AA8994" s="463"/>
      <c r="AB8994" s="462"/>
      <c r="AC8994" s="462"/>
      <c r="AD8994" s="464"/>
      <c r="AE8994" s="465"/>
    </row>
    <row r="8995" spans="27:31" ht="14.4">
      <c r="AA8995" s="463"/>
      <c r="AB8995" s="462"/>
      <c r="AC8995" s="462"/>
      <c r="AD8995" s="464"/>
      <c r="AE8995" s="465"/>
    </row>
    <row r="8996" spans="27:31" ht="14.4">
      <c r="AA8996" s="463"/>
      <c r="AB8996" s="462"/>
      <c r="AC8996" s="462"/>
      <c r="AD8996" s="464"/>
      <c r="AE8996" s="465"/>
    </row>
    <row r="8997" spans="27:31" ht="14.4">
      <c r="AA8997" s="463"/>
      <c r="AB8997" s="462"/>
      <c r="AC8997" s="462"/>
      <c r="AD8997" s="464"/>
      <c r="AE8997" s="465"/>
    </row>
    <row r="8998" spans="27:31" ht="14.4">
      <c r="AA8998" s="463"/>
      <c r="AB8998" s="462"/>
      <c r="AC8998" s="462"/>
      <c r="AD8998" s="464"/>
      <c r="AE8998" s="465"/>
    </row>
    <row r="8999" spans="27:31" ht="14.4">
      <c r="AA8999" s="463"/>
      <c r="AB8999" s="462"/>
      <c r="AC8999" s="462"/>
      <c r="AD8999" s="464"/>
      <c r="AE8999" s="465"/>
    </row>
    <row r="9000" spans="27:31" ht="14.4">
      <c r="AA9000" s="463"/>
      <c r="AB9000" s="462"/>
      <c r="AC9000" s="462"/>
      <c r="AD9000" s="464"/>
      <c r="AE9000" s="465"/>
    </row>
    <row r="9001" spans="27:31" ht="14.4">
      <c r="AA9001" s="463"/>
      <c r="AB9001" s="462"/>
      <c r="AC9001" s="462"/>
      <c r="AD9001" s="464"/>
      <c r="AE9001" s="465"/>
    </row>
    <row r="9002" spans="27:31" ht="14.4">
      <c r="AA9002" s="463"/>
      <c r="AB9002" s="462"/>
      <c r="AC9002" s="462"/>
      <c r="AD9002" s="464"/>
      <c r="AE9002" s="465"/>
    </row>
    <row r="9003" spans="27:31" ht="14.4">
      <c r="AA9003" s="463"/>
      <c r="AB9003" s="462"/>
      <c r="AC9003" s="462"/>
      <c r="AD9003" s="464"/>
      <c r="AE9003" s="465"/>
    </row>
    <row r="9004" spans="27:31" ht="14.4">
      <c r="AA9004" s="463"/>
      <c r="AB9004" s="462"/>
      <c r="AC9004" s="462"/>
      <c r="AD9004" s="464"/>
      <c r="AE9004" s="465"/>
    </row>
    <row r="9005" spans="27:31" ht="14.4">
      <c r="AA9005" s="463"/>
      <c r="AB9005" s="462"/>
      <c r="AC9005" s="462"/>
      <c r="AD9005" s="464"/>
      <c r="AE9005" s="465"/>
    </row>
    <row r="9006" spans="27:31" ht="14.4">
      <c r="AA9006" s="463"/>
      <c r="AB9006" s="462"/>
      <c r="AC9006" s="462"/>
      <c r="AD9006" s="464"/>
      <c r="AE9006" s="465"/>
    </row>
    <row r="9007" spans="27:31" ht="14.4">
      <c r="AA9007" s="463"/>
      <c r="AB9007" s="462"/>
      <c r="AC9007" s="462"/>
      <c r="AD9007" s="464"/>
      <c r="AE9007" s="465"/>
    </row>
    <row r="9008" spans="27:31" ht="14.4">
      <c r="AA9008" s="463"/>
      <c r="AB9008" s="462"/>
      <c r="AC9008" s="462"/>
      <c r="AD9008" s="464"/>
      <c r="AE9008" s="465"/>
    </row>
    <row r="9009" spans="27:31" ht="14.4">
      <c r="AA9009" s="463"/>
      <c r="AB9009" s="462"/>
      <c r="AC9009" s="462"/>
      <c r="AD9009" s="464"/>
      <c r="AE9009" s="465"/>
    </row>
    <row r="9010" spans="27:31" ht="14.4">
      <c r="AA9010" s="463"/>
      <c r="AB9010" s="462"/>
      <c r="AC9010" s="462"/>
      <c r="AD9010" s="464"/>
      <c r="AE9010" s="465"/>
    </row>
    <row r="9011" spans="27:31" ht="14.4">
      <c r="AA9011" s="463"/>
      <c r="AB9011" s="462"/>
      <c r="AC9011" s="462"/>
      <c r="AD9011" s="464"/>
      <c r="AE9011" s="465"/>
    </row>
    <row r="9012" spans="27:31" ht="14.4">
      <c r="AA9012" s="463"/>
      <c r="AB9012" s="462"/>
      <c r="AC9012" s="462"/>
      <c r="AD9012" s="464"/>
      <c r="AE9012" s="465"/>
    </row>
    <row r="9013" spans="27:31" ht="14.4">
      <c r="AA9013" s="463"/>
      <c r="AB9013" s="462"/>
      <c r="AC9013" s="462"/>
      <c r="AD9013" s="464"/>
      <c r="AE9013" s="465"/>
    </row>
    <row r="9014" spans="27:31" ht="14.4">
      <c r="AA9014" s="463"/>
      <c r="AB9014" s="462"/>
      <c r="AC9014" s="462"/>
      <c r="AD9014" s="464"/>
      <c r="AE9014" s="465"/>
    </row>
    <row r="9015" spans="27:31" ht="14.4">
      <c r="AA9015" s="463"/>
      <c r="AB9015" s="462"/>
      <c r="AC9015" s="462"/>
      <c r="AD9015" s="464"/>
      <c r="AE9015" s="465"/>
    </row>
    <row r="9016" spans="27:31" ht="14.4">
      <c r="AA9016" s="463"/>
      <c r="AB9016" s="462"/>
      <c r="AC9016" s="462"/>
      <c r="AD9016" s="464"/>
      <c r="AE9016" s="465"/>
    </row>
    <row r="9017" spans="27:31" ht="14.4">
      <c r="AA9017" s="463"/>
      <c r="AB9017" s="462"/>
      <c r="AC9017" s="462"/>
      <c r="AD9017" s="464"/>
      <c r="AE9017" s="465"/>
    </row>
    <row r="9018" spans="27:31" ht="14.4">
      <c r="AA9018" s="463"/>
      <c r="AB9018" s="462"/>
      <c r="AC9018" s="462"/>
      <c r="AD9018" s="464"/>
      <c r="AE9018" s="465"/>
    </row>
    <row r="9019" spans="27:31" ht="14.4">
      <c r="AA9019" s="463"/>
      <c r="AB9019" s="462"/>
      <c r="AC9019" s="462"/>
      <c r="AD9019" s="464"/>
      <c r="AE9019" s="465"/>
    </row>
    <row r="9020" spans="27:31" ht="14.4">
      <c r="AA9020" s="463"/>
      <c r="AB9020" s="462"/>
      <c r="AC9020" s="462"/>
      <c r="AD9020" s="464"/>
      <c r="AE9020" s="465"/>
    </row>
    <row r="9021" spans="27:31" ht="14.4">
      <c r="AA9021" s="463"/>
      <c r="AB9021" s="462"/>
      <c r="AC9021" s="462"/>
      <c r="AD9021" s="464"/>
      <c r="AE9021" s="465"/>
    </row>
    <row r="9022" spans="27:31" ht="14.4">
      <c r="AA9022" s="463"/>
      <c r="AB9022" s="462"/>
      <c r="AC9022" s="462"/>
      <c r="AD9022" s="464"/>
      <c r="AE9022" s="465"/>
    </row>
    <row r="9023" spans="27:31" ht="14.4">
      <c r="AA9023" s="463"/>
      <c r="AB9023" s="462"/>
      <c r="AC9023" s="462"/>
      <c r="AD9023" s="464"/>
      <c r="AE9023" s="465"/>
    </row>
    <row r="9024" spans="27:31" ht="14.4">
      <c r="AA9024" s="463"/>
      <c r="AB9024" s="462"/>
      <c r="AC9024" s="462"/>
      <c r="AD9024" s="464"/>
      <c r="AE9024" s="465"/>
    </row>
    <row r="9025" spans="27:31" ht="14.4">
      <c r="AA9025" s="463"/>
      <c r="AB9025" s="462"/>
      <c r="AC9025" s="462"/>
      <c r="AD9025" s="464"/>
      <c r="AE9025" s="465"/>
    </row>
    <row r="9026" spans="27:31" ht="14.4">
      <c r="AA9026" s="463"/>
      <c r="AB9026" s="462"/>
      <c r="AC9026" s="462"/>
      <c r="AD9026" s="464"/>
      <c r="AE9026" s="465"/>
    </row>
    <row r="9027" spans="27:31" ht="14.4">
      <c r="AA9027" s="463"/>
      <c r="AB9027" s="462"/>
      <c r="AC9027" s="462"/>
      <c r="AD9027" s="464"/>
      <c r="AE9027" s="465"/>
    </row>
    <row r="9028" spans="27:31" ht="14.4">
      <c r="AA9028" s="463"/>
      <c r="AB9028" s="462"/>
      <c r="AC9028" s="462"/>
      <c r="AD9028" s="464"/>
      <c r="AE9028" s="465"/>
    </row>
    <row r="9029" spans="27:31" ht="14.4">
      <c r="AA9029" s="463"/>
      <c r="AB9029" s="462"/>
      <c r="AC9029" s="462"/>
      <c r="AD9029" s="464"/>
      <c r="AE9029" s="465"/>
    </row>
    <row r="9030" spans="27:31" ht="14.4">
      <c r="AA9030" s="463"/>
      <c r="AB9030" s="462"/>
      <c r="AC9030" s="462"/>
      <c r="AD9030" s="464"/>
      <c r="AE9030" s="465"/>
    </row>
    <row r="9031" spans="27:31" ht="14.4">
      <c r="AA9031" s="463"/>
      <c r="AB9031" s="462"/>
      <c r="AC9031" s="462"/>
      <c r="AD9031" s="464"/>
      <c r="AE9031" s="465"/>
    </row>
    <row r="9032" spans="27:31" ht="14.4">
      <c r="AA9032" s="463"/>
      <c r="AB9032" s="462"/>
      <c r="AC9032" s="462"/>
      <c r="AD9032" s="464"/>
      <c r="AE9032" s="465"/>
    </row>
    <row r="9033" spans="27:31" ht="14.4">
      <c r="AA9033" s="463"/>
      <c r="AB9033" s="462"/>
      <c r="AC9033" s="462"/>
      <c r="AD9033" s="464"/>
      <c r="AE9033" s="465"/>
    </row>
    <row r="9034" spans="27:31" ht="14.4">
      <c r="AA9034" s="463"/>
      <c r="AB9034" s="462"/>
      <c r="AC9034" s="462"/>
      <c r="AD9034" s="464"/>
      <c r="AE9034" s="465"/>
    </row>
    <row r="9035" spans="27:31" ht="14.4">
      <c r="AA9035" s="463"/>
      <c r="AB9035" s="462"/>
      <c r="AC9035" s="462"/>
      <c r="AD9035" s="464"/>
      <c r="AE9035" s="465"/>
    </row>
    <row r="9036" spans="27:31" ht="14.4">
      <c r="AA9036" s="463"/>
      <c r="AB9036" s="462"/>
      <c r="AC9036" s="462"/>
      <c r="AD9036" s="464"/>
      <c r="AE9036" s="465"/>
    </row>
    <row r="9037" spans="27:31" ht="14.4">
      <c r="AA9037" s="463"/>
      <c r="AB9037" s="462"/>
      <c r="AC9037" s="462"/>
      <c r="AD9037" s="464"/>
      <c r="AE9037" s="465"/>
    </row>
    <row r="9038" spans="27:31" ht="14.4">
      <c r="AA9038" s="463"/>
      <c r="AB9038" s="462"/>
      <c r="AC9038" s="462"/>
      <c r="AD9038" s="464"/>
      <c r="AE9038" s="465"/>
    </row>
    <row r="9039" spans="27:31" ht="14.4">
      <c r="AA9039" s="463"/>
      <c r="AB9039" s="462"/>
      <c r="AC9039" s="462"/>
      <c r="AD9039" s="464"/>
      <c r="AE9039" s="465"/>
    </row>
    <row r="9040" spans="27:31" ht="14.4">
      <c r="AA9040" s="463"/>
      <c r="AB9040" s="462"/>
      <c r="AC9040" s="462"/>
      <c r="AD9040" s="464"/>
      <c r="AE9040" s="465"/>
    </row>
    <row r="9041" spans="27:31" ht="14.4">
      <c r="AA9041" s="463"/>
      <c r="AB9041" s="462"/>
      <c r="AC9041" s="462"/>
      <c r="AD9041" s="464"/>
      <c r="AE9041" s="465"/>
    </row>
    <row r="9042" spans="27:31" ht="14.4">
      <c r="AA9042" s="463"/>
      <c r="AB9042" s="462"/>
      <c r="AC9042" s="462"/>
      <c r="AD9042" s="464"/>
      <c r="AE9042" s="465"/>
    </row>
    <row r="9043" spans="27:31" ht="14.4">
      <c r="AA9043" s="463"/>
      <c r="AB9043" s="462"/>
      <c r="AC9043" s="462"/>
      <c r="AD9043" s="464"/>
      <c r="AE9043" s="465"/>
    </row>
    <row r="9044" spans="27:31" ht="14.4">
      <c r="AA9044" s="463"/>
      <c r="AB9044" s="462"/>
      <c r="AC9044" s="462"/>
      <c r="AD9044" s="464"/>
      <c r="AE9044" s="465"/>
    </row>
    <row r="9045" spans="27:31" ht="14.4">
      <c r="AA9045" s="463"/>
      <c r="AB9045" s="462"/>
      <c r="AC9045" s="462"/>
      <c r="AD9045" s="464"/>
      <c r="AE9045" s="465"/>
    </row>
    <row r="9046" spans="27:31" ht="14.4">
      <c r="AA9046" s="463"/>
      <c r="AB9046" s="462"/>
      <c r="AC9046" s="462"/>
      <c r="AD9046" s="464"/>
      <c r="AE9046" s="465"/>
    </row>
    <row r="9047" spans="27:31" ht="14.4">
      <c r="AA9047" s="463"/>
      <c r="AB9047" s="462"/>
      <c r="AC9047" s="462"/>
      <c r="AD9047" s="464"/>
      <c r="AE9047" s="465"/>
    </row>
    <row r="9048" spans="27:31" ht="14.4">
      <c r="AA9048" s="463"/>
      <c r="AB9048" s="462"/>
      <c r="AC9048" s="462"/>
      <c r="AD9048" s="464"/>
      <c r="AE9048" s="465"/>
    </row>
    <row r="9049" spans="27:31" ht="14.4">
      <c r="AA9049" s="463"/>
      <c r="AB9049" s="462"/>
      <c r="AC9049" s="462"/>
      <c r="AD9049" s="464"/>
      <c r="AE9049" s="465"/>
    </row>
    <row r="9050" spans="27:31" ht="14.4">
      <c r="AA9050" s="463"/>
      <c r="AB9050" s="462"/>
      <c r="AC9050" s="462"/>
      <c r="AD9050" s="464"/>
      <c r="AE9050" s="465"/>
    </row>
    <row r="9051" spans="27:31" ht="14.4">
      <c r="AA9051" s="463"/>
      <c r="AB9051" s="462"/>
      <c r="AC9051" s="462"/>
      <c r="AD9051" s="464"/>
      <c r="AE9051" s="465"/>
    </row>
    <row r="9052" spans="27:31" ht="14.4">
      <c r="AA9052" s="463"/>
      <c r="AB9052" s="462"/>
      <c r="AC9052" s="462"/>
      <c r="AD9052" s="464"/>
      <c r="AE9052" s="465"/>
    </row>
    <row r="9053" spans="27:31" ht="14.4">
      <c r="AA9053" s="463"/>
      <c r="AB9053" s="462"/>
      <c r="AC9053" s="462"/>
      <c r="AD9053" s="464"/>
      <c r="AE9053" s="465"/>
    </row>
    <row r="9054" spans="27:31" ht="14.4">
      <c r="AA9054" s="463"/>
      <c r="AB9054" s="462"/>
      <c r="AC9054" s="462"/>
      <c r="AD9054" s="464"/>
      <c r="AE9054" s="465"/>
    </row>
    <row r="9055" spans="27:31" ht="14.4">
      <c r="AA9055" s="463"/>
      <c r="AB9055" s="462"/>
      <c r="AC9055" s="462"/>
      <c r="AD9055" s="464"/>
      <c r="AE9055" s="465"/>
    </row>
    <row r="9056" spans="27:31" ht="14.4">
      <c r="AA9056" s="463"/>
      <c r="AB9056" s="462"/>
      <c r="AC9056" s="462"/>
      <c r="AD9056" s="464"/>
      <c r="AE9056" s="465"/>
    </row>
    <row r="9057" spans="27:31" ht="14.4">
      <c r="AA9057" s="463"/>
      <c r="AB9057" s="462"/>
      <c r="AC9057" s="462"/>
      <c r="AD9057" s="464"/>
      <c r="AE9057" s="465"/>
    </row>
    <row r="9058" spans="27:31" ht="14.4">
      <c r="AA9058" s="463"/>
      <c r="AB9058" s="462"/>
      <c r="AC9058" s="462"/>
      <c r="AD9058" s="464"/>
      <c r="AE9058" s="465"/>
    </row>
    <row r="9059" spans="27:31" ht="14.4">
      <c r="AA9059" s="463"/>
      <c r="AB9059" s="462"/>
      <c r="AC9059" s="462"/>
      <c r="AD9059" s="464"/>
      <c r="AE9059" s="465"/>
    </row>
    <row r="9060" spans="27:31" ht="14.4">
      <c r="AA9060" s="463"/>
      <c r="AB9060" s="462"/>
      <c r="AC9060" s="462"/>
      <c r="AD9060" s="464"/>
      <c r="AE9060" s="465"/>
    </row>
    <row r="9061" spans="27:31" ht="14.4">
      <c r="AA9061" s="463"/>
      <c r="AB9061" s="462"/>
      <c r="AC9061" s="462"/>
      <c r="AD9061" s="464"/>
      <c r="AE9061" s="465"/>
    </row>
    <row r="9062" spans="27:31" ht="14.4">
      <c r="AA9062" s="463"/>
      <c r="AB9062" s="462"/>
      <c r="AC9062" s="462"/>
      <c r="AD9062" s="464"/>
      <c r="AE9062" s="465"/>
    </row>
    <row r="9063" spans="27:31" ht="14.4">
      <c r="AA9063" s="463"/>
      <c r="AB9063" s="462"/>
      <c r="AC9063" s="462"/>
      <c r="AD9063" s="464"/>
      <c r="AE9063" s="465"/>
    </row>
    <row r="9064" spans="27:31" ht="14.4">
      <c r="AA9064" s="463"/>
      <c r="AB9064" s="462"/>
      <c r="AC9064" s="462"/>
      <c r="AD9064" s="464"/>
      <c r="AE9064" s="465"/>
    </row>
    <row r="9065" spans="27:31" ht="14.4">
      <c r="AA9065" s="463"/>
      <c r="AB9065" s="462"/>
      <c r="AC9065" s="462"/>
      <c r="AD9065" s="464"/>
      <c r="AE9065" s="465"/>
    </row>
    <row r="9066" spans="27:31" ht="14.4">
      <c r="AA9066" s="463"/>
      <c r="AB9066" s="462"/>
      <c r="AC9066" s="462"/>
      <c r="AD9066" s="464"/>
      <c r="AE9066" s="465"/>
    </row>
    <row r="9067" spans="27:31" ht="14.4">
      <c r="AA9067" s="463"/>
      <c r="AB9067" s="462"/>
      <c r="AC9067" s="462"/>
      <c r="AD9067" s="464"/>
      <c r="AE9067" s="465"/>
    </row>
    <row r="9068" spans="27:31" ht="14.4">
      <c r="AA9068" s="463"/>
      <c r="AB9068" s="462"/>
      <c r="AC9068" s="462"/>
      <c r="AD9068" s="464"/>
      <c r="AE9068" s="465"/>
    </row>
    <row r="9069" spans="27:31" ht="14.4">
      <c r="AA9069" s="463"/>
      <c r="AB9069" s="462"/>
      <c r="AC9069" s="462"/>
      <c r="AD9069" s="464"/>
      <c r="AE9069" s="465"/>
    </row>
    <row r="9070" spans="27:31" ht="14.4">
      <c r="AA9070" s="463"/>
      <c r="AB9070" s="462"/>
      <c r="AC9070" s="462"/>
      <c r="AD9070" s="464"/>
      <c r="AE9070" s="465"/>
    </row>
    <row r="9071" spans="27:31" ht="14.4">
      <c r="AA9071" s="463"/>
      <c r="AB9071" s="462"/>
      <c r="AC9071" s="462"/>
      <c r="AD9071" s="464"/>
      <c r="AE9071" s="465"/>
    </row>
    <row r="9072" spans="27:31" ht="14.4">
      <c r="AA9072" s="463"/>
      <c r="AB9072" s="462"/>
      <c r="AC9072" s="462"/>
      <c r="AD9072" s="464"/>
      <c r="AE9072" s="465"/>
    </row>
    <row r="9073" spans="27:31" ht="14.4">
      <c r="AA9073" s="463"/>
      <c r="AB9073" s="462"/>
      <c r="AC9073" s="462"/>
      <c r="AD9073" s="464"/>
      <c r="AE9073" s="465"/>
    </row>
    <row r="9074" spans="27:31" ht="14.4">
      <c r="AA9074" s="463"/>
      <c r="AB9074" s="462"/>
      <c r="AC9074" s="462"/>
      <c r="AD9074" s="464"/>
      <c r="AE9074" s="465"/>
    </row>
    <row r="9075" spans="27:31" ht="14.4">
      <c r="AA9075" s="463"/>
      <c r="AB9075" s="462"/>
      <c r="AC9075" s="462"/>
      <c r="AD9075" s="464"/>
      <c r="AE9075" s="465"/>
    </row>
    <row r="9076" spans="27:31" ht="14.4">
      <c r="AA9076" s="463"/>
      <c r="AB9076" s="462"/>
      <c r="AC9076" s="462"/>
      <c r="AD9076" s="464"/>
      <c r="AE9076" s="465"/>
    </row>
    <row r="9077" spans="27:31" ht="14.4">
      <c r="AA9077" s="463"/>
      <c r="AB9077" s="462"/>
      <c r="AC9077" s="462"/>
      <c r="AD9077" s="464"/>
      <c r="AE9077" s="465"/>
    </row>
    <row r="9078" spans="27:31" ht="14.4">
      <c r="AA9078" s="463"/>
      <c r="AB9078" s="462"/>
      <c r="AC9078" s="462"/>
      <c r="AD9078" s="464"/>
      <c r="AE9078" s="465"/>
    </row>
    <row r="9079" spans="27:31" ht="14.4">
      <c r="AA9079" s="463"/>
      <c r="AB9079" s="462"/>
      <c r="AC9079" s="462"/>
      <c r="AD9079" s="464"/>
      <c r="AE9079" s="465"/>
    </row>
    <row r="9080" spans="27:31" ht="14.4">
      <c r="AA9080" s="463"/>
      <c r="AB9080" s="462"/>
      <c r="AC9080" s="462"/>
      <c r="AD9080" s="464"/>
      <c r="AE9080" s="465"/>
    </row>
    <row r="9081" spans="27:31" ht="14.4">
      <c r="AA9081" s="463"/>
      <c r="AB9081" s="462"/>
      <c r="AC9081" s="462"/>
      <c r="AD9081" s="464"/>
      <c r="AE9081" s="465"/>
    </row>
    <row r="9082" spans="27:31" ht="14.4">
      <c r="AA9082" s="463"/>
      <c r="AB9082" s="462"/>
      <c r="AC9082" s="462"/>
      <c r="AD9082" s="464"/>
      <c r="AE9082" s="465"/>
    </row>
    <row r="9083" spans="27:31" ht="14.4">
      <c r="AA9083" s="463"/>
      <c r="AB9083" s="462"/>
      <c r="AC9083" s="462"/>
      <c r="AD9083" s="464"/>
      <c r="AE9083" s="465"/>
    </row>
    <row r="9084" spans="27:31" ht="14.4">
      <c r="AA9084" s="463"/>
      <c r="AB9084" s="462"/>
      <c r="AC9084" s="462"/>
      <c r="AD9084" s="464"/>
      <c r="AE9084" s="465"/>
    </row>
    <row r="9085" spans="27:31" ht="14.4">
      <c r="AA9085" s="463"/>
      <c r="AB9085" s="462"/>
      <c r="AC9085" s="462"/>
      <c r="AD9085" s="464"/>
      <c r="AE9085" s="465"/>
    </row>
    <row r="9086" spans="27:31" ht="14.4">
      <c r="AA9086" s="463"/>
      <c r="AB9086" s="462"/>
      <c r="AC9086" s="462"/>
      <c r="AD9086" s="464"/>
      <c r="AE9086" s="465"/>
    </row>
    <row r="9087" spans="27:31" ht="14.4">
      <c r="AA9087" s="463"/>
      <c r="AB9087" s="462"/>
      <c r="AC9087" s="462"/>
      <c r="AD9087" s="464"/>
      <c r="AE9087" s="465"/>
    </row>
    <row r="9088" spans="27:31" ht="14.4">
      <c r="AA9088" s="463"/>
      <c r="AB9088" s="462"/>
      <c r="AC9088" s="462"/>
      <c r="AD9088" s="464"/>
      <c r="AE9088" s="465"/>
    </row>
    <row r="9089" spans="27:31" ht="14.4">
      <c r="AA9089" s="463"/>
      <c r="AB9089" s="462"/>
      <c r="AC9089" s="462"/>
      <c r="AD9089" s="464"/>
      <c r="AE9089" s="465"/>
    </row>
    <row r="9090" spans="27:31" ht="14.4">
      <c r="AA9090" s="463"/>
      <c r="AB9090" s="462"/>
      <c r="AC9090" s="462"/>
      <c r="AD9090" s="464"/>
      <c r="AE9090" s="465"/>
    </row>
    <row r="9091" spans="27:31" ht="14.4">
      <c r="AA9091" s="463"/>
      <c r="AB9091" s="462"/>
      <c r="AC9091" s="462"/>
      <c r="AD9091" s="464"/>
      <c r="AE9091" s="465"/>
    </row>
    <row r="9092" spans="27:31" ht="14.4">
      <c r="AA9092" s="463"/>
      <c r="AB9092" s="462"/>
      <c r="AC9092" s="462"/>
      <c r="AD9092" s="464"/>
      <c r="AE9092" s="465"/>
    </row>
    <row r="9093" spans="27:31" ht="14.4">
      <c r="AA9093" s="463"/>
      <c r="AB9093" s="462"/>
      <c r="AC9093" s="462"/>
      <c r="AD9093" s="464"/>
      <c r="AE9093" s="465"/>
    </row>
    <row r="9094" spans="27:31" ht="14.4">
      <c r="AA9094" s="463"/>
      <c r="AB9094" s="462"/>
      <c r="AC9094" s="462"/>
      <c r="AD9094" s="464"/>
      <c r="AE9094" s="465"/>
    </row>
    <row r="9095" spans="27:31" ht="14.4">
      <c r="AA9095" s="463"/>
      <c r="AB9095" s="462"/>
      <c r="AC9095" s="462"/>
      <c r="AD9095" s="464"/>
      <c r="AE9095" s="465"/>
    </row>
    <row r="9096" spans="27:31" ht="14.4">
      <c r="AA9096" s="463"/>
      <c r="AB9096" s="462"/>
      <c r="AC9096" s="462"/>
      <c r="AD9096" s="464"/>
      <c r="AE9096" s="465"/>
    </row>
    <row r="9097" spans="27:31" ht="14.4">
      <c r="AA9097" s="463"/>
      <c r="AB9097" s="462"/>
      <c r="AC9097" s="462"/>
      <c r="AD9097" s="464"/>
      <c r="AE9097" s="465"/>
    </row>
    <row r="9098" spans="27:31" ht="14.4">
      <c r="AA9098" s="463"/>
      <c r="AB9098" s="462"/>
      <c r="AC9098" s="462"/>
      <c r="AD9098" s="464"/>
      <c r="AE9098" s="465"/>
    </row>
    <row r="9099" spans="27:31" ht="14.4">
      <c r="AA9099" s="463"/>
      <c r="AB9099" s="462"/>
      <c r="AC9099" s="462"/>
      <c r="AD9099" s="464"/>
      <c r="AE9099" s="465"/>
    </row>
    <row r="9100" spans="27:31" ht="14.4">
      <c r="AA9100" s="463"/>
      <c r="AB9100" s="462"/>
      <c r="AC9100" s="462"/>
      <c r="AD9100" s="464"/>
      <c r="AE9100" s="465"/>
    </row>
    <row r="9101" spans="27:31" ht="14.4">
      <c r="AA9101" s="463"/>
      <c r="AB9101" s="462"/>
      <c r="AC9101" s="462"/>
      <c r="AD9101" s="464"/>
      <c r="AE9101" s="465"/>
    </row>
    <row r="9102" spans="27:31" ht="14.4">
      <c r="AA9102" s="463"/>
      <c r="AB9102" s="462"/>
      <c r="AC9102" s="462"/>
      <c r="AD9102" s="464"/>
      <c r="AE9102" s="465"/>
    </row>
    <row r="9103" spans="27:31" ht="14.4">
      <c r="AA9103" s="463"/>
      <c r="AB9103" s="462"/>
      <c r="AC9103" s="462"/>
      <c r="AD9103" s="464"/>
      <c r="AE9103" s="465"/>
    </row>
    <row r="9104" spans="27:31" ht="14.4">
      <c r="AA9104" s="463"/>
      <c r="AB9104" s="462"/>
      <c r="AC9104" s="462"/>
      <c r="AD9104" s="464"/>
      <c r="AE9104" s="465"/>
    </row>
    <row r="9105" spans="27:31" ht="14.4">
      <c r="AA9105" s="463"/>
      <c r="AB9105" s="462"/>
      <c r="AC9105" s="462"/>
      <c r="AD9105" s="464"/>
      <c r="AE9105" s="465"/>
    </row>
    <row r="9106" spans="27:31" ht="14.4">
      <c r="AA9106" s="463"/>
      <c r="AB9106" s="462"/>
      <c r="AC9106" s="462"/>
      <c r="AD9106" s="464"/>
      <c r="AE9106" s="465"/>
    </row>
    <row r="9107" spans="27:31" ht="14.4">
      <c r="AA9107" s="463"/>
      <c r="AB9107" s="462"/>
      <c r="AC9107" s="462"/>
      <c r="AD9107" s="464"/>
      <c r="AE9107" s="465"/>
    </row>
    <row r="9108" spans="27:31" ht="14.4">
      <c r="AA9108" s="463"/>
      <c r="AB9108" s="462"/>
      <c r="AC9108" s="462"/>
      <c r="AD9108" s="464"/>
      <c r="AE9108" s="465"/>
    </row>
    <row r="9109" spans="27:31" ht="14.4">
      <c r="AA9109" s="463"/>
      <c r="AB9109" s="462"/>
      <c r="AC9109" s="462"/>
      <c r="AD9109" s="464"/>
      <c r="AE9109" s="465"/>
    </row>
    <row r="9110" spans="27:31" ht="14.4">
      <c r="AA9110" s="463"/>
      <c r="AB9110" s="462"/>
      <c r="AC9110" s="462"/>
      <c r="AD9110" s="464"/>
      <c r="AE9110" s="465"/>
    </row>
    <row r="9111" spans="27:31" ht="14.4">
      <c r="AA9111" s="463"/>
      <c r="AB9111" s="462"/>
      <c r="AC9111" s="462"/>
      <c r="AD9111" s="464"/>
      <c r="AE9111" s="465"/>
    </row>
    <row r="9112" spans="27:31" ht="14.4">
      <c r="AA9112" s="463"/>
      <c r="AB9112" s="462"/>
      <c r="AC9112" s="462"/>
      <c r="AD9112" s="464"/>
      <c r="AE9112" s="465"/>
    </row>
    <row r="9113" spans="27:31" ht="14.4">
      <c r="AA9113" s="463"/>
      <c r="AB9113" s="462"/>
      <c r="AC9113" s="462"/>
      <c r="AD9113" s="464"/>
      <c r="AE9113" s="465"/>
    </row>
    <row r="9114" spans="27:31" ht="14.4">
      <c r="AA9114" s="463"/>
      <c r="AB9114" s="462"/>
      <c r="AC9114" s="462"/>
      <c r="AD9114" s="464"/>
      <c r="AE9114" s="465"/>
    </row>
    <row r="9115" spans="27:31" ht="14.4">
      <c r="AA9115" s="463"/>
      <c r="AB9115" s="462"/>
      <c r="AC9115" s="462"/>
      <c r="AD9115" s="464"/>
      <c r="AE9115" s="465"/>
    </row>
    <row r="9116" spans="27:31" ht="14.4">
      <c r="AA9116" s="463"/>
      <c r="AB9116" s="462"/>
      <c r="AC9116" s="462"/>
      <c r="AD9116" s="464"/>
      <c r="AE9116" s="465"/>
    </row>
    <row r="9117" spans="27:31" ht="14.4">
      <c r="AA9117" s="463"/>
      <c r="AB9117" s="462"/>
      <c r="AC9117" s="462"/>
      <c r="AD9117" s="464"/>
      <c r="AE9117" s="465"/>
    </row>
    <row r="9118" spans="27:31" ht="14.4">
      <c r="AA9118" s="463"/>
      <c r="AB9118" s="462"/>
      <c r="AC9118" s="462"/>
      <c r="AD9118" s="464"/>
      <c r="AE9118" s="465"/>
    </row>
    <row r="9119" spans="27:31" ht="14.4">
      <c r="AA9119" s="463"/>
      <c r="AB9119" s="462"/>
      <c r="AC9119" s="462"/>
      <c r="AD9119" s="464"/>
      <c r="AE9119" s="465"/>
    </row>
    <row r="9120" spans="27:31" ht="14.4">
      <c r="AA9120" s="463"/>
      <c r="AB9120" s="462"/>
      <c r="AC9120" s="462"/>
      <c r="AD9120" s="464"/>
      <c r="AE9120" s="465"/>
    </row>
    <row r="9121" spans="27:31" ht="14.4">
      <c r="AA9121" s="463"/>
      <c r="AB9121" s="462"/>
      <c r="AC9121" s="462"/>
      <c r="AD9121" s="464"/>
      <c r="AE9121" s="465"/>
    </row>
    <row r="9122" spans="27:31" ht="14.4">
      <c r="AA9122" s="463"/>
      <c r="AB9122" s="462"/>
      <c r="AC9122" s="462"/>
      <c r="AD9122" s="464"/>
      <c r="AE9122" s="465"/>
    </row>
    <row r="9123" spans="27:31" ht="14.4">
      <c r="AA9123" s="463"/>
      <c r="AB9123" s="462"/>
      <c r="AC9123" s="462"/>
      <c r="AD9123" s="464"/>
      <c r="AE9123" s="465"/>
    </row>
    <row r="9124" spans="27:31" ht="14.4">
      <c r="AA9124" s="463"/>
      <c r="AB9124" s="462"/>
      <c r="AC9124" s="462"/>
      <c r="AD9124" s="464"/>
      <c r="AE9124" s="465"/>
    </row>
    <row r="9125" spans="27:31" ht="14.4">
      <c r="AA9125" s="463"/>
      <c r="AB9125" s="462"/>
      <c r="AC9125" s="462"/>
      <c r="AD9125" s="464"/>
      <c r="AE9125" s="465"/>
    </row>
    <row r="9126" spans="27:31" ht="14.4">
      <c r="AA9126" s="463"/>
      <c r="AB9126" s="462"/>
      <c r="AC9126" s="462"/>
      <c r="AD9126" s="464"/>
      <c r="AE9126" s="465"/>
    </row>
    <row r="9127" spans="27:31" ht="14.4">
      <c r="AA9127" s="463"/>
      <c r="AB9127" s="462"/>
      <c r="AC9127" s="462"/>
      <c r="AD9127" s="464"/>
      <c r="AE9127" s="465"/>
    </row>
    <row r="9128" spans="27:31" ht="14.4">
      <c r="AA9128" s="463"/>
      <c r="AB9128" s="462"/>
      <c r="AC9128" s="462"/>
      <c r="AD9128" s="464"/>
      <c r="AE9128" s="465"/>
    </row>
    <row r="9129" spans="27:31" ht="14.4">
      <c r="AA9129" s="463"/>
      <c r="AB9129" s="462"/>
      <c r="AC9129" s="462"/>
      <c r="AD9129" s="464"/>
      <c r="AE9129" s="465"/>
    </row>
    <row r="9130" spans="27:31" ht="14.4">
      <c r="AA9130" s="463"/>
      <c r="AB9130" s="462"/>
      <c r="AC9130" s="462"/>
      <c r="AD9130" s="464"/>
      <c r="AE9130" s="465"/>
    </row>
    <row r="9131" spans="27:31" ht="14.4">
      <c r="AA9131" s="463"/>
      <c r="AB9131" s="462"/>
      <c r="AC9131" s="462"/>
      <c r="AD9131" s="464"/>
      <c r="AE9131" s="465"/>
    </row>
    <row r="9132" spans="27:31" ht="14.4">
      <c r="AA9132" s="463"/>
      <c r="AB9132" s="462"/>
      <c r="AC9132" s="462"/>
      <c r="AD9132" s="464"/>
      <c r="AE9132" s="465"/>
    </row>
    <row r="9133" spans="27:31" ht="14.4">
      <c r="AA9133" s="463"/>
      <c r="AB9133" s="462"/>
      <c r="AC9133" s="462"/>
      <c r="AD9133" s="464"/>
      <c r="AE9133" s="465"/>
    </row>
    <row r="9134" spans="27:31" ht="14.4">
      <c r="AA9134" s="463"/>
      <c r="AB9134" s="462"/>
      <c r="AC9134" s="462"/>
      <c r="AD9134" s="464"/>
      <c r="AE9134" s="465"/>
    </row>
    <row r="9135" spans="27:31" ht="14.4">
      <c r="AA9135" s="463"/>
      <c r="AB9135" s="462"/>
      <c r="AC9135" s="462"/>
      <c r="AD9135" s="464"/>
      <c r="AE9135" s="465"/>
    </row>
    <row r="9136" spans="27:31" ht="14.4">
      <c r="AA9136" s="463"/>
      <c r="AB9136" s="462"/>
      <c r="AC9136" s="462"/>
      <c r="AD9136" s="464"/>
      <c r="AE9136" s="465"/>
    </row>
    <row r="9137" spans="27:31" ht="14.4">
      <c r="AA9137" s="463"/>
      <c r="AB9137" s="462"/>
      <c r="AC9137" s="462"/>
      <c r="AD9137" s="464"/>
      <c r="AE9137" s="465"/>
    </row>
    <row r="9138" spans="27:31" ht="14.4">
      <c r="AA9138" s="463"/>
      <c r="AB9138" s="462"/>
      <c r="AC9138" s="462"/>
      <c r="AD9138" s="464"/>
      <c r="AE9138" s="465"/>
    </row>
    <row r="9139" spans="27:31" ht="14.4">
      <c r="AA9139" s="463"/>
      <c r="AB9139" s="462"/>
      <c r="AC9139" s="462"/>
      <c r="AD9139" s="464"/>
      <c r="AE9139" s="465"/>
    </row>
    <row r="9140" spans="27:31" ht="14.4">
      <c r="AA9140" s="463"/>
      <c r="AB9140" s="462"/>
      <c r="AC9140" s="462"/>
      <c r="AD9140" s="464"/>
      <c r="AE9140" s="465"/>
    </row>
    <row r="9141" spans="27:31" ht="14.4">
      <c r="AA9141" s="463"/>
      <c r="AB9141" s="462"/>
      <c r="AC9141" s="462"/>
      <c r="AD9141" s="464"/>
      <c r="AE9141" s="465"/>
    </row>
    <row r="9142" spans="27:31" ht="14.4">
      <c r="AA9142" s="463"/>
      <c r="AB9142" s="462"/>
      <c r="AC9142" s="462"/>
      <c r="AD9142" s="464"/>
      <c r="AE9142" s="465"/>
    </row>
    <row r="9143" spans="27:31" ht="14.4">
      <c r="AA9143" s="463"/>
      <c r="AB9143" s="462"/>
      <c r="AC9143" s="462"/>
      <c r="AD9143" s="464"/>
      <c r="AE9143" s="465"/>
    </row>
    <row r="9144" spans="27:31" ht="14.4">
      <c r="AA9144" s="463"/>
      <c r="AB9144" s="462"/>
      <c r="AC9144" s="462"/>
      <c r="AD9144" s="464"/>
      <c r="AE9144" s="465"/>
    </row>
    <row r="9145" spans="27:31" ht="14.4">
      <c r="AA9145" s="463"/>
      <c r="AB9145" s="462"/>
      <c r="AC9145" s="462"/>
      <c r="AD9145" s="464"/>
      <c r="AE9145" s="465"/>
    </row>
    <row r="9146" spans="27:31" ht="14.4">
      <c r="AA9146" s="463"/>
      <c r="AB9146" s="462"/>
      <c r="AC9146" s="462"/>
      <c r="AD9146" s="464"/>
      <c r="AE9146" s="465"/>
    </row>
    <row r="9147" spans="27:31" ht="14.4">
      <c r="AA9147" s="463"/>
      <c r="AB9147" s="462"/>
      <c r="AC9147" s="462"/>
      <c r="AD9147" s="464"/>
      <c r="AE9147" s="465"/>
    </row>
    <row r="9148" spans="27:31" ht="14.4">
      <c r="AA9148" s="463"/>
      <c r="AB9148" s="462"/>
      <c r="AC9148" s="462"/>
      <c r="AD9148" s="464"/>
      <c r="AE9148" s="465"/>
    </row>
    <row r="9149" spans="27:31" ht="14.4">
      <c r="AA9149" s="463"/>
      <c r="AB9149" s="462"/>
      <c r="AC9149" s="462"/>
      <c r="AD9149" s="464"/>
      <c r="AE9149" s="465"/>
    </row>
    <row r="9150" spans="27:31" ht="14.4">
      <c r="AA9150" s="463"/>
      <c r="AB9150" s="462"/>
      <c r="AC9150" s="462"/>
      <c r="AD9150" s="464"/>
      <c r="AE9150" s="465"/>
    </row>
    <row r="9151" spans="27:31" ht="14.4">
      <c r="AA9151" s="463"/>
      <c r="AB9151" s="462"/>
      <c r="AC9151" s="462"/>
      <c r="AD9151" s="464"/>
      <c r="AE9151" s="465"/>
    </row>
    <row r="9152" spans="27:31" ht="14.4">
      <c r="AA9152" s="463"/>
      <c r="AB9152" s="462"/>
      <c r="AC9152" s="462"/>
      <c r="AD9152" s="464"/>
      <c r="AE9152" s="465"/>
    </row>
    <row r="9153" spans="27:31" ht="14.4">
      <c r="AA9153" s="463"/>
      <c r="AB9153" s="462"/>
      <c r="AC9153" s="462"/>
      <c r="AD9153" s="464"/>
      <c r="AE9153" s="465"/>
    </row>
    <row r="9154" spans="27:31" ht="14.4">
      <c r="AA9154" s="463"/>
      <c r="AB9154" s="462"/>
      <c r="AC9154" s="462"/>
      <c r="AD9154" s="464"/>
      <c r="AE9154" s="465"/>
    </row>
    <row r="9155" spans="27:31" ht="14.4">
      <c r="AA9155" s="463"/>
      <c r="AB9155" s="462"/>
      <c r="AC9155" s="462"/>
      <c r="AD9155" s="464"/>
      <c r="AE9155" s="465"/>
    </row>
    <row r="9156" spans="27:31" ht="14.4">
      <c r="AA9156" s="463"/>
      <c r="AB9156" s="462"/>
      <c r="AC9156" s="462"/>
      <c r="AD9156" s="464"/>
      <c r="AE9156" s="465"/>
    </row>
    <row r="9157" spans="27:31" ht="14.4">
      <c r="AA9157" s="463"/>
      <c r="AB9157" s="462"/>
      <c r="AC9157" s="462"/>
      <c r="AD9157" s="464"/>
      <c r="AE9157" s="465"/>
    </row>
    <row r="9158" spans="27:31" ht="14.4">
      <c r="AA9158" s="463"/>
      <c r="AB9158" s="462"/>
      <c r="AC9158" s="462"/>
      <c r="AD9158" s="464"/>
      <c r="AE9158" s="465"/>
    </row>
    <row r="9159" spans="27:31" ht="14.4">
      <c r="AA9159" s="463"/>
      <c r="AB9159" s="462"/>
      <c r="AC9159" s="462"/>
      <c r="AD9159" s="464"/>
      <c r="AE9159" s="465"/>
    </row>
    <row r="9160" spans="27:31" ht="14.4">
      <c r="AA9160" s="463"/>
      <c r="AB9160" s="462"/>
      <c r="AC9160" s="462"/>
      <c r="AD9160" s="464"/>
      <c r="AE9160" s="465"/>
    </row>
    <row r="9161" spans="27:31" ht="14.4">
      <c r="AA9161" s="463"/>
      <c r="AB9161" s="462"/>
      <c r="AC9161" s="462"/>
      <c r="AD9161" s="464"/>
      <c r="AE9161" s="465"/>
    </row>
    <row r="9162" spans="27:31" ht="14.4">
      <c r="AA9162" s="463"/>
      <c r="AB9162" s="462"/>
      <c r="AC9162" s="462"/>
      <c r="AD9162" s="464"/>
      <c r="AE9162" s="465"/>
    </row>
    <row r="9163" spans="27:31" ht="14.4">
      <c r="AA9163" s="463"/>
      <c r="AB9163" s="462"/>
      <c r="AC9163" s="462"/>
      <c r="AD9163" s="464"/>
      <c r="AE9163" s="465"/>
    </row>
    <row r="9164" spans="27:31" ht="14.4">
      <c r="AA9164" s="463"/>
      <c r="AB9164" s="462"/>
      <c r="AC9164" s="462"/>
      <c r="AD9164" s="464"/>
      <c r="AE9164" s="465"/>
    </row>
    <row r="9165" spans="27:31" ht="14.4">
      <c r="AA9165" s="463"/>
      <c r="AB9165" s="462"/>
      <c r="AC9165" s="462"/>
      <c r="AD9165" s="464"/>
      <c r="AE9165" s="465"/>
    </row>
    <row r="9166" spans="27:31" ht="14.4">
      <c r="AA9166" s="463"/>
      <c r="AB9166" s="462"/>
      <c r="AC9166" s="462"/>
      <c r="AD9166" s="464"/>
      <c r="AE9166" s="465"/>
    </row>
    <row r="9167" spans="27:31" ht="14.4">
      <c r="AA9167" s="463"/>
      <c r="AB9167" s="462"/>
      <c r="AC9167" s="462"/>
      <c r="AD9167" s="464"/>
      <c r="AE9167" s="465"/>
    </row>
    <row r="9168" spans="27:31" ht="14.4">
      <c r="AA9168" s="463"/>
      <c r="AB9168" s="462"/>
      <c r="AC9168" s="462"/>
      <c r="AD9168" s="464"/>
      <c r="AE9168" s="465"/>
    </row>
    <row r="9169" spans="27:31" ht="14.4">
      <c r="AA9169" s="463"/>
      <c r="AB9169" s="462"/>
      <c r="AC9169" s="462"/>
      <c r="AD9169" s="464"/>
      <c r="AE9169" s="465"/>
    </row>
    <row r="9170" spans="27:31" ht="14.4">
      <c r="AA9170" s="463"/>
      <c r="AB9170" s="462"/>
      <c r="AC9170" s="462"/>
      <c r="AD9170" s="464"/>
      <c r="AE9170" s="465"/>
    </row>
    <row r="9171" spans="27:31" ht="14.4">
      <c r="AA9171" s="463"/>
      <c r="AB9171" s="462"/>
      <c r="AC9171" s="462"/>
      <c r="AD9171" s="464"/>
      <c r="AE9171" s="465"/>
    </row>
    <row r="9172" spans="27:31" ht="14.4">
      <c r="AA9172" s="463"/>
      <c r="AB9172" s="462"/>
      <c r="AC9172" s="462"/>
      <c r="AD9172" s="464"/>
      <c r="AE9172" s="465"/>
    </row>
    <row r="9173" spans="27:31" ht="14.4">
      <c r="AA9173" s="463"/>
      <c r="AB9173" s="462"/>
      <c r="AC9173" s="462"/>
      <c r="AD9173" s="464"/>
      <c r="AE9173" s="465"/>
    </row>
    <row r="9174" spans="27:31" ht="14.4">
      <c r="AA9174" s="463"/>
      <c r="AB9174" s="462"/>
      <c r="AC9174" s="462"/>
      <c r="AD9174" s="464"/>
      <c r="AE9174" s="465"/>
    </row>
    <row r="9175" spans="27:31" ht="14.4">
      <c r="AA9175" s="463"/>
      <c r="AB9175" s="462"/>
      <c r="AC9175" s="462"/>
      <c r="AD9175" s="464"/>
      <c r="AE9175" s="465"/>
    </row>
    <row r="9176" spans="27:31" ht="14.4">
      <c r="AA9176" s="463"/>
      <c r="AB9176" s="462"/>
      <c r="AC9176" s="462"/>
      <c r="AD9176" s="464"/>
      <c r="AE9176" s="465"/>
    </row>
    <row r="9177" spans="27:31" ht="14.4">
      <c r="AA9177" s="463"/>
      <c r="AB9177" s="462"/>
      <c r="AC9177" s="462"/>
      <c r="AD9177" s="464"/>
      <c r="AE9177" s="465"/>
    </row>
    <row r="9178" spans="27:31" ht="14.4">
      <c r="AA9178" s="463"/>
      <c r="AB9178" s="462"/>
      <c r="AC9178" s="462"/>
      <c r="AD9178" s="464"/>
      <c r="AE9178" s="465"/>
    </row>
    <row r="9179" spans="27:31" ht="14.4">
      <c r="AA9179" s="463"/>
      <c r="AB9179" s="462"/>
      <c r="AC9179" s="462"/>
      <c r="AD9179" s="464"/>
      <c r="AE9179" s="465"/>
    </row>
    <row r="9180" spans="27:31" ht="14.4">
      <c r="AA9180" s="463"/>
      <c r="AB9180" s="462"/>
      <c r="AC9180" s="462"/>
      <c r="AD9180" s="464"/>
      <c r="AE9180" s="465"/>
    </row>
    <row r="9181" spans="27:31" ht="14.4">
      <c r="AA9181" s="463"/>
      <c r="AB9181" s="462"/>
      <c r="AC9181" s="462"/>
      <c r="AD9181" s="464"/>
      <c r="AE9181" s="465"/>
    </row>
    <row r="9182" spans="27:31" ht="14.4">
      <c r="AA9182" s="463"/>
      <c r="AB9182" s="462"/>
      <c r="AC9182" s="462"/>
      <c r="AD9182" s="464"/>
      <c r="AE9182" s="465"/>
    </row>
    <row r="9183" spans="27:31" ht="14.4">
      <c r="AA9183" s="463"/>
      <c r="AB9183" s="462"/>
      <c r="AC9183" s="462"/>
      <c r="AD9183" s="464"/>
      <c r="AE9183" s="465"/>
    </row>
    <row r="9184" spans="27:31" ht="14.4">
      <c r="AA9184" s="463"/>
      <c r="AB9184" s="462"/>
      <c r="AC9184" s="462"/>
      <c r="AD9184" s="464"/>
      <c r="AE9184" s="465"/>
    </row>
    <row r="9185" spans="27:31" ht="14.4">
      <c r="AA9185" s="463"/>
      <c r="AB9185" s="462"/>
      <c r="AC9185" s="462"/>
      <c r="AD9185" s="464"/>
      <c r="AE9185" s="465"/>
    </row>
    <row r="9186" spans="27:31" ht="14.4">
      <c r="AA9186" s="463"/>
      <c r="AB9186" s="462"/>
      <c r="AC9186" s="462"/>
      <c r="AD9186" s="464"/>
      <c r="AE9186" s="465"/>
    </row>
    <row r="9187" spans="27:31" ht="14.4">
      <c r="AA9187" s="463"/>
      <c r="AB9187" s="462"/>
      <c r="AC9187" s="462"/>
      <c r="AD9187" s="464"/>
      <c r="AE9187" s="465"/>
    </row>
    <row r="9188" spans="27:31" ht="14.4">
      <c r="AA9188" s="463"/>
      <c r="AB9188" s="462"/>
      <c r="AC9188" s="462"/>
      <c r="AD9188" s="464"/>
      <c r="AE9188" s="465"/>
    </row>
    <row r="9189" spans="27:31" ht="14.4">
      <c r="AA9189" s="463"/>
      <c r="AB9189" s="462"/>
      <c r="AC9189" s="462"/>
      <c r="AD9189" s="464"/>
      <c r="AE9189" s="465"/>
    </row>
    <row r="9190" spans="27:31" ht="14.4">
      <c r="AA9190" s="463"/>
      <c r="AB9190" s="462"/>
      <c r="AC9190" s="462"/>
      <c r="AD9190" s="464"/>
      <c r="AE9190" s="465"/>
    </row>
    <row r="9191" spans="27:31" ht="14.4">
      <c r="AA9191" s="463"/>
      <c r="AB9191" s="462"/>
      <c r="AC9191" s="462"/>
      <c r="AD9191" s="464"/>
      <c r="AE9191" s="465"/>
    </row>
    <row r="9192" spans="27:31" ht="14.4">
      <c r="AA9192" s="463"/>
      <c r="AB9192" s="462"/>
      <c r="AC9192" s="462"/>
      <c r="AD9192" s="464"/>
      <c r="AE9192" s="465"/>
    </row>
    <row r="9193" spans="27:31" ht="14.4">
      <c r="AA9193" s="463"/>
      <c r="AB9193" s="462"/>
      <c r="AC9193" s="462"/>
      <c r="AD9193" s="464"/>
      <c r="AE9193" s="465"/>
    </row>
    <row r="9194" spans="27:31" ht="14.4">
      <c r="AA9194" s="463"/>
      <c r="AB9194" s="462"/>
      <c r="AC9194" s="462"/>
      <c r="AD9194" s="464"/>
      <c r="AE9194" s="465"/>
    </row>
    <row r="9195" spans="27:31" ht="14.4">
      <c r="AA9195" s="463"/>
      <c r="AB9195" s="462"/>
      <c r="AC9195" s="462"/>
      <c r="AD9195" s="464"/>
      <c r="AE9195" s="465"/>
    </row>
    <row r="9196" spans="27:31" ht="14.4">
      <c r="AA9196" s="463"/>
      <c r="AB9196" s="462"/>
      <c r="AC9196" s="462"/>
      <c r="AD9196" s="464"/>
      <c r="AE9196" s="465"/>
    </row>
    <row r="9197" spans="27:31" ht="14.4">
      <c r="AA9197" s="463"/>
      <c r="AB9197" s="462"/>
      <c r="AC9197" s="462"/>
      <c r="AD9197" s="464"/>
      <c r="AE9197" s="465"/>
    </row>
    <row r="9198" spans="27:31" ht="14.4">
      <c r="AA9198" s="463"/>
      <c r="AB9198" s="462"/>
      <c r="AC9198" s="462"/>
      <c r="AD9198" s="464"/>
      <c r="AE9198" s="465"/>
    </row>
    <row r="9199" spans="27:31" ht="14.4">
      <c r="AA9199" s="463"/>
      <c r="AB9199" s="462"/>
      <c r="AC9199" s="462"/>
      <c r="AD9199" s="464"/>
      <c r="AE9199" s="465"/>
    </row>
    <row r="9200" spans="27:31" ht="14.4">
      <c r="AA9200" s="463"/>
      <c r="AB9200" s="462"/>
      <c r="AC9200" s="462"/>
      <c r="AD9200" s="464"/>
      <c r="AE9200" s="465"/>
    </row>
    <row r="9201" spans="27:31" ht="14.4">
      <c r="AA9201" s="463"/>
      <c r="AB9201" s="462"/>
      <c r="AC9201" s="462"/>
      <c r="AD9201" s="464"/>
      <c r="AE9201" s="465"/>
    </row>
    <row r="9202" spans="27:31" ht="14.4">
      <c r="AA9202" s="463"/>
      <c r="AB9202" s="462"/>
      <c r="AC9202" s="462"/>
      <c r="AD9202" s="464"/>
      <c r="AE9202" s="465"/>
    </row>
    <row r="9203" spans="27:31" ht="14.4">
      <c r="AA9203" s="463"/>
      <c r="AB9203" s="462"/>
      <c r="AC9203" s="462"/>
      <c r="AD9203" s="464"/>
      <c r="AE9203" s="465"/>
    </row>
    <row r="9204" spans="27:31" ht="14.4">
      <c r="AA9204" s="463"/>
      <c r="AB9204" s="462"/>
      <c r="AC9204" s="462"/>
      <c r="AD9204" s="464"/>
      <c r="AE9204" s="465"/>
    </row>
    <row r="9205" spans="27:31" ht="14.4">
      <c r="AA9205" s="463"/>
      <c r="AB9205" s="462"/>
      <c r="AC9205" s="462"/>
      <c r="AD9205" s="464"/>
      <c r="AE9205" s="465"/>
    </row>
    <row r="9206" spans="27:31" ht="14.4">
      <c r="AA9206" s="463"/>
      <c r="AB9206" s="462"/>
      <c r="AC9206" s="462"/>
      <c r="AD9206" s="464"/>
      <c r="AE9206" s="465"/>
    </row>
    <row r="9207" spans="27:31" ht="14.4">
      <c r="AA9207" s="463"/>
      <c r="AB9207" s="462"/>
      <c r="AC9207" s="462"/>
      <c r="AD9207" s="464"/>
      <c r="AE9207" s="465"/>
    </row>
    <row r="9208" spans="27:31" ht="14.4">
      <c r="AA9208" s="463"/>
      <c r="AB9208" s="462"/>
      <c r="AC9208" s="462"/>
      <c r="AD9208" s="464"/>
      <c r="AE9208" s="465"/>
    </row>
    <row r="9209" spans="27:31" ht="14.4">
      <c r="AA9209" s="463"/>
      <c r="AB9209" s="462"/>
      <c r="AC9209" s="462"/>
      <c r="AD9209" s="464"/>
      <c r="AE9209" s="465"/>
    </row>
    <row r="9210" spans="27:31" ht="14.4">
      <c r="AA9210" s="463"/>
      <c r="AB9210" s="462"/>
      <c r="AC9210" s="462"/>
      <c r="AD9210" s="464"/>
      <c r="AE9210" s="465"/>
    </row>
    <row r="9211" spans="27:31" ht="14.4">
      <c r="AA9211" s="463"/>
      <c r="AB9211" s="462"/>
      <c r="AC9211" s="462"/>
      <c r="AD9211" s="464"/>
      <c r="AE9211" s="465"/>
    </row>
    <row r="9212" spans="27:31" ht="14.4">
      <c r="AA9212" s="463"/>
      <c r="AB9212" s="462"/>
      <c r="AC9212" s="462"/>
      <c r="AD9212" s="464"/>
      <c r="AE9212" s="465"/>
    </row>
    <row r="9213" spans="27:31" ht="14.4">
      <c r="AA9213" s="463"/>
      <c r="AB9213" s="462"/>
      <c r="AC9213" s="462"/>
      <c r="AD9213" s="464"/>
      <c r="AE9213" s="465"/>
    </row>
    <row r="9214" spans="27:31" ht="14.4">
      <c r="AA9214" s="463"/>
      <c r="AB9214" s="462"/>
      <c r="AC9214" s="462"/>
      <c r="AD9214" s="464"/>
      <c r="AE9214" s="465"/>
    </row>
    <row r="9215" spans="27:31" ht="14.4">
      <c r="AA9215" s="463"/>
      <c r="AB9215" s="462"/>
      <c r="AC9215" s="462"/>
      <c r="AD9215" s="464"/>
      <c r="AE9215" s="465"/>
    </row>
    <row r="9216" spans="27:31" ht="14.4">
      <c r="AA9216" s="463"/>
      <c r="AB9216" s="462"/>
      <c r="AC9216" s="462"/>
      <c r="AD9216" s="464"/>
      <c r="AE9216" s="465"/>
    </row>
    <row r="9217" spans="27:31" ht="14.4">
      <c r="AA9217" s="463"/>
      <c r="AB9217" s="462"/>
      <c r="AC9217" s="462"/>
      <c r="AD9217" s="464"/>
      <c r="AE9217" s="465"/>
    </row>
    <row r="9218" spans="27:31" ht="14.4">
      <c r="AA9218" s="463"/>
      <c r="AB9218" s="462"/>
      <c r="AC9218" s="462"/>
      <c r="AD9218" s="464"/>
      <c r="AE9218" s="465"/>
    </row>
    <row r="9219" spans="27:31" ht="14.4">
      <c r="AA9219" s="463"/>
      <c r="AB9219" s="462"/>
      <c r="AC9219" s="462"/>
      <c r="AD9219" s="464"/>
      <c r="AE9219" s="465"/>
    </row>
    <row r="9220" spans="27:31" ht="14.4">
      <c r="AA9220" s="463"/>
      <c r="AB9220" s="462"/>
      <c r="AC9220" s="462"/>
      <c r="AD9220" s="464"/>
      <c r="AE9220" s="465"/>
    </row>
    <row r="9221" spans="27:31" ht="14.4">
      <c r="AA9221" s="463"/>
      <c r="AB9221" s="462"/>
      <c r="AC9221" s="462"/>
      <c r="AD9221" s="464"/>
      <c r="AE9221" s="465"/>
    </row>
    <row r="9222" spans="27:31" ht="14.4">
      <c r="AA9222" s="463"/>
      <c r="AB9222" s="462"/>
      <c r="AC9222" s="462"/>
      <c r="AD9222" s="464"/>
      <c r="AE9222" s="465"/>
    </row>
    <row r="9223" spans="27:31" ht="14.4">
      <c r="AA9223" s="463"/>
      <c r="AB9223" s="462"/>
      <c r="AC9223" s="462"/>
      <c r="AD9223" s="464"/>
      <c r="AE9223" s="465"/>
    </row>
    <row r="9224" spans="27:31" ht="14.4">
      <c r="AA9224" s="463"/>
      <c r="AB9224" s="462"/>
      <c r="AC9224" s="462"/>
      <c r="AD9224" s="464"/>
      <c r="AE9224" s="465"/>
    </row>
    <row r="9225" spans="27:31" ht="14.4">
      <c r="AA9225" s="463"/>
      <c r="AB9225" s="462"/>
      <c r="AC9225" s="462"/>
      <c r="AD9225" s="464"/>
      <c r="AE9225" s="465"/>
    </row>
    <row r="9226" spans="27:31" ht="14.4">
      <c r="AA9226" s="463"/>
      <c r="AB9226" s="462"/>
      <c r="AC9226" s="462"/>
      <c r="AD9226" s="464"/>
      <c r="AE9226" s="465"/>
    </row>
    <row r="9227" spans="27:31" ht="14.4">
      <c r="AA9227" s="463"/>
      <c r="AB9227" s="462"/>
      <c r="AC9227" s="462"/>
      <c r="AD9227" s="464"/>
      <c r="AE9227" s="465"/>
    </row>
    <row r="9228" spans="27:31" ht="14.4">
      <c r="AA9228" s="463"/>
      <c r="AB9228" s="462"/>
      <c r="AC9228" s="462"/>
      <c r="AD9228" s="464"/>
      <c r="AE9228" s="465"/>
    </row>
    <row r="9229" spans="27:31" ht="14.4">
      <c r="AA9229" s="463"/>
      <c r="AB9229" s="462"/>
      <c r="AC9229" s="462"/>
      <c r="AD9229" s="464"/>
      <c r="AE9229" s="465"/>
    </row>
    <row r="9230" spans="27:31" ht="14.4">
      <c r="AA9230" s="463"/>
      <c r="AB9230" s="462"/>
      <c r="AC9230" s="462"/>
      <c r="AD9230" s="464"/>
      <c r="AE9230" s="465"/>
    </row>
    <row r="9231" spans="27:31" ht="14.4">
      <c r="AA9231" s="463"/>
      <c r="AB9231" s="462"/>
      <c r="AC9231" s="462"/>
      <c r="AD9231" s="464"/>
      <c r="AE9231" s="465"/>
    </row>
    <row r="9232" spans="27:31" ht="14.4">
      <c r="AA9232" s="463"/>
      <c r="AB9232" s="462"/>
      <c r="AC9232" s="462"/>
      <c r="AD9232" s="464"/>
      <c r="AE9232" s="465"/>
    </row>
    <row r="9233" spans="27:31" ht="14.4">
      <c r="AA9233" s="463"/>
      <c r="AB9233" s="462"/>
      <c r="AC9233" s="462"/>
      <c r="AD9233" s="464"/>
      <c r="AE9233" s="465"/>
    </row>
    <row r="9234" spans="27:31" ht="14.4">
      <c r="AA9234" s="463"/>
      <c r="AB9234" s="462"/>
      <c r="AC9234" s="462"/>
      <c r="AD9234" s="464"/>
      <c r="AE9234" s="465"/>
    </row>
    <row r="9235" spans="27:31" ht="14.4">
      <c r="AA9235" s="463"/>
      <c r="AB9235" s="462"/>
      <c r="AC9235" s="462"/>
      <c r="AD9235" s="464"/>
      <c r="AE9235" s="465"/>
    </row>
    <row r="9236" spans="27:31" ht="14.4">
      <c r="AA9236" s="463"/>
      <c r="AB9236" s="462"/>
      <c r="AC9236" s="462"/>
      <c r="AD9236" s="464"/>
      <c r="AE9236" s="465"/>
    </row>
    <row r="9237" spans="27:31" ht="14.4">
      <c r="AA9237" s="463"/>
      <c r="AB9237" s="462"/>
      <c r="AC9237" s="462"/>
      <c r="AD9237" s="464"/>
      <c r="AE9237" s="465"/>
    </row>
    <row r="9238" spans="27:31" ht="14.4">
      <c r="AA9238" s="463"/>
      <c r="AB9238" s="462"/>
      <c r="AC9238" s="462"/>
      <c r="AD9238" s="464"/>
      <c r="AE9238" s="465"/>
    </row>
    <row r="9239" spans="27:31" ht="14.4">
      <c r="AA9239" s="463"/>
      <c r="AB9239" s="462"/>
      <c r="AC9239" s="462"/>
      <c r="AD9239" s="464"/>
      <c r="AE9239" s="465"/>
    </row>
    <row r="9240" spans="27:31" ht="14.4">
      <c r="AA9240" s="463"/>
      <c r="AB9240" s="462"/>
      <c r="AC9240" s="462"/>
      <c r="AD9240" s="464"/>
      <c r="AE9240" s="465"/>
    </row>
    <row r="9241" spans="27:31" ht="14.4">
      <c r="AA9241" s="463"/>
      <c r="AB9241" s="462"/>
      <c r="AC9241" s="462"/>
      <c r="AD9241" s="464"/>
      <c r="AE9241" s="465"/>
    </row>
    <row r="9242" spans="27:31" ht="14.4">
      <c r="AA9242" s="463"/>
      <c r="AB9242" s="462"/>
      <c r="AC9242" s="462"/>
      <c r="AD9242" s="464"/>
      <c r="AE9242" s="465"/>
    </row>
    <row r="9243" spans="27:31" ht="14.4">
      <c r="AA9243" s="463"/>
      <c r="AB9243" s="462"/>
      <c r="AC9243" s="462"/>
      <c r="AD9243" s="464"/>
      <c r="AE9243" s="465"/>
    </row>
    <row r="9244" spans="27:31" ht="14.4">
      <c r="AA9244" s="463"/>
      <c r="AB9244" s="462"/>
      <c r="AC9244" s="462"/>
      <c r="AD9244" s="464"/>
      <c r="AE9244" s="465"/>
    </row>
    <row r="9245" spans="27:31" ht="14.4">
      <c r="AA9245" s="463"/>
      <c r="AB9245" s="462"/>
      <c r="AC9245" s="462"/>
      <c r="AD9245" s="464"/>
      <c r="AE9245" s="465"/>
    </row>
    <row r="9246" spans="27:31" ht="14.4">
      <c r="AA9246" s="463"/>
      <c r="AB9246" s="462"/>
      <c r="AC9246" s="462"/>
      <c r="AD9246" s="464"/>
      <c r="AE9246" s="465"/>
    </row>
    <row r="9247" spans="27:31" ht="14.4">
      <c r="AA9247" s="463"/>
      <c r="AB9247" s="462"/>
      <c r="AC9247" s="462"/>
      <c r="AD9247" s="464"/>
      <c r="AE9247" s="465"/>
    </row>
    <row r="9248" spans="27:31" ht="14.4">
      <c r="AA9248" s="463"/>
      <c r="AB9248" s="462"/>
      <c r="AC9248" s="462"/>
      <c r="AD9248" s="464"/>
      <c r="AE9248" s="465"/>
    </row>
    <row r="9249" spans="27:31" ht="14.4">
      <c r="AA9249" s="463"/>
      <c r="AB9249" s="462"/>
      <c r="AC9249" s="462"/>
      <c r="AD9249" s="464"/>
      <c r="AE9249" s="465"/>
    </row>
    <row r="9250" spans="27:31" ht="14.4">
      <c r="AA9250" s="463"/>
      <c r="AB9250" s="462"/>
      <c r="AC9250" s="462"/>
      <c r="AD9250" s="464"/>
      <c r="AE9250" s="465"/>
    </row>
    <row r="9251" spans="27:31" ht="14.4">
      <c r="AA9251" s="463"/>
      <c r="AB9251" s="462"/>
      <c r="AC9251" s="462"/>
      <c r="AD9251" s="464"/>
      <c r="AE9251" s="465"/>
    </row>
    <row r="9252" spans="27:31" ht="14.4">
      <c r="AA9252" s="463"/>
      <c r="AB9252" s="462"/>
      <c r="AC9252" s="462"/>
      <c r="AD9252" s="464"/>
      <c r="AE9252" s="465"/>
    </row>
    <row r="9253" spans="27:31" ht="14.4">
      <c r="AA9253" s="463"/>
      <c r="AB9253" s="462"/>
      <c r="AC9253" s="462"/>
      <c r="AD9253" s="464"/>
      <c r="AE9253" s="465"/>
    </row>
    <row r="9254" spans="27:31" ht="14.4">
      <c r="AA9254" s="463"/>
      <c r="AB9254" s="462"/>
      <c r="AC9254" s="462"/>
      <c r="AD9254" s="464"/>
      <c r="AE9254" s="465"/>
    </row>
    <row r="9255" spans="27:31" ht="14.4">
      <c r="AA9255" s="463"/>
      <c r="AB9255" s="462"/>
      <c r="AC9255" s="462"/>
      <c r="AD9255" s="464"/>
      <c r="AE9255" s="465"/>
    </row>
    <row r="9256" spans="27:31" ht="14.4">
      <c r="AA9256" s="463"/>
      <c r="AB9256" s="462"/>
      <c r="AC9256" s="462"/>
      <c r="AD9256" s="464"/>
      <c r="AE9256" s="465"/>
    </row>
    <row r="9257" spans="27:31" ht="14.4">
      <c r="AA9257" s="463"/>
      <c r="AB9257" s="462"/>
      <c r="AC9257" s="462"/>
      <c r="AD9257" s="464"/>
      <c r="AE9257" s="465"/>
    </row>
    <row r="9258" spans="27:31" ht="14.4">
      <c r="AA9258" s="463"/>
      <c r="AB9258" s="462"/>
      <c r="AC9258" s="462"/>
      <c r="AD9258" s="464"/>
      <c r="AE9258" s="465"/>
    </row>
    <row r="9259" spans="27:31" ht="14.4">
      <c r="AA9259" s="463"/>
      <c r="AB9259" s="462"/>
      <c r="AC9259" s="462"/>
      <c r="AD9259" s="464"/>
      <c r="AE9259" s="465"/>
    </row>
    <row r="9260" spans="27:31" ht="14.4">
      <c r="AA9260" s="463"/>
      <c r="AB9260" s="462"/>
      <c r="AC9260" s="462"/>
      <c r="AD9260" s="464"/>
      <c r="AE9260" s="465"/>
    </row>
    <row r="9261" spans="27:31" ht="14.4">
      <c r="AA9261" s="463"/>
      <c r="AB9261" s="462"/>
      <c r="AC9261" s="462"/>
      <c r="AD9261" s="464"/>
      <c r="AE9261" s="465"/>
    </row>
    <row r="9262" spans="27:31" ht="14.4">
      <c r="AA9262" s="463"/>
      <c r="AB9262" s="462"/>
      <c r="AC9262" s="462"/>
      <c r="AD9262" s="464"/>
      <c r="AE9262" s="465"/>
    </row>
    <row r="9263" spans="27:31" ht="14.4">
      <c r="AA9263" s="463"/>
      <c r="AB9263" s="462"/>
      <c r="AC9263" s="462"/>
      <c r="AD9263" s="464"/>
      <c r="AE9263" s="465"/>
    </row>
    <row r="9264" spans="27:31" ht="14.4">
      <c r="AA9264" s="463"/>
      <c r="AB9264" s="462"/>
      <c r="AC9264" s="462"/>
      <c r="AD9264" s="464"/>
      <c r="AE9264" s="465"/>
    </row>
    <row r="9265" spans="27:31" ht="14.4">
      <c r="AA9265" s="463"/>
      <c r="AB9265" s="462"/>
      <c r="AC9265" s="462"/>
      <c r="AD9265" s="464"/>
      <c r="AE9265" s="465"/>
    </row>
    <row r="9266" spans="27:31" ht="14.4">
      <c r="AA9266" s="463"/>
      <c r="AB9266" s="462"/>
      <c r="AC9266" s="462"/>
      <c r="AD9266" s="464"/>
      <c r="AE9266" s="465"/>
    </row>
    <row r="9267" spans="27:31" ht="14.4">
      <c r="AA9267" s="463"/>
      <c r="AB9267" s="462"/>
      <c r="AC9267" s="462"/>
      <c r="AD9267" s="464"/>
      <c r="AE9267" s="465"/>
    </row>
    <row r="9268" spans="27:31" ht="14.4">
      <c r="AA9268" s="463"/>
      <c r="AB9268" s="462"/>
      <c r="AC9268" s="462"/>
      <c r="AD9268" s="464"/>
      <c r="AE9268" s="465"/>
    </row>
    <row r="9269" spans="27:31" ht="14.4">
      <c r="AA9269" s="463"/>
      <c r="AB9269" s="462"/>
      <c r="AC9269" s="462"/>
      <c r="AD9269" s="464"/>
      <c r="AE9269" s="465"/>
    </row>
    <row r="9270" spans="27:31" ht="14.4">
      <c r="AA9270" s="463"/>
      <c r="AB9270" s="462"/>
      <c r="AC9270" s="462"/>
      <c r="AD9270" s="464"/>
      <c r="AE9270" s="465"/>
    </row>
    <row r="9271" spans="27:31" ht="14.4">
      <c r="AA9271" s="463"/>
      <c r="AB9271" s="462"/>
      <c r="AC9271" s="462"/>
      <c r="AD9271" s="464"/>
      <c r="AE9271" s="465"/>
    </row>
    <row r="9272" spans="27:31" ht="14.4">
      <c r="AA9272" s="463"/>
      <c r="AB9272" s="462"/>
      <c r="AC9272" s="462"/>
      <c r="AD9272" s="464"/>
      <c r="AE9272" s="465"/>
    </row>
    <row r="9273" spans="27:31" ht="14.4">
      <c r="AA9273" s="463"/>
      <c r="AB9273" s="462"/>
      <c r="AC9273" s="462"/>
      <c r="AD9273" s="464"/>
      <c r="AE9273" s="465"/>
    </row>
    <row r="9274" spans="27:31" ht="14.4">
      <c r="AA9274" s="463"/>
      <c r="AB9274" s="462"/>
      <c r="AC9274" s="462"/>
      <c r="AD9274" s="464"/>
      <c r="AE9274" s="465"/>
    </row>
    <row r="9275" spans="27:31" ht="14.4">
      <c r="AA9275" s="463"/>
      <c r="AB9275" s="462"/>
      <c r="AC9275" s="462"/>
      <c r="AD9275" s="464"/>
      <c r="AE9275" s="465"/>
    </row>
    <row r="9276" spans="27:31" ht="14.4">
      <c r="AA9276" s="463"/>
      <c r="AB9276" s="462"/>
      <c r="AC9276" s="462"/>
      <c r="AD9276" s="464"/>
      <c r="AE9276" s="465"/>
    </row>
    <row r="9277" spans="27:31" ht="14.4">
      <c r="AA9277" s="463"/>
      <c r="AB9277" s="462"/>
      <c r="AC9277" s="462"/>
      <c r="AD9277" s="464"/>
      <c r="AE9277" s="465"/>
    </row>
    <row r="9278" spans="27:31" ht="14.4">
      <c r="AA9278" s="463"/>
      <c r="AB9278" s="462"/>
      <c r="AC9278" s="462"/>
      <c r="AD9278" s="464"/>
      <c r="AE9278" s="465"/>
    </row>
    <row r="9279" spans="27:31" ht="14.4">
      <c r="AA9279" s="463"/>
      <c r="AB9279" s="462"/>
      <c r="AC9279" s="462"/>
      <c r="AD9279" s="464"/>
      <c r="AE9279" s="465"/>
    </row>
    <row r="9280" spans="27:31" ht="14.4">
      <c r="AA9280" s="463"/>
      <c r="AB9280" s="462"/>
      <c r="AC9280" s="462"/>
      <c r="AD9280" s="464"/>
      <c r="AE9280" s="465"/>
    </row>
    <row r="9281" spans="27:31" ht="14.4">
      <c r="AA9281" s="463"/>
      <c r="AB9281" s="462"/>
      <c r="AC9281" s="462"/>
      <c r="AD9281" s="464"/>
      <c r="AE9281" s="465"/>
    </row>
    <row r="9282" spans="27:31" ht="14.4">
      <c r="AA9282" s="463"/>
      <c r="AB9282" s="462"/>
      <c r="AC9282" s="462"/>
      <c r="AD9282" s="464"/>
      <c r="AE9282" s="465"/>
    </row>
    <row r="9283" spans="27:31" ht="14.4">
      <c r="AA9283" s="463"/>
      <c r="AB9283" s="462"/>
      <c r="AC9283" s="462"/>
      <c r="AD9283" s="464"/>
      <c r="AE9283" s="465"/>
    </row>
    <row r="9284" spans="27:31" ht="14.4">
      <c r="AA9284" s="463"/>
      <c r="AB9284" s="462"/>
      <c r="AC9284" s="462"/>
      <c r="AD9284" s="464"/>
      <c r="AE9284" s="465"/>
    </row>
    <row r="9285" spans="27:31" ht="14.4">
      <c r="AA9285" s="463"/>
      <c r="AB9285" s="462"/>
      <c r="AC9285" s="462"/>
      <c r="AD9285" s="464"/>
      <c r="AE9285" s="465"/>
    </row>
    <row r="9286" spans="27:31" ht="14.4">
      <c r="AA9286" s="463"/>
      <c r="AB9286" s="462"/>
      <c r="AC9286" s="462"/>
      <c r="AD9286" s="464"/>
      <c r="AE9286" s="465"/>
    </row>
    <row r="9287" spans="27:31" ht="14.4">
      <c r="AA9287" s="463"/>
      <c r="AB9287" s="462"/>
      <c r="AC9287" s="462"/>
      <c r="AD9287" s="464"/>
      <c r="AE9287" s="465"/>
    </row>
    <row r="9288" spans="27:31" ht="14.4">
      <c r="AA9288" s="463"/>
      <c r="AB9288" s="462"/>
      <c r="AC9288" s="462"/>
      <c r="AD9288" s="464"/>
      <c r="AE9288" s="465"/>
    </row>
    <row r="9289" spans="27:31" ht="14.4">
      <c r="AA9289" s="463"/>
      <c r="AB9289" s="462"/>
      <c r="AC9289" s="462"/>
      <c r="AD9289" s="464"/>
      <c r="AE9289" s="465"/>
    </row>
    <row r="9290" spans="27:31" ht="14.4">
      <c r="AA9290" s="463"/>
      <c r="AB9290" s="462"/>
      <c r="AC9290" s="462"/>
      <c r="AD9290" s="464"/>
      <c r="AE9290" s="465"/>
    </row>
    <row r="9291" spans="27:31" ht="14.4">
      <c r="AA9291" s="463"/>
      <c r="AB9291" s="462"/>
      <c r="AC9291" s="462"/>
      <c r="AD9291" s="464"/>
      <c r="AE9291" s="465"/>
    </row>
    <row r="9292" spans="27:31" ht="14.4">
      <c r="AA9292" s="463"/>
      <c r="AB9292" s="462"/>
      <c r="AC9292" s="462"/>
      <c r="AD9292" s="464"/>
      <c r="AE9292" s="465"/>
    </row>
    <row r="9293" spans="27:31" ht="14.4">
      <c r="AA9293" s="463"/>
      <c r="AB9293" s="462"/>
      <c r="AC9293" s="462"/>
      <c r="AD9293" s="464"/>
      <c r="AE9293" s="465"/>
    </row>
    <row r="9294" spans="27:31" ht="14.4">
      <c r="AA9294" s="463"/>
      <c r="AB9294" s="462"/>
      <c r="AC9294" s="462"/>
      <c r="AD9294" s="464"/>
      <c r="AE9294" s="465"/>
    </row>
    <row r="9295" spans="27:31" ht="14.4">
      <c r="AA9295" s="463"/>
      <c r="AB9295" s="462"/>
      <c r="AC9295" s="462"/>
      <c r="AD9295" s="464"/>
      <c r="AE9295" s="465"/>
    </row>
    <row r="9296" spans="27:31" ht="14.4">
      <c r="AA9296" s="463"/>
      <c r="AB9296" s="462"/>
      <c r="AC9296" s="462"/>
      <c r="AD9296" s="464"/>
      <c r="AE9296" s="465"/>
    </row>
    <row r="9297" spans="27:31" ht="14.4">
      <c r="AA9297" s="463"/>
      <c r="AB9297" s="462"/>
      <c r="AC9297" s="462"/>
      <c r="AD9297" s="464"/>
      <c r="AE9297" s="465"/>
    </row>
    <row r="9298" spans="27:31" ht="14.4">
      <c r="AA9298" s="463"/>
      <c r="AB9298" s="462"/>
      <c r="AC9298" s="462"/>
      <c r="AD9298" s="464"/>
      <c r="AE9298" s="465"/>
    </row>
    <row r="9299" spans="27:31" ht="14.4">
      <c r="AA9299" s="463"/>
      <c r="AB9299" s="462"/>
      <c r="AC9299" s="462"/>
      <c r="AD9299" s="464"/>
      <c r="AE9299" s="465"/>
    </row>
    <row r="9300" spans="27:31" ht="14.4">
      <c r="AA9300" s="463"/>
      <c r="AB9300" s="462"/>
      <c r="AC9300" s="462"/>
      <c r="AD9300" s="464"/>
      <c r="AE9300" s="465"/>
    </row>
    <row r="9301" spans="27:31" ht="14.4">
      <c r="AA9301" s="463"/>
      <c r="AB9301" s="462"/>
      <c r="AC9301" s="462"/>
      <c r="AD9301" s="464"/>
      <c r="AE9301" s="465"/>
    </row>
    <row r="9302" spans="27:31" ht="14.4">
      <c r="AA9302" s="463"/>
      <c r="AB9302" s="462"/>
      <c r="AC9302" s="462"/>
      <c r="AD9302" s="464"/>
      <c r="AE9302" s="465"/>
    </row>
    <row r="9303" spans="27:31" ht="14.4">
      <c r="AA9303" s="463"/>
      <c r="AB9303" s="462"/>
      <c r="AC9303" s="462"/>
      <c r="AD9303" s="464"/>
      <c r="AE9303" s="465"/>
    </row>
    <row r="9304" spans="27:31" ht="14.4">
      <c r="AA9304" s="463"/>
      <c r="AB9304" s="462"/>
      <c r="AC9304" s="462"/>
      <c r="AD9304" s="464"/>
      <c r="AE9304" s="465"/>
    </row>
    <row r="9305" spans="27:31" ht="14.4">
      <c r="AA9305" s="463"/>
      <c r="AB9305" s="462"/>
      <c r="AC9305" s="462"/>
      <c r="AD9305" s="464"/>
      <c r="AE9305" s="465"/>
    </row>
    <row r="9306" spans="27:31" ht="14.4">
      <c r="AA9306" s="463"/>
      <c r="AB9306" s="462"/>
      <c r="AC9306" s="462"/>
      <c r="AD9306" s="464"/>
      <c r="AE9306" s="465"/>
    </row>
    <row r="9307" spans="27:31" ht="14.4">
      <c r="AA9307" s="463"/>
      <c r="AB9307" s="462"/>
      <c r="AC9307" s="462"/>
      <c r="AD9307" s="464"/>
      <c r="AE9307" s="465"/>
    </row>
    <row r="9308" spans="27:31" ht="14.4">
      <c r="AA9308" s="463"/>
      <c r="AB9308" s="462"/>
      <c r="AC9308" s="462"/>
      <c r="AD9308" s="464"/>
      <c r="AE9308" s="465"/>
    </row>
    <row r="9309" spans="27:31" ht="14.4">
      <c r="AA9309" s="463"/>
      <c r="AB9309" s="462"/>
      <c r="AC9309" s="462"/>
      <c r="AD9309" s="464"/>
      <c r="AE9309" s="465"/>
    </row>
    <row r="9310" spans="27:31" ht="14.4">
      <c r="AA9310" s="463"/>
      <c r="AB9310" s="462"/>
      <c r="AC9310" s="462"/>
      <c r="AD9310" s="464"/>
      <c r="AE9310" s="465"/>
    </row>
    <row r="9311" spans="27:31" ht="14.4">
      <c r="AA9311" s="463"/>
      <c r="AB9311" s="462"/>
      <c r="AC9311" s="462"/>
      <c r="AD9311" s="464"/>
      <c r="AE9311" s="465"/>
    </row>
    <row r="9312" spans="27:31" ht="14.4">
      <c r="AA9312" s="463"/>
      <c r="AB9312" s="462"/>
      <c r="AC9312" s="462"/>
      <c r="AD9312" s="464"/>
      <c r="AE9312" s="465"/>
    </row>
    <row r="9313" spans="27:31" ht="14.4">
      <c r="AA9313" s="463"/>
      <c r="AB9313" s="462"/>
      <c r="AC9313" s="462"/>
      <c r="AD9313" s="464"/>
      <c r="AE9313" s="465"/>
    </row>
    <row r="9314" spans="27:31" ht="14.4">
      <c r="AA9314" s="463"/>
      <c r="AB9314" s="462"/>
      <c r="AC9314" s="462"/>
      <c r="AD9314" s="464"/>
      <c r="AE9314" s="465"/>
    </row>
    <row r="9315" spans="27:31" ht="14.4">
      <c r="AA9315" s="463"/>
      <c r="AB9315" s="462"/>
      <c r="AC9315" s="462"/>
      <c r="AD9315" s="464"/>
      <c r="AE9315" s="465"/>
    </row>
    <row r="9316" spans="27:31" ht="14.4">
      <c r="AA9316" s="463"/>
      <c r="AB9316" s="462"/>
      <c r="AC9316" s="462"/>
      <c r="AD9316" s="464"/>
      <c r="AE9316" s="465"/>
    </row>
    <row r="9317" spans="27:31" ht="14.4">
      <c r="AA9317" s="463"/>
      <c r="AB9317" s="462"/>
      <c r="AC9317" s="462"/>
      <c r="AD9317" s="464"/>
      <c r="AE9317" s="465"/>
    </row>
    <row r="9318" spans="27:31" ht="14.4">
      <c r="AA9318" s="463"/>
      <c r="AB9318" s="462"/>
      <c r="AC9318" s="462"/>
      <c r="AD9318" s="464"/>
      <c r="AE9318" s="465"/>
    </row>
    <row r="9319" spans="27:31" ht="14.4">
      <c r="AA9319" s="463"/>
      <c r="AB9319" s="462"/>
      <c r="AC9319" s="462"/>
      <c r="AD9319" s="464"/>
      <c r="AE9319" s="465"/>
    </row>
    <row r="9320" spans="27:31" ht="14.4">
      <c r="AA9320" s="463"/>
      <c r="AB9320" s="462"/>
      <c r="AC9320" s="462"/>
      <c r="AD9320" s="464"/>
      <c r="AE9320" s="465"/>
    </row>
    <row r="9321" spans="27:31" ht="14.4">
      <c r="AA9321" s="463"/>
      <c r="AB9321" s="462"/>
      <c r="AC9321" s="462"/>
      <c r="AD9321" s="464"/>
      <c r="AE9321" s="465"/>
    </row>
    <row r="9322" spans="27:31" ht="14.4">
      <c r="AA9322" s="463"/>
      <c r="AB9322" s="462"/>
      <c r="AC9322" s="462"/>
      <c r="AD9322" s="464"/>
      <c r="AE9322" s="465"/>
    </row>
    <row r="9323" spans="27:31" ht="14.4">
      <c r="AA9323" s="463"/>
      <c r="AB9323" s="462"/>
      <c r="AC9323" s="462"/>
      <c r="AD9323" s="464"/>
      <c r="AE9323" s="465"/>
    </row>
    <row r="9324" spans="27:31" ht="14.4">
      <c r="AA9324" s="463"/>
      <c r="AB9324" s="462"/>
      <c r="AC9324" s="462"/>
      <c r="AD9324" s="464"/>
      <c r="AE9324" s="465"/>
    </row>
    <row r="9325" spans="27:31" ht="14.4">
      <c r="AA9325" s="463"/>
      <c r="AB9325" s="462"/>
      <c r="AC9325" s="462"/>
      <c r="AD9325" s="464"/>
      <c r="AE9325" s="465"/>
    </row>
    <row r="9326" spans="27:31" ht="14.4">
      <c r="AA9326" s="463"/>
      <c r="AB9326" s="462"/>
      <c r="AC9326" s="462"/>
      <c r="AD9326" s="464"/>
      <c r="AE9326" s="465"/>
    </row>
    <row r="9327" spans="27:31" ht="14.4">
      <c r="AA9327" s="463"/>
      <c r="AB9327" s="462"/>
      <c r="AC9327" s="462"/>
      <c r="AD9327" s="464"/>
      <c r="AE9327" s="465"/>
    </row>
    <row r="9328" spans="27:31" ht="14.4">
      <c r="AA9328" s="463"/>
      <c r="AB9328" s="462"/>
      <c r="AC9328" s="462"/>
      <c r="AD9328" s="464"/>
      <c r="AE9328" s="465"/>
    </row>
    <row r="9329" spans="27:31" ht="14.4">
      <c r="AA9329" s="463"/>
      <c r="AB9329" s="462"/>
      <c r="AC9329" s="462"/>
      <c r="AD9329" s="464"/>
      <c r="AE9329" s="465"/>
    </row>
    <row r="9330" spans="27:31" ht="14.4">
      <c r="AA9330" s="463"/>
      <c r="AB9330" s="462"/>
      <c r="AC9330" s="462"/>
      <c r="AD9330" s="464"/>
      <c r="AE9330" s="465"/>
    </row>
    <row r="9331" spans="27:31" ht="14.4">
      <c r="AA9331" s="463"/>
      <c r="AB9331" s="462"/>
      <c r="AC9331" s="462"/>
      <c r="AD9331" s="464"/>
      <c r="AE9331" s="465"/>
    </row>
    <row r="9332" spans="27:31" ht="14.4">
      <c r="AA9332" s="463"/>
      <c r="AB9332" s="462"/>
      <c r="AC9332" s="462"/>
      <c r="AD9332" s="464"/>
      <c r="AE9332" s="465"/>
    </row>
    <row r="9333" spans="27:31" ht="14.4">
      <c r="AA9333" s="463"/>
      <c r="AB9333" s="462"/>
      <c r="AC9333" s="462"/>
      <c r="AD9333" s="464"/>
      <c r="AE9333" s="465"/>
    </row>
    <row r="9334" spans="27:31" ht="14.4">
      <c r="AA9334" s="463"/>
      <c r="AB9334" s="462"/>
      <c r="AC9334" s="462"/>
      <c r="AD9334" s="464"/>
      <c r="AE9334" s="465"/>
    </row>
    <row r="9335" spans="27:31" ht="14.4">
      <c r="AA9335" s="463"/>
      <c r="AB9335" s="462"/>
      <c r="AC9335" s="462"/>
      <c r="AD9335" s="464"/>
      <c r="AE9335" s="465"/>
    </row>
    <row r="9336" spans="27:31" ht="14.4">
      <c r="AA9336" s="463"/>
      <c r="AB9336" s="462"/>
      <c r="AC9336" s="462"/>
      <c r="AD9336" s="464"/>
      <c r="AE9336" s="465"/>
    </row>
    <row r="9337" spans="27:31" ht="14.4">
      <c r="AA9337" s="463"/>
      <c r="AB9337" s="462"/>
      <c r="AC9337" s="462"/>
      <c r="AD9337" s="464"/>
      <c r="AE9337" s="465"/>
    </row>
    <row r="9338" spans="27:31" ht="14.4">
      <c r="AA9338" s="463"/>
      <c r="AB9338" s="462"/>
      <c r="AC9338" s="462"/>
      <c r="AD9338" s="464"/>
      <c r="AE9338" s="465"/>
    </row>
    <row r="9339" spans="27:31" ht="14.4">
      <c r="AA9339" s="463"/>
      <c r="AB9339" s="462"/>
      <c r="AC9339" s="462"/>
      <c r="AD9339" s="464"/>
      <c r="AE9339" s="465"/>
    </row>
    <row r="9340" spans="27:31" ht="14.4">
      <c r="AA9340" s="463"/>
      <c r="AB9340" s="462"/>
      <c r="AC9340" s="462"/>
      <c r="AD9340" s="464"/>
      <c r="AE9340" s="465"/>
    </row>
    <row r="9341" spans="27:31" ht="14.4">
      <c r="AA9341" s="463"/>
      <c r="AB9341" s="462"/>
      <c r="AC9341" s="462"/>
      <c r="AD9341" s="464"/>
      <c r="AE9341" s="465"/>
    </row>
    <row r="9342" spans="27:31" ht="14.4">
      <c r="AA9342" s="463"/>
      <c r="AB9342" s="462"/>
      <c r="AC9342" s="462"/>
      <c r="AD9342" s="464"/>
      <c r="AE9342" s="465"/>
    </row>
    <row r="9343" spans="27:31" ht="14.4">
      <c r="AA9343" s="463"/>
      <c r="AB9343" s="462"/>
      <c r="AC9343" s="462"/>
      <c r="AD9343" s="464"/>
      <c r="AE9343" s="465"/>
    </row>
    <row r="9344" spans="27:31" ht="14.4">
      <c r="AA9344" s="463"/>
      <c r="AB9344" s="462"/>
      <c r="AC9344" s="462"/>
      <c r="AD9344" s="464"/>
      <c r="AE9344" s="465"/>
    </row>
    <row r="9345" spans="27:31" ht="14.4">
      <c r="AA9345" s="463"/>
      <c r="AB9345" s="462"/>
      <c r="AC9345" s="462"/>
      <c r="AD9345" s="464"/>
      <c r="AE9345" s="465"/>
    </row>
    <row r="9346" spans="27:31" ht="14.4">
      <c r="AA9346" s="463"/>
      <c r="AB9346" s="462"/>
      <c r="AC9346" s="462"/>
      <c r="AD9346" s="464"/>
      <c r="AE9346" s="465"/>
    </row>
    <row r="9347" spans="27:31" ht="14.4">
      <c r="AA9347" s="463"/>
      <c r="AB9347" s="462"/>
      <c r="AC9347" s="462"/>
      <c r="AD9347" s="464"/>
      <c r="AE9347" s="465"/>
    </row>
    <row r="9348" spans="27:31" ht="14.4">
      <c r="AA9348" s="463"/>
      <c r="AB9348" s="462"/>
      <c r="AC9348" s="462"/>
      <c r="AD9348" s="464"/>
      <c r="AE9348" s="465"/>
    </row>
    <row r="9349" spans="27:31" ht="14.4">
      <c r="AA9349" s="463"/>
      <c r="AB9349" s="462"/>
      <c r="AC9349" s="462"/>
      <c r="AD9349" s="464"/>
      <c r="AE9349" s="465"/>
    </row>
    <row r="9350" spans="27:31" ht="14.4">
      <c r="AA9350" s="463"/>
      <c r="AB9350" s="462"/>
      <c r="AC9350" s="462"/>
      <c r="AD9350" s="464"/>
      <c r="AE9350" s="465"/>
    </row>
    <row r="9351" spans="27:31" ht="14.4">
      <c r="AA9351" s="463"/>
      <c r="AB9351" s="462"/>
      <c r="AC9351" s="462"/>
      <c r="AD9351" s="464"/>
      <c r="AE9351" s="465"/>
    </row>
    <row r="9352" spans="27:31" ht="14.4">
      <c r="AA9352" s="463"/>
      <c r="AB9352" s="462"/>
      <c r="AC9352" s="462"/>
      <c r="AD9352" s="464"/>
      <c r="AE9352" s="465"/>
    </row>
    <row r="9353" spans="27:31" ht="14.4">
      <c r="AA9353" s="463"/>
      <c r="AB9353" s="462"/>
      <c r="AC9353" s="462"/>
      <c r="AD9353" s="464"/>
      <c r="AE9353" s="465"/>
    </row>
    <row r="9354" spans="27:31" ht="14.4">
      <c r="AA9354" s="463"/>
      <c r="AB9354" s="462"/>
      <c r="AC9354" s="462"/>
      <c r="AD9354" s="464"/>
      <c r="AE9354" s="465"/>
    </row>
    <row r="9355" spans="27:31" ht="14.4">
      <c r="AA9355" s="463"/>
      <c r="AB9355" s="462"/>
      <c r="AC9355" s="462"/>
      <c r="AD9355" s="464"/>
      <c r="AE9355" s="465"/>
    </row>
    <row r="9356" spans="27:31" ht="14.4">
      <c r="AA9356" s="463"/>
      <c r="AB9356" s="462"/>
      <c r="AC9356" s="462"/>
      <c r="AD9356" s="464"/>
      <c r="AE9356" s="465"/>
    </row>
    <row r="9357" spans="27:31" ht="14.4">
      <c r="AA9357" s="463"/>
      <c r="AB9357" s="462"/>
      <c r="AC9357" s="462"/>
      <c r="AD9357" s="464"/>
      <c r="AE9357" s="465"/>
    </row>
    <row r="9358" spans="27:31" ht="14.4">
      <c r="AA9358" s="463"/>
      <c r="AB9358" s="462"/>
      <c r="AC9358" s="462"/>
      <c r="AD9358" s="464"/>
      <c r="AE9358" s="465"/>
    </row>
    <row r="9359" spans="27:31" ht="14.4">
      <c r="AA9359" s="463"/>
      <c r="AB9359" s="462"/>
      <c r="AC9359" s="462"/>
      <c r="AD9359" s="464"/>
      <c r="AE9359" s="465"/>
    </row>
    <row r="9360" spans="27:31" ht="14.4">
      <c r="AA9360" s="463"/>
      <c r="AB9360" s="462"/>
      <c r="AC9360" s="462"/>
      <c r="AD9360" s="464"/>
      <c r="AE9360" s="465"/>
    </row>
    <row r="9361" spans="27:31" ht="14.4">
      <c r="AA9361" s="463"/>
      <c r="AB9361" s="462"/>
      <c r="AC9361" s="462"/>
      <c r="AD9361" s="464"/>
      <c r="AE9361" s="465"/>
    </row>
    <row r="9362" spans="27:31" ht="14.4">
      <c r="AA9362" s="463"/>
      <c r="AB9362" s="462"/>
      <c r="AC9362" s="462"/>
      <c r="AD9362" s="464"/>
      <c r="AE9362" s="465"/>
    </row>
    <row r="9363" spans="27:31" ht="14.4">
      <c r="AA9363" s="463"/>
      <c r="AB9363" s="462"/>
      <c r="AC9363" s="462"/>
      <c r="AD9363" s="464"/>
      <c r="AE9363" s="465"/>
    </row>
    <row r="9364" spans="27:31" ht="14.4">
      <c r="AA9364" s="463"/>
      <c r="AB9364" s="462"/>
      <c r="AC9364" s="462"/>
      <c r="AD9364" s="464"/>
      <c r="AE9364" s="465"/>
    </row>
    <row r="9365" spans="27:31" ht="14.4">
      <c r="AA9365" s="463"/>
      <c r="AB9365" s="462"/>
      <c r="AC9365" s="462"/>
      <c r="AD9365" s="464"/>
      <c r="AE9365" s="465"/>
    </row>
    <row r="9366" spans="27:31" ht="14.4">
      <c r="AA9366" s="463"/>
      <c r="AB9366" s="462"/>
      <c r="AC9366" s="462"/>
      <c r="AD9366" s="464"/>
      <c r="AE9366" s="465"/>
    </row>
    <row r="9367" spans="27:31" ht="14.4">
      <c r="AA9367" s="463"/>
      <c r="AB9367" s="462"/>
      <c r="AC9367" s="462"/>
      <c r="AD9367" s="464"/>
      <c r="AE9367" s="465"/>
    </row>
    <row r="9368" spans="27:31" ht="14.4">
      <c r="AA9368" s="463"/>
      <c r="AB9368" s="462"/>
      <c r="AC9368" s="462"/>
      <c r="AD9368" s="464"/>
      <c r="AE9368" s="465"/>
    </row>
    <row r="9369" spans="27:31" ht="14.4">
      <c r="AA9369" s="463"/>
      <c r="AB9369" s="462"/>
      <c r="AC9369" s="462"/>
      <c r="AD9369" s="464"/>
      <c r="AE9369" s="465"/>
    </row>
    <row r="9370" spans="27:31" ht="14.4">
      <c r="AA9370" s="463"/>
      <c r="AB9370" s="462"/>
      <c r="AC9370" s="462"/>
      <c r="AD9370" s="464"/>
      <c r="AE9370" s="465"/>
    </row>
    <row r="9371" spans="27:31" ht="14.4">
      <c r="AA9371" s="463"/>
      <c r="AB9371" s="462"/>
      <c r="AC9371" s="462"/>
      <c r="AD9371" s="464"/>
      <c r="AE9371" s="465"/>
    </row>
    <row r="9372" spans="27:31" ht="14.4">
      <c r="AA9372" s="463"/>
      <c r="AB9372" s="462"/>
      <c r="AC9372" s="462"/>
      <c r="AD9372" s="464"/>
      <c r="AE9372" s="465"/>
    </row>
    <row r="9373" spans="27:31" ht="14.4">
      <c r="AA9373" s="463"/>
      <c r="AB9373" s="462"/>
      <c r="AC9373" s="462"/>
      <c r="AD9373" s="464"/>
      <c r="AE9373" s="465"/>
    </row>
    <row r="9374" spans="27:31" ht="14.4">
      <c r="AA9374" s="463"/>
      <c r="AB9374" s="462"/>
      <c r="AC9374" s="462"/>
      <c r="AD9374" s="464"/>
      <c r="AE9374" s="465"/>
    </row>
    <row r="9375" spans="27:31" ht="14.4">
      <c r="AA9375" s="463"/>
      <c r="AB9375" s="462"/>
      <c r="AC9375" s="462"/>
      <c r="AD9375" s="464"/>
      <c r="AE9375" s="465"/>
    </row>
    <row r="9376" spans="27:31" ht="14.4">
      <c r="AA9376" s="463"/>
      <c r="AB9376" s="462"/>
      <c r="AC9376" s="462"/>
      <c r="AD9376" s="464"/>
      <c r="AE9376" s="465"/>
    </row>
    <row r="9377" spans="27:31" ht="14.4">
      <c r="AA9377" s="463"/>
      <c r="AB9377" s="462"/>
      <c r="AC9377" s="462"/>
      <c r="AD9377" s="464"/>
      <c r="AE9377" s="465"/>
    </row>
    <row r="9378" spans="27:31" ht="14.4">
      <c r="AA9378" s="463"/>
      <c r="AB9378" s="462"/>
      <c r="AC9378" s="462"/>
      <c r="AD9378" s="464"/>
      <c r="AE9378" s="465"/>
    </row>
    <row r="9379" spans="27:31" ht="14.4">
      <c r="AA9379" s="463"/>
      <c r="AB9379" s="462"/>
      <c r="AC9379" s="462"/>
      <c r="AD9379" s="464"/>
      <c r="AE9379" s="465"/>
    </row>
    <row r="9380" spans="27:31" ht="14.4">
      <c r="AA9380" s="463"/>
      <c r="AB9380" s="462"/>
      <c r="AC9380" s="462"/>
      <c r="AD9380" s="464"/>
      <c r="AE9380" s="465"/>
    </row>
    <row r="9381" spans="27:31" ht="14.4">
      <c r="AA9381" s="463"/>
      <c r="AB9381" s="462"/>
      <c r="AC9381" s="462"/>
      <c r="AD9381" s="464"/>
      <c r="AE9381" s="465"/>
    </row>
    <row r="9382" spans="27:31" ht="14.4">
      <c r="AA9382" s="463"/>
      <c r="AB9382" s="462"/>
      <c r="AC9382" s="462"/>
      <c r="AD9382" s="464"/>
      <c r="AE9382" s="465"/>
    </row>
    <row r="9383" spans="27:31" ht="14.4">
      <c r="AA9383" s="463"/>
      <c r="AB9383" s="462"/>
      <c r="AC9383" s="462"/>
      <c r="AD9383" s="464"/>
      <c r="AE9383" s="465"/>
    </row>
    <row r="9384" spans="27:31" ht="14.4">
      <c r="AA9384" s="463"/>
      <c r="AB9384" s="462"/>
      <c r="AC9384" s="462"/>
      <c r="AD9384" s="464"/>
      <c r="AE9384" s="465"/>
    </row>
    <row r="9385" spans="27:31" ht="14.4">
      <c r="AA9385" s="463"/>
      <c r="AB9385" s="462"/>
      <c r="AC9385" s="462"/>
      <c r="AD9385" s="464"/>
      <c r="AE9385" s="465"/>
    </row>
    <row r="9386" spans="27:31" ht="14.4">
      <c r="AA9386" s="463"/>
      <c r="AB9386" s="462"/>
      <c r="AC9386" s="462"/>
      <c r="AD9386" s="464"/>
      <c r="AE9386" s="465"/>
    </row>
    <row r="9387" spans="27:31" ht="14.4">
      <c r="AA9387" s="463"/>
      <c r="AB9387" s="462"/>
      <c r="AC9387" s="462"/>
      <c r="AD9387" s="464"/>
      <c r="AE9387" s="465"/>
    </row>
    <row r="9388" spans="27:31" ht="14.4">
      <c r="AA9388" s="463"/>
      <c r="AB9388" s="462"/>
      <c r="AC9388" s="462"/>
      <c r="AD9388" s="464"/>
      <c r="AE9388" s="465"/>
    </row>
    <row r="9389" spans="27:31" ht="14.4">
      <c r="AA9389" s="463"/>
      <c r="AB9389" s="462"/>
      <c r="AC9389" s="462"/>
      <c r="AD9389" s="464"/>
      <c r="AE9389" s="465"/>
    </row>
    <row r="9390" spans="27:31" ht="14.4">
      <c r="AA9390" s="463"/>
      <c r="AB9390" s="462"/>
      <c r="AC9390" s="462"/>
      <c r="AD9390" s="464"/>
      <c r="AE9390" s="465"/>
    </row>
    <row r="9391" spans="27:31" ht="14.4">
      <c r="AA9391" s="463"/>
      <c r="AB9391" s="462"/>
      <c r="AC9391" s="462"/>
      <c r="AD9391" s="464"/>
      <c r="AE9391" s="465"/>
    </row>
    <row r="9392" spans="27:31" ht="14.4">
      <c r="AA9392" s="463"/>
      <c r="AB9392" s="462"/>
      <c r="AC9392" s="462"/>
      <c r="AD9392" s="464"/>
      <c r="AE9392" s="465"/>
    </row>
    <row r="9393" spans="27:31" ht="14.4">
      <c r="AA9393" s="463"/>
      <c r="AB9393" s="462"/>
      <c r="AC9393" s="462"/>
      <c r="AD9393" s="464"/>
      <c r="AE9393" s="465"/>
    </row>
    <row r="9394" spans="27:31" ht="14.4">
      <c r="AA9394" s="463"/>
      <c r="AB9394" s="462"/>
      <c r="AC9394" s="462"/>
      <c r="AD9394" s="464"/>
      <c r="AE9394" s="465"/>
    </row>
    <row r="9395" spans="27:31" ht="14.4">
      <c r="AA9395" s="463"/>
      <c r="AB9395" s="462"/>
      <c r="AC9395" s="462"/>
      <c r="AD9395" s="464"/>
      <c r="AE9395" s="465"/>
    </row>
    <row r="9396" spans="27:31" ht="14.4">
      <c r="AA9396" s="463"/>
      <c r="AB9396" s="462"/>
      <c r="AC9396" s="462"/>
      <c r="AD9396" s="464"/>
      <c r="AE9396" s="465"/>
    </row>
    <row r="9397" spans="27:31" ht="14.4">
      <c r="AA9397" s="463"/>
      <c r="AB9397" s="462"/>
      <c r="AC9397" s="462"/>
      <c r="AD9397" s="464"/>
      <c r="AE9397" s="465"/>
    </row>
    <row r="9398" spans="27:31" ht="14.4">
      <c r="AA9398" s="463"/>
      <c r="AB9398" s="462"/>
      <c r="AC9398" s="462"/>
      <c r="AD9398" s="464"/>
      <c r="AE9398" s="465"/>
    </row>
    <row r="9399" spans="27:31" ht="14.4">
      <c r="AA9399" s="463"/>
      <c r="AB9399" s="462"/>
      <c r="AC9399" s="462"/>
      <c r="AD9399" s="464"/>
      <c r="AE9399" s="465"/>
    </row>
    <row r="9400" spans="27:31" ht="14.4">
      <c r="AA9400" s="463"/>
      <c r="AB9400" s="462"/>
      <c r="AC9400" s="462"/>
      <c r="AD9400" s="464"/>
      <c r="AE9400" s="465"/>
    </row>
    <row r="9401" spans="27:31" ht="14.4">
      <c r="AA9401" s="463"/>
      <c r="AB9401" s="462"/>
      <c r="AC9401" s="462"/>
      <c r="AD9401" s="464"/>
      <c r="AE9401" s="465"/>
    </row>
    <row r="9402" spans="27:31" ht="14.4">
      <c r="AA9402" s="463"/>
      <c r="AB9402" s="462"/>
      <c r="AC9402" s="462"/>
      <c r="AD9402" s="464"/>
      <c r="AE9402" s="465"/>
    </row>
    <row r="9403" spans="27:31" ht="14.4">
      <c r="AA9403" s="463"/>
      <c r="AB9403" s="462"/>
      <c r="AC9403" s="462"/>
      <c r="AD9403" s="464"/>
      <c r="AE9403" s="465"/>
    </row>
    <row r="9404" spans="27:31" ht="14.4">
      <c r="AA9404" s="463"/>
      <c r="AB9404" s="462"/>
      <c r="AC9404" s="462"/>
      <c r="AD9404" s="464"/>
      <c r="AE9404" s="465"/>
    </row>
    <row r="9405" spans="27:31" ht="14.4">
      <c r="AA9405" s="463"/>
      <c r="AB9405" s="462"/>
      <c r="AC9405" s="462"/>
      <c r="AD9405" s="464"/>
      <c r="AE9405" s="465"/>
    </row>
    <row r="9406" spans="27:31" ht="14.4">
      <c r="AA9406" s="463"/>
      <c r="AB9406" s="462"/>
      <c r="AC9406" s="462"/>
      <c r="AD9406" s="464"/>
      <c r="AE9406" s="465"/>
    </row>
    <row r="9407" spans="27:31" ht="14.4">
      <c r="AA9407" s="463"/>
      <c r="AB9407" s="462"/>
      <c r="AC9407" s="462"/>
      <c r="AD9407" s="464"/>
      <c r="AE9407" s="465"/>
    </row>
    <row r="9408" spans="27:31" ht="14.4">
      <c r="AA9408" s="463"/>
      <c r="AB9408" s="462"/>
      <c r="AC9408" s="462"/>
      <c r="AD9408" s="464"/>
      <c r="AE9408" s="465"/>
    </row>
    <row r="9409" spans="27:31" ht="14.4">
      <c r="AA9409" s="463"/>
      <c r="AB9409" s="462"/>
      <c r="AC9409" s="462"/>
      <c r="AD9409" s="464"/>
      <c r="AE9409" s="465"/>
    </row>
    <row r="9410" spans="27:31" ht="14.4">
      <c r="AA9410" s="463"/>
      <c r="AB9410" s="462"/>
      <c r="AC9410" s="462"/>
      <c r="AD9410" s="464"/>
      <c r="AE9410" s="465"/>
    </row>
    <row r="9411" spans="27:31" ht="14.4">
      <c r="AA9411" s="463"/>
      <c r="AB9411" s="462"/>
      <c r="AC9411" s="462"/>
      <c r="AD9411" s="464"/>
      <c r="AE9411" s="465"/>
    </row>
    <row r="9412" spans="27:31" ht="14.4">
      <c r="AA9412" s="463"/>
      <c r="AB9412" s="462"/>
      <c r="AC9412" s="462"/>
      <c r="AD9412" s="464"/>
      <c r="AE9412" s="465"/>
    </row>
    <row r="9413" spans="27:31" ht="14.4">
      <c r="AA9413" s="463"/>
      <c r="AB9413" s="462"/>
      <c r="AC9413" s="462"/>
      <c r="AD9413" s="464"/>
      <c r="AE9413" s="465"/>
    </row>
    <row r="9414" spans="27:31" ht="14.4">
      <c r="AA9414" s="463"/>
      <c r="AB9414" s="462"/>
      <c r="AC9414" s="462"/>
      <c r="AD9414" s="464"/>
      <c r="AE9414" s="465"/>
    </row>
    <row r="9415" spans="27:31" ht="14.4">
      <c r="AA9415" s="463"/>
      <c r="AB9415" s="462"/>
      <c r="AC9415" s="462"/>
      <c r="AD9415" s="464"/>
      <c r="AE9415" s="465"/>
    </row>
    <row r="9416" spans="27:31" ht="14.4">
      <c r="AA9416" s="463"/>
      <c r="AB9416" s="462"/>
      <c r="AC9416" s="462"/>
      <c r="AD9416" s="464"/>
      <c r="AE9416" s="465"/>
    </row>
    <row r="9417" spans="27:31" ht="14.4">
      <c r="AA9417" s="463"/>
      <c r="AB9417" s="462"/>
      <c r="AC9417" s="462"/>
      <c r="AD9417" s="464"/>
      <c r="AE9417" s="465"/>
    </row>
    <row r="9418" spans="27:31" ht="14.4">
      <c r="AA9418" s="463"/>
      <c r="AB9418" s="462"/>
      <c r="AC9418" s="462"/>
      <c r="AD9418" s="464"/>
      <c r="AE9418" s="465"/>
    </row>
    <row r="9419" spans="27:31" ht="14.4">
      <c r="AA9419" s="463"/>
      <c r="AB9419" s="462"/>
      <c r="AC9419" s="462"/>
      <c r="AD9419" s="464"/>
      <c r="AE9419" s="465"/>
    </row>
    <row r="9420" spans="27:31" ht="14.4">
      <c r="AA9420" s="463"/>
      <c r="AB9420" s="462"/>
      <c r="AC9420" s="462"/>
      <c r="AD9420" s="464"/>
      <c r="AE9420" s="465"/>
    </row>
    <row r="9421" spans="27:31" ht="14.4">
      <c r="AA9421" s="463"/>
      <c r="AB9421" s="462"/>
      <c r="AC9421" s="462"/>
      <c r="AD9421" s="464"/>
      <c r="AE9421" s="465"/>
    </row>
    <row r="9422" spans="27:31" ht="14.4">
      <c r="AA9422" s="463"/>
      <c r="AB9422" s="462"/>
      <c r="AC9422" s="462"/>
      <c r="AD9422" s="464"/>
      <c r="AE9422" s="465"/>
    </row>
    <row r="9423" spans="27:31" ht="14.4">
      <c r="AA9423" s="463"/>
      <c r="AB9423" s="462"/>
      <c r="AC9423" s="462"/>
      <c r="AD9423" s="464"/>
      <c r="AE9423" s="465"/>
    </row>
    <row r="9424" spans="27:31" ht="14.4">
      <c r="AA9424" s="463"/>
      <c r="AB9424" s="462"/>
      <c r="AC9424" s="462"/>
      <c r="AD9424" s="464"/>
      <c r="AE9424" s="465"/>
    </row>
    <row r="9425" spans="27:31" ht="14.4">
      <c r="AA9425" s="463"/>
      <c r="AB9425" s="462"/>
      <c r="AC9425" s="462"/>
      <c r="AD9425" s="464"/>
      <c r="AE9425" s="465"/>
    </row>
    <row r="9426" spans="27:31" ht="14.4">
      <c r="AA9426" s="463"/>
      <c r="AB9426" s="462"/>
      <c r="AC9426" s="462"/>
      <c r="AD9426" s="464"/>
      <c r="AE9426" s="465"/>
    </row>
    <row r="9427" spans="27:31" ht="14.4">
      <c r="AA9427" s="463"/>
      <c r="AB9427" s="462"/>
      <c r="AC9427" s="462"/>
      <c r="AD9427" s="464"/>
      <c r="AE9427" s="465"/>
    </row>
    <row r="9428" spans="27:31" ht="14.4">
      <c r="AA9428" s="463"/>
      <c r="AB9428" s="462"/>
      <c r="AC9428" s="462"/>
      <c r="AD9428" s="464"/>
      <c r="AE9428" s="465"/>
    </row>
    <row r="9429" spans="27:31" ht="14.4">
      <c r="AA9429" s="463"/>
      <c r="AB9429" s="462"/>
      <c r="AC9429" s="462"/>
      <c r="AD9429" s="464"/>
      <c r="AE9429" s="465"/>
    </row>
    <row r="9430" spans="27:31" ht="14.4">
      <c r="AA9430" s="463"/>
      <c r="AB9430" s="462"/>
      <c r="AC9430" s="462"/>
      <c r="AD9430" s="464"/>
      <c r="AE9430" s="465"/>
    </row>
    <row r="9431" spans="27:31" ht="14.4">
      <c r="AA9431" s="463"/>
      <c r="AB9431" s="462"/>
      <c r="AC9431" s="462"/>
      <c r="AD9431" s="464"/>
      <c r="AE9431" s="465"/>
    </row>
    <row r="9432" spans="27:31" ht="14.4">
      <c r="AA9432" s="463"/>
      <c r="AB9432" s="462"/>
      <c r="AC9432" s="462"/>
      <c r="AD9432" s="464"/>
      <c r="AE9432" s="465"/>
    </row>
    <row r="9433" spans="27:31" ht="14.4">
      <c r="AA9433" s="463"/>
      <c r="AB9433" s="462"/>
      <c r="AC9433" s="462"/>
      <c r="AD9433" s="464"/>
      <c r="AE9433" s="465"/>
    </row>
    <row r="9434" spans="27:31" ht="14.4">
      <c r="AA9434" s="463"/>
      <c r="AB9434" s="462"/>
      <c r="AC9434" s="462"/>
      <c r="AD9434" s="464"/>
      <c r="AE9434" s="465"/>
    </row>
    <row r="9435" spans="27:31" ht="14.4">
      <c r="AA9435" s="463"/>
      <c r="AB9435" s="462"/>
      <c r="AC9435" s="462"/>
      <c r="AD9435" s="464"/>
      <c r="AE9435" s="465"/>
    </row>
    <row r="9436" spans="27:31" ht="14.4">
      <c r="AA9436" s="463"/>
      <c r="AB9436" s="462"/>
      <c r="AC9436" s="462"/>
      <c r="AD9436" s="464"/>
      <c r="AE9436" s="465"/>
    </row>
    <row r="9437" spans="27:31" ht="14.4">
      <c r="AA9437" s="463"/>
      <c r="AB9437" s="462"/>
      <c r="AC9437" s="462"/>
      <c r="AD9437" s="464"/>
      <c r="AE9437" s="465"/>
    </row>
    <row r="9438" spans="27:31" ht="14.4">
      <c r="AA9438" s="463"/>
      <c r="AB9438" s="462"/>
      <c r="AC9438" s="462"/>
      <c r="AD9438" s="464"/>
      <c r="AE9438" s="465"/>
    </row>
    <row r="9439" spans="27:31" ht="14.4">
      <c r="AA9439" s="463"/>
      <c r="AB9439" s="462"/>
      <c r="AC9439" s="462"/>
      <c r="AD9439" s="464"/>
      <c r="AE9439" s="465"/>
    </row>
    <row r="9440" spans="27:31" ht="14.4">
      <c r="AA9440" s="463"/>
      <c r="AB9440" s="462"/>
      <c r="AC9440" s="462"/>
      <c r="AD9440" s="464"/>
      <c r="AE9440" s="465"/>
    </row>
    <row r="9441" spans="27:31" ht="14.4">
      <c r="AA9441" s="463"/>
      <c r="AB9441" s="462"/>
      <c r="AC9441" s="462"/>
      <c r="AD9441" s="464"/>
      <c r="AE9441" s="465"/>
    </row>
    <row r="9442" spans="27:31" ht="14.4">
      <c r="AA9442" s="463"/>
      <c r="AB9442" s="462"/>
      <c r="AC9442" s="462"/>
      <c r="AD9442" s="464"/>
      <c r="AE9442" s="465"/>
    </row>
    <row r="9443" spans="27:31" ht="14.4">
      <c r="AA9443" s="463"/>
      <c r="AB9443" s="462"/>
      <c r="AC9443" s="462"/>
      <c r="AD9443" s="464"/>
      <c r="AE9443" s="465"/>
    </row>
    <row r="9444" spans="27:31" ht="14.4">
      <c r="AA9444" s="463"/>
      <c r="AB9444" s="462"/>
      <c r="AC9444" s="462"/>
      <c r="AD9444" s="464"/>
      <c r="AE9444" s="465"/>
    </row>
    <row r="9445" spans="27:31" ht="14.4">
      <c r="AA9445" s="463"/>
      <c r="AB9445" s="462"/>
      <c r="AC9445" s="462"/>
      <c r="AD9445" s="464"/>
      <c r="AE9445" s="465"/>
    </row>
    <row r="9446" spans="27:31" ht="14.4">
      <c r="AA9446" s="463"/>
      <c r="AB9446" s="462"/>
      <c r="AC9446" s="462"/>
      <c r="AD9446" s="464"/>
      <c r="AE9446" s="465"/>
    </row>
    <row r="9447" spans="27:31" ht="14.4">
      <c r="AA9447" s="463"/>
      <c r="AB9447" s="462"/>
      <c r="AC9447" s="462"/>
      <c r="AD9447" s="464"/>
      <c r="AE9447" s="465"/>
    </row>
    <row r="9448" spans="27:31" ht="14.4">
      <c r="AA9448" s="463"/>
      <c r="AB9448" s="462"/>
      <c r="AC9448" s="462"/>
      <c r="AD9448" s="464"/>
      <c r="AE9448" s="465"/>
    </row>
    <row r="9449" spans="27:31" ht="14.4">
      <c r="AA9449" s="463"/>
      <c r="AB9449" s="462"/>
      <c r="AC9449" s="462"/>
      <c r="AD9449" s="464"/>
      <c r="AE9449" s="465"/>
    </row>
    <row r="9450" spans="27:31" ht="14.4">
      <c r="AA9450" s="463"/>
      <c r="AB9450" s="462"/>
      <c r="AC9450" s="462"/>
      <c r="AD9450" s="464"/>
      <c r="AE9450" s="465"/>
    </row>
    <row r="9451" spans="27:31" ht="14.4">
      <c r="AA9451" s="463"/>
      <c r="AB9451" s="462"/>
      <c r="AC9451" s="462"/>
      <c r="AD9451" s="464"/>
      <c r="AE9451" s="465"/>
    </row>
    <row r="9452" spans="27:31" ht="14.4">
      <c r="AA9452" s="463"/>
      <c r="AB9452" s="462"/>
      <c r="AC9452" s="462"/>
      <c r="AD9452" s="464"/>
      <c r="AE9452" s="465"/>
    </row>
    <row r="9453" spans="27:31" ht="14.4">
      <c r="AA9453" s="463"/>
      <c r="AB9453" s="462"/>
      <c r="AC9453" s="462"/>
      <c r="AD9453" s="464"/>
      <c r="AE9453" s="465"/>
    </row>
    <row r="9454" spans="27:31" ht="14.4">
      <c r="AA9454" s="463"/>
      <c r="AB9454" s="462"/>
      <c r="AC9454" s="462"/>
      <c r="AD9454" s="464"/>
      <c r="AE9454" s="465"/>
    </row>
    <row r="9455" spans="27:31" ht="14.4">
      <c r="AA9455" s="463"/>
      <c r="AB9455" s="462"/>
      <c r="AC9455" s="462"/>
      <c r="AD9455" s="464"/>
      <c r="AE9455" s="465"/>
    </row>
    <row r="9456" spans="27:31" ht="14.4">
      <c r="AA9456" s="463"/>
      <c r="AB9456" s="462"/>
      <c r="AC9456" s="462"/>
      <c r="AD9456" s="464"/>
      <c r="AE9456" s="465"/>
    </row>
    <row r="9457" spans="27:31" ht="14.4">
      <c r="AA9457" s="463"/>
      <c r="AB9457" s="462"/>
      <c r="AC9457" s="462"/>
      <c r="AD9457" s="464"/>
      <c r="AE9457" s="465"/>
    </row>
    <row r="9458" spans="27:31" ht="14.4">
      <c r="AA9458" s="463"/>
      <c r="AB9458" s="462"/>
      <c r="AC9458" s="462"/>
      <c r="AD9458" s="464"/>
      <c r="AE9458" s="465"/>
    </row>
    <row r="9459" spans="27:31" ht="14.4">
      <c r="AA9459" s="463"/>
      <c r="AB9459" s="462"/>
      <c r="AC9459" s="462"/>
      <c r="AD9459" s="464"/>
      <c r="AE9459" s="465"/>
    </row>
    <row r="9460" spans="27:31" ht="14.4">
      <c r="AA9460" s="463"/>
      <c r="AB9460" s="462"/>
      <c r="AC9460" s="462"/>
      <c r="AD9460" s="464"/>
      <c r="AE9460" s="465"/>
    </row>
    <row r="9461" spans="27:31" ht="14.4">
      <c r="AA9461" s="463"/>
      <c r="AB9461" s="462"/>
      <c r="AC9461" s="462"/>
      <c r="AD9461" s="464"/>
      <c r="AE9461" s="465"/>
    </row>
    <row r="9462" spans="27:31" ht="14.4">
      <c r="AA9462" s="463"/>
      <c r="AB9462" s="462"/>
      <c r="AC9462" s="462"/>
      <c r="AD9462" s="464"/>
      <c r="AE9462" s="465"/>
    </row>
    <row r="9463" spans="27:31" ht="14.4">
      <c r="AA9463" s="463"/>
      <c r="AB9463" s="462"/>
      <c r="AC9463" s="462"/>
      <c r="AD9463" s="464"/>
      <c r="AE9463" s="465"/>
    </row>
    <row r="9464" spans="27:31" ht="14.4">
      <c r="AA9464" s="463"/>
      <c r="AB9464" s="462"/>
      <c r="AC9464" s="462"/>
      <c r="AD9464" s="464"/>
      <c r="AE9464" s="465"/>
    </row>
    <row r="9465" spans="27:31" ht="14.4">
      <c r="AA9465" s="463"/>
      <c r="AB9465" s="462"/>
      <c r="AC9465" s="462"/>
      <c r="AD9465" s="464"/>
      <c r="AE9465" s="465"/>
    </row>
    <row r="9466" spans="27:31" ht="14.4">
      <c r="AA9466" s="463"/>
      <c r="AB9466" s="462"/>
      <c r="AC9466" s="462"/>
      <c r="AD9466" s="464"/>
      <c r="AE9466" s="465"/>
    </row>
    <row r="9467" spans="27:31" ht="14.4">
      <c r="AA9467" s="463"/>
      <c r="AB9467" s="462"/>
      <c r="AC9467" s="462"/>
      <c r="AD9467" s="464"/>
      <c r="AE9467" s="465"/>
    </row>
    <row r="9468" spans="27:31" ht="14.4">
      <c r="AA9468" s="463"/>
      <c r="AB9468" s="462"/>
      <c r="AC9468" s="462"/>
      <c r="AD9468" s="464"/>
      <c r="AE9468" s="465"/>
    </row>
    <row r="9469" spans="27:31" ht="14.4">
      <c r="AA9469" s="463"/>
      <c r="AB9469" s="462"/>
      <c r="AC9469" s="462"/>
      <c r="AD9469" s="464"/>
      <c r="AE9469" s="465"/>
    </row>
    <row r="9470" spans="27:31" ht="14.4">
      <c r="AA9470" s="463"/>
      <c r="AB9470" s="462"/>
      <c r="AC9470" s="462"/>
      <c r="AD9470" s="464"/>
      <c r="AE9470" s="465"/>
    </row>
    <row r="9471" spans="27:31" ht="14.4">
      <c r="AA9471" s="463"/>
      <c r="AB9471" s="462"/>
      <c r="AC9471" s="462"/>
      <c r="AD9471" s="464"/>
      <c r="AE9471" s="465"/>
    </row>
    <row r="9472" spans="27:31" ht="14.4">
      <c r="AA9472" s="463"/>
      <c r="AB9472" s="462"/>
      <c r="AC9472" s="462"/>
      <c r="AD9472" s="464"/>
      <c r="AE9472" s="465"/>
    </row>
    <row r="9473" spans="27:31" ht="14.4">
      <c r="AA9473" s="463"/>
      <c r="AB9473" s="462"/>
      <c r="AC9473" s="462"/>
      <c r="AD9473" s="464"/>
      <c r="AE9473" s="465"/>
    </row>
    <row r="9474" spans="27:31" ht="14.4">
      <c r="AA9474" s="463"/>
      <c r="AB9474" s="462"/>
      <c r="AC9474" s="462"/>
      <c r="AD9474" s="464"/>
      <c r="AE9474" s="465"/>
    </row>
    <row r="9475" spans="27:31" ht="14.4">
      <c r="AA9475" s="463"/>
      <c r="AB9475" s="462"/>
      <c r="AC9475" s="462"/>
      <c r="AD9475" s="464"/>
      <c r="AE9475" s="465"/>
    </row>
    <row r="9476" spans="27:31" ht="14.4">
      <c r="AA9476" s="463"/>
      <c r="AB9476" s="462"/>
      <c r="AC9476" s="462"/>
      <c r="AD9476" s="464"/>
      <c r="AE9476" s="465"/>
    </row>
    <row r="9477" spans="27:31" ht="14.4">
      <c r="AA9477" s="463"/>
      <c r="AB9477" s="462"/>
      <c r="AC9477" s="462"/>
      <c r="AD9477" s="464"/>
      <c r="AE9477" s="465"/>
    </row>
    <row r="9478" spans="27:31" ht="14.4">
      <c r="AA9478" s="463"/>
      <c r="AB9478" s="462"/>
      <c r="AC9478" s="462"/>
      <c r="AD9478" s="464"/>
      <c r="AE9478" s="465"/>
    </row>
    <row r="9479" spans="27:31" ht="14.4">
      <c r="AA9479" s="463"/>
      <c r="AB9479" s="462"/>
      <c r="AC9479" s="462"/>
      <c r="AD9479" s="464"/>
      <c r="AE9479" s="465"/>
    </row>
    <row r="9480" spans="27:31" ht="14.4">
      <c r="AA9480" s="463"/>
      <c r="AB9480" s="462"/>
      <c r="AC9480" s="462"/>
      <c r="AD9480" s="464"/>
      <c r="AE9480" s="465"/>
    </row>
    <row r="9481" spans="27:31" ht="14.4">
      <c r="AA9481" s="463"/>
      <c r="AB9481" s="462"/>
      <c r="AC9481" s="462"/>
      <c r="AD9481" s="464"/>
      <c r="AE9481" s="465"/>
    </row>
    <row r="9482" spans="27:31" ht="14.4">
      <c r="AA9482" s="463"/>
      <c r="AB9482" s="462"/>
      <c r="AC9482" s="462"/>
      <c r="AD9482" s="464"/>
      <c r="AE9482" s="465"/>
    </row>
    <row r="9483" spans="27:31" ht="14.4">
      <c r="AA9483" s="463"/>
      <c r="AB9483" s="462"/>
      <c r="AC9483" s="462"/>
      <c r="AD9483" s="464"/>
      <c r="AE9483" s="465"/>
    </row>
    <row r="9484" spans="27:31" ht="14.4">
      <c r="AA9484" s="463"/>
      <c r="AB9484" s="462"/>
      <c r="AC9484" s="462"/>
      <c r="AD9484" s="464"/>
      <c r="AE9484" s="465"/>
    </row>
    <row r="9485" spans="27:31" ht="14.4">
      <c r="AA9485" s="463"/>
      <c r="AB9485" s="462"/>
      <c r="AC9485" s="462"/>
      <c r="AD9485" s="464"/>
      <c r="AE9485" s="465"/>
    </row>
    <row r="9486" spans="27:31" ht="14.4">
      <c r="AA9486" s="463"/>
      <c r="AB9486" s="462"/>
      <c r="AC9486" s="462"/>
      <c r="AD9486" s="464"/>
      <c r="AE9486" s="465"/>
    </row>
    <row r="9487" spans="27:31" ht="14.4">
      <c r="AA9487" s="463"/>
      <c r="AB9487" s="462"/>
      <c r="AC9487" s="462"/>
      <c r="AD9487" s="464"/>
      <c r="AE9487" s="465"/>
    </row>
    <row r="9488" spans="27:31" ht="14.4">
      <c r="AA9488" s="463"/>
      <c r="AB9488" s="462"/>
      <c r="AC9488" s="462"/>
      <c r="AD9488" s="464"/>
      <c r="AE9488" s="465"/>
    </row>
    <row r="9489" spans="27:31" ht="14.4">
      <c r="AA9489" s="463"/>
      <c r="AB9489" s="462"/>
      <c r="AC9489" s="462"/>
      <c r="AD9489" s="464"/>
      <c r="AE9489" s="465"/>
    </row>
    <row r="9490" spans="27:31" ht="14.4">
      <c r="AA9490" s="463"/>
      <c r="AB9490" s="462"/>
      <c r="AC9490" s="462"/>
      <c r="AD9490" s="464"/>
      <c r="AE9490" s="465"/>
    </row>
    <row r="9491" spans="27:31" ht="14.4">
      <c r="AA9491" s="463"/>
      <c r="AB9491" s="462"/>
      <c r="AC9491" s="462"/>
      <c r="AD9491" s="464"/>
      <c r="AE9491" s="465"/>
    </row>
    <row r="9492" spans="27:31" ht="14.4">
      <c r="AA9492" s="463"/>
      <c r="AB9492" s="462"/>
      <c r="AC9492" s="462"/>
      <c r="AD9492" s="464"/>
      <c r="AE9492" s="465"/>
    </row>
    <row r="9493" spans="27:31" ht="14.4">
      <c r="AA9493" s="463"/>
      <c r="AB9493" s="462"/>
      <c r="AC9493" s="462"/>
      <c r="AD9493" s="464"/>
      <c r="AE9493" s="465"/>
    </row>
    <row r="9494" spans="27:31" ht="14.4">
      <c r="AA9494" s="463"/>
      <c r="AB9494" s="462"/>
      <c r="AC9494" s="462"/>
      <c r="AD9494" s="464"/>
      <c r="AE9494" s="465"/>
    </row>
    <row r="9495" spans="27:31" ht="14.4">
      <c r="AA9495" s="463"/>
      <c r="AB9495" s="462"/>
      <c r="AC9495" s="462"/>
      <c r="AD9495" s="464"/>
      <c r="AE9495" s="465"/>
    </row>
    <row r="9496" spans="27:31" ht="14.4">
      <c r="AA9496" s="463"/>
      <c r="AB9496" s="462"/>
      <c r="AC9496" s="462"/>
      <c r="AD9496" s="464"/>
      <c r="AE9496" s="465"/>
    </row>
    <row r="9497" spans="27:31" ht="14.4">
      <c r="AA9497" s="463"/>
      <c r="AB9497" s="462"/>
      <c r="AC9497" s="462"/>
      <c r="AD9497" s="464"/>
      <c r="AE9497" s="465"/>
    </row>
    <row r="9498" spans="27:31" ht="14.4">
      <c r="AA9498" s="463"/>
      <c r="AB9498" s="462"/>
      <c r="AC9498" s="462"/>
      <c r="AD9498" s="464"/>
      <c r="AE9498" s="465"/>
    </row>
    <row r="9499" spans="27:31" ht="14.4">
      <c r="AA9499" s="463"/>
      <c r="AB9499" s="462"/>
      <c r="AC9499" s="462"/>
      <c r="AD9499" s="464"/>
      <c r="AE9499" s="465"/>
    </row>
    <row r="9500" spans="27:31" ht="14.4">
      <c r="AA9500" s="463"/>
      <c r="AB9500" s="462"/>
      <c r="AC9500" s="462"/>
      <c r="AD9500" s="464"/>
      <c r="AE9500" s="465"/>
    </row>
    <row r="9501" spans="27:31" ht="14.4">
      <c r="AA9501" s="463"/>
      <c r="AB9501" s="462"/>
      <c r="AC9501" s="462"/>
      <c r="AD9501" s="464"/>
      <c r="AE9501" s="465"/>
    </row>
    <row r="9502" spans="27:31" ht="14.4">
      <c r="AA9502" s="463"/>
      <c r="AB9502" s="462"/>
      <c r="AC9502" s="462"/>
      <c r="AD9502" s="464"/>
      <c r="AE9502" s="465"/>
    </row>
    <row r="9503" spans="27:31" ht="14.4">
      <c r="AA9503" s="463"/>
      <c r="AB9503" s="462"/>
      <c r="AC9503" s="462"/>
      <c r="AD9503" s="464"/>
      <c r="AE9503" s="465"/>
    </row>
    <row r="9504" spans="27:31" ht="14.4">
      <c r="AA9504" s="463"/>
      <c r="AB9504" s="462"/>
      <c r="AC9504" s="462"/>
      <c r="AD9504" s="464"/>
      <c r="AE9504" s="465"/>
    </row>
    <row r="9505" spans="27:31" ht="14.4">
      <c r="AA9505" s="463"/>
      <c r="AB9505" s="462"/>
      <c r="AC9505" s="462"/>
      <c r="AD9505" s="464"/>
      <c r="AE9505" s="465"/>
    </row>
    <row r="9506" spans="27:31" ht="14.4">
      <c r="AA9506" s="463"/>
      <c r="AB9506" s="462"/>
      <c r="AC9506" s="462"/>
      <c r="AD9506" s="464"/>
      <c r="AE9506" s="465"/>
    </row>
    <row r="9507" spans="27:31" ht="14.4">
      <c r="AA9507" s="463"/>
      <c r="AB9507" s="462"/>
      <c r="AC9507" s="462"/>
      <c r="AD9507" s="464"/>
      <c r="AE9507" s="465"/>
    </row>
    <row r="9508" spans="27:31" ht="14.4">
      <c r="AA9508" s="463"/>
      <c r="AB9508" s="462"/>
      <c r="AC9508" s="462"/>
      <c r="AD9508" s="464"/>
      <c r="AE9508" s="465"/>
    </row>
    <row r="9509" spans="27:31" ht="14.4">
      <c r="AA9509" s="463"/>
      <c r="AB9509" s="462"/>
      <c r="AC9509" s="462"/>
      <c r="AD9509" s="464"/>
      <c r="AE9509" s="465"/>
    </row>
    <row r="9510" spans="27:31" ht="14.4">
      <c r="AA9510" s="463"/>
      <c r="AB9510" s="462"/>
      <c r="AC9510" s="462"/>
      <c r="AD9510" s="464"/>
      <c r="AE9510" s="465"/>
    </row>
    <row r="9511" spans="27:31" ht="14.4">
      <c r="AA9511" s="463"/>
      <c r="AB9511" s="462"/>
      <c r="AC9511" s="462"/>
      <c r="AD9511" s="464"/>
      <c r="AE9511" s="465"/>
    </row>
    <row r="9512" spans="27:31" ht="14.4">
      <c r="AA9512" s="463"/>
      <c r="AB9512" s="462"/>
      <c r="AC9512" s="462"/>
      <c r="AD9512" s="464"/>
      <c r="AE9512" s="465"/>
    </row>
    <row r="9513" spans="27:31" ht="14.4">
      <c r="AA9513" s="463"/>
      <c r="AB9513" s="462"/>
      <c r="AC9513" s="462"/>
      <c r="AD9513" s="464"/>
      <c r="AE9513" s="465"/>
    </row>
    <row r="9514" spans="27:31" ht="14.4">
      <c r="AA9514" s="463"/>
      <c r="AB9514" s="462"/>
      <c r="AC9514" s="462"/>
      <c r="AD9514" s="464"/>
      <c r="AE9514" s="465"/>
    </row>
    <row r="9515" spans="27:31" ht="14.4">
      <c r="AA9515" s="463"/>
      <c r="AB9515" s="462"/>
      <c r="AC9515" s="462"/>
      <c r="AD9515" s="464"/>
      <c r="AE9515" s="465"/>
    </row>
    <row r="9516" spans="27:31" ht="14.4">
      <c r="AA9516" s="463"/>
      <c r="AB9516" s="462"/>
      <c r="AC9516" s="462"/>
      <c r="AD9516" s="464"/>
      <c r="AE9516" s="465"/>
    </row>
    <row r="9517" spans="27:31" ht="14.4">
      <c r="AA9517" s="463"/>
      <c r="AB9517" s="462"/>
      <c r="AC9517" s="462"/>
      <c r="AD9517" s="464"/>
      <c r="AE9517" s="465"/>
    </row>
    <row r="9518" spans="27:31" ht="14.4">
      <c r="AA9518" s="463"/>
      <c r="AB9518" s="462"/>
      <c r="AC9518" s="462"/>
      <c r="AD9518" s="464"/>
      <c r="AE9518" s="465"/>
    </row>
    <row r="9519" spans="27:31" ht="14.4">
      <c r="AA9519" s="463"/>
      <c r="AB9519" s="462"/>
      <c r="AC9519" s="462"/>
      <c r="AD9519" s="464"/>
      <c r="AE9519" s="465"/>
    </row>
    <row r="9520" spans="27:31" ht="14.4">
      <c r="AA9520" s="463"/>
      <c r="AB9520" s="462"/>
      <c r="AC9520" s="462"/>
      <c r="AD9520" s="464"/>
      <c r="AE9520" s="465"/>
    </row>
    <row r="9521" spans="27:31" ht="14.4">
      <c r="AA9521" s="463"/>
      <c r="AB9521" s="462"/>
      <c r="AC9521" s="462"/>
      <c r="AD9521" s="464"/>
      <c r="AE9521" s="465"/>
    </row>
    <row r="9522" spans="27:31" ht="14.4">
      <c r="AA9522" s="463"/>
      <c r="AB9522" s="462"/>
      <c r="AC9522" s="462"/>
      <c r="AD9522" s="464"/>
      <c r="AE9522" s="465"/>
    </row>
    <row r="9523" spans="27:31" ht="14.4">
      <c r="AA9523" s="463"/>
      <c r="AB9523" s="462"/>
      <c r="AC9523" s="462"/>
      <c r="AD9523" s="464"/>
      <c r="AE9523" s="465"/>
    </row>
    <row r="9524" spans="27:31" ht="14.4">
      <c r="AA9524" s="463"/>
      <c r="AB9524" s="462"/>
      <c r="AC9524" s="462"/>
      <c r="AD9524" s="464"/>
      <c r="AE9524" s="465"/>
    </row>
    <row r="9525" spans="27:31" ht="14.4">
      <c r="AA9525" s="463"/>
      <c r="AB9525" s="462"/>
      <c r="AC9525" s="462"/>
      <c r="AD9525" s="464"/>
      <c r="AE9525" s="465"/>
    </row>
    <row r="9526" spans="27:31" ht="14.4">
      <c r="AA9526" s="463"/>
      <c r="AB9526" s="462"/>
      <c r="AC9526" s="462"/>
      <c r="AD9526" s="464"/>
      <c r="AE9526" s="465"/>
    </row>
    <row r="9527" spans="27:31" ht="14.4">
      <c r="AA9527" s="463"/>
      <c r="AB9527" s="462"/>
      <c r="AC9527" s="462"/>
      <c r="AD9527" s="464"/>
      <c r="AE9527" s="465"/>
    </row>
    <row r="9528" spans="27:31" ht="14.4">
      <c r="AA9528" s="463"/>
      <c r="AB9528" s="462"/>
      <c r="AC9528" s="462"/>
      <c r="AD9528" s="464"/>
      <c r="AE9528" s="465"/>
    </row>
    <row r="9529" spans="27:31" ht="14.4">
      <c r="AA9529" s="463"/>
      <c r="AB9529" s="462"/>
      <c r="AC9529" s="462"/>
      <c r="AD9529" s="464"/>
      <c r="AE9529" s="465"/>
    </row>
    <row r="9530" spans="27:31" ht="14.4">
      <c r="AA9530" s="463"/>
      <c r="AB9530" s="462"/>
      <c r="AC9530" s="462"/>
      <c r="AD9530" s="464"/>
      <c r="AE9530" s="465"/>
    </row>
    <row r="9531" spans="27:31" ht="14.4">
      <c r="AA9531" s="463"/>
      <c r="AB9531" s="462"/>
      <c r="AC9531" s="462"/>
      <c r="AD9531" s="464"/>
      <c r="AE9531" s="465"/>
    </row>
    <row r="9532" spans="27:31" ht="14.4">
      <c r="AA9532" s="463"/>
      <c r="AB9532" s="462"/>
      <c r="AC9532" s="462"/>
      <c r="AD9532" s="464"/>
      <c r="AE9532" s="465"/>
    </row>
    <row r="9533" spans="27:31" ht="14.4">
      <c r="AA9533" s="463"/>
      <c r="AB9533" s="462"/>
      <c r="AC9533" s="462"/>
      <c r="AD9533" s="464"/>
      <c r="AE9533" s="465"/>
    </row>
    <row r="9534" spans="27:31" ht="14.4">
      <c r="AA9534" s="463"/>
      <c r="AB9534" s="462"/>
      <c r="AC9534" s="462"/>
      <c r="AD9534" s="464"/>
      <c r="AE9534" s="465"/>
    </row>
    <row r="9535" spans="27:31" ht="14.4">
      <c r="AA9535" s="463"/>
      <c r="AB9535" s="462"/>
      <c r="AC9535" s="462"/>
      <c r="AD9535" s="464"/>
      <c r="AE9535" s="465"/>
    </row>
    <row r="9536" spans="27:31" ht="14.4">
      <c r="AA9536" s="463"/>
      <c r="AB9536" s="462"/>
      <c r="AC9536" s="462"/>
      <c r="AD9536" s="464"/>
      <c r="AE9536" s="465"/>
    </row>
    <row r="9537" spans="27:31" ht="14.4">
      <c r="AA9537" s="463"/>
      <c r="AB9537" s="462"/>
      <c r="AC9537" s="462"/>
      <c r="AD9537" s="464"/>
      <c r="AE9537" s="465"/>
    </row>
    <row r="9538" spans="27:31" ht="14.4">
      <c r="AA9538" s="463"/>
      <c r="AB9538" s="462"/>
      <c r="AC9538" s="462"/>
      <c r="AD9538" s="464"/>
      <c r="AE9538" s="465"/>
    </row>
    <row r="9539" spans="27:31" ht="14.4">
      <c r="AA9539" s="463"/>
      <c r="AB9539" s="462"/>
      <c r="AC9539" s="462"/>
      <c r="AD9539" s="464"/>
      <c r="AE9539" s="465"/>
    </row>
    <row r="9540" spans="27:31" ht="14.4">
      <c r="AA9540" s="463"/>
      <c r="AB9540" s="462"/>
      <c r="AC9540" s="462"/>
      <c r="AD9540" s="464"/>
      <c r="AE9540" s="465"/>
    </row>
    <row r="9541" spans="27:31" ht="14.4">
      <c r="AA9541" s="463"/>
      <c r="AB9541" s="462"/>
      <c r="AC9541" s="462"/>
      <c r="AD9541" s="464"/>
      <c r="AE9541" s="465"/>
    </row>
    <row r="9542" spans="27:31" ht="14.4">
      <c r="AA9542" s="463"/>
      <c r="AB9542" s="462"/>
      <c r="AC9542" s="462"/>
      <c r="AD9542" s="464"/>
      <c r="AE9542" s="465"/>
    </row>
    <row r="9543" spans="27:31" ht="14.4">
      <c r="AA9543" s="463"/>
      <c r="AB9543" s="462"/>
      <c r="AC9543" s="462"/>
      <c r="AD9543" s="464"/>
      <c r="AE9543" s="465"/>
    </row>
    <row r="9544" spans="27:31" ht="14.4">
      <c r="AA9544" s="463"/>
      <c r="AB9544" s="462"/>
      <c r="AC9544" s="462"/>
      <c r="AD9544" s="464"/>
      <c r="AE9544" s="465"/>
    </row>
    <row r="9545" spans="27:31" ht="14.4">
      <c r="AA9545" s="463"/>
      <c r="AB9545" s="462"/>
      <c r="AC9545" s="462"/>
      <c r="AD9545" s="464"/>
      <c r="AE9545" s="465"/>
    </row>
    <row r="9546" spans="27:31" ht="14.4">
      <c r="AA9546" s="463"/>
      <c r="AB9546" s="462"/>
      <c r="AC9546" s="462"/>
      <c r="AD9546" s="464"/>
      <c r="AE9546" s="465"/>
    </row>
    <row r="9547" spans="27:31" ht="14.4">
      <c r="AA9547" s="463"/>
      <c r="AB9547" s="462"/>
      <c r="AC9547" s="462"/>
      <c r="AD9547" s="464"/>
      <c r="AE9547" s="465"/>
    </row>
    <row r="9548" spans="27:31" ht="14.4">
      <c r="AA9548" s="463"/>
      <c r="AB9548" s="462"/>
      <c r="AC9548" s="462"/>
      <c r="AD9548" s="464"/>
      <c r="AE9548" s="465"/>
    </row>
    <row r="9549" spans="27:31" ht="14.4">
      <c r="AA9549" s="463"/>
      <c r="AB9549" s="462"/>
      <c r="AC9549" s="462"/>
      <c r="AD9549" s="464"/>
      <c r="AE9549" s="465"/>
    </row>
    <row r="9550" spans="27:31" ht="14.4">
      <c r="AA9550" s="463"/>
      <c r="AB9550" s="462"/>
      <c r="AC9550" s="462"/>
      <c r="AD9550" s="464"/>
      <c r="AE9550" s="465"/>
    </row>
    <row r="9551" spans="27:31" ht="14.4">
      <c r="AA9551" s="463"/>
      <c r="AB9551" s="462"/>
      <c r="AC9551" s="462"/>
      <c r="AD9551" s="464"/>
      <c r="AE9551" s="465"/>
    </row>
    <row r="9552" spans="27:31" ht="14.4">
      <c r="AA9552" s="463"/>
      <c r="AB9552" s="462"/>
      <c r="AC9552" s="462"/>
      <c r="AD9552" s="464"/>
      <c r="AE9552" s="465"/>
    </row>
    <row r="9553" spans="27:31" ht="14.4">
      <c r="AA9553" s="463"/>
      <c r="AB9553" s="462"/>
      <c r="AC9553" s="462"/>
      <c r="AD9553" s="464"/>
      <c r="AE9553" s="465"/>
    </row>
    <row r="9554" spans="27:31" ht="14.4">
      <c r="AA9554" s="463"/>
      <c r="AB9554" s="462"/>
      <c r="AC9554" s="462"/>
      <c r="AD9554" s="464"/>
      <c r="AE9554" s="465"/>
    </row>
    <row r="9555" spans="27:31" ht="14.4">
      <c r="AA9555" s="463"/>
      <c r="AB9555" s="462"/>
      <c r="AC9555" s="462"/>
      <c r="AD9555" s="464"/>
      <c r="AE9555" s="465"/>
    </row>
    <row r="9556" spans="27:31" ht="14.4">
      <c r="AA9556" s="463"/>
      <c r="AB9556" s="462"/>
      <c r="AC9556" s="462"/>
      <c r="AD9556" s="464"/>
      <c r="AE9556" s="465"/>
    </row>
    <row r="9557" spans="27:31" ht="14.4">
      <c r="AA9557" s="463"/>
      <c r="AB9557" s="462"/>
      <c r="AC9557" s="462"/>
      <c r="AD9557" s="464"/>
      <c r="AE9557" s="465"/>
    </row>
    <row r="9558" spans="27:31" ht="14.4">
      <c r="AA9558" s="463"/>
      <c r="AB9558" s="462"/>
      <c r="AC9558" s="462"/>
      <c r="AD9558" s="464"/>
      <c r="AE9558" s="465"/>
    </row>
    <row r="9559" spans="27:31" ht="14.4">
      <c r="AA9559" s="463"/>
      <c r="AB9559" s="462"/>
      <c r="AC9559" s="462"/>
      <c r="AD9559" s="464"/>
      <c r="AE9559" s="465"/>
    </row>
    <row r="9560" spans="27:31" ht="14.4">
      <c r="AA9560" s="463"/>
      <c r="AB9560" s="462"/>
      <c r="AC9560" s="462"/>
      <c r="AD9560" s="464"/>
      <c r="AE9560" s="465"/>
    </row>
    <row r="9561" spans="27:31" ht="14.4">
      <c r="AA9561" s="463"/>
      <c r="AB9561" s="462"/>
      <c r="AC9561" s="462"/>
      <c r="AD9561" s="464"/>
      <c r="AE9561" s="465"/>
    </row>
    <row r="9562" spans="27:31" ht="14.4">
      <c r="AA9562" s="463"/>
      <c r="AB9562" s="462"/>
      <c r="AC9562" s="462"/>
      <c r="AD9562" s="464"/>
      <c r="AE9562" s="465"/>
    </row>
    <row r="9563" spans="27:31" ht="14.4">
      <c r="AA9563" s="463"/>
      <c r="AB9563" s="462"/>
      <c r="AC9563" s="462"/>
      <c r="AD9563" s="464"/>
      <c r="AE9563" s="465"/>
    </row>
    <row r="9564" spans="27:31" ht="14.4">
      <c r="AA9564" s="463"/>
      <c r="AB9564" s="462"/>
      <c r="AC9564" s="462"/>
      <c r="AD9564" s="464"/>
      <c r="AE9564" s="465"/>
    </row>
    <row r="9565" spans="27:31" ht="14.4">
      <c r="AA9565" s="463"/>
      <c r="AB9565" s="462"/>
      <c r="AC9565" s="462"/>
      <c r="AD9565" s="464"/>
      <c r="AE9565" s="465"/>
    </row>
    <row r="9566" spans="27:31" ht="14.4">
      <c r="AA9566" s="463"/>
      <c r="AB9566" s="462"/>
      <c r="AC9566" s="462"/>
      <c r="AD9566" s="464"/>
      <c r="AE9566" s="465"/>
    </row>
    <row r="9567" spans="27:31" ht="14.4">
      <c r="AA9567" s="463"/>
      <c r="AB9567" s="462"/>
      <c r="AC9567" s="462"/>
      <c r="AD9567" s="464"/>
      <c r="AE9567" s="465"/>
    </row>
    <row r="9568" spans="27:31" ht="14.4">
      <c r="AA9568" s="463"/>
      <c r="AB9568" s="462"/>
      <c r="AC9568" s="462"/>
      <c r="AD9568" s="464"/>
      <c r="AE9568" s="465"/>
    </row>
    <row r="9569" spans="27:31" ht="14.4">
      <c r="AA9569" s="463"/>
      <c r="AB9569" s="462"/>
      <c r="AC9569" s="462"/>
      <c r="AD9569" s="464"/>
      <c r="AE9569" s="465"/>
    </row>
    <row r="9570" spans="27:31" ht="14.4">
      <c r="AA9570" s="463"/>
      <c r="AB9570" s="462"/>
      <c r="AC9570" s="462"/>
      <c r="AD9570" s="464"/>
      <c r="AE9570" s="465"/>
    </row>
    <row r="9571" spans="27:31" ht="14.4">
      <c r="AA9571" s="463"/>
      <c r="AB9571" s="462"/>
      <c r="AC9571" s="462"/>
      <c r="AD9571" s="464"/>
      <c r="AE9571" s="465"/>
    </row>
    <row r="9572" spans="27:31" ht="14.4">
      <c r="AA9572" s="463"/>
      <c r="AB9572" s="462"/>
      <c r="AC9572" s="462"/>
      <c r="AD9572" s="464"/>
      <c r="AE9572" s="465"/>
    </row>
    <row r="9573" spans="27:31" ht="14.4">
      <c r="AA9573" s="463"/>
      <c r="AB9573" s="462"/>
      <c r="AC9573" s="462"/>
      <c r="AD9573" s="464"/>
      <c r="AE9573" s="465"/>
    </row>
    <row r="9574" spans="27:31" ht="14.4">
      <c r="AA9574" s="463"/>
      <c r="AB9574" s="462"/>
      <c r="AC9574" s="462"/>
      <c r="AD9574" s="464"/>
      <c r="AE9574" s="465"/>
    </row>
    <row r="9575" spans="27:31" ht="14.4">
      <c r="AA9575" s="463"/>
      <c r="AB9575" s="462"/>
      <c r="AC9575" s="462"/>
      <c r="AD9575" s="464"/>
      <c r="AE9575" s="465"/>
    </row>
    <row r="9576" spans="27:31" ht="14.4">
      <c r="AA9576" s="463"/>
      <c r="AB9576" s="462"/>
      <c r="AC9576" s="462"/>
      <c r="AD9576" s="464"/>
      <c r="AE9576" s="465"/>
    </row>
    <row r="9577" spans="27:31" ht="14.4">
      <c r="AA9577" s="463"/>
      <c r="AB9577" s="462"/>
      <c r="AC9577" s="462"/>
      <c r="AD9577" s="464"/>
      <c r="AE9577" s="465"/>
    </row>
    <row r="9578" spans="27:31" ht="14.4">
      <c r="AA9578" s="463"/>
      <c r="AB9578" s="462"/>
      <c r="AC9578" s="462"/>
      <c r="AD9578" s="464"/>
      <c r="AE9578" s="465"/>
    </row>
    <row r="9579" spans="27:31" ht="14.4">
      <c r="AA9579" s="463"/>
      <c r="AB9579" s="462"/>
      <c r="AC9579" s="462"/>
      <c r="AD9579" s="464"/>
      <c r="AE9579" s="465"/>
    </row>
    <row r="9580" spans="27:31" ht="14.4">
      <c r="AA9580" s="463"/>
      <c r="AB9580" s="462"/>
      <c r="AC9580" s="462"/>
      <c r="AD9580" s="464"/>
      <c r="AE9580" s="465"/>
    </row>
    <row r="9581" spans="27:31" ht="14.4">
      <c r="AA9581" s="463"/>
      <c r="AB9581" s="462"/>
      <c r="AC9581" s="462"/>
      <c r="AD9581" s="464"/>
      <c r="AE9581" s="465"/>
    </row>
    <row r="9582" spans="27:31" ht="14.4">
      <c r="AA9582" s="463"/>
      <c r="AB9582" s="462"/>
      <c r="AC9582" s="462"/>
      <c r="AD9582" s="464"/>
      <c r="AE9582" s="465"/>
    </row>
    <row r="9583" spans="27:31" ht="14.4">
      <c r="AA9583" s="463"/>
      <c r="AB9583" s="462"/>
      <c r="AC9583" s="462"/>
      <c r="AD9583" s="464"/>
      <c r="AE9583" s="465"/>
    </row>
    <row r="9584" spans="27:31" ht="14.4">
      <c r="AA9584" s="463"/>
      <c r="AB9584" s="462"/>
      <c r="AC9584" s="462"/>
      <c r="AD9584" s="464"/>
      <c r="AE9584" s="465"/>
    </row>
    <row r="9585" spans="27:31" ht="14.4">
      <c r="AA9585" s="463"/>
      <c r="AB9585" s="462"/>
      <c r="AC9585" s="462"/>
      <c r="AD9585" s="464"/>
      <c r="AE9585" s="465"/>
    </row>
    <row r="9586" spans="27:31" ht="14.4">
      <c r="AA9586" s="463"/>
      <c r="AB9586" s="462"/>
      <c r="AC9586" s="462"/>
      <c r="AD9586" s="464"/>
      <c r="AE9586" s="465"/>
    </row>
    <row r="9587" spans="27:31" ht="14.4">
      <c r="AA9587" s="463"/>
      <c r="AB9587" s="462"/>
      <c r="AC9587" s="462"/>
      <c r="AD9587" s="464"/>
      <c r="AE9587" s="465"/>
    </row>
    <row r="9588" spans="27:31" ht="14.4">
      <c r="AA9588" s="463"/>
      <c r="AB9588" s="462"/>
      <c r="AC9588" s="462"/>
      <c r="AD9588" s="464"/>
      <c r="AE9588" s="465"/>
    </row>
    <row r="9589" spans="27:31" ht="14.4">
      <c r="AA9589" s="463"/>
      <c r="AB9589" s="462"/>
      <c r="AC9589" s="462"/>
      <c r="AD9589" s="464"/>
      <c r="AE9589" s="465"/>
    </row>
    <row r="9590" spans="27:31" ht="14.4">
      <c r="AA9590" s="463"/>
      <c r="AB9590" s="462"/>
      <c r="AC9590" s="462"/>
      <c r="AD9590" s="464"/>
      <c r="AE9590" s="465"/>
    </row>
    <row r="9591" spans="27:31" ht="14.4">
      <c r="AA9591" s="463"/>
      <c r="AB9591" s="462"/>
      <c r="AC9591" s="462"/>
      <c r="AD9591" s="464"/>
      <c r="AE9591" s="465"/>
    </row>
    <row r="9592" spans="27:31" ht="14.4">
      <c r="AA9592" s="463"/>
      <c r="AB9592" s="462"/>
      <c r="AC9592" s="462"/>
      <c r="AD9592" s="464"/>
      <c r="AE9592" s="465"/>
    </row>
    <row r="9593" spans="27:31" ht="14.4">
      <c r="AA9593" s="463"/>
      <c r="AB9593" s="462"/>
      <c r="AC9593" s="462"/>
      <c r="AD9593" s="464"/>
      <c r="AE9593" s="465"/>
    </row>
    <row r="9594" spans="27:31" ht="14.4">
      <c r="AA9594" s="463"/>
      <c r="AB9594" s="462"/>
      <c r="AC9594" s="462"/>
      <c r="AD9594" s="464"/>
      <c r="AE9594" s="465"/>
    </row>
    <row r="9595" spans="27:31" ht="14.4">
      <c r="AA9595" s="463"/>
      <c r="AB9595" s="462"/>
      <c r="AC9595" s="462"/>
      <c r="AD9595" s="464"/>
      <c r="AE9595" s="465"/>
    </row>
    <row r="9596" spans="27:31" ht="14.4">
      <c r="AA9596" s="463"/>
      <c r="AB9596" s="462"/>
      <c r="AC9596" s="462"/>
      <c r="AD9596" s="464"/>
      <c r="AE9596" s="465"/>
    </row>
    <row r="9597" spans="27:31" ht="14.4">
      <c r="AA9597" s="463"/>
      <c r="AB9597" s="462"/>
      <c r="AC9597" s="462"/>
      <c r="AD9597" s="464"/>
      <c r="AE9597" s="465"/>
    </row>
    <row r="9598" spans="27:31" ht="14.4">
      <c r="AA9598" s="463"/>
      <c r="AB9598" s="462"/>
      <c r="AC9598" s="462"/>
      <c r="AD9598" s="464"/>
      <c r="AE9598" s="465"/>
    </row>
    <row r="9599" spans="27:31" ht="14.4">
      <c r="AA9599" s="463"/>
      <c r="AB9599" s="462"/>
      <c r="AC9599" s="462"/>
      <c r="AD9599" s="464"/>
      <c r="AE9599" s="465"/>
    </row>
    <row r="9600" spans="27:31" ht="14.4">
      <c r="AA9600" s="463"/>
      <c r="AB9600" s="462"/>
      <c r="AC9600" s="462"/>
      <c r="AD9600" s="464"/>
      <c r="AE9600" s="465"/>
    </row>
    <row r="9601" spans="27:31" ht="14.4">
      <c r="AA9601" s="463"/>
      <c r="AB9601" s="462"/>
      <c r="AC9601" s="462"/>
      <c r="AD9601" s="464"/>
      <c r="AE9601" s="465"/>
    </row>
    <row r="9602" spans="27:31" ht="14.4">
      <c r="AA9602" s="463"/>
      <c r="AB9602" s="462"/>
      <c r="AC9602" s="462"/>
      <c r="AD9602" s="464"/>
      <c r="AE9602" s="465"/>
    </row>
    <row r="9603" spans="27:31" ht="14.4">
      <c r="AA9603" s="463"/>
      <c r="AB9603" s="462"/>
      <c r="AC9603" s="462"/>
      <c r="AD9603" s="464"/>
      <c r="AE9603" s="465"/>
    </row>
    <row r="9604" spans="27:31" ht="14.4">
      <c r="AA9604" s="463"/>
      <c r="AB9604" s="462"/>
      <c r="AC9604" s="462"/>
      <c r="AD9604" s="464"/>
      <c r="AE9604" s="465"/>
    </row>
    <row r="9605" spans="27:31" ht="14.4">
      <c r="AA9605" s="463"/>
      <c r="AB9605" s="462"/>
      <c r="AC9605" s="462"/>
      <c r="AD9605" s="464"/>
      <c r="AE9605" s="465"/>
    </row>
    <row r="9606" spans="27:31" ht="14.4">
      <c r="AA9606" s="463"/>
      <c r="AB9606" s="462"/>
      <c r="AC9606" s="462"/>
      <c r="AD9606" s="464"/>
      <c r="AE9606" s="465"/>
    </row>
    <row r="9607" spans="27:31" ht="14.4">
      <c r="AA9607" s="463"/>
      <c r="AB9607" s="462"/>
      <c r="AC9607" s="462"/>
      <c r="AD9607" s="464"/>
      <c r="AE9607" s="465"/>
    </row>
    <row r="9608" spans="27:31" ht="14.4">
      <c r="AA9608" s="463"/>
      <c r="AB9608" s="462"/>
      <c r="AC9608" s="462"/>
      <c r="AD9608" s="464"/>
      <c r="AE9608" s="465"/>
    </row>
    <row r="9609" spans="27:31" ht="14.4">
      <c r="AA9609" s="463"/>
      <c r="AB9609" s="462"/>
      <c r="AC9609" s="462"/>
      <c r="AD9609" s="464"/>
      <c r="AE9609" s="465"/>
    </row>
    <row r="9610" spans="27:31" ht="14.4">
      <c r="AA9610" s="463"/>
      <c r="AB9610" s="462"/>
      <c r="AC9610" s="462"/>
      <c r="AD9610" s="464"/>
      <c r="AE9610" s="465"/>
    </row>
    <row r="9611" spans="27:31" ht="14.4">
      <c r="AA9611" s="463"/>
      <c r="AB9611" s="462"/>
      <c r="AC9611" s="462"/>
      <c r="AD9611" s="464"/>
      <c r="AE9611" s="465"/>
    </row>
    <row r="9612" spans="27:31" ht="14.4">
      <c r="AA9612" s="463"/>
      <c r="AB9612" s="462"/>
      <c r="AC9612" s="462"/>
      <c r="AD9612" s="464"/>
      <c r="AE9612" s="465"/>
    </row>
    <row r="9613" spans="27:31" ht="14.4">
      <c r="AA9613" s="463"/>
      <c r="AB9613" s="462"/>
      <c r="AC9613" s="462"/>
      <c r="AD9613" s="464"/>
      <c r="AE9613" s="465"/>
    </row>
    <row r="9614" spans="27:31" ht="14.4">
      <c r="AA9614" s="463"/>
      <c r="AB9614" s="462"/>
      <c r="AC9614" s="462"/>
      <c r="AD9614" s="464"/>
      <c r="AE9614" s="465"/>
    </row>
    <row r="9615" spans="27:31" ht="14.4">
      <c r="AA9615" s="463"/>
      <c r="AB9615" s="462"/>
      <c r="AC9615" s="462"/>
      <c r="AD9615" s="464"/>
      <c r="AE9615" s="465"/>
    </row>
    <row r="9616" spans="27:31" ht="14.4">
      <c r="AA9616" s="463"/>
      <c r="AB9616" s="462"/>
      <c r="AC9616" s="462"/>
      <c r="AD9616" s="464"/>
      <c r="AE9616" s="465"/>
    </row>
    <row r="9617" spans="27:31" ht="14.4">
      <c r="AA9617" s="463"/>
      <c r="AB9617" s="462"/>
      <c r="AC9617" s="462"/>
      <c r="AD9617" s="464"/>
      <c r="AE9617" s="465"/>
    </row>
    <row r="9618" spans="27:31" ht="14.4">
      <c r="AA9618" s="463"/>
      <c r="AB9618" s="462"/>
      <c r="AC9618" s="462"/>
      <c r="AD9618" s="464"/>
      <c r="AE9618" s="465"/>
    </row>
    <row r="9619" spans="27:31" ht="14.4">
      <c r="AA9619" s="463"/>
      <c r="AB9619" s="462"/>
      <c r="AC9619" s="462"/>
      <c r="AD9619" s="464"/>
      <c r="AE9619" s="465"/>
    </row>
    <row r="9620" spans="27:31" ht="14.4">
      <c r="AA9620" s="463"/>
      <c r="AB9620" s="462"/>
      <c r="AC9620" s="462"/>
      <c r="AD9620" s="464"/>
      <c r="AE9620" s="465"/>
    </row>
    <row r="9621" spans="27:31" ht="14.4">
      <c r="AA9621" s="463"/>
      <c r="AB9621" s="462"/>
      <c r="AC9621" s="462"/>
      <c r="AD9621" s="464"/>
      <c r="AE9621" s="465"/>
    </row>
    <row r="9622" spans="27:31" ht="14.4">
      <c r="AA9622" s="463"/>
      <c r="AB9622" s="462"/>
      <c r="AC9622" s="462"/>
      <c r="AD9622" s="464"/>
      <c r="AE9622" s="465"/>
    </row>
    <row r="9623" spans="27:31" ht="14.4">
      <c r="AA9623" s="463"/>
      <c r="AB9623" s="462"/>
      <c r="AC9623" s="462"/>
      <c r="AD9623" s="464"/>
      <c r="AE9623" s="465"/>
    </row>
    <row r="9624" spans="27:31" ht="14.4">
      <c r="AA9624" s="463"/>
      <c r="AB9624" s="462"/>
      <c r="AC9624" s="462"/>
      <c r="AD9624" s="464"/>
      <c r="AE9624" s="465"/>
    </row>
    <row r="9625" spans="27:31" ht="14.4">
      <c r="AA9625" s="463"/>
      <c r="AB9625" s="462"/>
      <c r="AC9625" s="462"/>
      <c r="AD9625" s="464"/>
      <c r="AE9625" s="465"/>
    </row>
    <row r="9626" spans="27:31" ht="14.4">
      <c r="AA9626" s="463"/>
      <c r="AB9626" s="462"/>
      <c r="AC9626" s="462"/>
      <c r="AD9626" s="464"/>
      <c r="AE9626" s="465"/>
    </row>
    <row r="9627" spans="27:31" ht="14.4">
      <c r="AA9627" s="463"/>
      <c r="AB9627" s="462"/>
      <c r="AC9627" s="462"/>
      <c r="AD9627" s="464"/>
      <c r="AE9627" s="465"/>
    </row>
    <row r="9628" spans="27:31" ht="14.4">
      <c r="AA9628" s="463"/>
      <c r="AB9628" s="462"/>
      <c r="AC9628" s="462"/>
      <c r="AD9628" s="464"/>
      <c r="AE9628" s="465"/>
    </row>
    <row r="9629" spans="27:31" ht="14.4">
      <c r="AA9629" s="463"/>
      <c r="AB9629" s="462"/>
      <c r="AC9629" s="462"/>
      <c r="AD9629" s="464"/>
      <c r="AE9629" s="465"/>
    </row>
    <row r="9630" spans="27:31" ht="14.4">
      <c r="AA9630" s="463"/>
      <c r="AB9630" s="462"/>
      <c r="AC9630" s="462"/>
      <c r="AD9630" s="464"/>
      <c r="AE9630" s="465"/>
    </row>
    <row r="9631" spans="27:31" ht="14.4">
      <c r="AA9631" s="463"/>
      <c r="AB9631" s="462"/>
      <c r="AC9631" s="462"/>
      <c r="AD9631" s="464"/>
      <c r="AE9631" s="465"/>
    </row>
    <row r="9632" spans="27:31" ht="14.4">
      <c r="AA9632" s="463"/>
      <c r="AB9632" s="462"/>
      <c r="AC9632" s="462"/>
      <c r="AD9632" s="464"/>
      <c r="AE9632" s="465"/>
    </row>
    <row r="9633" spans="27:31" ht="14.4">
      <c r="AA9633" s="463"/>
      <c r="AB9633" s="462"/>
      <c r="AC9633" s="462"/>
      <c r="AD9633" s="464"/>
      <c r="AE9633" s="465"/>
    </row>
    <row r="9634" spans="27:31" ht="14.4">
      <c r="AA9634" s="463"/>
      <c r="AB9634" s="462"/>
      <c r="AC9634" s="462"/>
      <c r="AD9634" s="464"/>
      <c r="AE9634" s="465"/>
    </row>
    <row r="9635" spans="27:31" ht="14.4">
      <c r="AA9635" s="463"/>
      <c r="AB9635" s="462"/>
      <c r="AC9635" s="462"/>
      <c r="AD9635" s="464"/>
      <c r="AE9635" s="465"/>
    </row>
    <row r="9636" spans="27:31" ht="14.4">
      <c r="AA9636" s="463"/>
      <c r="AB9636" s="462"/>
      <c r="AC9636" s="462"/>
      <c r="AD9636" s="464"/>
      <c r="AE9636" s="465"/>
    </row>
    <row r="9637" spans="27:31" ht="14.4">
      <c r="AA9637" s="463"/>
      <c r="AB9637" s="462"/>
      <c r="AC9637" s="462"/>
      <c r="AD9637" s="464"/>
      <c r="AE9637" s="465"/>
    </row>
    <row r="9638" spans="27:31" ht="14.4">
      <c r="AA9638" s="463"/>
      <c r="AB9638" s="462"/>
      <c r="AC9638" s="462"/>
      <c r="AD9638" s="464"/>
      <c r="AE9638" s="465"/>
    </row>
    <row r="9639" spans="27:31" ht="14.4">
      <c r="AA9639" s="463"/>
      <c r="AB9639" s="462"/>
      <c r="AC9639" s="462"/>
      <c r="AD9639" s="464"/>
      <c r="AE9639" s="465"/>
    </row>
    <row r="9640" spans="27:31" ht="14.4">
      <c r="AA9640" s="463"/>
      <c r="AB9640" s="462"/>
      <c r="AC9640" s="462"/>
      <c r="AD9640" s="464"/>
      <c r="AE9640" s="465"/>
    </row>
    <row r="9641" spans="27:31" ht="14.4">
      <c r="AA9641" s="463"/>
      <c r="AB9641" s="462"/>
      <c r="AC9641" s="462"/>
      <c r="AD9641" s="464"/>
      <c r="AE9641" s="465"/>
    </row>
    <row r="9642" spans="27:31" ht="14.4">
      <c r="AA9642" s="463"/>
      <c r="AB9642" s="462"/>
      <c r="AC9642" s="462"/>
      <c r="AD9642" s="464"/>
      <c r="AE9642" s="465"/>
    </row>
    <row r="9643" spans="27:31" ht="14.4">
      <c r="AA9643" s="463"/>
      <c r="AB9643" s="462"/>
      <c r="AC9643" s="462"/>
      <c r="AD9643" s="464"/>
      <c r="AE9643" s="465"/>
    </row>
    <row r="9644" spans="27:31" ht="14.4">
      <c r="AA9644" s="463"/>
      <c r="AB9644" s="462"/>
      <c r="AC9644" s="462"/>
      <c r="AD9644" s="464"/>
      <c r="AE9644" s="465"/>
    </row>
    <row r="9645" spans="27:31" ht="14.4">
      <c r="AA9645" s="463"/>
      <c r="AB9645" s="462"/>
      <c r="AC9645" s="462"/>
      <c r="AD9645" s="464"/>
      <c r="AE9645" s="465"/>
    </row>
    <row r="9646" spans="27:31" ht="14.4">
      <c r="AA9646" s="463"/>
      <c r="AB9646" s="462"/>
      <c r="AC9646" s="462"/>
      <c r="AD9646" s="464"/>
      <c r="AE9646" s="465"/>
    </row>
    <row r="9647" spans="27:31" ht="14.4">
      <c r="AA9647" s="463"/>
      <c r="AB9647" s="462"/>
      <c r="AC9647" s="462"/>
      <c r="AD9647" s="464"/>
      <c r="AE9647" s="465"/>
    </row>
    <row r="9648" spans="27:31" ht="14.4">
      <c r="AA9648" s="463"/>
      <c r="AB9648" s="462"/>
      <c r="AC9648" s="462"/>
      <c r="AD9648" s="464"/>
      <c r="AE9648" s="465"/>
    </row>
    <row r="9649" spans="27:31" ht="14.4">
      <c r="AA9649" s="463"/>
      <c r="AB9649" s="462"/>
      <c r="AC9649" s="462"/>
      <c r="AD9649" s="464"/>
      <c r="AE9649" s="465"/>
    </row>
    <row r="9650" spans="27:31" ht="14.4">
      <c r="AA9650" s="463"/>
      <c r="AB9650" s="462"/>
      <c r="AC9650" s="462"/>
      <c r="AD9650" s="464"/>
      <c r="AE9650" s="465"/>
    </row>
    <row r="9651" spans="27:31" ht="14.4">
      <c r="AA9651" s="463"/>
      <c r="AB9651" s="462"/>
      <c r="AC9651" s="462"/>
      <c r="AD9651" s="464"/>
      <c r="AE9651" s="465"/>
    </row>
    <row r="9652" spans="27:31" ht="14.4">
      <c r="AA9652" s="463"/>
      <c r="AB9652" s="462"/>
      <c r="AC9652" s="462"/>
      <c r="AD9652" s="464"/>
      <c r="AE9652" s="465"/>
    </row>
    <row r="9653" spans="27:31" ht="14.4">
      <c r="AA9653" s="463"/>
      <c r="AB9653" s="462"/>
      <c r="AC9653" s="462"/>
      <c r="AD9653" s="464"/>
      <c r="AE9653" s="465"/>
    </row>
    <row r="9654" spans="27:31" ht="14.4">
      <c r="AA9654" s="463"/>
      <c r="AB9654" s="462"/>
      <c r="AC9654" s="462"/>
      <c r="AD9654" s="464"/>
      <c r="AE9654" s="465"/>
    </row>
    <row r="9655" spans="27:31" ht="14.4">
      <c r="AA9655" s="463"/>
      <c r="AB9655" s="462"/>
      <c r="AC9655" s="462"/>
      <c r="AD9655" s="464"/>
      <c r="AE9655" s="465"/>
    </row>
    <row r="9656" spans="27:31" ht="14.4">
      <c r="AA9656" s="463"/>
      <c r="AB9656" s="462"/>
      <c r="AC9656" s="462"/>
      <c r="AD9656" s="464"/>
      <c r="AE9656" s="465"/>
    </row>
    <row r="9657" spans="27:31" ht="14.4">
      <c r="AA9657" s="463"/>
      <c r="AB9657" s="462"/>
      <c r="AC9657" s="462"/>
      <c r="AD9657" s="464"/>
      <c r="AE9657" s="465"/>
    </row>
    <row r="9658" spans="27:31" ht="14.4">
      <c r="AA9658" s="463"/>
      <c r="AB9658" s="462"/>
      <c r="AC9658" s="462"/>
      <c r="AD9658" s="464"/>
      <c r="AE9658" s="465"/>
    </row>
    <row r="9659" spans="27:31" ht="14.4">
      <c r="AA9659" s="463"/>
      <c r="AB9659" s="462"/>
      <c r="AC9659" s="462"/>
      <c r="AD9659" s="464"/>
      <c r="AE9659" s="465"/>
    </row>
    <row r="9660" spans="27:31" ht="14.4">
      <c r="AA9660" s="463"/>
      <c r="AB9660" s="462"/>
      <c r="AC9660" s="462"/>
      <c r="AD9660" s="464"/>
      <c r="AE9660" s="465"/>
    </row>
    <row r="9661" spans="27:31" ht="14.4">
      <c r="AA9661" s="463"/>
      <c r="AB9661" s="462"/>
      <c r="AC9661" s="462"/>
      <c r="AD9661" s="464"/>
      <c r="AE9661" s="465"/>
    </row>
    <row r="9662" spans="27:31" ht="14.4">
      <c r="AA9662" s="463"/>
      <c r="AB9662" s="462"/>
      <c r="AC9662" s="462"/>
      <c r="AD9662" s="464"/>
      <c r="AE9662" s="465"/>
    </row>
    <row r="9663" spans="27:31" ht="14.4">
      <c r="AA9663" s="463"/>
      <c r="AB9663" s="462"/>
      <c r="AC9663" s="462"/>
      <c r="AD9663" s="464"/>
      <c r="AE9663" s="465"/>
    </row>
    <row r="9664" spans="27:31" ht="14.4">
      <c r="AA9664" s="463"/>
      <c r="AB9664" s="462"/>
      <c r="AC9664" s="462"/>
      <c r="AD9664" s="464"/>
      <c r="AE9664" s="465"/>
    </row>
    <row r="9665" spans="27:31" ht="14.4">
      <c r="AA9665" s="463"/>
      <c r="AB9665" s="462"/>
      <c r="AC9665" s="462"/>
      <c r="AD9665" s="464"/>
      <c r="AE9665" s="465"/>
    </row>
    <row r="9666" spans="27:31" ht="14.4">
      <c r="AA9666" s="463"/>
      <c r="AB9666" s="462"/>
      <c r="AC9666" s="462"/>
      <c r="AD9666" s="464"/>
      <c r="AE9666" s="465"/>
    </row>
    <row r="9667" spans="27:31" ht="14.4">
      <c r="AA9667" s="463"/>
      <c r="AB9667" s="462"/>
      <c r="AC9667" s="462"/>
      <c r="AD9667" s="464"/>
      <c r="AE9667" s="465"/>
    </row>
    <row r="9668" spans="27:31" ht="14.4">
      <c r="AA9668" s="463"/>
      <c r="AB9668" s="462"/>
      <c r="AC9668" s="462"/>
      <c r="AD9668" s="464"/>
      <c r="AE9668" s="465"/>
    </row>
    <row r="9669" spans="27:31" ht="14.4">
      <c r="AA9669" s="463"/>
      <c r="AB9669" s="462"/>
      <c r="AC9669" s="462"/>
      <c r="AD9669" s="464"/>
      <c r="AE9669" s="465"/>
    </row>
    <row r="9670" spans="27:31" ht="14.4">
      <c r="AA9670" s="463"/>
      <c r="AB9670" s="462"/>
      <c r="AC9670" s="462"/>
      <c r="AD9670" s="464"/>
      <c r="AE9670" s="465"/>
    </row>
    <row r="9671" spans="27:31" ht="14.4">
      <c r="AA9671" s="463"/>
      <c r="AB9671" s="462"/>
      <c r="AC9671" s="462"/>
      <c r="AD9671" s="464"/>
      <c r="AE9671" s="465"/>
    </row>
    <row r="9672" spans="27:31" ht="14.4">
      <c r="AA9672" s="463"/>
      <c r="AB9672" s="462"/>
      <c r="AC9672" s="462"/>
      <c r="AD9672" s="464"/>
      <c r="AE9672" s="465"/>
    </row>
    <row r="9673" spans="27:31" ht="14.4">
      <c r="AA9673" s="463"/>
      <c r="AB9673" s="462"/>
      <c r="AC9673" s="462"/>
      <c r="AD9673" s="464"/>
      <c r="AE9673" s="465"/>
    </row>
    <row r="9674" spans="27:31" ht="14.4">
      <c r="AA9674" s="463"/>
      <c r="AB9674" s="462"/>
      <c r="AC9674" s="462"/>
      <c r="AD9674" s="464"/>
      <c r="AE9674" s="465"/>
    </row>
    <row r="9675" spans="27:31" ht="14.4">
      <c r="AA9675" s="463"/>
      <c r="AB9675" s="462"/>
      <c r="AC9675" s="462"/>
      <c r="AD9675" s="464"/>
      <c r="AE9675" s="465"/>
    </row>
    <row r="9676" spans="27:31" ht="14.4">
      <c r="AA9676" s="463"/>
      <c r="AB9676" s="462"/>
      <c r="AC9676" s="462"/>
      <c r="AD9676" s="464"/>
      <c r="AE9676" s="465"/>
    </row>
    <row r="9677" spans="27:31" ht="14.4">
      <c r="AA9677" s="463"/>
      <c r="AB9677" s="462"/>
      <c r="AC9677" s="462"/>
      <c r="AD9677" s="464"/>
      <c r="AE9677" s="465"/>
    </row>
    <row r="9678" spans="27:31" ht="14.4">
      <c r="AA9678" s="463"/>
      <c r="AB9678" s="462"/>
      <c r="AC9678" s="462"/>
      <c r="AD9678" s="464"/>
      <c r="AE9678" s="465"/>
    </row>
    <row r="9679" spans="27:31" ht="14.4">
      <c r="AA9679" s="463"/>
      <c r="AB9679" s="462"/>
      <c r="AC9679" s="462"/>
      <c r="AD9679" s="464"/>
      <c r="AE9679" s="465"/>
    </row>
    <row r="9680" spans="27:31" ht="14.4">
      <c r="AA9680" s="463"/>
      <c r="AB9680" s="462"/>
      <c r="AC9680" s="462"/>
      <c r="AD9680" s="464"/>
      <c r="AE9680" s="465"/>
    </row>
    <row r="9681" spans="27:31" ht="14.4">
      <c r="AA9681" s="463"/>
      <c r="AB9681" s="462"/>
      <c r="AC9681" s="462"/>
      <c r="AD9681" s="464"/>
      <c r="AE9681" s="465"/>
    </row>
    <row r="9682" spans="27:31" ht="14.4">
      <c r="AA9682" s="463"/>
      <c r="AB9682" s="462"/>
      <c r="AC9682" s="462"/>
      <c r="AD9682" s="464"/>
      <c r="AE9682" s="465"/>
    </row>
    <row r="9683" spans="27:31" ht="14.4">
      <c r="AA9683" s="463"/>
      <c r="AB9683" s="462"/>
      <c r="AC9683" s="462"/>
      <c r="AD9683" s="464"/>
      <c r="AE9683" s="465"/>
    </row>
    <row r="9684" spans="27:31" ht="14.4">
      <c r="AA9684" s="463"/>
      <c r="AB9684" s="462"/>
      <c r="AC9684" s="462"/>
      <c r="AD9684" s="464"/>
      <c r="AE9684" s="465"/>
    </row>
    <row r="9685" spans="27:31" ht="14.4">
      <c r="AA9685" s="463"/>
      <c r="AB9685" s="462"/>
      <c r="AC9685" s="462"/>
      <c r="AD9685" s="464"/>
      <c r="AE9685" s="465"/>
    </row>
    <row r="9686" spans="27:31" ht="14.4">
      <c r="AA9686" s="463"/>
      <c r="AB9686" s="462"/>
      <c r="AC9686" s="462"/>
      <c r="AD9686" s="464"/>
      <c r="AE9686" s="465"/>
    </row>
    <row r="9687" spans="27:31" ht="14.4">
      <c r="AA9687" s="463"/>
      <c r="AB9687" s="462"/>
      <c r="AC9687" s="462"/>
      <c r="AD9687" s="464"/>
      <c r="AE9687" s="465"/>
    </row>
    <row r="9688" spans="27:31" ht="14.4">
      <c r="AA9688" s="463"/>
      <c r="AB9688" s="462"/>
      <c r="AC9688" s="462"/>
      <c r="AD9688" s="464"/>
      <c r="AE9688" s="465"/>
    </row>
    <row r="9689" spans="27:31" ht="14.4">
      <c r="AA9689" s="463"/>
      <c r="AB9689" s="462"/>
      <c r="AC9689" s="462"/>
      <c r="AD9689" s="464"/>
      <c r="AE9689" s="465"/>
    </row>
    <row r="9690" spans="27:31" ht="14.4">
      <c r="AA9690" s="463"/>
      <c r="AB9690" s="462"/>
      <c r="AC9690" s="462"/>
      <c r="AD9690" s="464"/>
      <c r="AE9690" s="465"/>
    </row>
    <row r="9691" spans="27:31" ht="14.4">
      <c r="AA9691" s="463"/>
      <c r="AB9691" s="462"/>
      <c r="AC9691" s="462"/>
      <c r="AD9691" s="464"/>
      <c r="AE9691" s="465"/>
    </row>
    <row r="9692" spans="27:31" ht="14.4">
      <c r="AA9692" s="463"/>
      <c r="AB9692" s="462"/>
      <c r="AC9692" s="462"/>
      <c r="AD9692" s="464"/>
      <c r="AE9692" s="465"/>
    </row>
    <row r="9693" spans="27:31" ht="14.4">
      <c r="AA9693" s="463"/>
      <c r="AB9693" s="462"/>
      <c r="AC9693" s="462"/>
      <c r="AD9693" s="464"/>
      <c r="AE9693" s="465"/>
    </row>
    <row r="9694" spans="27:31" ht="14.4">
      <c r="AA9694" s="463"/>
      <c r="AB9694" s="462"/>
      <c r="AC9694" s="462"/>
      <c r="AD9694" s="464"/>
      <c r="AE9694" s="465"/>
    </row>
    <row r="9695" spans="27:31" ht="14.4">
      <c r="AA9695" s="463"/>
      <c r="AB9695" s="462"/>
      <c r="AC9695" s="462"/>
      <c r="AD9695" s="464"/>
      <c r="AE9695" s="465"/>
    </row>
    <row r="9696" spans="27:31" ht="14.4">
      <c r="AA9696" s="463"/>
      <c r="AB9696" s="462"/>
      <c r="AC9696" s="462"/>
      <c r="AD9696" s="464"/>
      <c r="AE9696" s="465"/>
    </row>
    <row r="9697" spans="27:31" ht="14.4">
      <c r="AA9697" s="463"/>
      <c r="AB9697" s="462"/>
      <c r="AC9697" s="462"/>
      <c r="AD9697" s="464"/>
      <c r="AE9697" s="465"/>
    </row>
    <row r="9698" spans="27:31" ht="14.4">
      <c r="AA9698" s="463"/>
      <c r="AB9698" s="462"/>
      <c r="AC9698" s="462"/>
      <c r="AD9698" s="464"/>
      <c r="AE9698" s="465"/>
    </row>
    <row r="9699" spans="27:31" ht="14.4">
      <c r="AA9699" s="463"/>
      <c r="AB9699" s="462"/>
      <c r="AC9699" s="462"/>
      <c r="AD9699" s="464"/>
      <c r="AE9699" s="465"/>
    </row>
    <row r="9700" spans="27:31" ht="14.4">
      <c r="AA9700" s="463"/>
      <c r="AB9700" s="462"/>
      <c r="AC9700" s="462"/>
      <c r="AD9700" s="464"/>
      <c r="AE9700" s="465"/>
    </row>
    <row r="9701" spans="27:31" ht="14.4">
      <c r="AA9701" s="463"/>
      <c r="AB9701" s="462"/>
      <c r="AC9701" s="462"/>
      <c r="AD9701" s="464"/>
      <c r="AE9701" s="465"/>
    </row>
    <row r="9702" spans="27:31" ht="14.4">
      <c r="AA9702" s="463"/>
      <c r="AB9702" s="462"/>
      <c r="AC9702" s="462"/>
      <c r="AD9702" s="464"/>
      <c r="AE9702" s="465"/>
    </row>
    <row r="9703" spans="27:31" ht="14.4">
      <c r="AA9703" s="463"/>
      <c r="AB9703" s="462"/>
      <c r="AC9703" s="462"/>
      <c r="AD9703" s="464"/>
      <c r="AE9703" s="465"/>
    </row>
    <row r="9704" spans="27:31" ht="14.4">
      <c r="AA9704" s="463"/>
      <c r="AB9704" s="462"/>
      <c r="AC9704" s="462"/>
      <c r="AD9704" s="464"/>
      <c r="AE9704" s="465"/>
    </row>
    <row r="9705" spans="27:31" ht="14.4">
      <c r="AA9705" s="463"/>
      <c r="AB9705" s="462"/>
      <c r="AC9705" s="462"/>
      <c r="AD9705" s="464"/>
      <c r="AE9705" s="465"/>
    </row>
    <row r="9706" spans="27:31" ht="14.4">
      <c r="AA9706" s="463"/>
      <c r="AB9706" s="462"/>
      <c r="AC9706" s="462"/>
      <c r="AD9706" s="464"/>
      <c r="AE9706" s="465"/>
    </row>
    <row r="9707" spans="27:31" ht="14.4">
      <c r="AA9707" s="463"/>
      <c r="AB9707" s="462"/>
      <c r="AC9707" s="462"/>
      <c r="AD9707" s="464"/>
      <c r="AE9707" s="465"/>
    </row>
    <row r="9708" spans="27:31" ht="14.4">
      <c r="AA9708" s="463"/>
      <c r="AB9708" s="462"/>
      <c r="AC9708" s="462"/>
      <c r="AD9708" s="464"/>
      <c r="AE9708" s="465"/>
    </row>
    <row r="9709" spans="27:31" ht="14.4">
      <c r="AA9709" s="463"/>
      <c r="AB9709" s="462"/>
      <c r="AC9709" s="462"/>
      <c r="AD9709" s="464"/>
      <c r="AE9709" s="465"/>
    </row>
    <row r="9710" spans="27:31" ht="14.4">
      <c r="AA9710" s="463"/>
      <c r="AB9710" s="462"/>
      <c r="AC9710" s="462"/>
      <c r="AD9710" s="464"/>
      <c r="AE9710" s="465"/>
    </row>
    <row r="9711" spans="27:31" ht="14.4">
      <c r="AA9711" s="463"/>
      <c r="AB9711" s="462"/>
      <c r="AC9711" s="462"/>
      <c r="AD9711" s="464"/>
      <c r="AE9711" s="465"/>
    </row>
    <row r="9712" spans="27:31" ht="14.4">
      <c r="AA9712" s="463"/>
      <c r="AB9712" s="462"/>
      <c r="AC9712" s="462"/>
      <c r="AD9712" s="464"/>
      <c r="AE9712" s="465"/>
    </row>
    <row r="9713" spans="27:31" ht="14.4">
      <c r="AA9713" s="463"/>
      <c r="AB9713" s="462"/>
      <c r="AC9713" s="462"/>
      <c r="AD9713" s="464"/>
      <c r="AE9713" s="465"/>
    </row>
    <row r="9714" spans="27:31" ht="14.4">
      <c r="AA9714" s="463"/>
      <c r="AB9714" s="462"/>
      <c r="AC9714" s="462"/>
      <c r="AD9714" s="464"/>
      <c r="AE9714" s="465"/>
    </row>
    <row r="9715" spans="27:31" ht="14.4">
      <c r="AA9715" s="463"/>
      <c r="AB9715" s="462"/>
      <c r="AC9715" s="462"/>
      <c r="AD9715" s="464"/>
      <c r="AE9715" s="465"/>
    </row>
    <row r="9716" spans="27:31" ht="14.4">
      <c r="AA9716" s="463"/>
      <c r="AB9716" s="462"/>
      <c r="AC9716" s="462"/>
      <c r="AD9716" s="464"/>
      <c r="AE9716" s="465"/>
    </row>
    <row r="9717" spans="27:31" ht="14.4">
      <c r="AA9717" s="463"/>
      <c r="AB9717" s="462"/>
      <c r="AC9717" s="462"/>
      <c r="AD9717" s="464"/>
      <c r="AE9717" s="465"/>
    </row>
    <row r="9718" spans="27:31" ht="14.4">
      <c r="AA9718" s="463"/>
      <c r="AB9718" s="462"/>
      <c r="AC9718" s="462"/>
      <c r="AD9718" s="464"/>
      <c r="AE9718" s="465"/>
    </row>
    <row r="9719" spans="27:31" ht="14.4">
      <c r="AA9719" s="463"/>
      <c r="AB9719" s="462"/>
      <c r="AC9719" s="462"/>
      <c r="AD9719" s="464"/>
      <c r="AE9719" s="465"/>
    </row>
    <row r="9720" spans="27:31" ht="14.4">
      <c r="AA9720" s="463"/>
      <c r="AB9720" s="462"/>
      <c r="AC9720" s="462"/>
      <c r="AD9720" s="464"/>
      <c r="AE9720" s="465"/>
    </row>
    <row r="9721" spans="27:31" ht="14.4">
      <c r="AA9721" s="463"/>
      <c r="AB9721" s="462"/>
      <c r="AC9721" s="462"/>
      <c r="AD9721" s="464"/>
      <c r="AE9721" s="465"/>
    </row>
    <row r="9722" spans="27:31" ht="14.4">
      <c r="AA9722" s="463"/>
      <c r="AB9722" s="462"/>
      <c r="AC9722" s="462"/>
      <c r="AD9722" s="464"/>
      <c r="AE9722" s="465"/>
    </row>
    <row r="9723" spans="27:31" ht="14.4">
      <c r="AA9723" s="463"/>
      <c r="AB9723" s="462"/>
      <c r="AC9723" s="462"/>
      <c r="AD9723" s="464"/>
      <c r="AE9723" s="465"/>
    </row>
    <row r="9724" spans="27:31" ht="14.4">
      <c r="AA9724" s="463"/>
      <c r="AB9724" s="462"/>
      <c r="AC9724" s="462"/>
      <c r="AD9724" s="464"/>
      <c r="AE9724" s="465"/>
    </row>
    <row r="9725" spans="27:31" ht="14.4">
      <c r="AA9725" s="463"/>
      <c r="AB9725" s="462"/>
      <c r="AC9725" s="462"/>
      <c r="AD9725" s="464"/>
      <c r="AE9725" s="465"/>
    </row>
    <row r="9726" spans="27:31" ht="14.4">
      <c r="AA9726" s="463"/>
      <c r="AB9726" s="462"/>
      <c r="AC9726" s="462"/>
      <c r="AD9726" s="464"/>
      <c r="AE9726" s="465"/>
    </row>
    <row r="9727" spans="27:31" ht="14.4">
      <c r="AA9727" s="463"/>
      <c r="AB9727" s="462"/>
      <c r="AC9727" s="462"/>
      <c r="AD9727" s="464"/>
      <c r="AE9727" s="465"/>
    </row>
    <row r="9728" spans="27:31" ht="14.4">
      <c r="AA9728" s="463"/>
      <c r="AB9728" s="462"/>
      <c r="AC9728" s="462"/>
      <c r="AD9728" s="464"/>
      <c r="AE9728" s="465"/>
    </row>
    <row r="9729" spans="27:31" ht="14.4">
      <c r="AA9729" s="463"/>
      <c r="AB9729" s="462"/>
      <c r="AC9729" s="462"/>
      <c r="AD9729" s="464"/>
      <c r="AE9729" s="465"/>
    </row>
    <row r="9730" spans="27:31" ht="14.4">
      <c r="AA9730" s="463"/>
      <c r="AB9730" s="462"/>
      <c r="AC9730" s="462"/>
      <c r="AD9730" s="464"/>
      <c r="AE9730" s="465"/>
    </row>
    <row r="9731" spans="27:31" ht="14.4">
      <c r="AA9731" s="463"/>
      <c r="AB9731" s="462"/>
      <c r="AC9731" s="462"/>
      <c r="AD9731" s="464"/>
      <c r="AE9731" s="465"/>
    </row>
    <row r="9732" spans="27:31" ht="14.4">
      <c r="AA9732" s="463"/>
      <c r="AB9732" s="462"/>
      <c r="AC9732" s="462"/>
      <c r="AD9732" s="464"/>
      <c r="AE9732" s="465"/>
    </row>
    <row r="9733" spans="27:31" ht="14.4">
      <c r="AA9733" s="463"/>
      <c r="AB9733" s="462"/>
      <c r="AC9733" s="462"/>
      <c r="AD9733" s="464"/>
      <c r="AE9733" s="465"/>
    </row>
    <row r="9734" spans="27:31" ht="14.4">
      <c r="AA9734" s="463"/>
      <c r="AB9734" s="462"/>
      <c r="AC9734" s="462"/>
      <c r="AD9734" s="464"/>
      <c r="AE9734" s="465"/>
    </row>
    <row r="9735" spans="27:31" ht="14.4">
      <c r="AA9735" s="463"/>
      <c r="AB9735" s="462"/>
      <c r="AC9735" s="462"/>
      <c r="AD9735" s="464"/>
      <c r="AE9735" s="465"/>
    </row>
    <row r="9736" spans="27:31" ht="14.4">
      <c r="AA9736" s="463"/>
      <c r="AB9736" s="462"/>
      <c r="AC9736" s="462"/>
      <c r="AD9736" s="464"/>
      <c r="AE9736" s="465"/>
    </row>
    <row r="9737" spans="27:31" ht="14.4">
      <c r="AA9737" s="463"/>
      <c r="AB9737" s="462"/>
      <c r="AC9737" s="462"/>
      <c r="AD9737" s="464"/>
      <c r="AE9737" s="465"/>
    </row>
    <row r="9738" spans="27:31" ht="14.4">
      <c r="AA9738" s="463"/>
      <c r="AB9738" s="462"/>
      <c r="AC9738" s="462"/>
      <c r="AD9738" s="464"/>
      <c r="AE9738" s="465"/>
    </row>
    <row r="9739" spans="27:31" ht="14.4">
      <c r="AA9739" s="463"/>
      <c r="AB9739" s="462"/>
      <c r="AC9739" s="462"/>
      <c r="AD9739" s="464"/>
      <c r="AE9739" s="465"/>
    </row>
    <row r="9740" spans="27:31" ht="14.4">
      <c r="AA9740" s="463"/>
      <c r="AB9740" s="462"/>
      <c r="AC9740" s="462"/>
      <c r="AD9740" s="464"/>
      <c r="AE9740" s="465"/>
    </row>
    <row r="9741" spans="27:31" ht="14.4">
      <c r="AA9741" s="463"/>
      <c r="AB9741" s="462"/>
      <c r="AC9741" s="462"/>
      <c r="AD9741" s="464"/>
      <c r="AE9741" s="465"/>
    </row>
    <row r="9742" spans="27:31" ht="14.4">
      <c r="AA9742" s="463"/>
      <c r="AB9742" s="462"/>
      <c r="AC9742" s="462"/>
      <c r="AD9742" s="464"/>
      <c r="AE9742" s="465"/>
    </row>
    <row r="9743" spans="27:31" ht="14.4">
      <c r="AA9743" s="463"/>
      <c r="AB9743" s="462"/>
      <c r="AC9743" s="462"/>
      <c r="AD9743" s="464"/>
      <c r="AE9743" s="465"/>
    </row>
    <row r="9744" spans="27:31" ht="14.4">
      <c r="AA9744" s="463"/>
      <c r="AB9744" s="462"/>
      <c r="AC9744" s="462"/>
      <c r="AD9744" s="464"/>
      <c r="AE9744" s="465"/>
    </row>
    <row r="9745" spans="27:31" ht="14.4">
      <c r="AA9745" s="463"/>
      <c r="AB9745" s="462"/>
      <c r="AC9745" s="462"/>
      <c r="AD9745" s="464"/>
      <c r="AE9745" s="465"/>
    </row>
    <row r="9746" spans="27:31" ht="14.4">
      <c r="AA9746" s="463"/>
      <c r="AB9746" s="462"/>
      <c r="AC9746" s="462"/>
      <c r="AD9746" s="464"/>
      <c r="AE9746" s="465"/>
    </row>
    <row r="9747" spans="27:31" ht="14.4">
      <c r="AA9747" s="463"/>
      <c r="AB9747" s="462"/>
      <c r="AC9747" s="462"/>
      <c r="AD9747" s="464"/>
      <c r="AE9747" s="465"/>
    </row>
    <row r="9748" spans="27:31" ht="14.4">
      <c r="AA9748" s="463"/>
      <c r="AB9748" s="462"/>
      <c r="AC9748" s="462"/>
      <c r="AD9748" s="464"/>
      <c r="AE9748" s="465"/>
    </row>
    <row r="9749" spans="27:31" ht="14.4">
      <c r="AA9749" s="463"/>
      <c r="AB9749" s="462"/>
      <c r="AC9749" s="462"/>
      <c r="AD9749" s="464"/>
      <c r="AE9749" s="465"/>
    </row>
    <row r="9750" spans="27:31" ht="14.4">
      <c r="AA9750" s="463"/>
      <c r="AB9750" s="462"/>
      <c r="AC9750" s="462"/>
      <c r="AD9750" s="464"/>
      <c r="AE9750" s="465"/>
    </row>
    <row r="9751" spans="27:31" ht="14.4">
      <c r="AA9751" s="463"/>
      <c r="AB9751" s="462"/>
      <c r="AC9751" s="462"/>
      <c r="AD9751" s="464"/>
      <c r="AE9751" s="465"/>
    </row>
    <row r="9752" spans="27:31" ht="14.4">
      <c r="AA9752" s="463"/>
      <c r="AB9752" s="462"/>
      <c r="AC9752" s="462"/>
      <c r="AD9752" s="464"/>
      <c r="AE9752" s="465"/>
    </row>
    <row r="9753" spans="27:31" ht="14.4">
      <c r="AA9753" s="463"/>
      <c r="AB9753" s="462"/>
      <c r="AC9753" s="462"/>
      <c r="AD9753" s="464"/>
      <c r="AE9753" s="465"/>
    </row>
    <row r="9754" spans="27:31" ht="14.4">
      <c r="AA9754" s="463"/>
      <c r="AB9754" s="462"/>
      <c r="AC9754" s="462"/>
      <c r="AD9754" s="464"/>
      <c r="AE9754" s="465"/>
    </row>
    <row r="9755" spans="27:31" ht="14.4">
      <c r="AA9755" s="463"/>
      <c r="AB9755" s="462"/>
      <c r="AC9755" s="462"/>
      <c r="AD9755" s="464"/>
      <c r="AE9755" s="465"/>
    </row>
    <row r="9756" spans="27:31" ht="14.4">
      <c r="AA9756" s="463"/>
      <c r="AB9756" s="462"/>
      <c r="AC9756" s="462"/>
      <c r="AD9756" s="464"/>
      <c r="AE9756" s="465"/>
    </row>
    <row r="9757" spans="27:31" ht="14.4">
      <c r="AA9757" s="463"/>
      <c r="AB9757" s="462"/>
      <c r="AC9757" s="462"/>
      <c r="AD9757" s="464"/>
      <c r="AE9757" s="465"/>
    </row>
    <row r="9758" spans="27:31" ht="14.4">
      <c r="AA9758" s="463"/>
      <c r="AB9758" s="462"/>
      <c r="AC9758" s="462"/>
      <c r="AD9758" s="464"/>
      <c r="AE9758" s="465"/>
    </row>
    <row r="9759" spans="27:31" ht="14.4">
      <c r="AA9759" s="463"/>
      <c r="AB9759" s="462"/>
      <c r="AC9759" s="462"/>
      <c r="AD9759" s="464"/>
      <c r="AE9759" s="465"/>
    </row>
    <row r="9760" spans="27:31" ht="14.4">
      <c r="AA9760" s="463"/>
      <c r="AB9760" s="462"/>
      <c r="AC9760" s="462"/>
      <c r="AD9760" s="464"/>
      <c r="AE9760" s="465"/>
    </row>
    <row r="9761" spans="27:31" ht="14.4">
      <c r="AA9761" s="463"/>
      <c r="AB9761" s="462"/>
      <c r="AC9761" s="462"/>
      <c r="AD9761" s="464"/>
      <c r="AE9761" s="465"/>
    </row>
    <row r="9762" spans="27:31" ht="14.4">
      <c r="AA9762" s="463"/>
      <c r="AB9762" s="462"/>
      <c r="AC9762" s="462"/>
      <c r="AD9762" s="464"/>
      <c r="AE9762" s="465"/>
    </row>
    <row r="9763" spans="27:31" ht="14.4">
      <c r="AA9763" s="463"/>
      <c r="AB9763" s="462"/>
      <c r="AC9763" s="462"/>
      <c r="AD9763" s="464"/>
      <c r="AE9763" s="465"/>
    </row>
    <row r="9764" spans="27:31" ht="14.4">
      <c r="AA9764" s="463"/>
      <c r="AB9764" s="462"/>
      <c r="AC9764" s="462"/>
      <c r="AD9764" s="464"/>
      <c r="AE9764" s="465"/>
    </row>
    <row r="9765" spans="27:31" ht="14.4">
      <c r="AA9765" s="463"/>
      <c r="AB9765" s="462"/>
      <c r="AC9765" s="462"/>
      <c r="AD9765" s="464"/>
      <c r="AE9765" s="465"/>
    </row>
    <row r="9766" spans="27:31" ht="14.4">
      <c r="AA9766" s="463"/>
      <c r="AB9766" s="462"/>
      <c r="AC9766" s="462"/>
      <c r="AD9766" s="464"/>
      <c r="AE9766" s="465"/>
    </row>
    <row r="9767" spans="27:31" ht="14.4">
      <c r="AA9767" s="463"/>
      <c r="AB9767" s="462"/>
      <c r="AC9767" s="462"/>
      <c r="AD9767" s="464"/>
      <c r="AE9767" s="465"/>
    </row>
    <row r="9768" spans="27:31" ht="14.4">
      <c r="AA9768" s="463"/>
      <c r="AB9768" s="462"/>
      <c r="AC9768" s="462"/>
      <c r="AD9768" s="464"/>
      <c r="AE9768" s="465"/>
    </row>
    <row r="9769" spans="27:31" ht="14.4">
      <c r="AA9769" s="463"/>
      <c r="AB9769" s="462"/>
      <c r="AC9769" s="462"/>
      <c r="AD9769" s="464"/>
      <c r="AE9769" s="465"/>
    </row>
    <row r="9770" spans="27:31" ht="14.4">
      <c r="AA9770" s="463"/>
      <c r="AB9770" s="462"/>
      <c r="AC9770" s="462"/>
      <c r="AD9770" s="464"/>
      <c r="AE9770" s="465"/>
    </row>
    <row r="9771" spans="27:31" ht="14.4">
      <c r="AA9771" s="463"/>
      <c r="AB9771" s="462"/>
      <c r="AC9771" s="462"/>
      <c r="AD9771" s="464"/>
      <c r="AE9771" s="465"/>
    </row>
    <row r="9772" spans="27:31" ht="14.4">
      <c r="AA9772" s="463"/>
      <c r="AB9772" s="462"/>
      <c r="AC9772" s="462"/>
      <c r="AD9772" s="464"/>
      <c r="AE9772" s="465"/>
    </row>
    <row r="9773" spans="27:31" ht="14.4">
      <c r="AA9773" s="463"/>
      <c r="AB9773" s="462"/>
      <c r="AC9773" s="462"/>
      <c r="AD9773" s="464"/>
      <c r="AE9773" s="465"/>
    </row>
    <row r="9774" spans="27:31" ht="14.4">
      <c r="AA9774" s="463"/>
      <c r="AB9774" s="462"/>
      <c r="AC9774" s="462"/>
      <c r="AD9774" s="464"/>
      <c r="AE9774" s="465"/>
    </row>
    <row r="9775" spans="27:31" ht="14.4">
      <c r="AA9775" s="463"/>
      <c r="AB9775" s="462"/>
      <c r="AC9775" s="462"/>
      <c r="AD9775" s="464"/>
      <c r="AE9775" s="465"/>
    </row>
    <row r="9776" spans="27:31" ht="14.4">
      <c r="AA9776" s="463"/>
      <c r="AB9776" s="462"/>
      <c r="AC9776" s="462"/>
      <c r="AD9776" s="464"/>
      <c r="AE9776" s="465"/>
    </row>
    <row r="9777" spans="27:31" ht="14.4">
      <c r="AA9777" s="463"/>
      <c r="AB9777" s="462"/>
      <c r="AC9777" s="462"/>
      <c r="AD9777" s="464"/>
      <c r="AE9777" s="465"/>
    </row>
    <row r="9778" spans="27:31" ht="14.4">
      <c r="AA9778" s="463"/>
      <c r="AB9778" s="462"/>
      <c r="AC9778" s="462"/>
      <c r="AD9778" s="464"/>
      <c r="AE9778" s="465"/>
    </row>
    <row r="9779" spans="27:31" ht="14.4">
      <c r="AA9779" s="463"/>
      <c r="AB9779" s="462"/>
      <c r="AC9779" s="462"/>
      <c r="AD9779" s="464"/>
      <c r="AE9779" s="465"/>
    </row>
    <row r="9780" spans="27:31" ht="14.4">
      <c r="AA9780" s="463"/>
      <c r="AB9780" s="462"/>
      <c r="AC9780" s="462"/>
      <c r="AD9780" s="464"/>
      <c r="AE9780" s="465"/>
    </row>
    <row r="9781" spans="27:31" ht="14.4">
      <c r="AA9781" s="463"/>
      <c r="AB9781" s="462"/>
      <c r="AC9781" s="462"/>
      <c r="AD9781" s="464"/>
      <c r="AE9781" s="465"/>
    </row>
    <row r="9782" spans="27:31" ht="14.4">
      <c r="AA9782" s="463"/>
      <c r="AB9782" s="462"/>
      <c r="AC9782" s="462"/>
      <c r="AD9782" s="464"/>
      <c r="AE9782" s="465"/>
    </row>
    <row r="9783" spans="27:31" ht="14.4">
      <c r="AA9783" s="463"/>
      <c r="AB9783" s="462"/>
      <c r="AC9783" s="462"/>
      <c r="AD9783" s="464"/>
      <c r="AE9783" s="465"/>
    </row>
    <row r="9784" spans="27:31" ht="14.4">
      <c r="AA9784" s="463"/>
      <c r="AB9784" s="462"/>
      <c r="AC9784" s="462"/>
      <c r="AD9784" s="464"/>
      <c r="AE9784" s="465"/>
    </row>
    <row r="9785" spans="27:31" ht="14.4">
      <c r="AA9785" s="463"/>
      <c r="AB9785" s="462"/>
      <c r="AC9785" s="462"/>
      <c r="AD9785" s="464"/>
      <c r="AE9785" s="465"/>
    </row>
    <row r="9786" spans="27:31" ht="14.4">
      <c r="AA9786" s="463"/>
      <c r="AB9786" s="462"/>
      <c r="AC9786" s="462"/>
      <c r="AD9786" s="464"/>
      <c r="AE9786" s="465"/>
    </row>
    <row r="9787" spans="27:31" ht="14.4">
      <c r="AA9787" s="463"/>
      <c r="AB9787" s="462"/>
      <c r="AC9787" s="462"/>
      <c r="AD9787" s="464"/>
      <c r="AE9787" s="465"/>
    </row>
    <row r="9788" spans="27:31" ht="14.4">
      <c r="AA9788" s="463"/>
      <c r="AB9788" s="462"/>
      <c r="AC9788" s="462"/>
      <c r="AD9788" s="464"/>
      <c r="AE9788" s="465"/>
    </row>
    <row r="9789" spans="27:31" ht="14.4">
      <c r="AA9789" s="463"/>
      <c r="AB9789" s="462"/>
      <c r="AC9789" s="462"/>
      <c r="AD9789" s="464"/>
      <c r="AE9789" s="465"/>
    </row>
    <row r="9790" spans="27:31" ht="14.4">
      <c r="AA9790" s="463"/>
      <c r="AB9790" s="462"/>
      <c r="AC9790" s="462"/>
      <c r="AD9790" s="464"/>
      <c r="AE9790" s="465"/>
    </row>
    <row r="9791" spans="27:31" ht="14.4">
      <c r="AA9791" s="463"/>
      <c r="AB9791" s="462"/>
      <c r="AC9791" s="462"/>
      <c r="AD9791" s="464"/>
      <c r="AE9791" s="465"/>
    </row>
    <row r="9792" spans="27:31" ht="14.4">
      <c r="AA9792" s="463"/>
      <c r="AB9792" s="462"/>
      <c r="AC9792" s="462"/>
      <c r="AD9792" s="464"/>
      <c r="AE9792" s="465"/>
    </row>
    <row r="9793" spans="27:31" ht="14.4">
      <c r="AA9793" s="463"/>
      <c r="AB9793" s="462"/>
      <c r="AC9793" s="462"/>
      <c r="AD9793" s="464"/>
      <c r="AE9793" s="465"/>
    </row>
    <row r="9794" spans="27:31" ht="14.4">
      <c r="AA9794" s="463"/>
      <c r="AB9794" s="462"/>
      <c r="AC9794" s="462"/>
      <c r="AD9794" s="464"/>
      <c r="AE9794" s="465"/>
    </row>
    <row r="9795" spans="27:31" ht="14.4">
      <c r="AA9795" s="463"/>
      <c r="AB9795" s="462"/>
      <c r="AC9795" s="462"/>
      <c r="AD9795" s="464"/>
      <c r="AE9795" s="465"/>
    </row>
    <row r="9796" spans="27:31" ht="14.4">
      <c r="AA9796" s="463"/>
      <c r="AB9796" s="462"/>
      <c r="AC9796" s="462"/>
      <c r="AD9796" s="464"/>
      <c r="AE9796" s="465"/>
    </row>
    <row r="9797" spans="27:31" ht="14.4">
      <c r="AA9797" s="463"/>
      <c r="AB9797" s="462"/>
      <c r="AC9797" s="462"/>
      <c r="AD9797" s="464"/>
      <c r="AE9797" s="465"/>
    </row>
    <row r="9798" spans="27:31" ht="14.4">
      <c r="AA9798" s="463"/>
      <c r="AB9798" s="462"/>
      <c r="AC9798" s="462"/>
      <c r="AD9798" s="464"/>
      <c r="AE9798" s="465"/>
    </row>
    <row r="9799" spans="27:31" ht="14.4">
      <c r="AA9799" s="463"/>
      <c r="AB9799" s="462"/>
      <c r="AC9799" s="462"/>
      <c r="AD9799" s="464"/>
      <c r="AE9799" s="465"/>
    </row>
    <row r="9800" spans="27:31" ht="14.4">
      <c r="AA9800" s="463"/>
      <c r="AB9800" s="462"/>
      <c r="AC9800" s="462"/>
      <c r="AD9800" s="464"/>
      <c r="AE9800" s="465"/>
    </row>
    <row r="9801" spans="27:31" ht="14.4">
      <c r="AA9801" s="463"/>
      <c r="AB9801" s="462"/>
      <c r="AC9801" s="462"/>
      <c r="AD9801" s="464"/>
      <c r="AE9801" s="465"/>
    </row>
    <row r="9802" spans="27:31" ht="14.4">
      <c r="AA9802" s="463"/>
      <c r="AB9802" s="462"/>
      <c r="AC9802" s="462"/>
      <c r="AD9802" s="464"/>
      <c r="AE9802" s="465"/>
    </row>
    <row r="9803" spans="27:31" ht="14.4">
      <c r="AA9803" s="463"/>
      <c r="AB9803" s="462"/>
      <c r="AC9803" s="462"/>
      <c r="AD9803" s="464"/>
      <c r="AE9803" s="465"/>
    </row>
    <row r="9804" spans="27:31" ht="14.4">
      <c r="AA9804" s="463"/>
      <c r="AB9804" s="462"/>
      <c r="AC9804" s="462"/>
      <c r="AD9804" s="464"/>
      <c r="AE9804" s="465"/>
    </row>
    <row r="9805" spans="27:31" ht="14.4">
      <c r="AA9805" s="463"/>
      <c r="AB9805" s="462"/>
      <c r="AC9805" s="462"/>
      <c r="AD9805" s="464"/>
      <c r="AE9805" s="465"/>
    </row>
    <row r="9806" spans="27:31" ht="14.4">
      <c r="AA9806" s="463"/>
      <c r="AB9806" s="462"/>
      <c r="AC9806" s="462"/>
      <c r="AD9806" s="464"/>
      <c r="AE9806" s="465"/>
    </row>
    <row r="9807" spans="27:31" ht="14.4">
      <c r="AA9807" s="463"/>
      <c r="AB9807" s="462"/>
      <c r="AC9807" s="462"/>
      <c r="AD9807" s="464"/>
      <c r="AE9807" s="465"/>
    </row>
    <row r="9808" spans="27:31" ht="14.4">
      <c r="AA9808" s="463"/>
      <c r="AB9808" s="462"/>
      <c r="AC9808" s="462"/>
      <c r="AD9808" s="464"/>
      <c r="AE9808" s="465"/>
    </row>
    <row r="9809" spans="27:31" ht="14.4">
      <c r="AA9809" s="463"/>
      <c r="AB9809" s="462"/>
      <c r="AC9809" s="462"/>
      <c r="AD9809" s="464"/>
      <c r="AE9809" s="465"/>
    </row>
    <row r="9810" spans="27:31" ht="14.4">
      <c r="AA9810" s="463"/>
      <c r="AB9810" s="462"/>
      <c r="AC9810" s="462"/>
      <c r="AD9810" s="464"/>
      <c r="AE9810" s="465"/>
    </row>
    <row r="9811" spans="27:31" ht="14.4">
      <c r="AA9811" s="463"/>
      <c r="AB9811" s="462"/>
      <c r="AC9811" s="462"/>
      <c r="AD9811" s="464"/>
      <c r="AE9811" s="465"/>
    </row>
    <row r="9812" spans="27:31" ht="14.4">
      <c r="AA9812" s="463"/>
      <c r="AB9812" s="462"/>
      <c r="AC9812" s="462"/>
      <c r="AD9812" s="464"/>
      <c r="AE9812" s="465"/>
    </row>
    <row r="9813" spans="27:31" ht="14.4">
      <c r="AA9813" s="463"/>
      <c r="AB9813" s="462"/>
      <c r="AC9813" s="462"/>
      <c r="AD9813" s="464"/>
      <c r="AE9813" s="465"/>
    </row>
    <row r="9814" spans="27:31" ht="14.4">
      <c r="AA9814" s="463"/>
      <c r="AB9814" s="462"/>
      <c r="AC9814" s="462"/>
      <c r="AD9814" s="464"/>
      <c r="AE9814" s="465"/>
    </row>
    <row r="9815" spans="27:31" ht="14.4">
      <c r="AA9815" s="463"/>
      <c r="AB9815" s="462"/>
      <c r="AC9815" s="462"/>
      <c r="AD9815" s="464"/>
      <c r="AE9815" s="465"/>
    </row>
    <row r="9816" spans="27:31" ht="14.4">
      <c r="AA9816" s="463"/>
      <c r="AB9816" s="462"/>
      <c r="AC9816" s="462"/>
      <c r="AD9816" s="464"/>
      <c r="AE9816" s="465"/>
    </row>
    <row r="9817" spans="27:31" ht="14.4">
      <c r="AA9817" s="463"/>
      <c r="AB9817" s="462"/>
      <c r="AC9817" s="462"/>
      <c r="AD9817" s="464"/>
      <c r="AE9817" s="465"/>
    </row>
    <row r="9818" spans="27:31" ht="14.4">
      <c r="AA9818" s="463"/>
      <c r="AB9818" s="462"/>
      <c r="AC9818" s="462"/>
      <c r="AD9818" s="464"/>
      <c r="AE9818" s="465"/>
    </row>
    <row r="9819" spans="27:31" ht="14.4">
      <c r="AA9819" s="463"/>
      <c r="AB9819" s="462"/>
      <c r="AC9819" s="462"/>
      <c r="AD9819" s="464"/>
      <c r="AE9819" s="465"/>
    </row>
    <row r="9820" spans="27:31" ht="14.4">
      <c r="AA9820" s="463"/>
      <c r="AB9820" s="462"/>
      <c r="AC9820" s="462"/>
      <c r="AD9820" s="464"/>
      <c r="AE9820" s="465"/>
    </row>
    <row r="9821" spans="27:31" ht="14.4">
      <c r="AA9821" s="463"/>
      <c r="AB9821" s="462"/>
      <c r="AC9821" s="462"/>
      <c r="AD9821" s="464"/>
      <c r="AE9821" s="465"/>
    </row>
    <row r="9822" spans="27:31" ht="14.4">
      <c r="AA9822" s="463"/>
      <c r="AB9822" s="462"/>
      <c r="AC9822" s="462"/>
      <c r="AD9822" s="464"/>
      <c r="AE9822" s="465"/>
    </row>
    <row r="9823" spans="27:31" ht="14.4">
      <c r="AA9823" s="463"/>
      <c r="AB9823" s="462"/>
      <c r="AC9823" s="462"/>
      <c r="AD9823" s="464"/>
      <c r="AE9823" s="465"/>
    </row>
    <row r="9824" spans="27:31" ht="14.4">
      <c r="AA9824" s="463"/>
      <c r="AB9824" s="462"/>
      <c r="AC9824" s="462"/>
      <c r="AD9824" s="464"/>
      <c r="AE9824" s="465"/>
    </row>
    <row r="9825" spans="27:31" ht="14.4">
      <c r="AA9825" s="463"/>
      <c r="AB9825" s="462"/>
      <c r="AC9825" s="462"/>
      <c r="AD9825" s="464"/>
      <c r="AE9825" s="465"/>
    </row>
    <row r="9826" spans="27:31" ht="14.4">
      <c r="AA9826" s="463"/>
      <c r="AB9826" s="462"/>
      <c r="AC9826" s="462"/>
      <c r="AD9826" s="464"/>
      <c r="AE9826" s="465"/>
    </row>
    <row r="9827" spans="27:31" ht="14.4">
      <c r="AA9827" s="463"/>
      <c r="AB9827" s="462"/>
      <c r="AC9827" s="462"/>
      <c r="AD9827" s="464"/>
      <c r="AE9827" s="465"/>
    </row>
    <row r="9828" spans="27:31" ht="14.4">
      <c r="AA9828" s="463"/>
      <c r="AB9828" s="462"/>
      <c r="AC9828" s="462"/>
      <c r="AD9828" s="464"/>
      <c r="AE9828" s="465"/>
    </row>
    <row r="9829" spans="27:31" ht="14.4">
      <c r="AA9829" s="463"/>
      <c r="AB9829" s="462"/>
      <c r="AC9829" s="462"/>
      <c r="AD9829" s="464"/>
      <c r="AE9829" s="465"/>
    </row>
    <row r="9830" spans="27:31" ht="14.4">
      <c r="AA9830" s="463"/>
      <c r="AB9830" s="462"/>
      <c r="AC9830" s="462"/>
      <c r="AD9830" s="464"/>
      <c r="AE9830" s="465"/>
    </row>
    <row r="9831" spans="27:31" ht="14.4">
      <c r="AA9831" s="463"/>
      <c r="AB9831" s="462"/>
      <c r="AC9831" s="462"/>
      <c r="AD9831" s="464"/>
      <c r="AE9831" s="465"/>
    </row>
    <row r="9832" spans="27:31" ht="14.4">
      <c r="AA9832" s="463"/>
      <c r="AB9832" s="462"/>
      <c r="AC9832" s="462"/>
      <c r="AD9832" s="464"/>
      <c r="AE9832" s="465"/>
    </row>
    <row r="9833" spans="27:31" ht="14.4">
      <c r="AA9833" s="463"/>
      <c r="AB9833" s="462"/>
      <c r="AC9833" s="462"/>
      <c r="AD9833" s="464"/>
      <c r="AE9833" s="465"/>
    </row>
    <row r="9834" spans="27:31" ht="14.4">
      <c r="AA9834" s="463"/>
      <c r="AB9834" s="462"/>
      <c r="AC9834" s="462"/>
      <c r="AD9834" s="464"/>
      <c r="AE9834" s="465"/>
    </row>
    <row r="9835" spans="27:31" ht="14.4">
      <c r="AA9835" s="463"/>
      <c r="AB9835" s="462"/>
      <c r="AC9835" s="462"/>
      <c r="AD9835" s="464"/>
      <c r="AE9835" s="465"/>
    </row>
    <row r="9836" spans="27:31" ht="14.4">
      <c r="AA9836" s="463"/>
      <c r="AB9836" s="462"/>
      <c r="AC9836" s="462"/>
      <c r="AD9836" s="464"/>
      <c r="AE9836" s="465"/>
    </row>
    <row r="9837" spans="27:31" ht="14.4">
      <c r="AA9837" s="463"/>
      <c r="AB9837" s="462"/>
      <c r="AC9837" s="462"/>
      <c r="AD9837" s="464"/>
      <c r="AE9837" s="465"/>
    </row>
    <row r="9838" spans="27:31" ht="14.4">
      <c r="AA9838" s="463"/>
      <c r="AB9838" s="462"/>
      <c r="AC9838" s="462"/>
      <c r="AD9838" s="464"/>
      <c r="AE9838" s="465"/>
    </row>
    <row r="9839" spans="27:31" ht="14.4">
      <c r="AA9839" s="463"/>
      <c r="AB9839" s="462"/>
      <c r="AC9839" s="462"/>
      <c r="AD9839" s="464"/>
      <c r="AE9839" s="465"/>
    </row>
    <row r="9840" spans="27:31" ht="14.4">
      <c r="AA9840" s="463"/>
      <c r="AB9840" s="462"/>
      <c r="AC9840" s="462"/>
      <c r="AD9840" s="464"/>
      <c r="AE9840" s="465"/>
    </row>
    <row r="9841" spans="27:31" ht="14.4">
      <c r="AA9841" s="463"/>
      <c r="AB9841" s="462"/>
      <c r="AC9841" s="462"/>
      <c r="AD9841" s="464"/>
      <c r="AE9841" s="465"/>
    </row>
    <row r="9842" spans="27:31" ht="14.4">
      <c r="AA9842" s="463"/>
      <c r="AB9842" s="462"/>
      <c r="AC9842" s="462"/>
      <c r="AD9842" s="464"/>
      <c r="AE9842" s="465"/>
    </row>
    <row r="9843" spans="27:31" ht="14.4">
      <c r="AA9843" s="463"/>
      <c r="AB9843" s="462"/>
      <c r="AC9843" s="462"/>
      <c r="AD9843" s="464"/>
      <c r="AE9843" s="465"/>
    </row>
    <row r="9844" spans="27:31" ht="14.4">
      <c r="AA9844" s="463"/>
      <c r="AB9844" s="462"/>
      <c r="AC9844" s="462"/>
      <c r="AD9844" s="464"/>
      <c r="AE9844" s="465"/>
    </row>
    <row r="9845" spans="27:31" ht="14.4">
      <c r="AA9845" s="463"/>
      <c r="AB9845" s="462"/>
      <c r="AC9845" s="462"/>
      <c r="AD9845" s="464"/>
      <c r="AE9845" s="465"/>
    </row>
    <row r="9846" spans="27:31" ht="14.4">
      <c r="AA9846" s="463"/>
      <c r="AB9846" s="462"/>
      <c r="AC9846" s="462"/>
      <c r="AD9846" s="464"/>
      <c r="AE9846" s="465"/>
    </row>
    <row r="9847" spans="27:31" ht="14.4">
      <c r="AA9847" s="463"/>
      <c r="AB9847" s="462"/>
      <c r="AC9847" s="462"/>
      <c r="AD9847" s="464"/>
      <c r="AE9847" s="465"/>
    </row>
    <row r="9848" spans="27:31" ht="14.4">
      <c r="AA9848" s="463"/>
      <c r="AB9848" s="462"/>
      <c r="AC9848" s="462"/>
      <c r="AD9848" s="464"/>
      <c r="AE9848" s="465"/>
    </row>
    <row r="9849" spans="27:31" ht="14.4">
      <c r="AA9849" s="463"/>
      <c r="AB9849" s="462"/>
      <c r="AC9849" s="462"/>
      <c r="AD9849" s="464"/>
      <c r="AE9849" s="465"/>
    </row>
    <row r="9850" spans="27:31" ht="14.4">
      <c r="AA9850" s="463"/>
      <c r="AB9850" s="462"/>
      <c r="AC9850" s="462"/>
      <c r="AD9850" s="464"/>
      <c r="AE9850" s="465"/>
    </row>
    <row r="9851" spans="27:31" ht="14.4">
      <c r="AA9851" s="463"/>
      <c r="AB9851" s="462"/>
      <c r="AC9851" s="462"/>
      <c r="AD9851" s="464"/>
      <c r="AE9851" s="465"/>
    </row>
    <row r="9852" spans="27:31" ht="14.4">
      <c r="AA9852" s="463"/>
      <c r="AB9852" s="462"/>
      <c r="AC9852" s="462"/>
      <c r="AD9852" s="464"/>
      <c r="AE9852" s="465"/>
    </row>
    <row r="9853" spans="27:31" ht="14.4">
      <c r="AA9853" s="463"/>
      <c r="AB9853" s="462"/>
      <c r="AC9853" s="462"/>
      <c r="AD9853" s="464"/>
      <c r="AE9853" s="465"/>
    </row>
    <row r="9854" spans="27:31" ht="14.4">
      <c r="AA9854" s="463"/>
      <c r="AB9854" s="462"/>
      <c r="AC9854" s="462"/>
      <c r="AD9854" s="464"/>
      <c r="AE9854" s="465"/>
    </row>
    <row r="9855" spans="27:31" ht="14.4">
      <c r="AA9855" s="463"/>
      <c r="AB9855" s="462"/>
      <c r="AC9855" s="462"/>
      <c r="AD9855" s="464"/>
      <c r="AE9855" s="465"/>
    </row>
    <row r="9856" spans="27:31" ht="14.4">
      <c r="AA9856" s="463"/>
      <c r="AB9856" s="462"/>
      <c r="AC9856" s="462"/>
      <c r="AD9856" s="464"/>
      <c r="AE9856" s="465"/>
    </row>
    <row r="9857" spans="27:31" ht="14.4">
      <c r="AA9857" s="463"/>
      <c r="AB9857" s="462"/>
      <c r="AC9857" s="462"/>
      <c r="AD9857" s="464"/>
      <c r="AE9857" s="465"/>
    </row>
    <row r="9858" spans="27:31" ht="14.4">
      <c r="AA9858" s="463"/>
      <c r="AB9858" s="462"/>
      <c r="AC9858" s="462"/>
      <c r="AD9858" s="464"/>
      <c r="AE9858" s="465"/>
    </row>
    <row r="9859" spans="27:31" ht="14.4">
      <c r="AA9859" s="463"/>
      <c r="AB9859" s="462"/>
      <c r="AC9859" s="462"/>
      <c r="AD9859" s="464"/>
      <c r="AE9859" s="465"/>
    </row>
    <row r="9860" spans="27:31" ht="14.4">
      <c r="AA9860" s="463"/>
      <c r="AB9860" s="462"/>
      <c r="AC9860" s="462"/>
      <c r="AD9860" s="464"/>
      <c r="AE9860" s="465"/>
    </row>
    <row r="9861" spans="27:31" ht="14.4">
      <c r="AA9861" s="463"/>
      <c r="AB9861" s="462"/>
      <c r="AC9861" s="462"/>
      <c r="AD9861" s="464"/>
      <c r="AE9861" s="465"/>
    </row>
    <row r="9862" spans="27:31" ht="14.4">
      <c r="AA9862" s="463"/>
      <c r="AB9862" s="462"/>
      <c r="AC9862" s="462"/>
      <c r="AD9862" s="464"/>
      <c r="AE9862" s="465"/>
    </row>
    <row r="9863" spans="27:31" ht="14.4">
      <c r="AA9863" s="463"/>
      <c r="AB9863" s="462"/>
      <c r="AC9863" s="462"/>
      <c r="AD9863" s="464"/>
      <c r="AE9863" s="465"/>
    </row>
    <row r="9864" spans="27:31" ht="14.4">
      <c r="AA9864" s="463"/>
      <c r="AB9864" s="462"/>
      <c r="AC9864" s="462"/>
      <c r="AD9864" s="464"/>
      <c r="AE9864" s="465"/>
    </row>
    <row r="9865" spans="27:31" ht="14.4">
      <c r="AA9865" s="463"/>
      <c r="AB9865" s="462"/>
      <c r="AC9865" s="462"/>
      <c r="AD9865" s="464"/>
      <c r="AE9865" s="465"/>
    </row>
    <row r="9866" spans="27:31" ht="14.4">
      <c r="AA9866" s="463"/>
      <c r="AB9866" s="462"/>
      <c r="AC9866" s="462"/>
      <c r="AD9866" s="464"/>
      <c r="AE9866" s="465"/>
    </row>
    <row r="9867" spans="27:31" ht="14.4">
      <c r="AA9867" s="463"/>
      <c r="AB9867" s="462"/>
      <c r="AC9867" s="462"/>
      <c r="AD9867" s="464"/>
      <c r="AE9867" s="465"/>
    </row>
    <row r="9868" spans="27:31" ht="14.4">
      <c r="AA9868" s="463"/>
      <c r="AB9868" s="462"/>
      <c r="AC9868" s="462"/>
      <c r="AD9868" s="464"/>
      <c r="AE9868" s="465"/>
    </row>
    <row r="9869" spans="27:31" ht="14.4">
      <c r="AA9869" s="463"/>
      <c r="AB9869" s="462"/>
      <c r="AC9869" s="462"/>
      <c r="AD9869" s="464"/>
      <c r="AE9869" s="465"/>
    </row>
    <row r="9870" spans="27:31" ht="14.4">
      <c r="AA9870" s="463"/>
      <c r="AB9870" s="462"/>
      <c r="AC9870" s="462"/>
      <c r="AD9870" s="464"/>
      <c r="AE9870" s="465"/>
    </row>
    <row r="9871" spans="27:31" ht="14.4">
      <c r="AA9871" s="463"/>
      <c r="AB9871" s="462"/>
      <c r="AC9871" s="462"/>
      <c r="AD9871" s="464"/>
      <c r="AE9871" s="465"/>
    </row>
    <row r="9872" spans="27:31" ht="14.4">
      <c r="AA9872" s="463"/>
      <c r="AB9872" s="462"/>
      <c r="AC9872" s="462"/>
      <c r="AD9872" s="464"/>
      <c r="AE9872" s="465"/>
    </row>
    <row r="9873" spans="27:31" ht="14.4">
      <c r="AA9873" s="463"/>
      <c r="AB9873" s="462"/>
      <c r="AC9873" s="462"/>
      <c r="AD9873" s="464"/>
      <c r="AE9873" s="465"/>
    </row>
    <row r="9874" spans="27:31" ht="14.4">
      <c r="AA9874" s="463"/>
      <c r="AB9874" s="462"/>
      <c r="AC9874" s="462"/>
      <c r="AD9874" s="464"/>
      <c r="AE9874" s="465"/>
    </row>
    <row r="9875" spans="27:31" ht="14.4">
      <c r="AA9875" s="463"/>
      <c r="AB9875" s="462"/>
      <c r="AC9875" s="462"/>
      <c r="AD9875" s="464"/>
      <c r="AE9875" s="465"/>
    </row>
    <row r="9876" spans="27:31" ht="14.4">
      <c r="AA9876" s="463"/>
      <c r="AB9876" s="462"/>
      <c r="AC9876" s="462"/>
      <c r="AD9876" s="464"/>
      <c r="AE9876" s="465"/>
    </row>
    <row r="9877" spans="27:31" ht="14.4">
      <c r="AA9877" s="463"/>
      <c r="AB9877" s="462"/>
      <c r="AC9877" s="462"/>
      <c r="AD9877" s="464"/>
      <c r="AE9877" s="465"/>
    </row>
    <row r="9878" spans="27:31" ht="14.4">
      <c r="AA9878" s="463"/>
      <c r="AB9878" s="462"/>
      <c r="AC9878" s="462"/>
      <c r="AD9878" s="464"/>
      <c r="AE9878" s="465"/>
    </row>
    <row r="9879" spans="27:31" ht="14.4">
      <c r="AA9879" s="463"/>
      <c r="AB9879" s="462"/>
      <c r="AC9879" s="462"/>
      <c r="AD9879" s="464"/>
      <c r="AE9879" s="465"/>
    </row>
    <row r="9880" spans="27:31" ht="14.4">
      <c r="AA9880" s="463"/>
      <c r="AB9880" s="462"/>
      <c r="AC9880" s="462"/>
      <c r="AD9880" s="464"/>
      <c r="AE9880" s="465"/>
    </row>
    <row r="9881" spans="27:31" ht="14.4">
      <c r="AA9881" s="463"/>
      <c r="AB9881" s="462"/>
      <c r="AC9881" s="462"/>
      <c r="AD9881" s="464"/>
      <c r="AE9881" s="465"/>
    </row>
    <row r="9882" spans="27:31" ht="14.4">
      <c r="AA9882" s="463"/>
      <c r="AB9882" s="462"/>
      <c r="AC9882" s="462"/>
      <c r="AD9882" s="464"/>
      <c r="AE9882" s="465"/>
    </row>
    <row r="9883" spans="27:31" ht="14.4">
      <c r="AA9883" s="463"/>
      <c r="AB9883" s="462"/>
      <c r="AC9883" s="462"/>
      <c r="AD9883" s="464"/>
      <c r="AE9883" s="465"/>
    </row>
    <row r="9884" spans="27:31" ht="14.4">
      <c r="AA9884" s="463"/>
      <c r="AB9884" s="462"/>
      <c r="AC9884" s="462"/>
      <c r="AD9884" s="464"/>
      <c r="AE9884" s="465"/>
    </row>
    <row r="9885" spans="27:31" ht="14.4">
      <c r="AA9885" s="463"/>
      <c r="AB9885" s="462"/>
      <c r="AC9885" s="462"/>
      <c r="AD9885" s="464"/>
      <c r="AE9885" s="465"/>
    </row>
    <row r="9886" spans="27:31" ht="14.4">
      <c r="AA9886" s="463"/>
      <c r="AB9886" s="462"/>
      <c r="AC9886" s="462"/>
      <c r="AD9886" s="464"/>
      <c r="AE9886" s="465"/>
    </row>
    <row r="9887" spans="27:31" ht="14.4">
      <c r="AA9887" s="463"/>
      <c r="AB9887" s="462"/>
      <c r="AC9887" s="462"/>
      <c r="AD9887" s="464"/>
      <c r="AE9887" s="465"/>
    </row>
    <row r="9888" spans="27:31" ht="14.4">
      <c r="AA9888" s="463"/>
      <c r="AB9888" s="462"/>
      <c r="AC9888" s="462"/>
      <c r="AD9888" s="464"/>
      <c r="AE9888" s="465"/>
    </row>
    <row r="9889" spans="27:31" ht="14.4">
      <c r="AA9889" s="463"/>
      <c r="AB9889" s="462"/>
      <c r="AC9889" s="462"/>
      <c r="AD9889" s="464"/>
      <c r="AE9889" s="465"/>
    </row>
    <row r="9890" spans="27:31" ht="14.4">
      <c r="AA9890" s="463"/>
      <c r="AB9890" s="462"/>
      <c r="AC9890" s="462"/>
      <c r="AD9890" s="464"/>
      <c r="AE9890" s="465"/>
    </row>
    <row r="9891" spans="27:31" ht="14.4">
      <c r="AA9891" s="463"/>
      <c r="AB9891" s="462"/>
      <c r="AC9891" s="462"/>
      <c r="AD9891" s="464"/>
      <c r="AE9891" s="465"/>
    </row>
    <row r="9892" spans="27:31" ht="14.4">
      <c r="AA9892" s="463"/>
      <c r="AB9892" s="462"/>
      <c r="AC9892" s="462"/>
      <c r="AD9892" s="464"/>
      <c r="AE9892" s="465"/>
    </row>
    <row r="9893" spans="27:31" ht="14.4">
      <c r="AA9893" s="463"/>
      <c r="AB9893" s="462"/>
      <c r="AC9893" s="462"/>
      <c r="AD9893" s="464"/>
      <c r="AE9893" s="465"/>
    </row>
    <row r="9894" spans="27:31" ht="14.4">
      <c r="AA9894" s="463"/>
      <c r="AB9894" s="462"/>
      <c r="AC9894" s="462"/>
      <c r="AD9894" s="464"/>
      <c r="AE9894" s="465"/>
    </row>
    <row r="9895" spans="27:31" ht="14.4">
      <c r="AA9895" s="463"/>
      <c r="AB9895" s="462"/>
      <c r="AC9895" s="462"/>
      <c r="AD9895" s="464"/>
      <c r="AE9895" s="465"/>
    </row>
    <row r="9896" spans="27:31" ht="14.4">
      <c r="AA9896" s="463"/>
      <c r="AB9896" s="462"/>
      <c r="AC9896" s="462"/>
      <c r="AD9896" s="464"/>
      <c r="AE9896" s="465"/>
    </row>
    <row r="9897" spans="27:31" ht="14.4">
      <c r="AA9897" s="463"/>
      <c r="AB9897" s="462"/>
      <c r="AC9897" s="462"/>
      <c r="AD9897" s="464"/>
      <c r="AE9897" s="465"/>
    </row>
    <row r="9898" spans="27:31" ht="14.4">
      <c r="AA9898" s="463"/>
      <c r="AB9898" s="462"/>
      <c r="AC9898" s="462"/>
      <c r="AD9898" s="464"/>
      <c r="AE9898" s="465"/>
    </row>
    <row r="9899" spans="27:31" ht="14.4">
      <c r="AA9899" s="463"/>
      <c r="AB9899" s="462"/>
      <c r="AC9899" s="462"/>
      <c r="AD9899" s="464"/>
      <c r="AE9899" s="465"/>
    </row>
    <row r="9900" spans="27:31" ht="14.4">
      <c r="AA9900" s="463"/>
      <c r="AB9900" s="462"/>
      <c r="AC9900" s="462"/>
      <c r="AD9900" s="464"/>
      <c r="AE9900" s="465"/>
    </row>
    <row r="9901" spans="27:31" ht="14.4">
      <c r="AA9901" s="463"/>
      <c r="AB9901" s="462"/>
      <c r="AC9901" s="462"/>
      <c r="AD9901" s="464"/>
      <c r="AE9901" s="465"/>
    </row>
    <row r="9902" spans="27:31" ht="14.4">
      <c r="AA9902" s="463"/>
      <c r="AB9902" s="462"/>
      <c r="AC9902" s="462"/>
      <c r="AD9902" s="464"/>
      <c r="AE9902" s="465"/>
    </row>
    <row r="9903" spans="27:31" ht="14.4">
      <c r="AA9903" s="463"/>
      <c r="AB9903" s="462"/>
      <c r="AC9903" s="462"/>
      <c r="AD9903" s="464"/>
      <c r="AE9903" s="465"/>
    </row>
    <row r="9904" spans="27:31" ht="14.4">
      <c r="AA9904" s="463"/>
      <c r="AB9904" s="462"/>
      <c r="AC9904" s="462"/>
      <c r="AD9904" s="464"/>
      <c r="AE9904" s="465"/>
    </row>
    <row r="9905" spans="27:31" ht="14.4">
      <c r="AA9905" s="463"/>
      <c r="AB9905" s="462"/>
      <c r="AC9905" s="462"/>
      <c r="AD9905" s="464"/>
      <c r="AE9905" s="465"/>
    </row>
    <row r="9906" spans="27:31" ht="14.4">
      <c r="AA9906" s="463"/>
      <c r="AB9906" s="462"/>
      <c r="AC9906" s="462"/>
      <c r="AD9906" s="464"/>
      <c r="AE9906" s="465"/>
    </row>
    <row r="9907" spans="27:31" ht="14.4">
      <c r="AA9907" s="463"/>
      <c r="AB9907" s="462"/>
      <c r="AC9907" s="462"/>
      <c r="AD9907" s="464"/>
      <c r="AE9907" s="465"/>
    </row>
    <row r="9908" spans="27:31" ht="14.4">
      <c r="AA9908" s="463"/>
      <c r="AB9908" s="462"/>
      <c r="AC9908" s="462"/>
      <c r="AD9908" s="464"/>
      <c r="AE9908" s="465"/>
    </row>
    <row r="9909" spans="27:31" ht="14.4">
      <c r="AA9909" s="463"/>
      <c r="AB9909" s="462"/>
      <c r="AC9909" s="462"/>
      <c r="AD9909" s="464"/>
      <c r="AE9909" s="465"/>
    </row>
    <row r="9910" spans="27:31" ht="14.4">
      <c r="AA9910" s="463"/>
      <c r="AB9910" s="462"/>
      <c r="AC9910" s="462"/>
      <c r="AD9910" s="464"/>
      <c r="AE9910" s="465"/>
    </row>
    <row r="9911" spans="27:31" ht="14.4">
      <c r="AA9911" s="463"/>
      <c r="AB9911" s="462"/>
      <c r="AC9911" s="462"/>
      <c r="AD9911" s="464"/>
      <c r="AE9911" s="465"/>
    </row>
    <row r="9912" spans="27:31" ht="14.4">
      <c r="AA9912" s="463"/>
      <c r="AB9912" s="462"/>
      <c r="AC9912" s="462"/>
      <c r="AD9912" s="464"/>
      <c r="AE9912" s="465"/>
    </row>
    <row r="9913" spans="27:31" ht="14.4">
      <c r="AA9913" s="463"/>
      <c r="AB9913" s="462"/>
      <c r="AC9913" s="462"/>
      <c r="AD9913" s="464"/>
      <c r="AE9913" s="465"/>
    </row>
    <row r="9914" spans="27:31" ht="14.4">
      <c r="AA9914" s="463"/>
      <c r="AB9914" s="462"/>
      <c r="AC9914" s="462"/>
      <c r="AD9914" s="464"/>
      <c r="AE9914" s="465"/>
    </row>
    <row r="9915" spans="27:31" ht="14.4">
      <c r="AA9915" s="463"/>
      <c r="AB9915" s="462"/>
      <c r="AC9915" s="462"/>
      <c r="AD9915" s="464"/>
      <c r="AE9915" s="465"/>
    </row>
    <row r="9916" spans="27:31" ht="14.4">
      <c r="AA9916" s="463"/>
      <c r="AB9916" s="462"/>
      <c r="AC9916" s="462"/>
      <c r="AD9916" s="464"/>
      <c r="AE9916" s="465"/>
    </row>
    <row r="9917" spans="27:31" ht="14.4">
      <c r="AA9917" s="463"/>
      <c r="AB9917" s="462"/>
      <c r="AC9917" s="462"/>
      <c r="AD9917" s="464"/>
      <c r="AE9917" s="465"/>
    </row>
    <row r="9918" spans="27:31" ht="14.4">
      <c r="AA9918" s="463"/>
      <c r="AB9918" s="462"/>
      <c r="AC9918" s="462"/>
      <c r="AD9918" s="464"/>
      <c r="AE9918" s="465"/>
    </row>
    <row r="9919" spans="27:31" ht="14.4">
      <c r="AA9919" s="463"/>
      <c r="AB9919" s="462"/>
      <c r="AC9919" s="462"/>
      <c r="AD9919" s="464"/>
      <c r="AE9919" s="465"/>
    </row>
    <row r="9920" spans="27:31" ht="14.4">
      <c r="AA9920" s="463"/>
      <c r="AB9920" s="462"/>
      <c r="AC9920" s="462"/>
      <c r="AD9920" s="464"/>
      <c r="AE9920" s="465"/>
    </row>
    <row r="9921" spans="27:31" ht="14.4">
      <c r="AA9921" s="463"/>
      <c r="AB9921" s="462"/>
      <c r="AC9921" s="462"/>
      <c r="AD9921" s="464"/>
      <c r="AE9921" s="465"/>
    </row>
    <row r="9922" spans="27:31" ht="14.4">
      <c r="AA9922" s="463"/>
      <c r="AB9922" s="462"/>
      <c r="AC9922" s="462"/>
      <c r="AD9922" s="464"/>
      <c r="AE9922" s="465"/>
    </row>
    <row r="9923" spans="27:31" ht="14.4">
      <c r="AA9923" s="463"/>
      <c r="AB9923" s="462"/>
      <c r="AC9923" s="462"/>
      <c r="AD9923" s="464"/>
      <c r="AE9923" s="465"/>
    </row>
    <row r="9924" spans="27:31" ht="14.4">
      <c r="AA9924" s="463"/>
      <c r="AB9924" s="462"/>
      <c r="AC9924" s="462"/>
      <c r="AD9924" s="464"/>
      <c r="AE9924" s="465"/>
    </row>
    <row r="9925" spans="27:31" ht="14.4">
      <c r="AA9925" s="463"/>
      <c r="AB9925" s="462"/>
      <c r="AC9925" s="462"/>
      <c r="AD9925" s="464"/>
      <c r="AE9925" s="465"/>
    </row>
    <row r="9926" spans="27:31" ht="14.4">
      <c r="AA9926" s="463"/>
      <c r="AB9926" s="462"/>
      <c r="AC9926" s="462"/>
      <c r="AD9926" s="464"/>
      <c r="AE9926" s="465"/>
    </row>
    <row r="9927" spans="27:31" ht="14.4">
      <c r="AA9927" s="463"/>
      <c r="AB9927" s="462"/>
      <c r="AC9927" s="462"/>
      <c r="AD9927" s="464"/>
      <c r="AE9927" s="465"/>
    </row>
    <row r="9928" spans="27:31" ht="14.4">
      <c r="AA9928" s="463"/>
      <c r="AB9928" s="462"/>
      <c r="AC9928" s="462"/>
      <c r="AD9928" s="464"/>
      <c r="AE9928" s="465"/>
    </row>
    <row r="9929" spans="27:31" ht="14.4">
      <c r="AA9929" s="463"/>
      <c r="AB9929" s="462"/>
      <c r="AC9929" s="462"/>
      <c r="AD9929" s="464"/>
      <c r="AE9929" s="465"/>
    </row>
    <row r="9930" spans="27:31" ht="14.4">
      <c r="AA9930" s="463"/>
      <c r="AB9930" s="462"/>
      <c r="AC9930" s="462"/>
      <c r="AD9930" s="464"/>
      <c r="AE9930" s="465"/>
    </row>
    <row r="9931" spans="27:31" ht="14.4">
      <c r="AA9931" s="463"/>
      <c r="AB9931" s="462"/>
      <c r="AC9931" s="462"/>
      <c r="AD9931" s="464"/>
      <c r="AE9931" s="465"/>
    </row>
    <row r="9932" spans="27:31" ht="14.4">
      <c r="AA9932" s="463"/>
      <c r="AB9932" s="462"/>
      <c r="AC9932" s="462"/>
      <c r="AD9932" s="464"/>
      <c r="AE9932" s="465"/>
    </row>
    <row r="9933" spans="27:31" ht="14.4">
      <c r="AA9933" s="463"/>
      <c r="AB9933" s="462"/>
      <c r="AC9933" s="462"/>
      <c r="AD9933" s="464"/>
      <c r="AE9933" s="465"/>
    </row>
    <row r="9934" spans="27:31" ht="14.4">
      <c r="AA9934" s="463"/>
      <c r="AB9934" s="462"/>
      <c r="AC9934" s="462"/>
      <c r="AD9934" s="464"/>
      <c r="AE9934" s="465"/>
    </row>
    <row r="9935" spans="27:31" ht="14.4">
      <c r="AA9935" s="463"/>
      <c r="AB9935" s="462"/>
      <c r="AC9935" s="462"/>
      <c r="AD9935" s="464"/>
      <c r="AE9935" s="465"/>
    </row>
    <row r="9936" spans="27:31" ht="14.4">
      <c r="AA9936" s="463"/>
      <c r="AB9936" s="462"/>
      <c r="AC9936" s="462"/>
      <c r="AD9936" s="464"/>
      <c r="AE9936" s="465"/>
    </row>
    <row r="9937" spans="27:31" ht="14.4">
      <c r="AA9937" s="463"/>
      <c r="AB9937" s="462"/>
      <c r="AC9937" s="462"/>
      <c r="AD9937" s="464"/>
      <c r="AE9937" s="465"/>
    </row>
    <row r="9938" spans="27:31" ht="14.4">
      <c r="AA9938" s="463"/>
      <c r="AB9938" s="462"/>
      <c r="AC9938" s="462"/>
      <c r="AD9938" s="464"/>
      <c r="AE9938" s="465"/>
    </row>
    <row r="9939" spans="27:31" ht="14.4">
      <c r="AA9939" s="463"/>
      <c r="AB9939" s="462"/>
      <c r="AC9939" s="462"/>
      <c r="AD9939" s="464"/>
      <c r="AE9939" s="465"/>
    </row>
    <row r="9940" spans="27:31" ht="14.4">
      <c r="AA9940" s="463"/>
      <c r="AB9940" s="462"/>
      <c r="AC9940" s="462"/>
      <c r="AD9940" s="464"/>
      <c r="AE9940" s="465"/>
    </row>
    <row r="9941" spans="27:31" ht="14.4">
      <c r="AA9941" s="463"/>
      <c r="AB9941" s="462"/>
      <c r="AC9941" s="462"/>
      <c r="AD9941" s="464"/>
      <c r="AE9941" s="465"/>
    </row>
    <row r="9942" spans="27:31" ht="14.4">
      <c r="AA9942" s="463"/>
      <c r="AB9942" s="462"/>
      <c r="AC9942" s="462"/>
      <c r="AD9942" s="464"/>
      <c r="AE9942" s="465"/>
    </row>
    <row r="9943" spans="27:31" ht="14.4">
      <c r="AA9943" s="463"/>
      <c r="AB9943" s="462"/>
      <c r="AC9943" s="462"/>
      <c r="AD9943" s="464"/>
      <c r="AE9943" s="465"/>
    </row>
    <row r="9944" spans="27:31" ht="14.4">
      <c r="AA9944" s="463"/>
      <c r="AB9944" s="462"/>
      <c r="AC9944" s="462"/>
      <c r="AD9944" s="464"/>
      <c r="AE9944" s="465"/>
    </row>
    <row r="9945" spans="27:31" ht="14.4">
      <c r="AA9945" s="463"/>
      <c r="AB9945" s="462"/>
      <c r="AC9945" s="462"/>
      <c r="AD9945" s="464"/>
      <c r="AE9945" s="465"/>
    </row>
    <row r="9946" spans="27:31" ht="14.4">
      <c r="AA9946" s="463"/>
      <c r="AB9946" s="462"/>
      <c r="AC9946" s="462"/>
      <c r="AD9946" s="464"/>
      <c r="AE9946" s="465"/>
    </row>
    <row r="9947" spans="27:31" ht="14.4">
      <c r="AA9947" s="463"/>
      <c r="AB9947" s="462"/>
      <c r="AC9947" s="462"/>
      <c r="AD9947" s="464"/>
      <c r="AE9947" s="465"/>
    </row>
    <row r="9948" spans="27:31" ht="14.4">
      <c r="AA9948" s="463"/>
      <c r="AB9948" s="462"/>
      <c r="AC9948" s="462"/>
      <c r="AD9948" s="464"/>
      <c r="AE9948" s="465"/>
    </row>
    <row r="9949" spans="27:31" ht="14.4">
      <c r="AA9949" s="463"/>
      <c r="AB9949" s="462"/>
      <c r="AC9949" s="462"/>
      <c r="AD9949" s="464"/>
      <c r="AE9949" s="465"/>
    </row>
    <row r="9950" spans="27:31" ht="14.4">
      <c r="AA9950" s="463"/>
      <c r="AB9950" s="462"/>
      <c r="AC9950" s="462"/>
      <c r="AD9950" s="464"/>
      <c r="AE9950" s="465"/>
    </row>
    <row r="9951" spans="27:31" ht="14.4">
      <c r="AA9951" s="463"/>
      <c r="AB9951" s="462"/>
      <c r="AC9951" s="462"/>
      <c r="AD9951" s="464"/>
      <c r="AE9951" s="465"/>
    </row>
    <row r="9952" spans="27:31" ht="14.4">
      <c r="AA9952" s="463"/>
      <c r="AB9952" s="462"/>
      <c r="AC9952" s="462"/>
      <c r="AD9952" s="464"/>
      <c r="AE9952" s="465"/>
    </row>
    <row r="9953" spans="27:31" ht="14.4">
      <c r="AA9953" s="463"/>
      <c r="AB9953" s="462"/>
      <c r="AC9953" s="462"/>
      <c r="AD9953" s="464"/>
      <c r="AE9953" s="465"/>
    </row>
    <row r="9954" spans="27:31" ht="14.4">
      <c r="AA9954" s="463"/>
      <c r="AB9954" s="462"/>
      <c r="AC9954" s="462"/>
      <c r="AD9954" s="464"/>
      <c r="AE9954" s="465"/>
    </row>
    <row r="9955" spans="27:31" ht="14.4">
      <c r="AA9955" s="463"/>
      <c r="AB9955" s="462"/>
      <c r="AC9955" s="462"/>
      <c r="AD9955" s="464"/>
      <c r="AE9955" s="465"/>
    </row>
    <row r="9956" spans="27:31" ht="14.4">
      <c r="AA9956" s="463"/>
      <c r="AB9956" s="462"/>
      <c r="AC9956" s="462"/>
      <c r="AD9956" s="464"/>
      <c r="AE9956" s="465"/>
    </row>
    <row r="9957" spans="27:31" ht="14.4">
      <c r="AA9957" s="463"/>
      <c r="AB9957" s="462"/>
      <c r="AC9957" s="462"/>
      <c r="AD9957" s="464"/>
      <c r="AE9957" s="465"/>
    </row>
    <row r="9958" spans="27:31" ht="14.4">
      <c r="AA9958" s="463"/>
      <c r="AB9958" s="462"/>
      <c r="AC9958" s="462"/>
      <c r="AD9958" s="464"/>
      <c r="AE9958" s="465"/>
    </row>
    <row r="9959" spans="27:31" ht="14.4">
      <c r="AA9959" s="463"/>
      <c r="AB9959" s="462"/>
      <c r="AC9959" s="462"/>
      <c r="AD9959" s="464"/>
      <c r="AE9959" s="465"/>
    </row>
    <row r="9960" spans="27:31" ht="14.4">
      <c r="AA9960" s="463"/>
      <c r="AB9960" s="462"/>
      <c r="AC9960" s="462"/>
      <c r="AD9960" s="464"/>
      <c r="AE9960" s="465"/>
    </row>
    <row r="9961" spans="27:31" ht="14.4">
      <c r="AA9961" s="463"/>
      <c r="AB9961" s="462"/>
      <c r="AC9961" s="462"/>
      <c r="AD9961" s="464"/>
      <c r="AE9961" s="465"/>
    </row>
    <row r="9962" spans="27:31" ht="14.4">
      <c r="AA9962" s="463"/>
      <c r="AB9962" s="462"/>
      <c r="AC9962" s="462"/>
      <c r="AD9962" s="464"/>
      <c r="AE9962" s="465"/>
    </row>
    <row r="9963" spans="27:31" ht="14.4">
      <c r="AA9963" s="463"/>
      <c r="AB9963" s="462"/>
      <c r="AC9963" s="462"/>
      <c r="AD9963" s="464"/>
      <c r="AE9963" s="465"/>
    </row>
    <row r="9964" spans="27:31" ht="14.4">
      <c r="AA9964" s="463"/>
      <c r="AB9964" s="462"/>
      <c r="AC9964" s="462"/>
      <c r="AD9964" s="464"/>
      <c r="AE9964" s="465"/>
    </row>
    <row r="9965" spans="27:31" ht="14.4">
      <c r="AA9965" s="463"/>
      <c r="AB9965" s="462"/>
      <c r="AC9965" s="462"/>
      <c r="AD9965" s="464"/>
      <c r="AE9965" s="465"/>
    </row>
    <row r="9966" spans="27:31" ht="14.4">
      <c r="AA9966" s="463"/>
      <c r="AB9966" s="462"/>
      <c r="AC9966" s="462"/>
      <c r="AD9966" s="464"/>
      <c r="AE9966" s="465"/>
    </row>
    <row r="9967" spans="27:31" ht="14.4">
      <c r="AA9967" s="463"/>
      <c r="AB9967" s="462"/>
      <c r="AC9967" s="462"/>
      <c r="AD9967" s="464"/>
      <c r="AE9967" s="465"/>
    </row>
    <row r="9968" spans="27:31" ht="14.4">
      <c r="AA9968" s="463"/>
      <c r="AB9968" s="462"/>
      <c r="AC9968" s="462"/>
      <c r="AD9968" s="464"/>
      <c r="AE9968" s="465"/>
    </row>
    <row r="9969" spans="27:31" ht="14.4">
      <c r="AA9969" s="463"/>
      <c r="AB9969" s="462"/>
      <c r="AC9969" s="462"/>
      <c r="AD9969" s="464"/>
      <c r="AE9969" s="465"/>
    </row>
    <row r="9970" spans="27:31" ht="14.4">
      <c r="AA9970" s="463"/>
      <c r="AB9970" s="462"/>
      <c r="AC9970" s="462"/>
      <c r="AD9970" s="464"/>
      <c r="AE9970" s="465"/>
    </row>
    <row r="9971" spans="27:31" ht="14.4">
      <c r="AA9971" s="463"/>
      <c r="AB9971" s="462"/>
      <c r="AC9971" s="462"/>
      <c r="AD9971" s="464"/>
      <c r="AE9971" s="465"/>
    </row>
    <row r="9972" spans="27:31" ht="14.4">
      <c r="AA9972" s="463"/>
      <c r="AB9972" s="462"/>
      <c r="AC9972" s="462"/>
      <c r="AD9972" s="464"/>
      <c r="AE9972" s="465"/>
    </row>
    <row r="9973" spans="27:31" ht="14.4">
      <c r="AA9973" s="463"/>
      <c r="AB9973" s="462"/>
      <c r="AC9973" s="462"/>
      <c r="AD9973" s="464"/>
      <c r="AE9973" s="465"/>
    </row>
    <row r="9974" spans="27:31" ht="14.4">
      <c r="AA9974" s="463"/>
      <c r="AB9974" s="462"/>
      <c r="AC9974" s="462"/>
      <c r="AD9974" s="464"/>
      <c r="AE9974" s="465"/>
    </row>
    <row r="9975" spans="27:31" ht="14.4">
      <c r="AA9975" s="463"/>
      <c r="AB9975" s="462"/>
      <c r="AC9975" s="462"/>
      <c r="AD9975" s="464"/>
      <c r="AE9975" s="465"/>
    </row>
    <row r="9976" spans="27:31" ht="14.4">
      <c r="AA9976" s="463"/>
      <c r="AB9976" s="462"/>
      <c r="AC9976" s="462"/>
      <c r="AD9976" s="464"/>
      <c r="AE9976" s="465"/>
    </row>
    <row r="9977" spans="27:31" ht="14.4">
      <c r="AA9977" s="463"/>
      <c r="AB9977" s="462"/>
      <c r="AC9977" s="462"/>
      <c r="AD9977" s="464"/>
      <c r="AE9977" s="465"/>
    </row>
    <row r="9978" spans="27:31" ht="14.4">
      <c r="AA9978" s="463"/>
      <c r="AB9978" s="462"/>
      <c r="AC9978" s="462"/>
      <c r="AD9978" s="464"/>
      <c r="AE9978" s="465"/>
    </row>
    <row r="9979" spans="27:31" ht="14.4">
      <c r="AA9979" s="463"/>
      <c r="AB9979" s="462"/>
      <c r="AC9979" s="462"/>
      <c r="AD9979" s="464"/>
      <c r="AE9979" s="465"/>
    </row>
    <row r="9980" spans="27:31" ht="14.4">
      <c r="AA9980" s="463"/>
      <c r="AB9980" s="462"/>
      <c r="AC9980" s="462"/>
      <c r="AD9980" s="464"/>
      <c r="AE9980" s="465"/>
    </row>
    <row r="9981" spans="27:31" ht="14.4">
      <c r="AA9981" s="463"/>
      <c r="AB9981" s="462"/>
      <c r="AC9981" s="462"/>
      <c r="AD9981" s="464"/>
      <c r="AE9981" s="465"/>
    </row>
    <row r="9982" spans="27:31" ht="14.4">
      <c r="AA9982" s="463"/>
      <c r="AB9982" s="462"/>
      <c r="AC9982" s="462"/>
      <c r="AD9982" s="464"/>
      <c r="AE9982" s="465"/>
    </row>
    <row r="9983" spans="27:31" ht="14.4">
      <c r="AA9983" s="463"/>
      <c r="AB9983" s="462"/>
      <c r="AC9983" s="462"/>
      <c r="AD9983" s="464"/>
      <c r="AE9983" s="465"/>
    </row>
    <row r="9984" spans="27:31" ht="14.4">
      <c r="AA9984" s="463"/>
      <c r="AB9984" s="462"/>
      <c r="AC9984" s="462"/>
      <c r="AD9984" s="464"/>
      <c r="AE9984" s="465"/>
    </row>
    <row r="9985" spans="27:31" ht="14.4">
      <c r="AA9985" s="463"/>
      <c r="AB9985" s="462"/>
      <c r="AC9985" s="462"/>
      <c r="AD9985" s="464"/>
      <c r="AE9985" s="465"/>
    </row>
    <row r="9986" spans="27:31" ht="14.4">
      <c r="AA9986" s="463"/>
      <c r="AB9986" s="462"/>
      <c r="AC9986" s="462"/>
      <c r="AD9986" s="464"/>
      <c r="AE9986" s="465"/>
    </row>
    <row r="9987" spans="27:31" ht="14.4">
      <c r="AA9987" s="463"/>
      <c r="AB9987" s="462"/>
      <c r="AC9987" s="462"/>
      <c r="AD9987" s="464"/>
      <c r="AE9987" s="465"/>
    </row>
    <row r="9988" spans="27:31" ht="14.4">
      <c r="AA9988" s="463"/>
      <c r="AB9988" s="462"/>
      <c r="AC9988" s="462"/>
      <c r="AD9988" s="464"/>
      <c r="AE9988" s="465"/>
    </row>
    <row r="9989" spans="27:31" ht="14.4">
      <c r="AA9989" s="463"/>
      <c r="AB9989" s="462"/>
      <c r="AC9989" s="462"/>
      <c r="AD9989" s="464"/>
      <c r="AE9989" s="465"/>
    </row>
    <row r="9990" spans="27:31" ht="14.4">
      <c r="AA9990" s="463"/>
      <c r="AB9990" s="462"/>
      <c r="AC9990" s="462"/>
      <c r="AD9990" s="464"/>
      <c r="AE9990" s="465"/>
    </row>
    <row r="9991" spans="27:31" ht="14.4">
      <c r="AA9991" s="463"/>
      <c r="AB9991" s="462"/>
      <c r="AC9991" s="462"/>
      <c r="AD9991" s="464"/>
      <c r="AE9991" s="465"/>
    </row>
    <row r="9992" spans="27:31" ht="14.4">
      <c r="AA9992" s="463"/>
      <c r="AB9992" s="462"/>
      <c r="AC9992" s="462"/>
      <c r="AD9992" s="464"/>
      <c r="AE9992" s="465"/>
    </row>
    <row r="9993" spans="27:31" ht="14.4">
      <c r="AA9993" s="463"/>
      <c r="AB9993" s="462"/>
      <c r="AC9993" s="462"/>
      <c r="AD9993" s="464"/>
      <c r="AE9993" s="465"/>
    </row>
    <row r="9994" spans="27:31" ht="14.4">
      <c r="AA9994" s="463"/>
      <c r="AB9994" s="462"/>
      <c r="AC9994" s="462"/>
      <c r="AD9994" s="464"/>
      <c r="AE9994" s="465"/>
    </row>
    <row r="9995" spans="27:31" ht="14.4">
      <c r="AA9995" s="463"/>
      <c r="AB9995" s="462"/>
      <c r="AC9995" s="462"/>
      <c r="AD9995" s="464"/>
      <c r="AE9995" s="465"/>
    </row>
    <row r="9996" spans="27:31" ht="14.4">
      <c r="AA9996" s="463"/>
      <c r="AB9996" s="462"/>
      <c r="AC9996" s="462"/>
      <c r="AD9996" s="464"/>
      <c r="AE9996" s="465"/>
    </row>
    <row r="9997" spans="27:31" ht="14.4">
      <c r="AA9997" s="463"/>
      <c r="AB9997" s="462"/>
      <c r="AC9997" s="462"/>
      <c r="AD9997" s="464"/>
      <c r="AE9997" s="465"/>
    </row>
    <row r="9998" spans="27:31" ht="14.4">
      <c r="AA9998" s="463"/>
      <c r="AB9998" s="462"/>
      <c r="AC9998" s="462"/>
      <c r="AD9998" s="464"/>
      <c r="AE9998" s="465"/>
    </row>
    <row r="9999" spans="27:31" ht="14.4">
      <c r="AA9999" s="463"/>
      <c r="AB9999" s="462"/>
      <c r="AC9999" s="462"/>
      <c r="AD9999" s="464"/>
      <c r="AE9999" s="465"/>
    </row>
    <row r="10000" spans="27:31" ht="14.4">
      <c r="AA10000" s="463"/>
      <c r="AB10000" s="462"/>
      <c r="AC10000" s="462"/>
      <c r="AD10000" s="464"/>
      <c r="AE10000" s="465"/>
    </row>
    <row r="10001" spans="27:31" ht="14.4">
      <c r="AA10001" s="463"/>
      <c r="AB10001" s="462"/>
      <c r="AC10001" s="462"/>
      <c r="AD10001" s="464"/>
      <c r="AE10001" s="465"/>
    </row>
    <row r="10002" spans="27:31" ht="14.4">
      <c r="AA10002" s="463"/>
      <c r="AB10002" s="462"/>
      <c r="AC10002" s="462"/>
      <c r="AD10002" s="464"/>
      <c r="AE10002" s="465"/>
    </row>
    <row r="10003" spans="27:31" ht="14.4">
      <c r="AA10003" s="463"/>
      <c r="AB10003" s="462"/>
      <c r="AC10003" s="462"/>
      <c r="AD10003" s="464"/>
      <c r="AE10003" s="465"/>
    </row>
    <row r="10004" spans="27:31" ht="14.4">
      <c r="AA10004" s="463"/>
      <c r="AB10004" s="462"/>
      <c r="AC10004" s="462"/>
      <c r="AD10004" s="464"/>
      <c r="AE10004" s="465"/>
    </row>
    <row r="10005" spans="27:31" ht="14.4">
      <c r="AA10005" s="463"/>
      <c r="AB10005" s="462"/>
      <c r="AC10005" s="462"/>
      <c r="AD10005" s="464"/>
      <c r="AE10005" s="465"/>
    </row>
    <row r="10006" spans="27:31" ht="14.4">
      <c r="AA10006" s="463"/>
      <c r="AB10006" s="462"/>
      <c r="AC10006" s="462"/>
      <c r="AD10006" s="464"/>
      <c r="AE10006" s="465"/>
    </row>
    <row r="10007" spans="27:31" ht="14.4">
      <c r="AA10007" s="463"/>
      <c r="AB10007" s="462"/>
      <c r="AC10007" s="462"/>
      <c r="AD10007" s="464"/>
      <c r="AE10007" s="465"/>
    </row>
    <row r="10008" spans="27:31" ht="14.4">
      <c r="AA10008" s="463"/>
      <c r="AB10008" s="462"/>
      <c r="AC10008" s="462"/>
      <c r="AD10008" s="464"/>
      <c r="AE10008" s="465"/>
    </row>
    <row r="10009" spans="27:31" ht="14.4">
      <c r="AA10009" s="463"/>
      <c r="AB10009" s="462"/>
      <c r="AC10009" s="462"/>
      <c r="AD10009" s="464"/>
      <c r="AE10009" s="465"/>
    </row>
    <row r="10010" spans="27:31" ht="14.4">
      <c r="AA10010" s="463"/>
      <c r="AB10010" s="462"/>
      <c r="AC10010" s="462"/>
      <c r="AD10010" s="464"/>
      <c r="AE10010" s="465"/>
    </row>
    <row r="10011" spans="27:31" ht="14.4">
      <c r="AA10011" s="463"/>
      <c r="AB10011" s="462"/>
      <c r="AC10011" s="462"/>
      <c r="AD10011" s="464"/>
      <c r="AE10011" s="465"/>
    </row>
    <row r="10012" spans="27:31" ht="14.4">
      <c r="AA10012" s="463"/>
      <c r="AB10012" s="462"/>
      <c r="AC10012" s="462"/>
      <c r="AD10012" s="464"/>
      <c r="AE10012" s="465"/>
    </row>
    <row r="10013" spans="27:31" ht="14.4">
      <c r="AA10013" s="463"/>
      <c r="AB10013" s="462"/>
      <c r="AC10013" s="462"/>
      <c r="AD10013" s="464"/>
      <c r="AE10013" s="465"/>
    </row>
    <row r="10014" spans="27:31" ht="14.4">
      <c r="AA10014" s="463"/>
      <c r="AB10014" s="462"/>
      <c r="AC10014" s="462"/>
      <c r="AD10014" s="464"/>
      <c r="AE10014" s="465"/>
    </row>
    <row r="10015" spans="27:31" ht="14.4">
      <c r="AA10015" s="463"/>
      <c r="AB10015" s="462"/>
      <c r="AC10015" s="462"/>
      <c r="AD10015" s="464"/>
      <c r="AE10015" s="465"/>
    </row>
    <row r="10016" spans="27:31" ht="14.4">
      <c r="AA10016" s="463"/>
      <c r="AB10016" s="462"/>
      <c r="AC10016" s="462"/>
      <c r="AD10016" s="464"/>
      <c r="AE10016" s="465"/>
    </row>
    <row r="10017" spans="27:31" ht="14.4">
      <c r="AA10017" s="463"/>
      <c r="AB10017" s="462"/>
      <c r="AC10017" s="462"/>
      <c r="AD10017" s="464"/>
      <c r="AE10017" s="465"/>
    </row>
    <row r="10018" spans="27:31" ht="14.4">
      <c r="AA10018" s="463"/>
      <c r="AB10018" s="462"/>
      <c r="AC10018" s="462"/>
      <c r="AD10018" s="464"/>
      <c r="AE10018" s="465"/>
    </row>
    <row r="10019" spans="27:31" ht="14.4">
      <c r="AA10019" s="463"/>
      <c r="AB10019" s="462"/>
      <c r="AC10019" s="462"/>
      <c r="AD10019" s="464"/>
      <c r="AE10019" s="465"/>
    </row>
    <row r="10020" spans="27:31" ht="14.4">
      <c r="AA10020" s="463"/>
      <c r="AB10020" s="462"/>
      <c r="AC10020" s="462"/>
      <c r="AD10020" s="464"/>
      <c r="AE10020" s="465"/>
    </row>
    <row r="10021" spans="27:31" ht="14.4">
      <c r="AA10021" s="463"/>
      <c r="AB10021" s="462"/>
      <c r="AC10021" s="462"/>
      <c r="AD10021" s="464"/>
      <c r="AE10021" s="465"/>
    </row>
    <row r="10022" spans="27:31" ht="14.4">
      <c r="AA10022" s="463"/>
      <c r="AB10022" s="462"/>
      <c r="AC10022" s="462"/>
      <c r="AD10022" s="464"/>
      <c r="AE10022" s="465"/>
    </row>
    <row r="10023" spans="27:31" ht="14.4">
      <c r="AA10023" s="463"/>
      <c r="AB10023" s="462"/>
      <c r="AC10023" s="462"/>
      <c r="AD10023" s="464"/>
      <c r="AE10023" s="465"/>
    </row>
    <row r="10024" spans="27:31" ht="14.4">
      <c r="AA10024" s="463"/>
      <c r="AB10024" s="462"/>
      <c r="AC10024" s="462"/>
      <c r="AD10024" s="464"/>
      <c r="AE10024" s="465"/>
    </row>
    <row r="10025" spans="27:31" ht="14.4">
      <c r="AA10025" s="463"/>
      <c r="AB10025" s="462"/>
      <c r="AC10025" s="462"/>
      <c r="AD10025" s="464"/>
      <c r="AE10025" s="465"/>
    </row>
    <row r="10026" spans="27:31" ht="14.4">
      <c r="AA10026" s="463"/>
      <c r="AB10026" s="462"/>
      <c r="AC10026" s="462"/>
      <c r="AD10026" s="464"/>
      <c r="AE10026" s="465"/>
    </row>
    <row r="10027" spans="27:31" ht="14.4">
      <c r="AA10027" s="463"/>
      <c r="AB10027" s="462"/>
      <c r="AC10027" s="462"/>
      <c r="AD10027" s="464"/>
      <c r="AE10027" s="465"/>
    </row>
    <row r="10028" spans="27:31" ht="14.4">
      <c r="AA10028" s="463"/>
      <c r="AB10028" s="462"/>
      <c r="AC10028" s="462"/>
      <c r="AD10028" s="464"/>
      <c r="AE10028" s="465"/>
    </row>
    <row r="10029" spans="27:31" ht="14.4">
      <c r="AA10029" s="463"/>
      <c r="AB10029" s="462"/>
      <c r="AC10029" s="462"/>
      <c r="AD10029" s="464"/>
      <c r="AE10029" s="465"/>
    </row>
    <row r="10030" spans="27:31" ht="14.4">
      <c r="AA10030" s="463"/>
      <c r="AB10030" s="462"/>
      <c r="AC10030" s="462"/>
      <c r="AD10030" s="464"/>
      <c r="AE10030" s="465"/>
    </row>
    <row r="10031" spans="27:31" ht="14.4">
      <c r="AA10031" s="463"/>
      <c r="AB10031" s="462"/>
      <c r="AC10031" s="462"/>
      <c r="AD10031" s="464"/>
      <c r="AE10031" s="465"/>
    </row>
    <row r="10032" spans="27:31" ht="14.4">
      <c r="AA10032" s="463"/>
      <c r="AB10032" s="462"/>
      <c r="AC10032" s="462"/>
      <c r="AD10032" s="464"/>
      <c r="AE10032" s="465"/>
    </row>
    <row r="10033" spans="27:31" ht="14.4">
      <c r="AA10033" s="463"/>
      <c r="AB10033" s="462"/>
      <c r="AC10033" s="462"/>
      <c r="AD10033" s="464"/>
      <c r="AE10033" s="465"/>
    </row>
    <row r="10034" spans="27:31" ht="14.4">
      <c r="AA10034" s="463"/>
      <c r="AB10034" s="462"/>
      <c r="AC10034" s="462"/>
      <c r="AD10034" s="464"/>
      <c r="AE10034" s="465"/>
    </row>
    <row r="10035" spans="27:31" ht="14.4">
      <c r="AA10035" s="463"/>
      <c r="AB10035" s="462"/>
      <c r="AC10035" s="462"/>
      <c r="AD10035" s="464"/>
      <c r="AE10035" s="465"/>
    </row>
    <row r="10036" spans="27:31" ht="14.4">
      <c r="AA10036" s="463"/>
      <c r="AB10036" s="462"/>
      <c r="AC10036" s="462"/>
      <c r="AD10036" s="464"/>
      <c r="AE10036" s="465"/>
    </row>
    <row r="10037" spans="27:31" ht="14.4">
      <c r="AA10037" s="463"/>
      <c r="AB10037" s="462"/>
      <c r="AC10037" s="462"/>
      <c r="AD10037" s="464"/>
      <c r="AE10037" s="465"/>
    </row>
    <row r="10038" spans="27:31" ht="14.4">
      <c r="AA10038" s="463"/>
      <c r="AB10038" s="462"/>
      <c r="AC10038" s="462"/>
      <c r="AD10038" s="464"/>
      <c r="AE10038" s="465"/>
    </row>
    <row r="10039" spans="27:31" ht="14.4">
      <c r="AA10039" s="463"/>
      <c r="AB10039" s="462"/>
      <c r="AC10039" s="462"/>
      <c r="AD10039" s="464"/>
      <c r="AE10039" s="465"/>
    </row>
    <row r="10040" spans="27:31" ht="14.4">
      <c r="AA10040" s="463"/>
      <c r="AB10040" s="462"/>
      <c r="AC10040" s="462"/>
      <c r="AD10040" s="464"/>
      <c r="AE10040" s="465"/>
    </row>
    <row r="10041" spans="27:31" ht="14.4">
      <c r="AA10041" s="463"/>
      <c r="AB10041" s="462"/>
      <c r="AC10041" s="462"/>
      <c r="AD10041" s="464"/>
      <c r="AE10041" s="465"/>
    </row>
    <row r="10042" spans="27:31" ht="14.4">
      <c r="AA10042" s="463"/>
      <c r="AB10042" s="462"/>
      <c r="AC10042" s="462"/>
      <c r="AD10042" s="464"/>
      <c r="AE10042" s="465"/>
    </row>
    <row r="10043" spans="27:31" ht="14.4">
      <c r="AA10043" s="463"/>
      <c r="AB10043" s="462"/>
      <c r="AC10043" s="462"/>
      <c r="AD10043" s="464"/>
      <c r="AE10043" s="465"/>
    </row>
    <row r="10044" spans="27:31" ht="14.4">
      <c r="AA10044" s="463"/>
      <c r="AB10044" s="462"/>
      <c r="AC10044" s="462"/>
      <c r="AD10044" s="464"/>
      <c r="AE10044" s="465"/>
    </row>
    <row r="10045" spans="27:31" ht="14.4">
      <c r="AA10045" s="463"/>
      <c r="AB10045" s="462"/>
      <c r="AC10045" s="462"/>
      <c r="AD10045" s="464"/>
      <c r="AE10045" s="465"/>
    </row>
    <row r="10046" spans="27:31" ht="14.4">
      <c r="AA10046" s="463"/>
      <c r="AB10046" s="462"/>
      <c r="AC10046" s="462"/>
      <c r="AD10046" s="464"/>
      <c r="AE10046" s="465"/>
    </row>
    <row r="10047" spans="27:31" ht="14.4">
      <c r="AA10047" s="463"/>
      <c r="AB10047" s="462"/>
      <c r="AC10047" s="462"/>
      <c r="AD10047" s="464"/>
      <c r="AE10047" s="465"/>
    </row>
    <row r="10048" spans="27:31" ht="14.4">
      <c r="AA10048" s="463"/>
      <c r="AB10048" s="462"/>
      <c r="AC10048" s="462"/>
      <c r="AD10048" s="464"/>
      <c r="AE10048" s="465"/>
    </row>
    <row r="10049" spans="27:31" ht="14.4">
      <c r="AA10049" s="463"/>
      <c r="AB10049" s="462"/>
      <c r="AC10049" s="462"/>
      <c r="AD10049" s="464"/>
      <c r="AE10049" s="465"/>
    </row>
    <row r="10050" spans="27:31" ht="14.4">
      <c r="AA10050" s="463"/>
      <c r="AB10050" s="462"/>
      <c r="AC10050" s="462"/>
      <c r="AD10050" s="464"/>
      <c r="AE10050" s="465"/>
    </row>
    <row r="10051" spans="27:31" ht="14.4">
      <c r="AA10051" s="463"/>
      <c r="AB10051" s="462"/>
      <c r="AC10051" s="462"/>
      <c r="AD10051" s="464"/>
      <c r="AE10051" s="465"/>
    </row>
    <row r="10052" spans="27:31" ht="14.4">
      <c r="AA10052" s="463"/>
      <c r="AB10052" s="462"/>
      <c r="AC10052" s="462"/>
      <c r="AD10052" s="464"/>
      <c r="AE10052" s="465"/>
    </row>
    <row r="10053" spans="27:31" ht="14.4">
      <c r="AA10053" s="463"/>
      <c r="AB10053" s="462"/>
      <c r="AC10053" s="462"/>
      <c r="AD10053" s="464"/>
      <c r="AE10053" s="465"/>
    </row>
    <row r="10054" spans="27:31" ht="14.4">
      <c r="AA10054" s="463"/>
      <c r="AB10054" s="462"/>
      <c r="AC10054" s="462"/>
      <c r="AD10054" s="464"/>
      <c r="AE10054" s="465"/>
    </row>
    <row r="10055" spans="27:31" ht="14.4">
      <c r="AA10055" s="463"/>
      <c r="AB10055" s="462"/>
      <c r="AC10055" s="462"/>
      <c r="AD10055" s="464"/>
      <c r="AE10055" s="465"/>
    </row>
    <row r="10056" spans="27:31" ht="14.4">
      <c r="AA10056" s="463"/>
      <c r="AB10056" s="462"/>
      <c r="AC10056" s="462"/>
      <c r="AD10056" s="464"/>
      <c r="AE10056" s="465"/>
    </row>
    <row r="10057" spans="27:31" ht="14.4">
      <c r="AA10057" s="463"/>
      <c r="AB10057" s="462"/>
      <c r="AC10057" s="462"/>
      <c r="AD10057" s="464"/>
      <c r="AE10057" s="465"/>
    </row>
    <row r="10058" spans="27:31" ht="14.4">
      <c r="AA10058" s="463"/>
      <c r="AB10058" s="462"/>
      <c r="AC10058" s="462"/>
      <c r="AD10058" s="464"/>
      <c r="AE10058" s="465"/>
    </row>
    <row r="10059" spans="27:31" ht="14.4">
      <c r="AA10059" s="463"/>
      <c r="AB10059" s="462"/>
      <c r="AC10059" s="462"/>
      <c r="AD10059" s="464"/>
      <c r="AE10059" s="465"/>
    </row>
    <row r="10060" spans="27:31" ht="14.4">
      <c r="AA10060" s="463"/>
      <c r="AB10060" s="462"/>
      <c r="AC10060" s="462"/>
      <c r="AD10060" s="464"/>
      <c r="AE10060" s="465"/>
    </row>
    <row r="10061" spans="27:31" ht="14.4">
      <c r="AA10061" s="463"/>
      <c r="AB10061" s="462"/>
      <c r="AC10061" s="462"/>
      <c r="AD10061" s="464"/>
      <c r="AE10061" s="465"/>
    </row>
    <row r="10062" spans="27:31" ht="14.4">
      <c r="AA10062" s="463"/>
      <c r="AB10062" s="462"/>
      <c r="AC10062" s="462"/>
      <c r="AD10062" s="464"/>
      <c r="AE10062" s="465"/>
    </row>
    <row r="10063" spans="27:31" ht="14.4">
      <c r="AA10063" s="463"/>
      <c r="AB10063" s="462"/>
      <c r="AC10063" s="462"/>
      <c r="AD10063" s="464"/>
      <c r="AE10063" s="465"/>
    </row>
    <row r="10064" spans="27:31" ht="14.4">
      <c r="AA10064" s="463"/>
      <c r="AB10064" s="462"/>
      <c r="AC10064" s="462"/>
      <c r="AD10064" s="464"/>
      <c r="AE10064" s="465"/>
    </row>
    <row r="10065" spans="27:31" ht="14.4">
      <c r="AA10065" s="463"/>
      <c r="AB10065" s="462"/>
      <c r="AC10065" s="462"/>
      <c r="AD10065" s="464"/>
      <c r="AE10065" s="465"/>
    </row>
    <row r="10066" spans="27:31" ht="14.4">
      <c r="AA10066" s="463"/>
      <c r="AB10066" s="462"/>
      <c r="AC10066" s="462"/>
      <c r="AD10066" s="464"/>
      <c r="AE10066" s="465"/>
    </row>
    <row r="10067" spans="27:31" ht="14.4">
      <c r="AA10067" s="463"/>
      <c r="AB10067" s="462"/>
      <c r="AC10067" s="462"/>
      <c r="AD10067" s="464"/>
      <c r="AE10067" s="465"/>
    </row>
    <row r="10068" spans="27:31" ht="14.4">
      <c r="AA10068" s="463"/>
      <c r="AB10068" s="462"/>
      <c r="AC10068" s="462"/>
      <c r="AD10068" s="464"/>
      <c r="AE10068" s="465"/>
    </row>
    <row r="10069" spans="27:31" ht="14.4">
      <c r="AA10069" s="463"/>
      <c r="AB10069" s="462"/>
      <c r="AC10069" s="462"/>
      <c r="AD10069" s="464"/>
      <c r="AE10069" s="465"/>
    </row>
    <row r="10070" spans="27:31" ht="14.4">
      <c r="AA10070" s="463"/>
      <c r="AB10070" s="462"/>
      <c r="AC10070" s="462"/>
      <c r="AD10070" s="464"/>
      <c r="AE10070" s="465"/>
    </row>
    <row r="10071" spans="27:31" ht="14.4">
      <c r="AA10071" s="463"/>
      <c r="AB10071" s="462"/>
      <c r="AC10071" s="462"/>
      <c r="AD10071" s="464"/>
      <c r="AE10071" s="465"/>
    </row>
    <row r="10072" spans="27:31" ht="14.4">
      <c r="AA10072" s="463"/>
      <c r="AB10072" s="462"/>
      <c r="AC10072" s="462"/>
      <c r="AD10072" s="464"/>
      <c r="AE10072" s="465"/>
    </row>
    <row r="10073" spans="27:31" ht="14.4">
      <c r="AA10073" s="463"/>
      <c r="AB10073" s="462"/>
      <c r="AC10073" s="462"/>
      <c r="AD10073" s="464"/>
      <c r="AE10073" s="465"/>
    </row>
    <row r="10074" spans="27:31" ht="14.4">
      <c r="AA10074" s="463"/>
      <c r="AB10074" s="462"/>
      <c r="AC10074" s="462"/>
      <c r="AD10074" s="464"/>
      <c r="AE10074" s="465"/>
    </row>
    <row r="10075" spans="27:31" ht="14.4">
      <c r="AA10075" s="463"/>
      <c r="AB10075" s="462"/>
      <c r="AC10075" s="462"/>
      <c r="AD10075" s="464"/>
      <c r="AE10075" s="465"/>
    </row>
    <row r="10076" spans="27:31" ht="14.4">
      <c r="AA10076" s="463"/>
      <c r="AB10076" s="462"/>
      <c r="AC10076" s="462"/>
      <c r="AD10076" s="464"/>
      <c r="AE10076" s="465"/>
    </row>
    <row r="10077" spans="27:31" ht="14.4">
      <c r="AA10077" s="463"/>
      <c r="AB10077" s="462"/>
      <c r="AC10077" s="462"/>
      <c r="AD10077" s="464"/>
      <c r="AE10077" s="465"/>
    </row>
    <row r="10078" spans="27:31" ht="14.4">
      <c r="AA10078" s="463"/>
      <c r="AB10078" s="462"/>
      <c r="AC10078" s="462"/>
      <c r="AD10078" s="464"/>
      <c r="AE10078" s="465"/>
    </row>
    <row r="10079" spans="27:31" ht="14.4">
      <c r="AA10079" s="463"/>
      <c r="AB10079" s="462"/>
      <c r="AC10079" s="462"/>
      <c r="AD10079" s="464"/>
      <c r="AE10079" s="465"/>
    </row>
    <row r="10080" spans="27:31" ht="14.4">
      <c r="AA10080" s="463"/>
      <c r="AB10080" s="462"/>
      <c r="AC10080" s="462"/>
      <c r="AD10080" s="464"/>
      <c r="AE10080" s="465"/>
    </row>
    <row r="10081" spans="27:31" ht="14.4">
      <c r="AA10081" s="463"/>
      <c r="AB10081" s="462"/>
      <c r="AC10081" s="462"/>
      <c r="AD10081" s="464"/>
      <c r="AE10081" s="465"/>
    </row>
    <row r="10082" spans="27:31" ht="14.4">
      <c r="AA10082" s="463"/>
      <c r="AB10082" s="462"/>
      <c r="AC10082" s="462"/>
      <c r="AD10082" s="464"/>
      <c r="AE10082" s="465"/>
    </row>
    <row r="10083" spans="27:31" ht="14.4">
      <c r="AA10083" s="463"/>
      <c r="AB10083" s="462"/>
      <c r="AC10083" s="462"/>
      <c r="AD10083" s="464"/>
      <c r="AE10083" s="465"/>
    </row>
    <row r="10084" spans="27:31" ht="14.4">
      <c r="AA10084" s="463"/>
      <c r="AB10084" s="462"/>
      <c r="AC10084" s="462"/>
      <c r="AD10084" s="464"/>
      <c r="AE10084" s="465"/>
    </row>
    <row r="10085" spans="27:31" ht="14.4">
      <c r="AA10085" s="463"/>
      <c r="AB10085" s="462"/>
      <c r="AC10085" s="462"/>
      <c r="AD10085" s="464"/>
      <c r="AE10085" s="465"/>
    </row>
    <row r="10086" spans="27:31" ht="14.4">
      <c r="AA10086" s="463"/>
      <c r="AB10086" s="462"/>
      <c r="AC10086" s="462"/>
      <c r="AD10086" s="464"/>
      <c r="AE10086" s="465"/>
    </row>
    <row r="10087" spans="27:31" ht="14.4">
      <c r="AA10087" s="463"/>
      <c r="AB10087" s="462"/>
      <c r="AC10087" s="462"/>
      <c r="AD10087" s="464"/>
      <c r="AE10087" s="465"/>
    </row>
    <row r="10088" spans="27:31" ht="14.4">
      <c r="AA10088" s="463"/>
      <c r="AB10088" s="462"/>
      <c r="AC10088" s="462"/>
      <c r="AD10088" s="464"/>
      <c r="AE10088" s="465"/>
    </row>
    <row r="10089" spans="27:31" ht="14.4">
      <c r="AA10089" s="463"/>
      <c r="AB10089" s="462"/>
      <c r="AC10089" s="462"/>
      <c r="AD10089" s="464"/>
      <c r="AE10089" s="465"/>
    </row>
    <row r="10090" spans="27:31" ht="14.4">
      <c r="AA10090" s="463"/>
      <c r="AB10090" s="462"/>
      <c r="AC10090" s="462"/>
      <c r="AD10090" s="464"/>
      <c r="AE10090" s="465"/>
    </row>
    <row r="10091" spans="27:31" ht="14.4">
      <c r="AA10091" s="463"/>
      <c r="AB10091" s="462"/>
      <c r="AC10091" s="462"/>
      <c r="AD10091" s="464"/>
      <c r="AE10091" s="465"/>
    </row>
    <row r="10092" spans="27:31" ht="14.4">
      <c r="AA10092" s="463"/>
      <c r="AB10092" s="462"/>
      <c r="AC10092" s="462"/>
      <c r="AD10092" s="464"/>
      <c r="AE10092" s="465"/>
    </row>
    <row r="10093" spans="27:31" ht="14.4">
      <c r="AA10093" s="463"/>
      <c r="AB10093" s="462"/>
      <c r="AC10093" s="462"/>
      <c r="AD10093" s="464"/>
      <c r="AE10093" s="465"/>
    </row>
    <row r="10094" spans="27:31" ht="14.4">
      <c r="AA10094" s="463"/>
      <c r="AB10094" s="462"/>
      <c r="AC10094" s="462"/>
      <c r="AD10094" s="464"/>
      <c r="AE10094" s="465"/>
    </row>
    <row r="10095" spans="27:31" ht="14.4">
      <c r="AA10095" s="463"/>
      <c r="AB10095" s="462"/>
      <c r="AC10095" s="462"/>
      <c r="AD10095" s="464"/>
      <c r="AE10095" s="465"/>
    </row>
    <row r="10096" spans="27:31" ht="14.4">
      <c r="AA10096" s="463"/>
      <c r="AB10096" s="462"/>
      <c r="AC10096" s="462"/>
      <c r="AD10096" s="464"/>
      <c r="AE10096" s="465"/>
    </row>
    <row r="10097" spans="27:31" ht="14.4">
      <c r="AA10097" s="463"/>
      <c r="AB10097" s="462"/>
      <c r="AC10097" s="462"/>
      <c r="AD10097" s="464"/>
      <c r="AE10097" s="465"/>
    </row>
    <row r="10098" spans="27:31" ht="14.4">
      <c r="AA10098" s="463"/>
      <c r="AB10098" s="462"/>
      <c r="AC10098" s="462"/>
      <c r="AD10098" s="464"/>
      <c r="AE10098" s="465"/>
    </row>
    <row r="10099" spans="27:31" ht="14.4">
      <c r="AA10099" s="463"/>
      <c r="AB10099" s="462"/>
      <c r="AC10099" s="462"/>
      <c r="AD10099" s="464"/>
      <c r="AE10099" s="465"/>
    </row>
    <row r="10100" spans="27:31" ht="14.4">
      <c r="AA10100" s="463"/>
      <c r="AB10100" s="462"/>
      <c r="AC10100" s="462"/>
      <c r="AD10100" s="464"/>
      <c r="AE10100" s="465"/>
    </row>
    <row r="10101" spans="27:31" ht="14.4">
      <c r="AA10101" s="463"/>
      <c r="AB10101" s="462"/>
      <c r="AC10101" s="462"/>
      <c r="AD10101" s="464"/>
      <c r="AE10101" s="465"/>
    </row>
    <row r="10102" spans="27:31" ht="14.4">
      <c r="AA10102" s="463"/>
      <c r="AB10102" s="462"/>
      <c r="AC10102" s="462"/>
      <c r="AD10102" s="464"/>
      <c r="AE10102" s="465"/>
    </row>
    <row r="10103" spans="27:31" ht="14.4">
      <c r="AA10103" s="463"/>
      <c r="AB10103" s="462"/>
      <c r="AC10103" s="462"/>
      <c r="AD10103" s="464"/>
      <c r="AE10103" s="465"/>
    </row>
    <row r="10104" spans="27:31" ht="14.4">
      <c r="AA10104" s="463"/>
      <c r="AB10104" s="462"/>
      <c r="AC10104" s="462"/>
      <c r="AD10104" s="464"/>
      <c r="AE10104" s="465"/>
    </row>
    <row r="10105" spans="27:31" ht="14.4">
      <c r="AA10105" s="463"/>
      <c r="AB10105" s="462"/>
      <c r="AC10105" s="462"/>
      <c r="AD10105" s="464"/>
      <c r="AE10105" s="465"/>
    </row>
    <row r="10106" spans="27:31" ht="14.4">
      <c r="AA10106" s="463"/>
      <c r="AB10106" s="462"/>
      <c r="AC10106" s="462"/>
      <c r="AD10106" s="464"/>
      <c r="AE10106" s="465"/>
    </row>
    <row r="10107" spans="27:31" ht="14.4">
      <c r="AA10107" s="463"/>
      <c r="AB10107" s="462"/>
      <c r="AC10107" s="462"/>
      <c r="AD10107" s="464"/>
      <c r="AE10107" s="465"/>
    </row>
    <row r="10108" spans="27:31" ht="14.4">
      <c r="AA10108" s="463"/>
      <c r="AB10108" s="462"/>
      <c r="AC10108" s="462"/>
      <c r="AD10108" s="464"/>
      <c r="AE10108" s="465"/>
    </row>
    <row r="10109" spans="27:31" ht="14.4">
      <c r="AA10109" s="463"/>
      <c r="AB10109" s="462"/>
      <c r="AC10109" s="462"/>
      <c r="AD10109" s="464"/>
      <c r="AE10109" s="465"/>
    </row>
    <row r="10110" spans="27:31" ht="14.4">
      <c r="AA10110" s="463"/>
      <c r="AB10110" s="462"/>
      <c r="AC10110" s="462"/>
      <c r="AD10110" s="464"/>
      <c r="AE10110" s="465"/>
    </row>
    <row r="10111" spans="27:31" ht="14.4">
      <c r="AA10111" s="463"/>
      <c r="AB10111" s="462"/>
      <c r="AC10111" s="462"/>
      <c r="AD10111" s="464"/>
      <c r="AE10111" s="465"/>
    </row>
    <row r="10112" spans="27:31" ht="14.4">
      <c r="AA10112" s="463"/>
      <c r="AB10112" s="462"/>
      <c r="AC10112" s="462"/>
      <c r="AD10112" s="464"/>
      <c r="AE10112" s="465"/>
    </row>
    <row r="10113" spans="27:31" ht="14.4">
      <c r="AA10113" s="463"/>
      <c r="AB10113" s="462"/>
      <c r="AC10113" s="462"/>
      <c r="AD10113" s="464"/>
      <c r="AE10113" s="465"/>
    </row>
    <row r="10114" spans="27:31" ht="14.4">
      <c r="AA10114" s="463"/>
      <c r="AB10114" s="462"/>
      <c r="AC10114" s="462"/>
      <c r="AD10114" s="464"/>
      <c r="AE10114" s="465"/>
    </row>
    <row r="10115" spans="27:31" ht="14.4">
      <c r="AA10115" s="463"/>
      <c r="AB10115" s="462"/>
      <c r="AC10115" s="462"/>
      <c r="AD10115" s="464"/>
      <c r="AE10115" s="465"/>
    </row>
    <row r="10116" spans="27:31" ht="14.4">
      <c r="AA10116" s="463"/>
      <c r="AB10116" s="462"/>
      <c r="AC10116" s="462"/>
      <c r="AD10116" s="464"/>
      <c r="AE10116" s="465"/>
    </row>
    <row r="10117" spans="27:31" ht="14.4">
      <c r="AA10117" s="463"/>
      <c r="AB10117" s="462"/>
      <c r="AC10117" s="462"/>
      <c r="AD10117" s="464"/>
      <c r="AE10117" s="465"/>
    </row>
    <row r="10118" spans="27:31" ht="14.4">
      <c r="AA10118" s="463"/>
      <c r="AB10118" s="462"/>
      <c r="AC10118" s="462"/>
      <c r="AD10118" s="464"/>
      <c r="AE10118" s="465"/>
    </row>
    <row r="10119" spans="27:31" ht="14.4">
      <c r="AA10119" s="463"/>
      <c r="AB10119" s="462"/>
      <c r="AC10119" s="462"/>
      <c r="AD10119" s="464"/>
      <c r="AE10119" s="465"/>
    </row>
    <row r="10120" spans="27:31" ht="14.4">
      <c r="AA10120" s="463"/>
      <c r="AB10120" s="462"/>
      <c r="AC10120" s="462"/>
      <c r="AD10120" s="464"/>
      <c r="AE10120" s="465"/>
    </row>
    <row r="10121" spans="27:31" ht="14.4">
      <c r="AA10121" s="463"/>
      <c r="AB10121" s="462"/>
      <c r="AC10121" s="462"/>
      <c r="AD10121" s="464"/>
      <c r="AE10121" s="465"/>
    </row>
    <row r="10122" spans="27:31" ht="14.4">
      <c r="AA10122" s="463"/>
      <c r="AB10122" s="462"/>
      <c r="AC10122" s="462"/>
      <c r="AD10122" s="464"/>
      <c r="AE10122" s="465"/>
    </row>
    <row r="10123" spans="27:31" ht="14.4">
      <c r="AA10123" s="463"/>
      <c r="AB10123" s="462"/>
      <c r="AC10123" s="462"/>
      <c r="AD10123" s="464"/>
      <c r="AE10123" s="465"/>
    </row>
    <row r="10124" spans="27:31" ht="14.4">
      <c r="AA10124" s="463"/>
      <c r="AB10124" s="462"/>
      <c r="AC10124" s="462"/>
      <c r="AD10124" s="464"/>
      <c r="AE10124" s="465"/>
    </row>
    <row r="10125" spans="27:31" ht="14.4">
      <c r="AA10125" s="463"/>
      <c r="AB10125" s="462"/>
      <c r="AC10125" s="462"/>
      <c r="AD10125" s="464"/>
      <c r="AE10125" s="465"/>
    </row>
    <row r="10126" spans="27:31" ht="14.4">
      <c r="AA10126" s="463"/>
      <c r="AB10126" s="462"/>
      <c r="AC10126" s="462"/>
      <c r="AD10126" s="464"/>
      <c r="AE10126" s="465"/>
    </row>
    <row r="10127" spans="27:31" ht="14.4">
      <c r="AA10127" s="463"/>
      <c r="AB10127" s="462"/>
      <c r="AC10127" s="462"/>
      <c r="AD10127" s="464"/>
      <c r="AE10127" s="465"/>
    </row>
    <row r="10128" spans="27:31" ht="14.4">
      <c r="AA10128" s="463"/>
      <c r="AB10128" s="462"/>
      <c r="AC10128" s="462"/>
      <c r="AD10128" s="464"/>
      <c r="AE10128" s="465"/>
    </row>
    <row r="10129" spans="27:31" ht="14.4">
      <c r="AA10129" s="463"/>
      <c r="AB10129" s="462"/>
      <c r="AC10129" s="462"/>
      <c r="AD10129" s="464"/>
      <c r="AE10129" s="465"/>
    </row>
    <row r="10130" spans="27:31" ht="14.4">
      <c r="AA10130" s="463"/>
      <c r="AB10130" s="462"/>
      <c r="AC10130" s="462"/>
      <c r="AD10130" s="464"/>
      <c r="AE10130" s="465"/>
    </row>
    <row r="10131" spans="27:31" ht="14.4">
      <c r="AA10131" s="463"/>
      <c r="AB10131" s="462"/>
      <c r="AC10131" s="462"/>
      <c r="AD10131" s="464"/>
      <c r="AE10131" s="465"/>
    </row>
    <row r="10132" spans="27:31" ht="14.4">
      <c r="AA10132" s="463"/>
      <c r="AB10132" s="462"/>
      <c r="AC10132" s="462"/>
      <c r="AD10132" s="464"/>
      <c r="AE10132" s="465"/>
    </row>
    <row r="10133" spans="27:31" ht="14.4">
      <c r="AA10133" s="463"/>
      <c r="AB10133" s="462"/>
      <c r="AC10133" s="462"/>
      <c r="AD10133" s="464"/>
      <c r="AE10133" s="465"/>
    </row>
    <row r="10134" spans="27:31" ht="14.4">
      <c r="AA10134" s="463"/>
      <c r="AB10134" s="462"/>
      <c r="AC10134" s="462"/>
      <c r="AD10134" s="464"/>
      <c r="AE10134" s="465"/>
    </row>
    <row r="10135" spans="27:31" ht="14.4">
      <c r="AA10135" s="463"/>
      <c r="AB10135" s="462"/>
      <c r="AC10135" s="462"/>
      <c r="AD10135" s="464"/>
      <c r="AE10135" s="465"/>
    </row>
    <row r="10136" spans="27:31" ht="14.4">
      <c r="AA10136" s="463"/>
      <c r="AB10136" s="462"/>
      <c r="AC10136" s="462"/>
      <c r="AD10136" s="464"/>
      <c r="AE10136" s="465"/>
    </row>
    <row r="10137" spans="27:31" ht="14.4">
      <c r="AA10137" s="463"/>
      <c r="AB10137" s="462"/>
      <c r="AC10137" s="462"/>
      <c r="AD10137" s="464"/>
      <c r="AE10137" s="465"/>
    </row>
    <row r="10138" spans="27:31" ht="14.4">
      <c r="AA10138" s="463"/>
      <c r="AB10138" s="462"/>
      <c r="AC10138" s="462"/>
      <c r="AD10138" s="464"/>
      <c r="AE10138" s="465"/>
    </row>
    <row r="10139" spans="27:31" ht="14.4">
      <c r="AA10139" s="463"/>
      <c r="AB10139" s="462"/>
      <c r="AC10139" s="462"/>
      <c r="AD10139" s="464"/>
      <c r="AE10139" s="465"/>
    </row>
    <row r="10140" spans="27:31" ht="14.4">
      <c r="AA10140" s="463"/>
      <c r="AB10140" s="462"/>
      <c r="AC10140" s="462"/>
      <c r="AD10140" s="464"/>
      <c r="AE10140" s="465"/>
    </row>
    <row r="10141" spans="27:31" ht="14.4">
      <c r="AA10141" s="463"/>
      <c r="AB10141" s="462"/>
      <c r="AC10141" s="462"/>
      <c r="AD10141" s="464"/>
      <c r="AE10141" s="465"/>
    </row>
    <row r="10142" spans="27:31" ht="14.4">
      <c r="AA10142" s="463"/>
      <c r="AB10142" s="462"/>
      <c r="AC10142" s="462"/>
      <c r="AD10142" s="464"/>
      <c r="AE10142" s="465"/>
    </row>
    <row r="10143" spans="27:31" ht="14.4">
      <c r="AA10143" s="463"/>
      <c r="AB10143" s="462"/>
      <c r="AC10143" s="462"/>
      <c r="AD10143" s="464"/>
      <c r="AE10143" s="465"/>
    </row>
    <row r="10144" spans="27:31" ht="14.4">
      <c r="AA10144" s="463"/>
      <c r="AB10144" s="462"/>
      <c r="AC10144" s="462"/>
      <c r="AD10144" s="464"/>
      <c r="AE10144" s="465"/>
    </row>
    <row r="10145" spans="27:31" ht="14.4">
      <c r="AA10145" s="463"/>
      <c r="AB10145" s="462"/>
      <c r="AC10145" s="462"/>
      <c r="AD10145" s="464"/>
      <c r="AE10145" s="465"/>
    </row>
    <row r="10146" spans="27:31" ht="14.4">
      <c r="AA10146" s="463"/>
      <c r="AB10146" s="462"/>
      <c r="AC10146" s="462"/>
      <c r="AD10146" s="464"/>
      <c r="AE10146" s="465"/>
    </row>
    <row r="10147" spans="27:31" ht="14.4">
      <c r="AA10147" s="463"/>
      <c r="AB10147" s="462"/>
      <c r="AC10147" s="462"/>
      <c r="AD10147" s="464"/>
      <c r="AE10147" s="465"/>
    </row>
    <row r="10148" spans="27:31" ht="14.4">
      <c r="AA10148" s="463"/>
      <c r="AB10148" s="462"/>
      <c r="AC10148" s="462"/>
      <c r="AD10148" s="464"/>
      <c r="AE10148" s="465"/>
    </row>
    <row r="10149" spans="27:31" ht="14.4">
      <c r="AA10149" s="463"/>
      <c r="AB10149" s="462"/>
      <c r="AC10149" s="462"/>
      <c r="AD10149" s="464"/>
      <c r="AE10149" s="465"/>
    </row>
    <row r="10150" spans="27:31" ht="14.4">
      <c r="AA10150" s="463"/>
      <c r="AB10150" s="462"/>
      <c r="AC10150" s="462"/>
      <c r="AD10150" s="464"/>
      <c r="AE10150" s="465"/>
    </row>
    <row r="10151" spans="27:31" ht="14.4">
      <c r="AA10151" s="463"/>
      <c r="AB10151" s="462"/>
      <c r="AC10151" s="462"/>
      <c r="AD10151" s="464"/>
      <c r="AE10151" s="465"/>
    </row>
    <row r="10152" spans="27:31" ht="14.4">
      <c r="AA10152" s="463"/>
      <c r="AB10152" s="462"/>
      <c r="AC10152" s="462"/>
      <c r="AD10152" s="464"/>
      <c r="AE10152" s="465"/>
    </row>
    <row r="10153" spans="27:31" ht="14.4">
      <c r="AA10153" s="463"/>
      <c r="AB10153" s="462"/>
      <c r="AC10153" s="462"/>
      <c r="AD10153" s="464"/>
      <c r="AE10153" s="465"/>
    </row>
    <row r="10154" spans="27:31" ht="14.4">
      <c r="AA10154" s="463"/>
      <c r="AB10154" s="462"/>
      <c r="AC10154" s="462"/>
      <c r="AD10154" s="464"/>
      <c r="AE10154" s="465"/>
    </row>
    <row r="10155" spans="27:31" ht="14.4">
      <c r="AA10155" s="463"/>
      <c r="AB10155" s="462"/>
      <c r="AC10155" s="462"/>
      <c r="AD10155" s="464"/>
      <c r="AE10155" s="465"/>
    </row>
    <row r="10156" spans="27:31" ht="14.4">
      <c r="AA10156" s="463"/>
      <c r="AB10156" s="462"/>
      <c r="AC10156" s="462"/>
      <c r="AD10156" s="464"/>
      <c r="AE10156" s="465"/>
    </row>
    <row r="10157" spans="27:31" ht="14.4">
      <c r="AA10157" s="463"/>
      <c r="AB10157" s="462"/>
      <c r="AC10157" s="462"/>
      <c r="AD10157" s="464"/>
      <c r="AE10157" s="465"/>
    </row>
    <row r="10158" spans="27:31" ht="14.4">
      <c r="AA10158" s="463"/>
      <c r="AB10158" s="462"/>
      <c r="AC10158" s="462"/>
      <c r="AD10158" s="464"/>
      <c r="AE10158" s="465"/>
    </row>
    <row r="10159" spans="27:31" ht="14.4">
      <c r="AA10159" s="463"/>
      <c r="AB10159" s="462"/>
      <c r="AC10159" s="462"/>
      <c r="AD10159" s="464"/>
      <c r="AE10159" s="465"/>
    </row>
    <row r="10160" spans="27:31" ht="14.4">
      <c r="AA10160" s="463"/>
      <c r="AB10160" s="462"/>
      <c r="AC10160" s="462"/>
      <c r="AD10160" s="464"/>
      <c r="AE10160" s="465"/>
    </row>
    <row r="10161" spans="27:31" ht="14.4">
      <c r="AA10161" s="463"/>
      <c r="AB10161" s="462"/>
      <c r="AC10161" s="462"/>
      <c r="AD10161" s="464"/>
      <c r="AE10161" s="465"/>
    </row>
    <row r="10162" spans="27:31" ht="14.4">
      <c r="AA10162" s="463"/>
      <c r="AB10162" s="462"/>
      <c r="AC10162" s="462"/>
      <c r="AD10162" s="464"/>
      <c r="AE10162" s="465"/>
    </row>
    <row r="10163" spans="27:31" ht="14.4">
      <c r="AA10163" s="463"/>
      <c r="AB10163" s="462"/>
      <c r="AC10163" s="462"/>
      <c r="AD10163" s="464"/>
      <c r="AE10163" s="465"/>
    </row>
    <row r="10164" spans="27:31" ht="14.4">
      <c r="AA10164" s="463"/>
      <c r="AB10164" s="462"/>
      <c r="AC10164" s="462"/>
      <c r="AD10164" s="464"/>
      <c r="AE10164" s="465"/>
    </row>
    <row r="10165" spans="27:31" ht="14.4">
      <c r="AA10165" s="463"/>
      <c r="AB10165" s="462"/>
      <c r="AC10165" s="462"/>
      <c r="AD10165" s="464"/>
      <c r="AE10165" s="465"/>
    </row>
    <row r="10166" spans="27:31" ht="14.4">
      <c r="AA10166" s="463"/>
      <c r="AB10166" s="462"/>
      <c r="AC10166" s="462"/>
      <c r="AD10166" s="464"/>
      <c r="AE10166" s="465"/>
    </row>
    <row r="10167" spans="27:31" ht="14.4">
      <c r="AA10167" s="463"/>
      <c r="AB10167" s="462"/>
      <c r="AC10167" s="462"/>
      <c r="AD10167" s="464"/>
      <c r="AE10167" s="465"/>
    </row>
    <row r="10168" spans="27:31" ht="14.4">
      <c r="AA10168" s="463"/>
      <c r="AB10168" s="462"/>
      <c r="AC10168" s="462"/>
      <c r="AD10168" s="464"/>
      <c r="AE10168" s="465"/>
    </row>
    <row r="10169" spans="27:31" ht="14.4">
      <c r="AA10169" s="463"/>
      <c r="AB10169" s="462"/>
      <c r="AC10169" s="462"/>
      <c r="AD10169" s="464"/>
      <c r="AE10169" s="465"/>
    </row>
    <row r="10170" spans="27:31" ht="14.4">
      <c r="AA10170" s="463"/>
      <c r="AB10170" s="462"/>
      <c r="AC10170" s="462"/>
      <c r="AD10170" s="464"/>
      <c r="AE10170" s="465"/>
    </row>
    <row r="10171" spans="27:31" ht="14.4">
      <c r="AA10171" s="463"/>
      <c r="AB10171" s="462"/>
      <c r="AC10171" s="462"/>
      <c r="AD10171" s="464"/>
      <c r="AE10171" s="465"/>
    </row>
    <row r="10172" spans="27:31" ht="14.4">
      <c r="AA10172" s="463"/>
      <c r="AB10172" s="462"/>
      <c r="AC10172" s="462"/>
      <c r="AD10172" s="464"/>
      <c r="AE10172" s="465"/>
    </row>
    <row r="10173" spans="27:31" ht="14.4">
      <c r="AA10173" s="463"/>
      <c r="AB10173" s="462"/>
      <c r="AC10173" s="462"/>
      <c r="AD10173" s="464"/>
      <c r="AE10173" s="465"/>
    </row>
    <row r="10174" spans="27:31" ht="14.4">
      <c r="AA10174" s="463"/>
      <c r="AB10174" s="462"/>
      <c r="AC10174" s="462"/>
      <c r="AD10174" s="464"/>
      <c r="AE10174" s="465"/>
    </row>
    <row r="10175" spans="27:31" ht="14.4">
      <c r="AA10175" s="463"/>
      <c r="AB10175" s="462"/>
      <c r="AC10175" s="462"/>
      <c r="AD10175" s="464"/>
      <c r="AE10175" s="465"/>
    </row>
    <row r="10176" spans="27:31" ht="14.4">
      <c r="AA10176" s="463"/>
      <c r="AB10176" s="462"/>
      <c r="AC10176" s="462"/>
      <c r="AD10176" s="464"/>
      <c r="AE10176" s="465"/>
    </row>
    <row r="10177" spans="27:31" ht="14.4">
      <c r="AA10177" s="463"/>
      <c r="AB10177" s="462"/>
      <c r="AC10177" s="462"/>
      <c r="AD10177" s="464"/>
      <c r="AE10177" s="465"/>
    </row>
    <row r="10178" spans="27:31" ht="14.4">
      <c r="AA10178" s="463"/>
      <c r="AB10178" s="462"/>
      <c r="AC10178" s="462"/>
      <c r="AD10178" s="464"/>
      <c r="AE10178" s="465"/>
    </row>
    <row r="10179" spans="27:31" ht="14.4">
      <c r="AA10179" s="463"/>
      <c r="AB10179" s="462"/>
      <c r="AC10179" s="462"/>
      <c r="AD10179" s="464"/>
      <c r="AE10179" s="465"/>
    </row>
    <row r="10180" spans="27:31" ht="14.4">
      <c r="AA10180" s="463"/>
      <c r="AB10180" s="462"/>
      <c r="AC10180" s="462"/>
      <c r="AD10180" s="464"/>
      <c r="AE10180" s="465"/>
    </row>
    <row r="10181" spans="27:31" ht="14.4">
      <c r="AA10181" s="463"/>
      <c r="AB10181" s="462"/>
      <c r="AC10181" s="462"/>
      <c r="AD10181" s="464"/>
      <c r="AE10181" s="465"/>
    </row>
    <row r="10182" spans="27:31" ht="14.4">
      <c r="AA10182" s="463"/>
      <c r="AB10182" s="462"/>
      <c r="AC10182" s="462"/>
      <c r="AD10182" s="464"/>
      <c r="AE10182" s="465"/>
    </row>
    <row r="10183" spans="27:31" ht="14.4">
      <c r="AA10183" s="463"/>
      <c r="AB10183" s="462"/>
      <c r="AC10183" s="462"/>
      <c r="AD10183" s="464"/>
      <c r="AE10183" s="465"/>
    </row>
    <row r="10184" spans="27:31" ht="14.4">
      <c r="AA10184" s="463"/>
      <c r="AB10184" s="462"/>
      <c r="AC10184" s="462"/>
      <c r="AD10184" s="464"/>
      <c r="AE10184" s="465"/>
    </row>
    <row r="10185" spans="27:31" ht="14.4">
      <c r="AA10185" s="463"/>
      <c r="AB10185" s="462"/>
      <c r="AC10185" s="462"/>
      <c r="AD10185" s="464"/>
      <c r="AE10185" s="465"/>
    </row>
    <row r="10186" spans="27:31" ht="14.4">
      <c r="AA10186" s="463"/>
      <c r="AB10186" s="462"/>
      <c r="AC10186" s="462"/>
      <c r="AD10186" s="464"/>
      <c r="AE10186" s="465"/>
    </row>
    <row r="10187" spans="27:31" ht="14.4">
      <c r="AA10187" s="463"/>
      <c r="AB10187" s="462"/>
      <c r="AC10187" s="462"/>
      <c r="AD10187" s="464"/>
      <c r="AE10187" s="465"/>
    </row>
    <row r="10188" spans="27:31" ht="14.4">
      <c r="AA10188" s="463"/>
      <c r="AB10188" s="462"/>
      <c r="AC10188" s="462"/>
      <c r="AD10188" s="464"/>
      <c r="AE10188" s="465"/>
    </row>
    <row r="10189" spans="27:31" ht="14.4">
      <c r="AA10189" s="463"/>
      <c r="AB10189" s="462"/>
      <c r="AC10189" s="462"/>
      <c r="AD10189" s="464"/>
      <c r="AE10189" s="465"/>
    </row>
    <row r="10190" spans="27:31" ht="14.4">
      <c r="AA10190" s="463"/>
      <c r="AB10190" s="462"/>
      <c r="AC10190" s="462"/>
      <c r="AD10190" s="464"/>
      <c r="AE10190" s="465"/>
    </row>
    <row r="10191" spans="27:31" ht="14.4">
      <c r="AA10191" s="463"/>
      <c r="AB10191" s="462"/>
      <c r="AC10191" s="462"/>
      <c r="AD10191" s="464"/>
      <c r="AE10191" s="465"/>
    </row>
    <row r="10192" spans="27:31" ht="14.4">
      <c r="AA10192" s="463"/>
      <c r="AB10192" s="462"/>
      <c r="AC10192" s="462"/>
      <c r="AD10192" s="464"/>
      <c r="AE10192" s="465"/>
    </row>
    <row r="10193" spans="27:31" ht="14.4">
      <c r="AA10193" s="463"/>
      <c r="AB10193" s="462"/>
      <c r="AC10193" s="462"/>
      <c r="AD10193" s="464"/>
      <c r="AE10193" s="465"/>
    </row>
    <row r="10194" spans="27:31" ht="14.4">
      <c r="AA10194" s="463"/>
      <c r="AB10194" s="462"/>
      <c r="AC10194" s="462"/>
      <c r="AD10194" s="464"/>
      <c r="AE10194" s="465"/>
    </row>
    <row r="10195" spans="27:31" ht="14.4">
      <c r="AA10195" s="463"/>
      <c r="AB10195" s="462"/>
      <c r="AC10195" s="462"/>
      <c r="AD10195" s="464"/>
      <c r="AE10195" s="465"/>
    </row>
    <row r="10196" spans="27:31" ht="14.4">
      <c r="AA10196" s="463"/>
      <c r="AB10196" s="462"/>
      <c r="AC10196" s="462"/>
      <c r="AD10196" s="464"/>
      <c r="AE10196" s="465"/>
    </row>
    <row r="10197" spans="27:31" ht="14.4">
      <c r="AA10197" s="463"/>
      <c r="AB10197" s="462"/>
      <c r="AC10197" s="462"/>
      <c r="AD10197" s="464"/>
      <c r="AE10197" s="465"/>
    </row>
    <row r="10198" spans="27:31" ht="14.4">
      <c r="AA10198" s="463"/>
      <c r="AB10198" s="462"/>
      <c r="AC10198" s="462"/>
      <c r="AD10198" s="464"/>
      <c r="AE10198" s="465"/>
    </row>
    <row r="10199" spans="27:31" ht="14.4">
      <c r="AA10199" s="463"/>
      <c r="AB10199" s="462"/>
      <c r="AC10199" s="462"/>
      <c r="AD10199" s="464"/>
      <c r="AE10199" s="465"/>
    </row>
    <row r="10200" spans="27:31" ht="14.4">
      <c r="AA10200" s="463"/>
      <c r="AB10200" s="462"/>
      <c r="AC10200" s="462"/>
      <c r="AD10200" s="464"/>
      <c r="AE10200" s="465"/>
    </row>
    <row r="10201" spans="27:31" ht="14.4">
      <c r="AA10201" s="463"/>
      <c r="AB10201" s="462"/>
      <c r="AC10201" s="462"/>
      <c r="AD10201" s="464"/>
      <c r="AE10201" s="465"/>
    </row>
    <row r="10202" spans="27:31" ht="14.4">
      <c r="AA10202" s="463"/>
      <c r="AB10202" s="462"/>
      <c r="AC10202" s="462"/>
      <c r="AD10202" s="464"/>
      <c r="AE10202" s="465"/>
    </row>
    <row r="10203" spans="27:31" ht="14.4">
      <c r="AA10203" s="463"/>
      <c r="AB10203" s="462"/>
      <c r="AC10203" s="462"/>
      <c r="AD10203" s="464"/>
      <c r="AE10203" s="465"/>
    </row>
    <row r="10204" spans="27:31" ht="14.4">
      <c r="AA10204" s="463"/>
      <c r="AB10204" s="462"/>
      <c r="AC10204" s="462"/>
      <c r="AD10204" s="464"/>
      <c r="AE10204" s="465"/>
    </row>
    <row r="10205" spans="27:31" ht="14.4">
      <c r="AA10205" s="463"/>
      <c r="AB10205" s="462"/>
      <c r="AC10205" s="462"/>
      <c r="AD10205" s="464"/>
      <c r="AE10205" s="465"/>
    </row>
    <row r="10206" spans="27:31" ht="14.4">
      <c r="AA10206" s="463"/>
      <c r="AB10206" s="462"/>
      <c r="AC10206" s="462"/>
      <c r="AD10206" s="464"/>
      <c r="AE10206" s="465"/>
    </row>
    <row r="10207" spans="27:31" ht="14.4">
      <c r="AA10207" s="463"/>
      <c r="AB10207" s="462"/>
      <c r="AC10207" s="462"/>
      <c r="AD10207" s="464"/>
      <c r="AE10207" s="465"/>
    </row>
    <row r="10208" spans="27:31" ht="14.4">
      <c r="AA10208" s="463"/>
      <c r="AB10208" s="462"/>
      <c r="AC10208" s="462"/>
      <c r="AD10208" s="464"/>
      <c r="AE10208" s="465"/>
    </row>
    <row r="10209" spans="27:31" ht="14.4">
      <c r="AA10209" s="463"/>
      <c r="AB10209" s="462"/>
      <c r="AC10209" s="462"/>
      <c r="AD10209" s="464"/>
      <c r="AE10209" s="465"/>
    </row>
    <row r="10210" spans="27:31" ht="14.4">
      <c r="AA10210" s="463"/>
      <c r="AB10210" s="462"/>
      <c r="AC10210" s="462"/>
      <c r="AD10210" s="464"/>
      <c r="AE10210" s="465"/>
    </row>
    <row r="10211" spans="27:31" ht="14.4">
      <c r="AA10211" s="463"/>
      <c r="AB10211" s="462"/>
      <c r="AC10211" s="462"/>
      <c r="AD10211" s="464"/>
      <c r="AE10211" s="465"/>
    </row>
    <row r="10212" spans="27:31" ht="14.4">
      <c r="AA10212" s="463"/>
      <c r="AB10212" s="462"/>
      <c r="AC10212" s="462"/>
      <c r="AD10212" s="464"/>
      <c r="AE10212" s="465"/>
    </row>
    <row r="10213" spans="27:31" ht="14.4">
      <c r="AA10213" s="463"/>
      <c r="AB10213" s="462"/>
      <c r="AC10213" s="462"/>
      <c r="AD10213" s="464"/>
      <c r="AE10213" s="465"/>
    </row>
    <row r="10214" spans="27:31" ht="14.4">
      <c r="AA10214" s="463"/>
      <c r="AB10214" s="462"/>
      <c r="AC10214" s="462"/>
      <c r="AD10214" s="464"/>
      <c r="AE10214" s="465"/>
    </row>
    <row r="10215" spans="27:31" ht="14.4">
      <c r="AA10215" s="463"/>
      <c r="AB10215" s="462"/>
      <c r="AC10215" s="462"/>
      <c r="AD10215" s="464"/>
      <c r="AE10215" s="465"/>
    </row>
    <row r="10216" spans="27:31" ht="14.4">
      <c r="AA10216" s="463"/>
      <c r="AB10216" s="462"/>
      <c r="AC10216" s="462"/>
      <c r="AD10216" s="464"/>
      <c r="AE10216" s="465"/>
    </row>
    <row r="10217" spans="27:31" ht="14.4">
      <c r="AA10217" s="463"/>
      <c r="AB10217" s="462"/>
      <c r="AC10217" s="462"/>
      <c r="AD10217" s="464"/>
      <c r="AE10217" s="465"/>
    </row>
    <row r="10218" spans="27:31" ht="14.4">
      <c r="AA10218" s="463"/>
      <c r="AB10218" s="462"/>
      <c r="AC10218" s="462"/>
      <c r="AD10218" s="464"/>
      <c r="AE10218" s="465"/>
    </row>
    <row r="10219" spans="27:31" ht="14.4">
      <c r="AA10219" s="463"/>
      <c r="AB10219" s="462"/>
      <c r="AC10219" s="462"/>
      <c r="AD10219" s="464"/>
      <c r="AE10219" s="465"/>
    </row>
    <row r="10220" spans="27:31" ht="14.4">
      <c r="AA10220" s="463"/>
      <c r="AB10220" s="462"/>
      <c r="AC10220" s="462"/>
      <c r="AD10220" s="464"/>
      <c r="AE10220" s="465"/>
    </row>
    <row r="10221" spans="27:31" ht="14.4">
      <c r="AA10221" s="463"/>
      <c r="AB10221" s="462"/>
      <c r="AC10221" s="462"/>
      <c r="AD10221" s="464"/>
      <c r="AE10221" s="465"/>
    </row>
    <row r="10222" spans="27:31" ht="14.4">
      <c r="AA10222" s="463"/>
      <c r="AB10222" s="462"/>
      <c r="AC10222" s="462"/>
      <c r="AD10222" s="464"/>
      <c r="AE10222" s="465"/>
    </row>
    <row r="10223" spans="27:31" ht="14.4">
      <c r="AA10223" s="463"/>
      <c r="AB10223" s="462"/>
      <c r="AC10223" s="462"/>
      <c r="AD10223" s="464"/>
      <c r="AE10223" s="465"/>
    </row>
    <row r="10224" spans="27:31" ht="14.4">
      <c r="AA10224" s="463"/>
      <c r="AB10224" s="462"/>
      <c r="AC10224" s="462"/>
      <c r="AD10224" s="464"/>
      <c r="AE10224" s="465"/>
    </row>
    <row r="10225" spans="27:31" ht="14.4">
      <c r="AA10225" s="463"/>
      <c r="AB10225" s="462"/>
      <c r="AC10225" s="462"/>
      <c r="AD10225" s="464"/>
      <c r="AE10225" s="465"/>
    </row>
    <row r="10226" spans="27:31" ht="14.4">
      <c r="AA10226" s="463"/>
      <c r="AB10226" s="462"/>
      <c r="AC10226" s="462"/>
      <c r="AD10226" s="464"/>
      <c r="AE10226" s="465"/>
    </row>
    <row r="10227" spans="27:31" ht="14.4">
      <c r="AA10227" s="463"/>
      <c r="AB10227" s="462"/>
      <c r="AC10227" s="462"/>
      <c r="AD10227" s="464"/>
      <c r="AE10227" s="465"/>
    </row>
    <row r="10228" spans="27:31" ht="14.4">
      <c r="AA10228" s="463"/>
      <c r="AB10228" s="462"/>
      <c r="AC10228" s="462"/>
      <c r="AD10228" s="464"/>
      <c r="AE10228" s="465"/>
    </row>
    <row r="10229" spans="27:31" ht="14.4">
      <c r="AA10229" s="463"/>
      <c r="AB10229" s="462"/>
      <c r="AC10229" s="462"/>
      <c r="AD10229" s="464"/>
      <c r="AE10229" s="465"/>
    </row>
    <row r="10230" spans="27:31" ht="14.4">
      <c r="AA10230" s="463"/>
      <c r="AB10230" s="462"/>
      <c r="AC10230" s="462"/>
      <c r="AD10230" s="464"/>
      <c r="AE10230" s="465"/>
    </row>
    <row r="10231" spans="27:31" ht="14.4">
      <c r="AA10231" s="463"/>
      <c r="AB10231" s="462"/>
      <c r="AC10231" s="462"/>
      <c r="AD10231" s="464"/>
      <c r="AE10231" s="465"/>
    </row>
    <row r="10232" spans="27:31" ht="14.4">
      <c r="AA10232" s="463"/>
      <c r="AB10232" s="462"/>
      <c r="AC10232" s="462"/>
      <c r="AD10232" s="464"/>
      <c r="AE10232" s="465"/>
    </row>
    <row r="10233" spans="27:31" ht="14.4">
      <c r="AA10233" s="463"/>
      <c r="AB10233" s="462"/>
      <c r="AC10233" s="462"/>
      <c r="AD10233" s="464"/>
      <c r="AE10233" s="465"/>
    </row>
    <row r="10234" spans="27:31" ht="14.4">
      <c r="AA10234" s="463"/>
      <c r="AB10234" s="462"/>
      <c r="AC10234" s="462"/>
      <c r="AD10234" s="464"/>
      <c r="AE10234" s="465"/>
    </row>
    <row r="10235" spans="27:31" ht="14.4">
      <c r="AA10235" s="463"/>
      <c r="AB10235" s="462"/>
      <c r="AC10235" s="462"/>
      <c r="AD10235" s="464"/>
      <c r="AE10235" s="465"/>
    </row>
    <row r="10236" spans="27:31" ht="14.4">
      <c r="AA10236" s="463"/>
      <c r="AB10236" s="462"/>
      <c r="AC10236" s="462"/>
      <c r="AD10236" s="464"/>
      <c r="AE10236" s="465"/>
    </row>
    <row r="10237" spans="27:31" ht="14.4">
      <c r="AA10237" s="463"/>
      <c r="AB10237" s="462"/>
      <c r="AC10237" s="462"/>
      <c r="AD10237" s="464"/>
      <c r="AE10237" s="465"/>
    </row>
    <row r="10238" spans="27:31" ht="14.4">
      <c r="AA10238" s="463"/>
      <c r="AB10238" s="462"/>
      <c r="AC10238" s="462"/>
      <c r="AD10238" s="464"/>
      <c r="AE10238" s="465"/>
    </row>
    <row r="10239" spans="27:31" ht="14.4">
      <c r="AA10239" s="463"/>
      <c r="AB10239" s="462"/>
      <c r="AC10239" s="462"/>
      <c r="AD10239" s="464"/>
      <c r="AE10239" s="465"/>
    </row>
    <row r="10240" spans="27:31" ht="14.4">
      <c r="AA10240" s="463"/>
      <c r="AB10240" s="462"/>
      <c r="AC10240" s="462"/>
      <c r="AD10240" s="464"/>
      <c r="AE10240" s="465"/>
    </row>
    <row r="10241" spans="27:31" ht="14.4">
      <c r="AA10241" s="463"/>
      <c r="AB10241" s="462"/>
      <c r="AC10241" s="462"/>
      <c r="AD10241" s="464"/>
      <c r="AE10241" s="465"/>
    </row>
    <row r="10242" spans="27:31" ht="14.4">
      <c r="AA10242" s="463"/>
      <c r="AB10242" s="462"/>
      <c r="AC10242" s="462"/>
      <c r="AD10242" s="464"/>
      <c r="AE10242" s="465"/>
    </row>
    <row r="10243" spans="27:31" ht="14.4">
      <c r="AA10243" s="463"/>
      <c r="AB10243" s="462"/>
      <c r="AC10243" s="462"/>
      <c r="AD10243" s="464"/>
      <c r="AE10243" s="465"/>
    </row>
    <row r="10244" spans="27:31" ht="14.4">
      <c r="AA10244" s="463"/>
      <c r="AB10244" s="462"/>
      <c r="AC10244" s="462"/>
      <c r="AD10244" s="464"/>
      <c r="AE10244" s="465"/>
    </row>
    <row r="10245" spans="27:31" ht="14.4">
      <c r="AA10245" s="463"/>
      <c r="AB10245" s="462"/>
      <c r="AC10245" s="462"/>
      <c r="AD10245" s="464"/>
      <c r="AE10245" s="465"/>
    </row>
    <row r="10246" spans="27:31" ht="14.4">
      <c r="AA10246" s="463"/>
      <c r="AB10246" s="462"/>
      <c r="AC10246" s="462"/>
      <c r="AD10246" s="464"/>
      <c r="AE10246" s="465"/>
    </row>
    <row r="10247" spans="27:31" ht="14.4">
      <c r="AA10247" s="463"/>
      <c r="AB10247" s="462"/>
      <c r="AC10247" s="462"/>
      <c r="AD10247" s="464"/>
      <c r="AE10247" s="465"/>
    </row>
    <row r="10248" spans="27:31" ht="14.4">
      <c r="AA10248" s="463"/>
      <c r="AB10248" s="462"/>
      <c r="AC10248" s="462"/>
      <c r="AD10248" s="464"/>
      <c r="AE10248" s="465"/>
    </row>
    <row r="10249" spans="27:31" ht="14.4">
      <c r="AA10249" s="463"/>
      <c r="AB10249" s="462"/>
      <c r="AC10249" s="462"/>
      <c r="AD10249" s="464"/>
      <c r="AE10249" s="465"/>
    </row>
    <row r="10250" spans="27:31" ht="14.4">
      <c r="AA10250" s="463"/>
      <c r="AB10250" s="462"/>
      <c r="AC10250" s="462"/>
      <c r="AD10250" s="464"/>
      <c r="AE10250" s="465"/>
    </row>
    <row r="10251" spans="27:31" ht="14.4">
      <c r="AA10251" s="463"/>
      <c r="AB10251" s="462"/>
      <c r="AC10251" s="462"/>
      <c r="AD10251" s="464"/>
      <c r="AE10251" s="465"/>
    </row>
    <row r="10252" spans="27:31" ht="14.4">
      <c r="AA10252" s="463"/>
      <c r="AB10252" s="462"/>
      <c r="AC10252" s="462"/>
      <c r="AD10252" s="464"/>
      <c r="AE10252" s="465"/>
    </row>
    <row r="10253" spans="27:31" ht="14.4">
      <c r="AA10253" s="463"/>
      <c r="AB10253" s="462"/>
      <c r="AC10253" s="462"/>
      <c r="AD10253" s="464"/>
      <c r="AE10253" s="465"/>
    </row>
    <row r="10254" spans="27:31" ht="14.4">
      <c r="AA10254" s="463"/>
      <c r="AB10254" s="462"/>
      <c r="AC10254" s="462"/>
      <c r="AD10254" s="464"/>
      <c r="AE10254" s="465"/>
    </row>
    <row r="10255" spans="27:31" ht="14.4">
      <c r="AA10255" s="463"/>
      <c r="AB10255" s="462"/>
      <c r="AC10255" s="462"/>
      <c r="AD10255" s="464"/>
      <c r="AE10255" s="465"/>
    </row>
    <row r="10256" spans="27:31" ht="14.4">
      <c r="AA10256" s="463"/>
      <c r="AB10256" s="462"/>
      <c r="AC10256" s="462"/>
      <c r="AD10256" s="464"/>
      <c r="AE10256" s="465"/>
    </row>
    <row r="10257" spans="27:31" ht="14.4">
      <c r="AA10257" s="463"/>
      <c r="AB10257" s="462"/>
      <c r="AC10257" s="462"/>
      <c r="AD10257" s="464"/>
      <c r="AE10257" s="465"/>
    </row>
    <row r="10258" spans="27:31" ht="14.4">
      <c r="AA10258" s="463"/>
      <c r="AB10258" s="462"/>
      <c r="AC10258" s="462"/>
      <c r="AD10258" s="464"/>
      <c r="AE10258" s="465"/>
    </row>
    <row r="10259" spans="27:31" ht="14.4">
      <c r="AA10259" s="463"/>
      <c r="AB10259" s="462"/>
      <c r="AC10259" s="462"/>
      <c r="AD10259" s="464"/>
      <c r="AE10259" s="465"/>
    </row>
  </sheetData>
  <hyperlinks>
    <hyperlink ref="J2" location="FORM!A1" display=" Úvod" xr:uid="{00000000-0004-0000-1C00-000000000000}"/>
  </hyperlinks>
  <pageMargins left="0.7" right="0.7" top="0.78740157499999996" bottom="0.78740157499999996" header="0.3" footer="0.3"/>
  <pageSetup paperSize="9" orientation="portrait" r:id="rId1"/>
  <headerFooter>
    <oddHeader>&amp;R&amp;"Aptos"&amp;10&amp;K000000 Restricted&amp;1#_x000D_</oddHeader>
  </headerFooter>
  <ignoredErrors>
    <ignoredError sqref="L12:L49 L608:L1053 L396:L600 L51:L162 L164:L170 L173:L179 L182:L188 L244:L393 L192:L205 L210:L223 L228:L241" evalError="1"/>
    <ignoredError sqref="M10:M49 M611:M1053 M396:M595 M51:M162 M164:M170 M173:M179 M182:M188 M244:M393 M192:M205 M210:M223 M228:M241" unlockedFormula="1"/>
  </ignoredErrors>
</worksheet>
</file>

<file path=docMetadata/LabelInfo.xml><?xml version="1.0" encoding="utf-8"?>
<clbl:labelList xmlns:clbl="http://schemas.microsoft.com/office/2020/mipLabelMetadata">
  <clbl:label id="{adb12509-ad5c-4346-93ee-6526b108a1ee}" enabled="1" method="Standard" siteId="{fcae3d9f-c144-4ab7-a9e6-25760557df3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29</vt:i4>
      </vt:variant>
      <vt:variant>
        <vt:lpstr>Pojmenované oblasti</vt:lpstr>
      </vt:variant>
      <vt:variant>
        <vt:i4>3</vt:i4>
      </vt:variant>
    </vt:vector>
  </HeadingPairs>
  <TitlesOfParts>
    <vt:vector size="32" baseType="lpstr">
      <vt:lpstr>Napoveda</vt:lpstr>
      <vt:lpstr>FORM</vt:lpstr>
      <vt:lpstr>MENU</vt:lpstr>
      <vt:lpstr>MENU-2</vt:lpstr>
      <vt:lpstr>AVT77</vt:lpstr>
      <vt:lpstr>AVT101</vt:lpstr>
      <vt:lpstr>AVT139</vt:lpstr>
      <vt:lpstr>AVT187</vt:lpstr>
      <vt:lpstr>AVT251</vt:lpstr>
      <vt:lpstr>AVT187In</vt:lpstr>
      <vt:lpstr>AVT101(vn-A)</vt:lpstr>
      <vt:lpstr>AVT139(vn-A)</vt:lpstr>
      <vt:lpstr>AVT187(vn-A)</vt:lpstr>
      <vt:lpstr>AVT187In(vn-A)</vt:lpstr>
      <vt:lpstr>AVT187(vn-S)</vt:lpstr>
      <vt:lpstr>AVT187In(vn-S)</vt:lpstr>
      <vt:lpstr>AVT-celny-101+187</vt:lpstr>
      <vt:lpstr>AVT-celny-139+187</vt:lpstr>
      <vt:lpstr>AVT-celny-2x187</vt:lpstr>
      <vt:lpstr>AVT-celny-2x187In</vt:lpstr>
      <vt:lpstr>potr-v101+187</vt:lpstr>
      <vt:lpstr>potr-v101+187-IL</vt:lpstr>
      <vt:lpstr>potr-o101+187</vt:lpstr>
      <vt:lpstr>potr-o101+187-IL</vt:lpstr>
      <vt:lpstr>potr-o187-IL</vt:lpstr>
      <vt:lpstr>---</vt:lpstr>
      <vt:lpstr>OBJ</vt:lpstr>
      <vt:lpstr>verze</vt:lpstr>
      <vt:lpstr>CENY</vt:lpstr>
      <vt:lpstr>MENU!Oblast_tisku</vt:lpstr>
      <vt:lpstr>'MENU-2'!Oblast_tisku</vt:lpstr>
      <vt:lpstr>OBJ!Oblast_tisku</vt:lpstr>
    </vt:vector>
  </TitlesOfParts>
  <Company>Hettich ČR k.s.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Kopenec</dc:creator>
  <cp:lastModifiedBy>Slaběňák Jiří</cp:lastModifiedBy>
  <cp:lastPrinted>2020-10-19T14:24:12Z</cp:lastPrinted>
  <dcterms:created xsi:type="dcterms:W3CDTF">2016-01-02T18:34:54Z</dcterms:created>
  <dcterms:modified xsi:type="dcterms:W3CDTF">2026-09-30T14:19:05Z</dcterms:modified>
</cp:coreProperties>
</file>